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omments8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omments9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omments10.xml" ContentType="application/vnd.openxmlformats-officedocument.spreadsheetml.comment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omments11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omments12.xml" ContentType="application/vnd.openxmlformats-officedocument.spreadsheetml.comment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omments13.xml" ContentType="application/vnd.openxmlformats-officedocument.spreadsheetml.comment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omments14.xml" ContentType="application/vnd.openxmlformats-officedocument.spreadsheetml.comments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8.xml" ContentType="application/vnd.openxmlformats-officedocument.drawingml.chartshapes+xml"/>
  <Override PartName="/xl/drawings/drawing29.xml" ContentType="application/vnd.openxmlformats-officedocument.drawing+xml"/>
  <Override PartName="/xl/comments15.xml" ContentType="application/vnd.openxmlformats-officedocument.spreadsheetml.comment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30.xml" ContentType="application/vnd.openxmlformats-officedocument.drawingml.chartshapes+xml"/>
  <Override PartName="/xl/drawings/drawing31.xml" ContentType="application/vnd.openxmlformats-officedocument.drawing+xml"/>
  <Override PartName="/xl/comments16.xml" ContentType="application/vnd.openxmlformats-officedocument.spreadsheetml.comment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comments17.xml" ContentType="application/vnd.openxmlformats-officedocument.spreadsheetml.comment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34.xml" ContentType="application/vnd.openxmlformats-officedocument.drawingml.chartshapes+xml"/>
  <Override PartName="/xl/drawings/drawing35.xml" ContentType="application/vnd.openxmlformats-officedocument.drawing+xml"/>
  <Override PartName="/xl/comments18.xml" ContentType="application/vnd.openxmlformats-officedocument.spreadsheetml.comment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6.xml" ContentType="application/vnd.openxmlformats-officedocument.drawingml.chartshapes+xml"/>
  <Override PartName="/xl/drawings/drawing37.xml" ContentType="application/vnd.openxmlformats-officedocument.drawing+xml"/>
  <Override PartName="/xl/comments19.xml" ContentType="application/vnd.openxmlformats-officedocument.spreadsheetml.comment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38.xml" ContentType="application/vnd.openxmlformats-officedocument.drawingml.chartshapes+xml"/>
  <Override PartName="/xl/drawings/drawing39.xml" ContentType="application/vnd.openxmlformats-officedocument.drawing+xml"/>
  <Override PartName="/xl/comments20.xml" ContentType="application/vnd.openxmlformats-officedocument.spreadsheetml.comments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40.xml" ContentType="application/vnd.openxmlformats-officedocument.drawingml.chartshapes+xml"/>
  <Override PartName="/xl/drawings/drawing41.xml" ContentType="application/vnd.openxmlformats-officedocument.drawing+xml"/>
  <Override PartName="/xl/comments21.xml" ContentType="application/vnd.openxmlformats-officedocument.spreadsheetml.comment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42.xml" ContentType="application/vnd.openxmlformats-officedocument.drawingml.chartshapes+xml"/>
  <Override PartName="/xl/drawings/drawing43.xml" ContentType="application/vnd.openxmlformats-officedocument.drawing+xml"/>
  <Override PartName="/xl/comments22.xml" ContentType="application/vnd.openxmlformats-officedocument.spreadsheetml.comment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44.xml" ContentType="application/vnd.openxmlformats-officedocument.drawingml.chartshapes+xml"/>
  <Override PartName="/xl/drawings/drawing45.xml" ContentType="application/vnd.openxmlformats-officedocument.drawing+xml"/>
  <Override PartName="/xl/comments23.xml" ContentType="application/vnd.openxmlformats-officedocument.spreadsheetml.comment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46.xml" ContentType="application/vnd.openxmlformats-officedocument.drawingml.chartshapes+xml"/>
  <Override PartName="/xl/drawings/drawing47.xml" ContentType="application/vnd.openxmlformats-officedocument.drawing+xml"/>
  <Override PartName="/xl/comments24.xml" ContentType="application/vnd.openxmlformats-officedocument.spreadsheetml.comments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48.xml" ContentType="application/vnd.openxmlformats-officedocument.drawingml.chartshapes+xml"/>
  <Override PartName="/xl/drawings/drawing49.xml" ContentType="application/vnd.openxmlformats-officedocument.drawing+xml"/>
  <Override PartName="/xl/comments25.xml" ContentType="application/vnd.openxmlformats-officedocument.spreadsheetml.comments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50.xml" ContentType="application/vnd.openxmlformats-officedocument.drawingml.chartshapes+xml"/>
  <Override PartName="/xl/drawings/drawing51.xml" ContentType="application/vnd.openxmlformats-officedocument.drawing+xml"/>
  <Override PartName="/xl/comments26.xml" ContentType="application/vnd.openxmlformats-officedocument.spreadsheetml.comments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52.xml" ContentType="application/vnd.openxmlformats-officedocument.drawingml.chartshapes+xml"/>
  <Override PartName="/xl/drawings/drawing53.xml" ContentType="application/vnd.openxmlformats-officedocument.drawing+xml"/>
  <Override PartName="/xl/comments27.xml" ContentType="application/vnd.openxmlformats-officedocument.spreadsheetml.comments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54.xml" ContentType="application/vnd.openxmlformats-officedocument.drawingml.chartshapes+xml"/>
  <Override PartName="/xl/drawings/drawing55.xml" ContentType="application/vnd.openxmlformats-officedocument.drawing+xml"/>
  <Override PartName="/xl/comments28.xml" ContentType="application/vnd.openxmlformats-officedocument.spreadsheetml.comments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56.xml" ContentType="application/vnd.openxmlformats-officedocument.drawingml.chartshapes+xml"/>
  <Override PartName="/xl/drawings/drawing57.xml" ContentType="application/vnd.openxmlformats-officedocument.drawing+xml"/>
  <Override PartName="/xl/comments29.xml" ContentType="application/vnd.openxmlformats-officedocument.spreadsheetml.comments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58.xml" ContentType="application/vnd.openxmlformats-officedocument.drawingml.chartshapes+xml"/>
  <Override PartName="/xl/drawings/drawing59.xml" ContentType="application/vnd.openxmlformats-officedocument.drawing+xml"/>
  <Override PartName="/xl/comments30.xml" ContentType="application/vnd.openxmlformats-officedocument.spreadsheetml.comments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60.xml" ContentType="application/vnd.openxmlformats-officedocument.drawingml.chartshapes+xml"/>
  <Override PartName="/xl/drawings/drawing61.xml" ContentType="application/vnd.openxmlformats-officedocument.drawing+xml"/>
  <Override PartName="/xl/comments31.xml" ContentType="application/vnd.openxmlformats-officedocument.spreadsheetml.comments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62.xml" ContentType="application/vnd.openxmlformats-officedocument.drawingml.chartshapes+xml"/>
  <Override PartName="/xl/drawings/drawing63.xml" ContentType="application/vnd.openxmlformats-officedocument.drawing+xml"/>
  <Override PartName="/xl/comments32.xml" ContentType="application/vnd.openxmlformats-officedocument.spreadsheetml.comments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64.xml" ContentType="application/vnd.openxmlformats-officedocument.drawingml.chartshapes+xml"/>
  <Override PartName="/xl/drawings/drawing65.xml" ContentType="application/vnd.openxmlformats-officedocument.drawing+xml"/>
  <Override PartName="/xl/comments33.xml" ContentType="application/vnd.openxmlformats-officedocument.spreadsheetml.comments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6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DATA\0 Data_Collection 75\Daily_Log_Sheets\Log Sheet 2081\"/>
    </mc:Choice>
  </mc:AlternateContent>
  <xr:revisionPtr revIDLastSave="0" documentId="13_ncr:1_{F02D2218-1DFB-4029-97F9-2CB2EE3746D3}" xr6:coauthVersionLast="47" xr6:coauthVersionMax="47" xr10:uidLastSave="{00000000-0000-0000-0000-000000000000}"/>
  <bookViews>
    <workbookView xWindow="-120" yWindow="-120" windowWidth="29040" windowHeight="15720" tabRatio="954" activeTab="31" xr2:uid="{77546CB6-CF79-464B-AD04-95ABA2F30A69}"/>
  </bookViews>
  <sheets>
    <sheet name="00" sheetId="4" r:id="rId1"/>
    <sheet name="01" sheetId="1" r:id="rId2"/>
    <sheet name="02" sheetId="6" r:id="rId3"/>
    <sheet name="03" sheetId="7" r:id="rId4"/>
    <sheet name="04" sheetId="8" r:id="rId5"/>
    <sheet name="05" sheetId="9" r:id="rId6"/>
    <sheet name="06" sheetId="10" r:id="rId7"/>
    <sheet name="07" sheetId="11" r:id="rId8"/>
    <sheet name="08" sheetId="12" r:id="rId9"/>
    <sheet name="09" sheetId="13" r:id="rId10"/>
    <sheet name="10" sheetId="14" r:id="rId11"/>
    <sheet name="11" sheetId="15" r:id="rId12"/>
    <sheet name="12" sheetId="16" r:id="rId13"/>
    <sheet name="13" sheetId="17" r:id="rId14"/>
    <sheet name="14" sheetId="18" r:id="rId15"/>
    <sheet name="15" sheetId="19" r:id="rId16"/>
    <sheet name="16" sheetId="20" r:id="rId17"/>
    <sheet name="17" sheetId="21" r:id="rId18"/>
    <sheet name="18" sheetId="22" r:id="rId19"/>
    <sheet name="19" sheetId="23" r:id="rId20"/>
    <sheet name="20" sheetId="24" r:id="rId21"/>
    <sheet name="21" sheetId="25" r:id="rId22"/>
    <sheet name="22" sheetId="27" r:id="rId23"/>
    <sheet name="23" sheetId="28" r:id="rId24"/>
    <sheet name="24" sheetId="29" r:id="rId25"/>
    <sheet name="25" sheetId="30" r:id="rId26"/>
    <sheet name="26" sheetId="31" r:id="rId27"/>
    <sheet name="27" sheetId="32" r:id="rId28"/>
    <sheet name="28" sheetId="33" r:id="rId29"/>
    <sheet name="29" sheetId="34" r:id="rId30"/>
    <sheet name="30" sheetId="35" r:id="rId31"/>
    <sheet name="31" sheetId="36" r:id="rId32"/>
    <sheet name="NSample" sheetId="3" r:id="rId33"/>
    <sheet name="Sheet1" sheetId="2" r:id="rId34"/>
  </sheets>
  <externalReferences>
    <externalReference r:id="rId35"/>
  </externalReferences>
  <definedNames>
    <definedName name="IPP" localSheetId="0">#REF!</definedName>
    <definedName name="IPP" localSheetId="1">#REF!</definedName>
    <definedName name="IPP" localSheetId="2">#REF!</definedName>
    <definedName name="IPP" localSheetId="3">#REF!</definedName>
    <definedName name="IPP" localSheetId="4">#REF!</definedName>
    <definedName name="IPP" localSheetId="5">#REF!</definedName>
    <definedName name="IPP" localSheetId="6">#REF!</definedName>
    <definedName name="IPP" localSheetId="7">#REF!</definedName>
    <definedName name="IPP" localSheetId="8">#REF!</definedName>
    <definedName name="IPP" localSheetId="9">#REF!</definedName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5">#REF!</definedName>
    <definedName name="IPP" localSheetId="16">#REF!</definedName>
    <definedName name="IPP" localSheetId="17">#REF!</definedName>
    <definedName name="IPP" localSheetId="18">#REF!</definedName>
    <definedName name="IPP" localSheetId="19">#REF!</definedName>
    <definedName name="IPP" localSheetId="20">#REF!</definedName>
    <definedName name="IPP" localSheetId="21">#REF!</definedName>
    <definedName name="IPP" localSheetId="22">#REF!</definedName>
    <definedName name="IPP" localSheetId="23">#REF!</definedName>
    <definedName name="IPP" localSheetId="24">#REF!</definedName>
    <definedName name="IPP" localSheetId="25">#REF!</definedName>
    <definedName name="IPP" localSheetId="26">#REF!</definedName>
    <definedName name="IPP" localSheetId="27">#REF!</definedName>
    <definedName name="IPP" localSheetId="28">#REF!</definedName>
    <definedName name="IPP" localSheetId="29">#REF!</definedName>
    <definedName name="IPP" localSheetId="30">#REF!</definedName>
    <definedName name="IPP" localSheetId="31">#REF!</definedName>
    <definedName name="IPP" localSheetId="32">#REF!</definedName>
    <definedName name="IPP">#REF!</definedName>
    <definedName name="ippp" localSheetId="0">#REF!</definedName>
    <definedName name="ippp" localSheetId="1">#REF!</definedName>
    <definedName name="ippp" localSheetId="2">#REF!</definedName>
    <definedName name="ippp" localSheetId="3">#REF!</definedName>
    <definedName name="ippp" localSheetId="4">#REF!</definedName>
    <definedName name="ippp" localSheetId="5">#REF!</definedName>
    <definedName name="ippp" localSheetId="6">#REF!</definedName>
    <definedName name="ippp" localSheetId="7">#REF!</definedName>
    <definedName name="ippp" localSheetId="8">#REF!</definedName>
    <definedName name="ippp" localSheetId="9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5">#REF!</definedName>
    <definedName name="ippp" localSheetId="16">#REF!</definedName>
    <definedName name="ippp" localSheetId="17">#REF!</definedName>
    <definedName name="ippp" localSheetId="18">#REF!</definedName>
    <definedName name="ippp" localSheetId="19">#REF!</definedName>
    <definedName name="ippp" localSheetId="20">#REF!</definedName>
    <definedName name="ippp" localSheetId="21">#REF!</definedName>
    <definedName name="ippp" localSheetId="22">#REF!</definedName>
    <definedName name="ippp" localSheetId="23">#REF!</definedName>
    <definedName name="ippp" localSheetId="24">#REF!</definedName>
    <definedName name="ippp" localSheetId="25">#REF!</definedName>
    <definedName name="ippp" localSheetId="26">#REF!</definedName>
    <definedName name="ippp" localSheetId="27">#REF!</definedName>
    <definedName name="ippp" localSheetId="28">#REF!</definedName>
    <definedName name="ippp" localSheetId="29">#REF!</definedName>
    <definedName name="ippp" localSheetId="30">#REF!</definedName>
    <definedName name="ippp" localSheetId="31">#REF!</definedName>
    <definedName name="ippp" localSheetId="32">#REF!</definedName>
    <definedName name="ippp">#REF!</definedName>
    <definedName name="sdasdf" localSheetId="0">#REF!</definedName>
    <definedName name="sdasdf" localSheetId="1">#REF!</definedName>
    <definedName name="sdasdf" localSheetId="2">#REF!</definedName>
    <definedName name="sdasdf" localSheetId="3">#REF!</definedName>
    <definedName name="sdasdf" localSheetId="4">#REF!</definedName>
    <definedName name="sdasdf" localSheetId="5">#REF!</definedName>
    <definedName name="sdasdf" localSheetId="6">#REF!</definedName>
    <definedName name="sdasdf" localSheetId="7">#REF!</definedName>
    <definedName name="sdasdf" localSheetId="8">#REF!</definedName>
    <definedName name="sdasdf" localSheetId="9">#REF!</definedName>
    <definedName name="sdasdf" localSheetId="10">#REF!</definedName>
    <definedName name="sdasdf" localSheetId="11">#REF!</definedName>
    <definedName name="sdasdf" localSheetId="12">#REF!</definedName>
    <definedName name="sdasdf" localSheetId="13">#REF!</definedName>
    <definedName name="sdasdf" localSheetId="14">#REF!</definedName>
    <definedName name="sdasdf" localSheetId="15">#REF!</definedName>
    <definedName name="sdasdf" localSheetId="16">#REF!</definedName>
    <definedName name="sdasdf" localSheetId="17">#REF!</definedName>
    <definedName name="sdasdf" localSheetId="18">#REF!</definedName>
    <definedName name="sdasdf" localSheetId="19">#REF!</definedName>
    <definedName name="sdasdf" localSheetId="20">#REF!</definedName>
    <definedName name="sdasdf" localSheetId="21">#REF!</definedName>
    <definedName name="sdasdf" localSheetId="22">#REF!</definedName>
    <definedName name="sdasdf" localSheetId="23">#REF!</definedName>
    <definedName name="sdasdf" localSheetId="24">#REF!</definedName>
    <definedName name="sdasdf" localSheetId="25">#REF!</definedName>
    <definedName name="sdasdf" localSheetId="26">#REF!</definedName>
    <definedName name="sdasdf" localSheetId="27">#REF!</definedName>
    <definedName name="sdasdf" localSheetId="28">#REF!</definedName>
    <definedName name="sdasdf" localSheetId="29">#REF!</definedName>
    <definedName name="sdasdf" localSheetId="30">#REF!</definedName>
    <definedName name="sdasdf" localSheetId="31">#REF!</definedName>
    <definedName name="sdasdf" localSheetId="32">#REF!</definedName>
    <definedName name="sdasd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21" i="36" l="1"/>
  <c r="AF57" i="36"/>
  <c r="AF58" i="36"/>
  <c r="AF62" i="36"/>
  <c r="AF76" i="36"/>
  <c r="AF80" i="36"/>
  <c r="AE121" i="36"/>
  <c r="AE57" i="36"/>
  <c r="AE58" i="36"/>
  <c r="AE62" i="36"/>
  <c r="AE76" i="36"/>
  <c r="AE80" i="36"/>
  <c r="AD121" i="36"/>
  <c r="AD57" i="36"/>
  <c r="AD58" i="36"/>
  <c r="AD62" i="36"/>
  <c r="AD76" i="36"/>
  <c r="AD80" i="36"/>
  <c r="AC121" i="36"/>
  <c r="AC57" i="36"/>
  <c r="AC58" i="36"/>
  <c r="AC62" i="36"/>
  <c r="AC76" i="36"/>
  <c r="AC80" i="36"/>
  <c r="AB58" i="36"/>
  <c r="AB62" i="36"/>
  <c r="AB76" i="36"/>
  <c r="AB80" i="36"/>
  <c r="AB92" i="36"/>
  <c r="AB101" i="36"/>
  <c r="AB102" i="36"/>
  <c r="AB103" i="36"/>
  <c r="AB104" i="36"/>
  <c r="AB105" i="36"/>
  <c r="S57" i="36"/>
  <c r="R121" i="36"/>
  <c r="R57" i="36"/>
  <c r="R58" i="36"/>
  <c r="R62" i="36"/>
  <c r="R76" i="36"/>
  <c r="R80" i="36"/>
  <c r="P121" i="36"/>
  <c r="Q121" i="36"/>
  <c r="P57" i="36"/>
  <c r="AB107" i="36" l="1"/>
  <c r="AB108" i="36" s="1"/>
  <c r="AB97" i="36"/>
  <c r="AB99" i="36" s="1"/>
  <c r="AB100" i="36" l="1"/>
  <c r="O121" i="36"/>
  <c r="O57" i="36"/>
  <c r="N121" i="36"/>
  <c r="N57" i="36"/>
  <c r="M121" i="36" l="1"/>
  <c r="AI121" i="36" s="1"/>
  <c r="M57" i="36"/>
  <c r="M58" i="36"/>
  <c r="M62" i="36"/>
  <c r="M76" i="36"/>
  <c r="AU18" i="36" s="1"/>
  <c r="M80" i="36"/>
  <c r="AH125" i="36"/>
  <c r="AI125" i="36"/>
  <c r="AH124" i="36"/>
  <c r="AI124" i="36"/>
  <c r="AG252" i="36"/>
  <c r="C252" i="36"/>
  <c r="E251" i="36"/>
  <c r="F251" i="36" s="1"/>
  <c r="G251" i="36" s="1"/>
  <c r="H251" i="36" s="1"/>
  <c r="I251" i="36" s="1"/>
  <c r="J251" i="36" s="1"/>
  <c r="K251" i="36" s="1"/>
  <c r="L251" i="36" s="1"/>
  <c r="M251" i="36" s="1"/>
  <c r="N251" i="36" s="1"/>
  <c r="O251" i="36" s="1"/>
  <c r="P251" i="36" s="1"/>
  <c r="Q251" i="36" s="1"/>
  <c r="R251" i="36" s="1"/>
  <c r="S251" i="36" s="1"/>
  <c r="T251" i="36" s="1"/>
  <c r="U251" i="36" s="1"/>
  <c r="V251" i="36" s="1"/>
  <c r="W251" i="36" s="1"/>
  <c r="X251" i="36" s="1"/>
  <c r="Y251" i="36" s="1"/>
  <c r="Z251" i="36" s="1"/>
  <c r="AA251" i="36" s="1"/>
  <c r="AB251" i="36" s="1"/>
  <c r="AC251" i="36" s="1"/>
  <c r="AD251" i="36" s="1"/>
  <c r="AE251" i="36" s="1"/>
  <c r="AF251" i="36" s="1"/>
  <c r="B251" i="36" s="1"/>
  <c r="D251" i="36"/>
  <c r="D250" i="36"/>
  <c r="E250" i="36" s="1"/>
  <c r="F250" i="36" s="1"/>
  <c r="G250" i="36" s="1"/>
  <c r="H250" i="36" s="1"/>
  <c r="I250" i="36" s="1"/>
  <c r="J250" i="36" s="1"/>
  <c r="K250" i="36" s="1"/>
  <c r="L250" i="36" s="1"/>
  <c r="M250" i="36" s="1"/>
  <c r="N250" i="36" s="1"/>
  <c r="O250" i="36" s="1"/>
  <c r="P250" i="36" s="1"/>
  <c r="Q250" i="36" s="1"/>
  <c r="R250" i="36" s="1"/>
  <c r="S250" i="36" s="1"/>
  <c r="T250" i="36" s="1"/>
  <c r="U250" i="36" s="1"/>
  <c r="V250" i="36" s="1"/>
  <c r="W250" i="36" s="1"/>
  <c r="X250" i="36" s="1"/>
  <c r="Y250" i="36" s="1"/>
  <c r="Z250" i="36" s="1"/>
  <c r="AA250" i="36" s="1"/>
  <c r="AB250" i="36" s="1"/>
  <c r="AC250" i="36" s="1"/>
  <c r="AD250" i="36" s="1"/>
  <c r="AE250" i="36" s="1"/>
  <c r="AF250" i="36" s="1"/>
  <c r="B250" i="36" s="1"/>
  <c r="E249" i="36"/>
  <c r="F249" i="36" s="1"/>
  <c r="G249" i="36" s="1"/>
  <c r="H249" i="36" s="1"/>
  <c r="I249" i="36" s="1"/>
  <c r="J249" i="36" s="1"/>
  <c r="K249" i="36" s="1"/>
  <c r="L249" i="36" s="1"/>
  <c r="M249" i="36" s="1"/>
  <c r="N249" i="36" s="1"/>
  <c r="O249" i="36" s="1"/>
  <c r="P249" i="36" s="1"/>
  <c r="Q249" i="36" s="1"/>
  <c r="R249" i="36" s="1"/>
  <c r="S249" i="36" s="1"/>
  <c r="T249" i="36" s="1"/>
  <c r="U249" i="36" s="1"/>
  <c r="V249" i="36" s="1"/>
  <c r="W249" i="36" s="1"/>
  <c r="X249" i="36" s="1"/>
  <c r="Y249" i="36" s="1"/>
  <c r="Z249" i="36" s="1"/>
  <c r="AA249" i="36" s="1"/>
  <c r="AB249" i="36" s="1"/>
  <c r="AC249" i="36" s="1"/>
  <c r="AD249" i="36" s="1"/>
  <c r="AE249" i="36" s="1"/>
  <c r="AF249" i="36" s="1"/>
  <c r="B249" i="36" s="1"/>
  <c r="D249" i="36"/>
  <c r="E248" i="36"/>
  <c r="F248" i="36" s="1"/>
  <c r="G248" i="36" s="1"/>
  <c r="H248" i="36" s="1"/>
  <c r="I248" i="36" s="1"/>
  <c r="J248" i="36" s="1"/>
  <c r="K248" i="36" s="1"/>
  <c r="L248" i="36" s="1"/>
  <c r="M248" i="36" s="1"/>
  <c r="N248" i="36" s="1"/>
  <c r="O248" i="36" s="1"/>
  <c r="P248" i="36" s="1"/>
  <c r="Q248" i="36" s="1"/>
  <c r="R248" i="36" s="1"/>
  <c r="S248" i="36" s="1"/>
  <c r="T248" i="36" s="1"/>
  <c r="U248" i="36" s="1"/>
  <c r="V248" i="36" s="1"/>
  <c r="W248" i="36" s="1"/>
  <c r="X248" i="36" s="1"/>
  <c r="Y248" i="36" s="1"/>
  <c r="Z248" i="36" s="1"/>
  <c r="AA248" i="36" s="1"/>
  <c r="AB248" i="36" s="1"/>
  <c r="AC248" i="36" s="1"/>
  <c r="AD248" i="36" s="1"/>
  <c r="AE248" i="36" s="1"/>
  <c r="AF248" i="36" s="1"/>
  <c r="B248" i="36" s="1"/>
  <c r="D248" i="36"/>
  <c r="D247" i="36"/>
  <c r="D252" i="36" s="1"/>
  <c r="D246" i="36"/>
  <c r="E246" i="36" s="1"/>
  <c r="AG244" i="36"/>
  <c r="AF244" i="36"/>
  <c r="AE244" i="36"/>
  <c r="AD244" i="36"/>
  <c r="AC244" i="36"/>
  <c r="AB244" i="36"/>
  <c r="AA244" i="36"/>
  <c r="Z244" i="36"/>
  <c r="Z118" i="36" s="1"/>
  <c r="Y244" i="36"/>
  <c r="X244" i="36"/>
  <c r="W244" i="36"/>
  <c r="V244" i="36"/>
  <c r="U244" i="36"/>
  <c r="T244" i="36"/>
  <c r="S244" i="36"/>
  <c r="R244" i="36"/>
  <c r="Q244" i="36"/>
  <c r="P244" i="36"/>
  <c r="O244" i="36"/>
  <c r="N244" i="36"/>
  <c r="M244" i="36"/>
  <c r="L244" i="36"/>
  <c r="K244" i="36"/>
  <c r="J244" i="36"/>
  <c r="I244" i="36"/>
  <c r="H244" i="36"/>
  <c r="G244" i="36"/>
  <c r="F244" i="36"/>
  <c r="E244" i="36"/>
  <c r="D244" i="36"/>
  <c r="C244" i="36"/>
  <c r="B244" i="36"/>
  <c r="AI130" i="36"/>
  <c r="AH130" i="36"/>
  <c r="AI129" i="36"/>
  <c r="AH129" i="36"/>
  <c r="AI128" i="36"/>
  <c r="AH128" i="36"/>
  <c r="AI127" i="36"/>
  <c r="AH127" i="36"/>
  <c r="AI126" i="36"/>
  <c r="AH126" i="36"/>
  <c r="AI123" i="36"/>
  <c r="AH123" i="36"/>
  <c r="AI122" i="36"/>
  <c r="AH122" i="36"/>
  <c r="AI120" i="36"/>
  <c r="AH120" i="36"/>
  <c r="AI119" i="36"/>
  <c r="AH119" i="36"/>
  <c r="Y118" i="36"/>
  <c r="D118" i="36"/>
  <c r="C118" i="36"/>
  <c r="AI117" i="36"/>
  <c r="AH117" i="36"/>
  <c r="AI116" i="36"/>
  <c r="AH116" i="36"/>
  <c r="AI115" i="36"/>
  <c r="AH115" i="36"/>
  <c r="AI114" i="36"/>
  <c r="AH114" i="36"/>
  <c r="AI113" i="36"/>
  <c r="AH113" i="36"/>
  <c r="AI112" i="36"/>
  <c r="AH112" i="36"/>
  <c r="AI111" i="36"/>
  <c r="AH111" i="36"/>
  <c r="AI110" i="36"/>
  <c r="AH110" i="36"/>
  <c r="AI109" i="36"/>
  <c r="AH109" i="36"/>
  <c r="AI106" i="36"/>
  <c r="AH106" i="36"/>
  <c r="AF105" i="36"/>
  <c r="AE105" i="36"/>
  <c r="AD105" i="36"/>
  <c r="AC105" i="36"/>
  <c r="AA105" i="36"/>
  <c r="Z105" i="36"/>
  <c r="Y105" i="36"/>
  <c r="X105" i="36"/>
  <c r="W105" i="36"/>
  <c r="V105" i="36"/>
  <c r="U105" i="36"/>
  <c r="T105" i="36"/>
  <c r="S105" i="36"/>
  <c r="R105" i="36"/>
  <c r="Q105" i="36"/>
  <c r="P105" i="36"/>
  <c r="O105" i="36"/>
  <c r="N105" i="36"/>
  <c r="M105" i="36"/>
  <c r="L105" i="36"/>
  <c r="K105" i="36"/>
  <c r="J105" i="36"/>
  <c r="I105" i="36"/>
  <c r="H105" i="36"/>
  <c r="G105" i="36"/>
  <c r="F105" i="36"/>
  <c r="E105" i="36"/>
  <c r="D105" i="36"/>
  <c r="C105" i="36"/>
  <c r="B105" i="36"/>
  <c r="AF104" i="36"/>
  <c r="AE104" i="36"/>
  <c r="AD104" i="36"/>
  <c r="AC104" i="36"/>
  <c r="AA104" i="36"/>
  <c r="Z104" i="36"/>
  <c r="Y104" i="36"/>
  <c r="X104" i="36"/>
  <c r="W104" i="36"/>
  <c r="V104" i="36"/>
  <c r="U104" i="36"/>
  <c r="T104" i="36"/>
  <c r="S104" i="36"/>
  <c r="R104" i="36"/>
  <c r="Q104" i="36"/>
  <c r="P104" i="36"/>
  <c r="O104" i="36"/>
  <c r="N104" i="36"/>
  <c r="M104" i="36"/>
  <c r="L104" i="36"/>
  <c r="K104" i="36"/>
  <c r="J104" i="36"/>
  <c r="I104" i="36"/>
  <c r="H104" i="36"/>
  <c r="G104" i="36"/>
  <c r="F104" i="36"/>
  <c r="E104" i="36"/>
  <c r="D104" i="36"/>
  <c r="C104" i="36"/>
  <c r="B104" i="36"/>
  <c r="AF103" i="36"/>
  <c r="AE103" i="36"/>
  <c r="AD103" i="36"/>
  <c r="AC103" i="36"/>
  <c r="AA103" i="36"/>
  <c r="Z103" i="36"/>
  <c r="Y103" i="36"/>
  <c r="X103" i="36"/>
  <c r="W103" i="36"/>
  <c r="V103" i="36"/>
  <c r="U103" i="36"/>
  <c r="T103" i="36"/>
  <c r="S103" i="36"/>
  <c r="R103" i="36"/>
  <c r="Q103" i="36"/>
  <c r="P103" i="36"/>
  <c r="O103" i="36"/>
  <c r="N103" i="36"/>
  <c r="M103" i="36"/>
  <c r="L103" i="36"/>
  <c r="K103" i="36"/>
  <c r="J103" i="36"/>
  <c r="I103" i="36"/>
  <c r="H103" i="36"/>
  <c r="G103" i="36"/>
  <c r="F103" i="36"/>
  <c r="E103" i="36"/>
  <c r="D103" i="36"/>
  <c r="C103" i="36"/>
  <c r="B103" i="36"/>
  <c r="AF102" i="36"/>
  <c r="AE102" i="36"/>
  <c r="AD102" i="36"/>
  <c r="AC102" i="36"/>
  <c r="AA102" i="36"/>
  <c r="Z102" i="36"/>
  <c r="Y102" i="36"/>
  <c r="X102" i="36"/>
  <c r="W102" i="36"/>
  <c r="V102" i="36"/>
  <c r="U102" i="36"/>
  <c r="T102" i="36"/>
  <c r="S102" i="36"/>
  <c r="R102" i="36"/>
  <c r="Q102" i="36"/>
  <c r="P102" i="36"/>
  <c r="O102" i="36"/>
  <c r="N102" i="36"/>
  <c r="M102" i="36"/>
  <c r="L102" i="36"/>
  <c r="K102" i="36"/>
  <c r="J102" i="36"/>
  <c r="I102" i="36"/>
  <c r="H102" i="36"/>
  <c r="G102" i="36"/>
  <c r="F102" i="36"/>
  <c r="E102" i="36"/>
  <c r="D102" i="36"/>
  <c r="C102" i="36"/>
  <c r="B102" i="36"/>
  <c r="AF101" i="36"/>
  <c r="AF107" i="36" s="1"/>
  <c r="AF108" i="36" s="1"/>
  <c r="AE101" i="36"/>
  <c r="AD101" i="36"/>
  <c r="AC101" i="36"/>
  <c r="AA101" i="36"/>
  <c r="Z101" i="36"/>
  <c r="Y101" i="36"/>
  <c r="X101" i="36"/>
  <c r="W101" i="36"/>
  <c r="V101" i="36"/>
  <c r="U101" i="36"/>
  <c r="T101" i="36"/>
  <c r="S101" i="36"/>
  <c r="R101" i="36"/>
  <c r="Q101" i="36"/>
  <c r="P101" i="36"/>
  <c r="O101" i="36"/>
  <c r="N101" i="36"/>
  <c r="M101" i="36"/>
  <c r="L101" i="36"/>
  <c r="K101" i="36"/>
  <c r="J101" i="36"/>
  <c r="I101" i="36"/>
  <c r="H101" i="36"/>
  <c r="G101" i="36"/>
  <c r="F101" i="36"/>
  <c r="E101" i="36"/>
  <c r="D101" i="36"/>
  <c r="C101" i="36"/>
  <c r="B101" i="36"/>
  <c r="AI98" i="36"/>
  <c r="AH98" i="36"/>
  <c r="AI96" i="36"/>
  <c r="AH96" i="36"/>
  <c r="AG96" i="36"/>
  <c r="AI95" i="36"/>
  <c r="AH95" i="36"/>
  <c r="AI94" i="36"/>
  <c r="AH94" i="36"/>
  <c r="AI93" i="36"/>
  <c r="AH93" i="36"/>
  <c r="AG92" i="36"/>
  <c r="AF92" i="36"/>
  <c r="AE92" i="36"/>
  <c r="AD92" i="36"/>
  <c r="AD97" i="36" s="1"/>
  <c r="AD99" i="36" s="1"/>
  <c r="AC92" i="36"/>
  <c r="AB5" i="36" s="1"/>
  <c r="AA92" i="36"/>
  <c r="Z92" i="36"/>
  <c r="Y92" i="36"/>
  <c r="X5" i="36" s="1"/>
  <c r="X92" i="36"/>
  <c r="BE19" i="36" s="1"/>
  <c r="W92" i="36"/>
  <c r="V92" i="36"/>
  <c r="U5" i="36" s="1"/>
  <c r="U92" i="36"/>
  <c r="BC19" i="36" s="1"/>
  <c r="T92" i="36"/>
  <c r="BB19" i="36" s="1"/>
  <c r="S92" i="36"/>
  <c r="BA19" i="36" s="1"/>
  <c r="R92" i="36"/>
  <c r="R97" i="36" s="1"/>
  <c r="R99" i="36" s="1"/>
  <c r="Q92" i="36"/>
  <c r="P92" i="36"/>
  <c r="AX19" i="36" s="1"/>
  <c r="O92" i="36"/>
  <c r="N92" i="36"/>
  <c r="M5" i="36" s="1"/>
  <c r="M92" i="36"/>
  <c r="L5" i="36" s="1"/>
  <c r="L92" i="36"/>
  <c r="K5" i="36" s="1"/>
  <c r="K92" i="36"/>
  <c r="J5" i="36" s="1"/>
  <c r="J92" i="36"/>
  <c r="I92" i="36"/>
  <c r="AS19" i="36" s="1"/>
  <c r="H92" i="36"/>
  <c r="G5" i="36" s="1"/>
  <c r="G92" i="36"/>
  <c r="F92" i="36"/>
  <c r="E5" i="36" s="1"/>
  <c r="E92" i="36"/>
  <c r="AP19" i="36" s="1"/>
  <c r="D92" i="36"/>
  <c r="C5" i="36" s="1"/>
  <c r="C92" i="36"/>
  <c r="B92" i="36"/>
  <c r="AF5" i="36" s="1"/>
  <c r="AI91" i="36"/>
  <c r="AH91" i="36"/>
  <c r="AI90" i="36"/>
  <c r="AH90" i="36"/>
  <c r="AI89" i="36"/>
  <c r="AH89" i="36"/>
  <c r="AI88" i="36"/>
  <c r="AH88" i="36"/>
  <c r="AI87" i="36"/>
  <c r="AH87" i="36"/>
  <c r="AI86" i="36"/>
  <c r="AH86" i="36"/>
  <c r="AI85" i="36"/>
  <c r="AH85" i="36"/>
  <c r="AI84" i="36"/>
  <c r="AH84" i="36"/>
  <c r="AI83" i="36"/>
  <c r="AH83" i="36"/>
  <c r="AI82" i="36"/>
  <c r="AH82" i="36"/>
  <c r="AI81" i="36"/>
  <c r="AH81" i="36"/>
  <c r="AG80" i="36"/>
  <c r="BH20" i="36"/>
  <c r="AA80" i="36"/>
  <c r="Z80" i="36"/>
  <c r="BF20" i="36" s="1"/>
  <c r="Y80" i="36"/>
  <c r="X80" i="36"/>
  <c r="W80" i="36"/>
  <c r="V80" i="36"/>
  <c r="BD20" i="36" s="1"/>
  <c r="U80" i="36"/>
  <c r="T80" i="36"/>
  <c r="S80" i="36"/>
  <c r="BA20" i="36" s="1"/>
  <c r="Q80" i="36"/>
  <c r="AY20" i="36" s="1"/>
  <c r="P80" i="36"/>
  <c r="AX20" i="36" s="1"/>
  <c r="O80" i="36"/>
  <c r="N80" i="36"/>
  <c r="AV20" i="36" s="1"/>
  <c r="L80" i="36"/>
  <c r="K80" i="36"/>
  <c r="J80" i="36"/>
  <c r="I80" i="36"/>
  <c r="H80" i="36"/>
  <c r="G80" i="36"/>
  <c r="F80" i="36"/>
  <c r="E80" i="36"/>
  <c r="AP20" i="36" s="1"/>
  <c r="D80" i="36"/>
  <c r="C80" i="36"/>
  <c r="B80" i="36"/>
  <c r="BV79" i="36"/>
  <c r="BA79" i="36"/>
  <c r="AI79" i="36"/>
  <c r="AH79" i="36"/>
  <c r="BS78" i="36"/>
  <c r="BK78" i="36"/>
  <c r="BC78" i="36"/>
  <c r="AI78" i="36"/>
  <c r="AH78" i="36"/>
  <c r="BB77" i="36"/>
  <c r="AI77" i="36"/>
  <c r="AH77" i="36"/>
  <c r="BW76" i="36"/>
  <c r="BE76" i="36"/>
  <c r="BJ18" i="36"/>
  <c r="AA76" i="36"/>
  <c r="Z76" i="36"/>
  <c r="BF18" i="36" s="1"/>
  <c r="Y76" i="36"/>
  <c r="X76" i="36"/>
  <c r="BE18" i="36" s="1"/>
  <c r="W76" i="36"/>
  <c r="V76" i="36"/>
  <c r="BD18" i="36" s="1"/>
  <c r="U76" i="36"/>
  <c r="BC18" i="36" s="1"/>
  <c r="T76" i="36"/>
  <c r="BB18" i="36" s="1"/>
  <c r="S76" i="36"/>
  <c r="BA18" i="36" s="1"/>
  <c r="Q76" i="36"/>
  <c r="P76" i="36"/>
  <c r="AX18" i="36" s="1"/>
  <c r="O76" i="36"/>
  <c r="N76" i="36"/>
  <c r="L76" i="36"/>
  <c r="K76" i="36"/>
  <c r="AT18" i="36" s="1"/>
  <c r="J76" i="36"/>
  <c r="I76" i="36"/>
  <c r="AS18" i="36" s="1"/>
  <c r="H76" i="36"/>
  <c r="G76" i="36"/>
  <c r="AR18" i="36" s="1"/>
  <c r="F76" i="36"/>
  <c r="AQ18" i="36" s="1"/>
  <c r="E76" i="36"/>
  <c r="AP18" i="36" s="1"/>
  <c r="D76" i="36"/>
  <c r="AO18" i="36" s="1"/>
  <c r="C76" i="36"/>
  <c r="B76" i="36"/>
  <c r="AM18" i="36" s="1"/>
  <c r="BI75" i="36"/>
  <c r="AI75" i="36"/>
  <c r="AH75" i="36"/>
  <c r="AG75" i="36"/>
  <c r="AG76" i="36" s="1"/>
  <c r="AG3" i="36" s="1"/>
  <c r="AI74" i="36"/>
  <c r="AH74" i="36"/>
  <c r="BW73" i="36"/>
  <c r="BW80" i="36" s="1"/>
  <c r="BV73" i="36"/>
  <c r="BV80" i="36" s="1"/>
  <c r="BU73" i="36"/>
  <c r="BU80" i="36" s="1"/>
  <c r="BT73" i="36"/>
  <c r="BT80" i="36" s="1"/>
  <c r="BS73" i="36"/>
  <c r="BS80" i="36" s="1"/>
  <c r="BR73" i="36"/>
  <c r="BR80" i="36" s="1"/>
  <c r="BQ73" i="36"/>
  <c r="BQ80" i="36" s="1"/>
  <c r="BP73" i="36"/>
  <c r="BP80" i="36" s="1"/>
  <c r="BO73" i="36"/>
  <c r="BO80" i="36" s="1"/>
  <c r="BN73" i="36"/>
  <c r="BN80" i="36" s="1"/>
  <c r="BM73" i="36"/>
  <c r="BM80" i="36" s="1"/>
  <c r="BL73" i="36"/>
  <c r="BL80" i="36" s="1"/>
  <c r="BK73" i="36"/>
  <c r="BK80" i="36" s="1"/>
  <c r="BJ73" i="36"/>
  <c r="BJ80" i="36" s="1"/>
  <c r="BI73" i="36"/>
  <c r="BI80" i="36" s="1"/>
  <c r="BH73" i="36"/>
  <c r="BH80" i="36" s="1"/>
  <c r="BG73" i="36"/>
  <c r="BG80" i="36" s="1"/>
  <c r="BF73" i="36"/>
  <c r="BF80" i="36" s="1"/>
  <c r="BE73" i="36"/>
  <c r="BE80" i="36" s="1"/>
  <c r="BD73" i="36"/>
  <c r="BD80" i="36" s="1"/>
  <c r="BC73" i="36"/>
  <c r="BC80" i="36" s="1"/>
  <c r="BB73" i="36"/>
  <c r="BB80" i="36" s="1"/>
  <c r="BA73" i="36"/>
  <c r="BA80" i="36" s="1"/>
  <c r="AZ73" i="36"/>
  <c r="AZ80" i="36" s="1"/>
  <c r="AI73" i="36"/>
  <c r="AH73" i="36"/>
  <c r="BW72" i="36"/>
  <c r="BW79" i="36" s="1"/>
  <c r="BV72" i="36"/>
  <c r="BU72" i="36"/>
  <c r="BU79" i="36" s="1"/>
  <c r="BT72" i="36"/>
  <c r="BT79" i="36" s="1"/>
  <c r="BS72" i="36"/>
  <c r="BS79" i="36" s="1"/>
  <c r="BR72" i="36"/>
  <c r="BR79" i="36" s="1"/>
  <c r="BQ72" i="36"/>
  <c r="BQ79" i="36" s="1"/>
  <c r="BP72" i="36"/>
  <c r="BP79" i="36" s="1"/>
  <c r="BO72" i="36"/>
  <c r="BO79" i="36" s="1"/>
  <c r="BN72" i="36"/>
  <c r="BN79" i="36" s="1"/>
  <c r="BM72" i="36"/>
  <c r="BM79" i="36" s="1"/>
  <c r="BL72" i="36"/>
  <c r="BL79" i="36" s="1"/>
  <c r="BK72" i="36"/>
  <c r="BK79" i="36" s="1"/>
  <c r="BJ72" i="36"/>
  <c r="BJ79" i="36" s="1"/>
  <c r="BI72" i="36"/>
  <c r="BI79" i="36" s="1"/>
  <c r="BH72" i="36"/>
  <c r="BH79" i="36" s="1"/>
  <c r="BG72" i="36"/>
  <c r="BG79" i="36" s="1"/>
  <c r="BF72" i="36"/>
  <c r="BF79" i="36" s="1"/>
  <c r="BE72" i="36"/>
  <c r="BE79" i="36" s="1"/>
  <c r="BD72" i="36"/>
  <c r="BD79" i="36" s="1"/>
  <c r="BC72" i="36"/>
  <c r="BC79" i="36" s="1"/>
  <c r="BB72" i="36"/>
  <c r="BB79" i="36" s="1"/>
  <c r="BA72" i="36"/>
  <c r="AZ72" i="36"/>
  <c r="AZ79" i="36" s="1"/>
  <c r="AI72" i="36"/>
  <c r="AH72" i="36"/>
  <c r="BW71" i="36"/>
  <c r="BW78" i="36" s="1"/>
  <c r="BV71" i="36"/>
  <c r="BV78" i="36" s="1"/>
  <c r="BU71" i="36"/>
  <c r="BU78" i="36" s="1"/>
  <c r="BT71" i="36"/>
  <c r="BT78" i="36" s="1"/>
  <c r="BS71" i="36"/>
  <c r="BR71" i="36"/>
  <c r="BR78" i="36" s="1"/>
  <c r="BQ71" i="36"/>
  <c r="BQ78" i="36" s="1"/>
  <c r="BP71" i="36"/>
  <c r="BP78" i="36" s="1"/>
  <c r="BO71" i="36"/>
  <c r="BO78" i="36" s="1"/>
  <c r="BN71" i="36"/>
  <c r="BN78" i="36" s="1"/>
  <c r="BM71" i="36"/>
  <c r="BM78" i="36" s="1"/>
  <c r="BL71" i="36"/>
  <c r="BL78" i="36" s="1"/>
  <c r="BK71" i="36"/>
  <c r="BJ71" i="36"/>
  <c r="BJ78" i="36" s="1"/>
  <c r="BI71" i="36"/>
  <c r="BI78" i="36" s="1"/>
  <c r="BH71" i="36"/>
  <c r="BH78" i="36" s="1"/>
  <c r="BG71" i="36"/>
  <c r="BG78" i="36" s="1"/>
  <c r="BF71" i="36"/>
  <c r="BF78" i="36" s="1"/>
  <c r="BE71" i="36"/>
  <c r="BE78" i="36" s="1"/>
  <c r="BD71" i="36"/>
  <c r="BD78" i="36" s="1"/>
  <c r="BC71" i="36"/>
  <c r="BB71" i="36"/>
  <c r="BB78" i="36" s="1"/>
  <c r="BA71" i="36"/>
  <c r="BA78" i="36" s="1"/>
  <c r="AZ71" i="36"/>
  <c r="AZ78" i="36" s="1"/>
  <c r="AI71" i="36"/>
  <c r="AH71" i="36"/>
  <c r="BW70" i="36"/>
  <c r="BW77" i="36" s="1"/>
  <c r="BV70" i="36"/>
  <c r="BV77" i="36" s="1"/>
  <c r="BU70" i="36"/>
  <c r="BU77" i="36" s="1"/>
  <c r="BT70" i="36"/>
  <c r="BT77" i="36" s="1"/>
  <c r="BS70" i="36"/>
  <c r="BS77" i="36" s="1"/>
  <c r="BR70" i="36"/>
  <c r="BR77" i="36" s="1"/>
  <c r="BQ70" i="36"/>
  <c r="BQ77" i="36" s="1"/>
  <c r="BP70" i="36"/>
  <c r="BP77" i="36" s="1"/>
  <c r="BO70" i="36"/>
  <c r="BO77" i="36" s="1"/>
  <c r="BN70" i="36"/>
  <c r="BN77" i="36" s="1"/>
  <c r="BM70" i="36"/>
  <c r="BM77" i="36" s="1"/>
  <c r="BL70" i="36"/>
  <c r="BL77" i="36" s="1"/>
  <c r="BK70" i="36"/>
  <c r="BK77" i="36" s="1"/>
  <c r="BJ70" i="36"/>
  <c r="BJ77" i="36" s="1"/>
  <c r="BI70" i="36"/>
  <c r="BI77" i="36" s="1"/>
  <c r="BH70" i="36"/>
  <c r="BH77" i="36" s="1"/>
  <c r="BG70" i="36"/>
  <c r="BG77" i="36" s="1"/>
  <c r="BF70" i="36"/>
  <c r="BF77" i="36" s="1"/>
  <c r="BE70" i="36"/>
  <c r="BE77" i="36" s="1"/>
  <c r="BD70" i="36"/>
  <c r="BD77" i="36" s="1"/>
  <c r="BC70" i="36"/>
  <c r="BC77" i="36" s="1"/>
  <c r="BB70" i="36"/>
  <c r="BA70" i="36"/>
  <c r="BA77" i="36" s="1"/>
  <c r="AZ70" i="36"/>
  <c r="AZ77" i="36" s="1"/>
  <c r="AI70" i="36"/>
  <c r="AH70" i="36"/>
  <c r="BW69" i="36"/>
  <c r="BV69" i="36"/>
  <c r="BV76" i="36" s="1"/>
  <c r="BU69" i="36"/>
  <c r="BU76" i="36" s="1"/>
  <c r="BT69" i="36"/>
  <c r="BT76" i="36" s="1"/>
  <c r="BS69" i="36"/>
  <c r="BS76" i="36" s="1"/>
  <c r="BR69" i="36"/>
  <c r="BR76" i="36" s="1"/>
  <c r="BQ69" i="36"/>
  <c r="BQ76" i="36" s="1"/>
  <c r="BP69" i="36"/>
  <c r="BP76" i="36" s="1"/>
  <c r="BO69" i="36"/>
  <c r="BO76" i="36" s="1"/>
  <c r="BN69" i="36"/>
  <c r="BN76" i="36" s="1"/>
  <c r="BM69" i="36"/>
  <c r="BM76" i="36" s="1"/>
  <c r="BL69" i="36"/>
  <c r="BL76" i="36" s="1"/>
  <c r="BK69" i="36"/>
  <c r="BK76" i="36" s="1"/>
  <c r="BJ69" i="36"/>
  <c r="BJ76" i="36" s="1"/>
  <c r="BI69" i="36"/>
  <c r="BI76" i="36" s="1"/>
  <c r="BH69" i="36"/>
  <c r="BH76" i="36" s="1"/>
  <c r="BG69" i="36"/>
  <c r="BG76" i="36" s="1"/>
  <c r="BF69" i="36"/>
  <c r="BF76" i="36" s="1"/>
  <c r="BE69" i="36"/>
  <c r="BD69" i="36"/>
  <c r="BD76" i="36" s="1"/>
  <c r="BC69" i="36"/>
  <c r="BC76" i="36" s="1"/>
  <c r="BB69" i="36"/>
  <c r="BB76" i="36" s="1"/>
  <c r="BA69" i="36"/>
  <c r="BA76" i="36" s="1"/>
  <c r="AZ69" i="36"/>
  <c r="AZ76" i="36" s="1"/>
  <c r="AI69" i="36"/>
  <c r="AH69" i="36"/>
  <c r="BW68" i="36"/>
  <c r="BW75" i="36" s="1"/>
  <c r="BV68" i="36"/>
  <c r="BV75" i="36" s="1"/>
  <c r="BU68" i="36"/>
  <c r="BU75" i="36" s="1"/>
  <c r="BT68" i="36"/>
  <c r="BT75" i="36" s="1"/>
  <c r="BS68" i="36"/>
  <c r="BS75" i="36" s="1"/>
  <c r="BR68" i="36"/>
  <c r="BR75" i="36" s="1"/>
  <c r="BQ68" i="36"/>
  <c r="BQ75" i="36" s="1"/>
  <c r="BP68" i="36"/>
  <c r="BP75" i="36" s="1"/>
  <c r="BO68" i="36"/>
  <c r="BO75" i="36" s="1"/>
  <c r="BN68" i="36"/>
  <c r="BN75" i="36" s="1"/>
  <c r="BM68" i="36"/>
  <c r="BM75" i="36" s="1"/>
  <c r="BL68" i="36"/>
  <c r="BL75" i="36" s="1"/>
  <c r="BK68" i="36"/>
  <c r="BK75" i="36" s="1"/>
  <c r="BJ68" i="36"/>
  <c r="BJ75" i="36" s="1"/>
  <c r="BI68" i="36"/>
  <c r="BH68" i="36"/>
  <c r="BH75" i="36" s="1"/>
  <c r="BG68" i="36"/>
  <c r="BG75" i="36" s="1"/>
  <c r="BF68" i="36"/>
  <c r="BF75" i="36" s="1"/>
  <c r="BE68" i="36"/>
  <c r="BE75" i="36" s="1"/>
  <c r="BD68" i="36"/>
  <c r="BD75" i="36" s="1"/>
  <c r="BC68" i="36"/>
  <c r="BC75" i="36" s="1"/>
  <c r="BB68" i="36"/>
  <c r="BB75" i="36" s="1"/>
  <c r="BA68" i="36"/>
  <c r="BA75" i="36" s="1"/>
  <c r="AZ68" i="36"/>
  <c r="AZ75" i="36" s="1"/>
  <c r="AI68" i="36"/>
  <c r="AH68" i="36"/>
  <c r="AI67" i="36"/>
  <c r="AH67" i="36"/>
  <c r="AI66" i="36"/>
  <c r="AH66" i="36"/>
  <c r="AI65" i="36"/>
  <c r="AH65" i="36"/>
  <c r="AI64" i="36"/>
  <c r="AH64" i="36"/>
  <c r="AI63" i="36"/>
  <c r="AH63" i="36"/>
  <c r="AG62" i="36"/>
  <c r="BJ17" i="36"/>
  <c r="AA62" i="36"/>
  <c r="Z62" i="36"/>
  <c r="BF17" i="36" s="1"/>
  <c r="Y62" i="36"/>
  <c r="X62" i="36"/>
  <c r="W62" i="36"/>
  <c r="V62" i="36"/>
  <c r="BD17" i="36" s="1"/>
  <c r="U62" i="36"/>
  <c r="BC17" i="36" s="1"/>
  <c r="T62" i="36"/>
  <c r="BB17" i="36" s="1"/>
  <c r="S62" i="36"/>
  <c r="BA17" i="36" s="1"/>
  <c r="Q62" i="36"/>
  <c r="P62" i="36"/>
  <c r="AX17" i="36" s="1"/>
  <c r="O62" i="36"/>
  <c r="AW17" i="36" s="1"/>
  <c r="N62" i="36"/>
  <c r="AV17" i="36" s="1"/>
  <c r="L62" i="36"/>
  <c r="K62" i="36"/>
  <c r="AT17" i="36" s="1"/>
  <c r="J62" i="36"/>
  <c r="I62" i="36"/>
  <c r="AS17" i="36" s="1"/>
  <c r="H62" i="36"/>
  <c r="G62" i="36"/>
  <c r="AR17" i="36" s="1"/>
  <c r="F62" i="36"/>
  <c r="AQ17" i="36" s="1"/>
  <c r="E62" i="36"/>
  <c r="AP17" i="36" s="1"/>
  <c r="D62" i="36"/>
  <c r="AO17" i="36" s="1"/>
  <c r="C62" i="36"/>
  <c r="AN17" i="36" s="1"/>
  <c r="B62" i="36"/>
  <c r="AM17" i="36" s="1"/>
  <c r="AI61" i="36"/>
  <c r="AH61" i="36"/>
  <c r="AI60" i="36"/>
  <c r="AH60" i="36"/>
  <c r="AI59" i="36"/>
  <c r="AH59" i="36"/>
  <c r="AG58" i="36"/>
  <c r="AB7" i="36"/>
  <c r="AA58" i="36"/>
  <c r="Z58" i="36"/>
  <c r="Y58" i="36"/>
  <c r="X58" i="36"/>
  <c r="W58" i="36"/>
  <c r="V58" i="36"/>
  <c r="U58" i="36"/>
  <c r="T58" i="36"/>
  <c r="S58" i="36"/>
  <c r="BA16" i="36" s="1"/>
  <c r="Q58" i="36"/>
  <c r="AY16" i="36" s="1"/>
  <c r="P58" i="36"/>
  <c r="O58" i="36"/>
  <c r="N58" i="36"/>
  <c r="L58" i="36"/>
  <c r="K58" i="36"/>
  <c r="AT16" i="36" s="1"/>
  <c r="J58" i="36"/>
  <c r="I58" i="36"/>
  <c r="AS16" i="36" s="1"/>
  <c r="H58" i="36"/>
  <c r="G58" i="36"/>
  <c r="F58" i="36"/>
  <c r="E58" i="36"/>
  <c r="D58" i="36"/>
  <c r="C58" i="36"/>
  <c r="B58" i="36"/>
  <c r="AI57" i="36"/>
  <c r="AH57" i="36"/>
  <c r="AI56" i="36"/>
  <c r="AH56" i="36"/>
  <c r="AI55" i="36"/>
  <c r="AH55" i="36"/>
  <c r="AI54" i="36"/>
  <c r="AH54" i="36"/>
  <c r="AI53" i="36"/>
  <c r="AH53" i="36"/>
  <c r="AI52" i="36"/>
  <c r="AH52" i="36"/>
  <c r="AI51" i="36"/>
  <c r="AH51" i="36"/>
  <c r="AI50" i="36"/>
  <c r="AH50" i="36"/>
  <c r="AI49" i="36"/>
  <c r="AH49" i="36"/>
  <c r="AI48" i="36"/>
  <c r="AH48" i="36"/>
  <c r="AI47" i="36"/>
  <c r="AH47" i="36"/>
  <c r="AI46" i="36"/>
  <c r="AH46" i="36"/>
  <c r="AI45" i="36"/>
  <c r="AH45" i="36"/>
  <c r="AI44" i="36"/>
  <c r="AH44" i="36"/>
  <c r="AI43" i="36"/>
  <c r="AH43" i="36"/>
  <c r="AI42" i="36"/>
  <c r="AH42" i="36"/>
  <c r="AI41" i="36"/>
  <c r="AH41" i="36"/>
  <c r="AI40" i="36"/>
  <c r="AH40" i="36"/>
  <c r="AI39" i="36"/>
  <c r="AH39" i="36"/>
  <c r="AI38" i="36"/>
  <c r="AH38" i="36"/>
  <c r="AI37" i="36"/>
  <c r="AH37" i="36"/>
  <c r="AI36" i="36"/>
  <c r="AH36" i="36"/>
  <c r="AI35" i="36"/>
  <c r="AH35" i="36"/>
  <c r="AI34" i="36"/>
  <c r="AH34" i="36"/>
  <c r="AI33" i="36"/>
  <c r="AH33" i="36"/>
  <c r="AI32" i="36"/>
  <c r="AH32" i="36"/>
  <c r="AI31" i="36"/>
  <c r="AH31" i="36"/>
  <c r="AI30" i="36"/>
  <c r="AH30" i="36"/>
  <c r="AI29" i="36"/>
  <c r="AH29" i="36"/>
  <c r="AI28" i="36"/>
  <c r="AH28" i="36"/>
  <c r="AI27" i="36"/>
  <c r="AH27" i="36"/>
  <c r="AI26" i="36"/>
  <c r="AH26" i="36"/>
  <c r="AI25" i="36"/>
  <c r="AH25" i="36"/>
  <c r="AI24" i="36"/>
  <c r="AH24" i="36"/>
  <c r="BG23" i="36"/>
  <c r="AI23" i="36"/>
  <c r="AH23" i="36"/>
  <c r="AI22" i="36"/>
  <c r="AH22" i="36"/>
  <c r="BJ21" i="36"/>
  <c r="BI21" i="36"/>
  <c r="BH21" i="36"/>
  <c r="BG21" i="36"/>
  <c r="BF21" i="36"/>
  <c r="BE21" i="36"/>
  <c r="BD21" i="36"/>
  <c r="BC21" i="36"/>
  <c r="BB21" i="36"/>
  <c r="BA21" i="36"/>
  <c r="AZ21" i="36"/>
  <c r="AY21" i="36"/>
  <c r="AX21" i="36"/>
  <c r="AW21" i="36"/>
  <c r="AV21" i="36"/>
  <c r="AU21" i="36"/>
  <c r="AT21" i="36"/>
  <c r="AS21" i="36"/>
  <c r="AR21" i="36"/>
  <c r="AQ21" i="36"/>
  <c r="AP21" i="36"/>
  <c r="AO21" i="36"/>
  <c r="AN21" i="36"/>
  <c r="AM21" i="36"/>
  <c r="AI21" i="36"/>
  <c r="AH21" i="36"/>
  <c r="BJ20" i="36"/>
  <c r="BI20" i="36"/>
  <c r="BG20" i="36"/>
  <c r="BE20" i="36"/>
  <c r="BC20" i="36"/>
  <c r="BB20" i="36"/>
  <c r="AZ20" i="36"/>
  <c r="AW20" i="36"/>
  <c r="AU20" i="36"/>
  <c r="AT20" i="36"/>
  <c r="AS20" i="36"/>
  <c r="AR20" i="36"/>
  <c r="AQ20" i="36"/>
  <c r="AO20" i="36"/>
  <c r="AN20" i="36"/>
  <c r="AM20" i="36"/>
  <c r="AI20" i="36"/>
  <c r="AH20" i="36"/>
  <c r="BJ19" i="36"/>
  <c r="BH19" i="36"/>
  <c r="BG19" i="36"/>
  <c r="AQ19" i="36"/>
  <c r="AI19" i="36"/>
  <c r="AH19" i="36"/>
  <c r="BI18" i="36"/>
  <c r="BH18" i="36"/>
  <c r="BG18" i="36"/>
  <c r="AZ18" i="36"/>
  <c r="AY18" i="36"/>
  <c r="AW18" i="36"/>
  <c r="AV18" i="36"/>
  <c r="AN18" i="36"/>
  <c r="AI18" i="36"/>
  <c r="AH18" i="36"/>
  <c r="BI17" i="36"/>
  <c r="BH17" i="36"/>
  <c r="BG17" i="36"/>
  <c r="BE17" i="36"/>
  <c r="AZ17" i="36"/>
  <c r="AY17" i="36"/>
  <c r="AU17" i="36"/>
  <c r="AI17" i="36"/>
  <c r="AH17" i="36"/>
  <c r="BJ16" i="36"/>
  <c r="BI16" i="36"/>
  <c r="BH16" i="36"/>
  <c r="BG16" i="36"/>
  <c r="BE16" i="36"/>
  <c r="AW16" i="36"/>
  <c r="AR16" i="36"/>
  <c r="AQ16" i="36"/>
  <c r="AN16" i="36"/>
  <c r="AI16" i="36"/>
  <c r="AH16" i="36"/>
  <c r="AI15" i="36"/>
  <c r="AH15" i="36"/>
  <c r="AI14" i="36"/>
  <c r="AH14" i="36"/>
  <c r="AI13" i="36"/>
  <c r="AH13" i="36"/>
  <c r="AL12" i="36"/>
  <c r="AI12" i="36"/>
  <c r="AH12" i="36"/>
  <c r="AI11" i="36"/>
  <c r="AH11" i="36"/>
  <c r="AE5" i="36"/>
  <c r="AC5" i="36"/>
  <c r="AA5" i="36"/>
  <c r="Z5" i="36"/>
  <c r="R5" i="36"/>
  <c r="AG4" i="36"/>
  <c r="K4" i="36"/>
  <c r="E4" i="36"/>
  <c r="H4" i="36" s="1"/>
  <c r="B4" i="36"/>
  <c r="AG2" i="36"/>
  <c r="AG6" i="36" s="1"/>
  <c r="Z118" i="35"/>
  <c r="Z105" i="35"/>
  <c r="Z104" i="35"/>
  <c r="Z103" i="35"/>
  <c r="Z102" i="35"/>
  <c r="Z101" i="35"/>
  <c r="Z107" i="35" s="1"/>
  <c r="Z92" i="35"/>
  <c r="Z108" i="35" s="1"/>
  <c r="Z80" i="35"/>
  <c r="Z76" i="35"/>
  <c r="Z62" i="35"/>
  <c r="Z58" i="35"/>
  <c r="Z97" i="35" s="1"/>
  <c r="Z99" i="35" s="1"/>
  <c r="AA58" i="35"/>
  <c r="AA62" i="35"/>
  <c r="AA76" i="35"/>
  <c r="AA80" i="35"/>
  <c r="AA92" i="35"/>
  <c r="AA101" i="35"/>
  <c r="AA107" i="35" s="1"/>
  <c r="AA102" i="35"/>
  <c r="AA103" i="35"/>
  <c r="AA104" i="35"/>
  <c r="AA105" i="35"/>
  <c r="AA118" i="35"/>
  <c r="Y58" i="35"/>
  <c r="Y62" i="35"/>
  <c r="Y76" i="35"/>
  <c r="Y80" i="35"/>
  <c r="X58" i="35"/>
  <c r="X62" i="35"/>
  <c r="X76" i="35"/>
  <c r="X80" i="35"/>
  <c r="X92" i="35"/>
  <c r="X108" i="35" s="1"/>
  <c r="X101" i="35"/>
  <c r="X107" i="35" s="1"/>
  <c r="X102" i="35"/>
  <c r="X103" i="35"/>
  <c r="X104" i="35"/>
  <c r="X105" i="35"/>
  <c r="U57" i="35"/>
  <c r="F246" i="36" l="1"/>
  <c r="E118" i="36"/>
  <c r="AU19" i="36"/>
  <c r="I107" i="36"/>
  <c r="AS23" i="36" s="1"/>
  <c r="E247" i="36"/>
  <c r="F247" i="36" s="1"/>
  <c r="G247" i="36" s="1"/>
  <c r="H247" i="36" s="1"/>
  <c r="I247" i="36" s="1"/>
  <c r="J247" i="36" s="1"/>
  <c r="K247" i="36" s="1"/>
  <c r="L247" i="36" s="1"/>
  <c r="M247" i="36" s="1"/>
  <c r="N247" i="36" s="1"/>
  <c r="O247" i="36" s="1"/>
  <c r="P247" i="36" s="1"/>
  <c r="Q247" i="36" s="1"/>
  <c r="R247" i="36" s="1"/>
  <c r="S247" i="36" s="1"/>
  <c r="T247" i="36" s="1"/>
  <c r="U247" i="36" s="1"/>
  <c r="V247" i="36" s="1"/>
  <c r="W247" i="36" s="1"/>
  <c r="X247" i="36" s="1"/>
  <c r="Y247" i="36" s="1"/>
  <c r="Z247" i="36" s="1"/>
  <c r="AA247" i="36" s="1"/>
  <c r="AB247" i="36" s="1"/>
  <c r="AC247" i="36" s="1"/>
  <c r="AD247" i="36" s="1"/>
  <c r="AE247" i="36" s="1"/>
  <c r="AF247" i="36" s="1"/>
  <c r="B247" i="36" s="1"/>
  <c r="K107" i="36"/>
  <c r="AT23" i="36" s="1"/>
  <c r="F107" i="36"/>
  <c r="AQ23" i="36" s="1"/>
  <c r="E107" i="36"/>
  <c r="AP23" i="36" s="1"/>
  <c r="AH121" i="36"/>
  <c r="BJ23" i="36"/>
  <c r="AD107" i="36"/>
  <c r="BH23" i="36" s="1"/>
  <c r="AC97" i="36"/>
  <c r="AC99" i="36" s="1"/>
  <c r="AC107" i="36"/>
  <c r="BG22" i="36"/>
  <c r="BG24" i="36" s="1"/>
  <c r="AA107" i="36"/>
  <c r="AA108" i="36" s="1"/>
  <c r="Z107" i="36"/>
  <c r="BF23" i="36" s="1"/>
  <c r="Y107" i="36"/>
  <c r="Y108" i="36" s="1"/>
  <c r="W5" i="36"/>
  <c r="W97" i="36"/>
  <c r="W99" i="36" s="1"/>
  <c r="X107" i="36"/>
  <c r="BE23" i="36" s="1"/>
  <c r="V107" i="36"/>
  <c r="BD23" i="36" s="1"/>
  <c r="BD19" i="36"/>
  <c r="T5" i="36"/>
  <c r="U107" i="36"/>
  <c r="BC23" i="36" s="1"/>
  <c r="U97" i="36"/>
  <c r="U99" i="36" s="1"/>
  <c r="S5" i="36"/>
  <c r="T107" i="36"/>
  <c r="BB23" i="36" s="1"/>
  <c r="T97" i="36"/>
  <c r="T99" i="36" s="1"/>
  <c r="BB16" i="36"/>
  <c r="S107" i="36"/>
  <c r="BA23" i="36" s="1"/>
  <c r="BA22" i="36"/>
  <c r="R107" i="36"/>
  <c r="AZ23" i="36" s="1"/>
  <c r="O5" i="36"/>
  <c r="Q107" i="36"/>
  <c r="AY23" i="36" s="1"/>
  <c r="P5" i="36"/>
  <c r="AY19" i="36"/>
  <c r="P107" i="36"/>
  <c r="AV19" i="36"/>
  <c r="N107" i="36"/>
  <c r="AV23" i="36" s="1"/>
  <c r="M107" i="36"/>
  <c r="AU23" i="36" s="1"/>
  <c r="M97" i="36"/>
  <c r="M99" i="36" s="1"/>
  <c r="AU16" i="36"/>
  <c r="AU22" i="36" s="1"/>
  <c r="L107" i="36"/>
  <c r="AI103" i="36"/>
  <c r="AT19" i="36"/>
  <c r="K108" i="36"/>
  <c r="J107" i="36"/>
  <c r="J108" i="36" s="1"/>
  <c r="J97" i="36"/>
  <c r="J99" i="36" s="1"/>
  <c r="I108" i="36"/>
  <c r="H5" i="36"/>
  <c r="H107" i="36"/>
  <c r="H108" i="36" s="1"/>
  <c r="G107" i="36"/>
  <c r="AR23" i="36" s="1"/>
  <c r="AS22" i="36"/>
  <c r="AS24" i="36" s="1"/>
  <c r="L97" i="36"/>
  <c r="L99" i="36" s="1"/>
  <c r="L100" i="36" s="1"/>
  <c r="L7" i="36" s="1"/>
  <c r="F97" i="36"/>
  <c r="F99" i="36" s="1"/>
  <c r="F100" i="36" s="1"/>
  <c r="F7" i="36" s="1"/>
  <c r="D5" i="36"/>
  <c r="AY22" i="36"/>
  <c r="AY24" i="36" s="1"/>
  <c r="AQ22" i="36"/>
  <c r="BE22" i="36"/>
  <c r="BE24" i="36" s="1"/>
  <c r="AO19" i="36"/>
  <c r="D107" i="36"/>
  <c r="AO23" i="36" s="1"/>
  <c r="AN19" i="36"/>
  <c r="AN22" i="36" s="1"/>
  <c r="AN24" i="36" s="1"/>
  <c r="B5" i="36"/>
  <c r="C107" i="36"/>
  <c r="AN23" i="36" s="1"/>
  <c r="D97" i="36"/>
  <c r="D99" i="36" s="1"/>
  <c r="D100" i="36" s="1"/>
  <c r="D7" i="36" s="1"/>
  <c r="AO16" i="36"/>
  <c r="AH105" i="36"/>
  <c r="AI76" i="36"/>
  <c r="BB22" i="36"/>
  <c r="BB24" i="36" s="1"/>
  <c r="B97" i="36"/>
  <c r="AI58" i="36"/>
  <c r="Z97" i="36"/>
  <c r="Z99" i="36" s="1"/>
  <c r="BF16" i="36"/>
  <c r="AH58" i="36"/>
  <c r="G108" i="36"/>
  <c r="AR19" i="36"/>
  <c r="AR22" i="36" s="1"/>
  <c r="F5" i="36"/>
  <c r="N5" i="36"/>
  <c r="V5" i="36"/>
  <c r="AD5" i="36"/>
  <c r="BC16" i="36"/>
  <c r="BC22" i="36" s="1"/>
  <c r="BI19" i="36"/>
  <c r="BI22" i="36" s="1"/>
  <c r="BG84" i="36" a="1"/>
  <c r="AE97" i="36"/>
  <c r="AE99" i="36" s="1"/>
  <c r="AT22" i="36"/>
  <c r="AT24" i="36" s="1"/>
  <c r="T100" i="36"/>
  <c r="T7" i="36" s="1"/>
  <c r="AG99" i="36"/>
  <c r="AI80" i="36"/>
  <c r="AH102" i="36"/>
  <c r="AI102" i="36"/>
  <c r="AH103" i="36"/>
  <c r="E97" i="36"/>
  <c r="E99" i="36" s="1"/>
  <c r="E100" i="36" s="1"/>
  <c r="E7" i="36" s="1"/>
  <c r="AP16" i="36"/>
  <c r="AP22" i="36" s="1"/>
  <c r="AI92" i="36"/>
  <c r="AZ19" i="36"/>
  <c r="BF19" i="36"/>
  <c r="AH92" i="36"/>
  <c r="AI104" i="36"/>
  <c r="AH104" i="36"/>
  <c r="B107" i="36"/>
  <c r="D258" i="36"/>
  <c r="AL13" i="36"/>
  <c r="AM16" i="36"/>
  <c r="BH22" i="36"/>
  <c r="BH24" i="36" s="1"/>
  <c r="AV16" i="36"/>
  <c r="AV22" i="36" s="1"/>
  <c r="AV24" i="36" s="1"/>
  <c r="N97" i="36"/>
  <c r="N99" i="36" s="1"/>
  <c r="N100" i="36" s="1"/>
  <c r="N7" i="36" s="1"/>
  <c r="BD16" i="36"/>
  <c r="V97" i="36"/>
  <c r="V99" i="36" s="1"/>
  <c r="V100" i="36" s="1"/>
  <c r="V7" i="36" s="1"/>
  <c r="Y5" i="36"/>
  <c r="G97" i="36"/>
  <c r="G99" i="36" s="1"/>
  <c r="O97" i="36"/>
  <c r="O99" i="36" s="1"/>
  <c r="Q5" i="36"/>
  <c r="AZ16" i="36"/>
  <c r="BJ22" i="36"/>
  <c r="BJ24" i="36" s="1"/>
  <c r="AM19" i="36"/>
  <c r="H97" i="36"/>
  <c r="H99" i="36" s="1"/>
  <c r="P97" i="36"/>
  <c r="P99" i="36" s="1"/>
  <c r="P100" i="36" s="1"/>
  <c r="P7" i="36" s="1"/>
  <c r="X97" i="36"/>
  <c r="X99" i="36" s="1"/>
  <c r="X100" i="36" s="1"/>
  <c r="X7" i="36" s="1"/>
  <c r="AF97" i="36"/>
  <c r="AF99" i="36" s="1"/>
  <c r="AF100" i="36" s="1"/>
  <c r="AF7" i="36" s="1"/>
  <c r="AI101" i="36"/>
  <c r="F252" i="36"/>
  <c r="I5" i="36"/>
  <c r="AW19" i="36"/>
  <c r="AW22" i="36" s="1"/>
  <c r="AI62" i="36"/>
  <c r="AH62" i="36"/>
  <c r="AH76" i="36"/>
  <c r="AX16" i="36"/>
  <c r="AX22" i="36" s="1"/>
  <c r="C97" i="36"/>
  <c r="C99" i="36" s="1"/>
  <c r="C100" i="36" s="1"/>
  <c r="C7" i="36" s="1"/>
  <c r="K97" i="36"/>
  <c r="K99" i="36" s="1"/>
  <c r="K100" i="36" s="1"/>
  <c r="K7" i="36" s="1"/>
  <c r="S97" i="36"/>
  <c r="S99" i="36" s="1"/>
  <c r="S100" i="36" s="1"/>
  <c r="S7" i="36" s="1"/>
  <c r="AA97" i="36"/>
  <c r="AA99" i="36" s="1"/>
  <c r="AH80" i="36"/>
  <c r="D108" i="36"/>
  <c r="L108" i="36"/>
  <c r="T108" i="36"/>
  <c r="O107" i="36"/>
  <c r="AW23" i="36" s="1"/>
  <c r="W107" i="36"/>
  <c r="W100" i="36" s="1"/>
  <c r="W7" i="36" s="1"/>
  <c r="AE107" i="36"/>
  <c r="BI23" i="36" s="1"/>
  <c r="M108" i="36"/>
  <c r="U108" i="36"/>
  <c r="AC108" i="36"/>
  <c r="I97" i="36"/>
  <c r="I99" i="36" s="1"/>
  <c r="I100" i="36" s="1"/>
  <c r="I7" i="36" s="1"/>
  <c r="Q97" i="36"/>
  <c r="Q99" i="36" s="1"/>
  <c r="Q100" i="36" s="1"/>
  <c r="Q7" i="36" s="1"/>
  <c r="Y97" i="36"/>
  <c r="Y99" i="36" s="1"/>
  <c r="AG97" i="36"/>
  <c r="F108" i="36"/>
  <c r="N108" i="36"/>
  <c r="V108" i="36"/>
  <c r="AD108" i="36"/>
  <c r="AH101" i="36"/>
  <c r="AI105" i="36"/>
  <c r="E252" i="36"/>
  <c r="Z100" i="35"/>
  <c r="AA97" i="35"/>
  <c r="AA99" i="35" s="1"/>
  <c r="AA100" i="35" s="1"/>
  <c r="AA108" i="35"/>
  <c r="X97" i="35"/>
  <c r="X99" i="35" s="1"/>
  <c r="X100" i="35" s="1"/>
  <c r="Z108" i="36" l="1"/>
  <c r="AR24" i="36"/>
  <c r="S108" i="36"/>
  <c r="E108" i="36"/>
  <c r="R108" i="36"/>
  <c r="BC24" i="36"/>
  <c r="Y100" i="36"/>
  <c r="Y7" i="36" s="1"/>
  <c r="AO22" i="36"/>
  <c r="AO24" i="36" s="1"/>
  <c r="AQ24" i="36"/>
  <c r="AU24" i="36"/>
  <c r="AE108" i="36"/>
  <c r="Z100" i="36"/>
  <c r="Z7" i="36" s="1"/>
  <c r="M100" i="36"/>
  <c r="M7" i="36" s="1"/>
  <c r="AP24" i="36"/>
  <c r="J100" i="36"/>
  <c r="J7" i="36" s="1"/>
  <c r="G246" i="36"/>
  <c r="F118" i="36"/>
  <c r="BI24" i="36"/>
  <c r="AD100" i="36"/>
  <c r="AD7" i="36" s="1"/>
  <c r="AC100" i="36"/>
  <c r="AC7" i="36" s="1"/>
  <c r="AA100" i="36"/>
  <c r="AA7" i="36" s="1"/>
  <c r="X108" i="36"/>
  <c r="W108" i="36"/>
  <c r="BD22" i="36"/>
  <c r="BD24" i="36" s="1"/>
  <c r="U100" i="36"/>
  <c r="U7" i="36" s="1"/>
  <c r="BA24" i="36"/>
  <c r="AZ22" i="36"/>
  <c r="AZ24" i="36" s="1"/>
  <c r="R100" i="36"/>
  <c r="R7" i="36" s="1"/>
  <c r="Q108" i="36"/>
  <c r="P108" i="36"/>
  <c r="AX23" i="36"/>
  <c r="AX24" i="36" s="1"/>
  <c r="O100" i="36"/>
  <c r="O7" i="36" s="1"/>
  <c r="AW24" i="36"/>
  <c r="H100" i="36"/>
  <c r="H7" i="36" s="1"/>
  <c r="C108" i="36"/>
  <c r="C256" i="36"/>
  <c r="G100" i="36"/>
  <c r="G7" i="36" s="1"/>
  <c r="B256" i="36"/>
  <c r="AE100" i="36"/>
  <c r="AE7" i="36" s="1"/>
  <c r="AI107" i="36"/>
  <c r="AM23" i="36"/>
  <c r="AH107" i="36"/>
  <c r="BI107" i="36"/>
  <c r="BG106" i="36"/>
  <c r="BK104" i="36"/>
  <c r="BI103" i="36"/>
  <c r="BG102" i="36"/>
  <c r="BK100" i="36"/>
  <c r="BI99" i="36"/>
  <c r="BG98" i="36"/>
  <c r="BK96" i="36"/>
  <c r="BI95" i="36"/>
  <c r="BG94" i="36"/>
  <c r="BK92" i="36"/>
  <c r="BI91" i="36"/>
  <c r="BG90" i="36"/>
  <c r="BK88" i="36"/>
  <c r="BI87" i="36"/>
  <c r="BG86" i="36"/>
  <c r="BK84" i="36"/>
  <c r="BK106" i="36"/>
  <c r="BI105" i="36"/>
  <c r="BG104" i="36"/>
  <c r="BK102" i="36"/>
  <c r="BI101" i="36"/>
  <c r="BG100" i="36"/>
  <c r="BK98" i="36"/>
  <c r="BI97" i="36"/>
  <c r="BG96" i="36"/>
  <c r="BK94" i="36"/>
  <c r="BI93" i="36"/>
  <c r="BG92" i="36"/>
  <c r="BK90" i="36"/>
  <c r="BI89" i="36"/>
  <c r="BG88" i="36"/>
  <c r="BK86" i="36"/>
  <c r="BI85" i="36"/>
  <c r="BG84" i="36"/>
  <c r="BL106" i="36"/>
  <c r="BG105" i="36"/>
  <c r="BH103" i="36"/>
  <c r="BJ101" i="36"/>
  <c r="BK99" i="36"/>
  <c r="BL97" i="36"/>
  <c r="BH96" i="36"/>
  <c r="BI94" i="36"/>
  <c r="BJ92" i="36"/>
  <c r="BL90" i="36"/>
  <c r="BG89" i="36"/>
  <c r="BH87" i="36"/>
  <c r="BJ85" i="36"/>
  <c r="BJ106" i="36"/>
  <c r="BL104" i="36"/>
  <c r="BG103" i="36"/>
  <c r="BH101" i="36"/>
  <c r="BJ99" i="36"/>
  <c r="BK97" i="36"/>
  <c r="BL95" i="36"/>
  <c r="BH94" i="36"/>
  <c r="BI92" i="36"/>
  <c r="BJ90" i="36"/>
  <c r="BL88" i="36"/>
  <c r="BG87" i="36"/>
  <c r="BH85" i="36"/>
  <c r="BI106" i="36"/>
  <c r="BJ104" i="36"/>
  <c r="BL102" i="36"/>
  <c r="BG101" i="36"/>
  <c r="BH99" i="36"/>
  <c r="BJ97" i="36"/>
  <c r="BK95" i="36"/>
  <c r="BL93" i="36"/>
  <c r="BH92" i="36"/>
  <c r="BI90" i="36"/>
  <c r="BJ88" i="36"/>
  <c r="BL86" i="36"/>
  <c r="BG85" i="36"/>
  <c r="BL107" i="36"/>
  <c r="BH106" i="36"/>
  <c r="BI104" i="36"/>
  <c r="BJ102" i="36"/>
  <c r="BL100" i="36"/>
  <c r="BG99" i="36"/>
  <c r="BH97" i="36"/>
  <c r="BJ95" i="36"/>
  <c r="BK93" i="36"/>
  <c r="BL91" i="36"/>
  <c r="BH90" i="36"/>
  <c r="BI88" i="36"/>
  <c r="BJ86" i="36"/>
  <c r="BL84" i="36"/>
  <c r="BJ107" i="36"/>
  <c r="BK105" i="36"/>
  <c r="BL103" i="36"/>
  <c r="BH102" i="36"/>
  <c r="BI100" i="36"/>
  <c r="BJ98" i="36"/>
  <c r="BL96" i="36"/>
  <c r="BG95" i="36"/>
  <c r="BH93" i="36"/>
  <c r="BJ91" i="36"/>
  <c r="BK89" i="36"/>
  <c r="BL87" i="36"/>
  <c r="BH86" i="36"/>
  <c r="BI84" i="36"/>
  <c r="BH107" i="36"/>
  <c r="BJ105" i="36"/>
  <c r="BK103" i="36"/>
  <c r="BL101" i="36"/>
  <c r="BH100" i="36"/>
  <c r="BI98" i="36"/>
  <c r="BJ96" i="36"/>
  <c r="BL94" i="36"/>
  <c r="BG93" i="36"/>
  <c r="BH91" i="36"/>
  <c r="BJ89" i="36"/>
  <c r="BK87" i="36"/>
  <c r="BL85" i="36"/>
  <c r="BH84" i="36"/>
  <c r="BJ103" i="36"/>
  <c r="BI96" i="36"/>
  <c r="BH89" i="36"/>
  <c r="BI102" i="36"/>
  <c r="BH95" i="36"/>
  <c r="BH88" i="36"/>
  <c r="BG107" i="36"/>
  <c r="BL99" i="36"/>
  <c r="BL92" i="36"/>
  <c r="BK85" i="36"/>
  <c r="BK101" i="36"/>
  <c r="BJ94" i="36"/>
  <c r="BJ87" i="36"/>
  <c r="BK107" i="36"/>
  <c r="BJ100" i="36"/>
  <c r="BJ93" i="36"/>
  <c r="BI86" i="36"/>
  <c r="BL105" i="36"/>
  <c r="BL98" i="36"/>
  <c r="BK91" i="36"/>
  <c r="BJ84" i="36"/>
  <c r="BH105" i="36"/>
  <c r="BH98" i="36"/>
  <c r="BG91" i="36"/>
  <c r="BH104" i="36"/>
  <c r="BG97" i="36"/>
  <c r="BL89" i="36"/>
  <c r="O108" i="36"/>
  <c r="AI97" i="36"/>
  <c r="B99" i="36"/>
  <c r="AH97" i="36"/>
  <c r="B108" i="36"/>
  <c r="AM22" i="36"/>
  <c r="BF22" i="36"/>
  <c r="BF24" i="36" s="1"/>
  <c r="H246" i="36" l="1"/>
  <c r="G252" i="36"/>
  <c r="G118" i="36"/>
  <c r="AM24" i="36"/>
  <c r="AT9" i="36" s="1"/>
  <c r="AT8" i="36"/>
  <c r="AI108" i="36"/>
  <c r="AH108" i="36"/>
  <c r="AI99" i="36"/>
  <c r="AH99" i="36"/>
  <c r="B100" i="36"/>
  <c r="K6" i="36"/>
  <c r="H252" i="36" l="1"/>
  <c r="H118" i="36"/>
  <c r="I246" i="36"/>
  <c r="AI100" i="36"/>
  <c r="B7" i="36"/>
  <c r="A7" i="36" s="1"/>
  <c r="AH100" i="36"/>
  <c r="J246" i="36" l="1"/>
  <c r="I252" i="36"/>
  <c r="I118" i="36"/>
  <c r="J252" i="36" l="1"/>
  <c r="J118" i="36"/>
  <c r="K246" i="36"/>
  <c r="L246" i="36" l="1"/>
  <c r="K252" i="36"/>
  <c r="K118" i="36"/>
  <c r="L252" i="36" l="1"/>
  <c r="M246" i="36"/>
  <c r="L118" i="36"/>
  <c r="N246" i="36" l="1"/>
  <c r="M118" i="36"/>
  <c r="M252" i="36"/>
  <c r="O246" i="36" l="1"/>
  <c r="N252" i="36"/>
  <c r="N118" i="36"/>
  <c r="O118" i="36" l="1"/>
  <c r="P246" i="36"/>
  <c r="O252" i="36"/>
  <c r="Q246" i="36" l="1"/>
  <c r="P252" i="36"/>
  <c r="Q252" i="36" l="1"/>
  <c r="Q118" i="36"/>
  <c r="R246" i="36"/>
  <c r="R252" i="36" l="1"/>
  <c r="S246" i="36"/>
  <c r="R118" i="36"/>
  <c r="S252" i="36" l="1"/>
  <c r="S118" i="36"/>
  <c r="T246" i="36"/>
  <c r="U246" i="36" l="1"/>
  <c r="T252" i="36"/>
  <c r="T118" i="36"/>
  <c r="U252" i="36" l="1"/>
  <c r="U118" i="36"/>
  <c r="V246" i="36"/>
  <c r="V252" i="36" l="1"/>
  <c r="W246" i="36"/>
  <c r="V118" i="36"/>
  <c r="W118" i="36" l="1"/>
  <c r="X246" i="36"/>
  <c r="W252" i="36"/>
  <c r="X118" i="36" l="1"/>
  <c r="Y246" i="36"/>
  <c r="X252" i="36"/>
  <c r="Y252" i="36" l="1"/>
  <c r="Z246" i="36"/>
  <c r="Z252" i="36" l="1"/>
  <c r="AA246" i="36"/>
  <c r="AA252" i="36" l="1"/>
  <c r="AA118" i="36"/>
  <c r="AB246" i="36"/>
  <c r="AB118" i="36" l="1"/>
  <c r="AB252" i="36"/>
  <c r="AC246" i="36"/>
  <c r="AC252" i="36" l="1"/>
  <c r="AD246" i="36"/>
  <c r="AC118" i="36"/>
  <c r="AD252" i="36" l="1"/>
  <c r="AD118" i="36"/>
  <c r="AE246" i="36"/>
  <c r="AE118" i="36" l="1"/>
  <c r="AE252" i="36"/>
  <c r="AF246" i="36"/>
  <c r="B246" i="36" l="1"/>
  <c r="AF252" i="36"/>
  <c r="AF118" i="36"/>
  <c r="B252" i="36" l="1"/>
  <c r="B118" i="36"/>
  <c r="AH118" i="36" l="1"/>
  <c r="AI118" i="36"/>
  <c r="S57" i="35" l="1"/>
  <c r="R121" i="35" l="1"/>
  <c r="R57" i="35"/>
  <c r="R58" i="35"/>
  <c r="R62" i="35"/>
  <c r="Q121" i="35"/>
  <c r="Q57" i="35"/>
  <c r="P121" i="35"/>
  <c r="P57" i="35"/>
  <c r="O57" i="35" l="1"/>
  <c r="N57" i="35"/>
  <c r="M57" i="35"/>
  <c r="M58" i="35"/>
  <c r="M62" i="35"/>
  <c r="M121" i="35"/>
  <c r="AH125" i="35"/>
  <c r="AI125" i="35"/>
  <c r="AH124" i="35"/>
  <c r="AI124" i="35"/>
  <c r="AG252" i="35"/>
  <c r="C252" i="35"/>
  <c r="E251" i="35"/>
  <c r="F251" i="35" s="1"/>
  <c r="G251" i="35" s="1"/>
  <c r="H251" i="35" s="1"/>
  <c r="I251" i="35" s="1"/>
  <c r="J251" i="35" s="1"/>
  <c r="K251" i="35" s="1"/>
  <c r="L251" i="35" s="1"/>
  <c r="M251" i="35" s="1"/>
  <c r="N251" i="35" s="1"/>
  <c r="O251" i="35" s="1"/>
  <c r="P251" i="35" s="1"/>
  <c r="Q251" i="35" s="1"/>
  <c r="R251" i="35" s="1"/>
  <c r="S251" i="35" s="1"/>
  <c r="T251" i="35" s="1"/>
  <c r="U251" i="35" s="1"/>
  <c r="V251" i="35" s="1"/>
  <c r="W251" i="35" s="1"/>
  <c r="X251" i="35" s="1"/>
  <c r="Y251" i="35" s="1"/>
  <c r="Z251" i="35" s="1"/>
  <c r="AA251" i="35" s="1"/>
  <c r="AB251" i="35" s="1"/>
  <c r="AC251" i="35" s="1"/>
  <c r="AD251" i="35" s="1"/>
  <c r="AE251" i="35" s="1"/>
  <c r="AF251" i="35" s="1"/>
  <c r="B251" i="35" s="1"/>
  <c r="D251" i="35"/>
  <c r="D250" i="35"/>
  <c r="E250" i="35" s="1"/>
  <c r="F250" i="35" s="1"/>
  <c r="G250" i="35" s="1"/>
  <c r="H250" i="35" s="1"/>
  <c r="I250" i="35" s="1"/>
  <c r="J250" i="35" s="1"/>
  <c r="K250" i="35" s="1"/>
  <c r="L250" i="35" s="1"/>
  <c r="M250" i="35" s="1"/>
  <c r="N250" i="35" s="1"/>
  <c r="O250" i="35" s="1"/>
  <c r="P250" i="35" s="1"/>
  <c r="Q250" i="35" s="1"/>
  <c r="R250" i="35" s="1"/>
  <c r="S250" i="35" s="1"/>
  <c r="T250" i="35" s="1"/>
  <c r="U250" i="35" s="1"/>
  <c r="V250" i="35" s="1"/>
  <c r="W250" i="35" s="1"/>
  <c r="X250" i="35" s="1"/>
  <c r="Y250" i="35" s="1"/>
  <c r="Z250" i="35" s="1"/>
  <c r="AA250" i="35" s="1"/>
  <c r="AB250" i="35" s="1"/>
  <c r="AC250" i="35" s="1"/>
  <c r="AD250" i="35" s="1"/>
  <c r="AE250" i="35" s="1"/>
  <c r="AF250" i="35" s="1"/>
  <c r="B250" i="35" s="1"/>
  <c r="D249" i="35"/>
  <c r="E249" i="35" s="1"/>
  <c r="F249" i="35" s="1"/>
  <c r="G249" i="35" s="1"/>
  <c r="H249" i="35" s="1"/>
  <c r="I249" i="35" s="1"/>
  <c r="J249" i="35" s="1"/>
  <c r="K249" i="35" s="1"/>
  <c r="L249" i="35" s="1"/>
  <c r="M249" i="35" s="1"/>
  <c r="N249" i="35" s="1"/>
  <c r="O249" i="35" s="1"/>
  <c r="P249" i="35" s="1"/>
  <c r="Q249" i="35" s="1"/>
  <c r="R249" i="35" s="1"/>
  <c r="S249" i="35" s="1"/>
  <c r="T249" i="35" s="1"/>
  <c r="U249" i="35" s="1"/>
  <c r="V249" i="35" s="1"/>
  <c r="W249" i="35" s="1"/>
  <c r="X249" i="35" s="1"/>
  <c r="Y249" i="35" s="1"/>
  <c r="Z249" i="35" s="1"/>
  <c r="AA249" i="35" s="1"/>
  <c r="AB249" i="35" s="1"/>
  <c r="AC249" i="35" s="1"/>
  <c r="AD249" i="35" s="1"/>
  <c r="AE249" i="35" s="1"/>
  <c r="AF249" i="35" s="1"/>
  <c r="B249" i="35" s="1"/>
  <c r="D248" i="35"/>
  <c r="E248" i="35" s="1"/>
  <c r="F248" i="35" s="1"/>
  <c r="G248" i="35" s="1"/>
  <c r="H248" i="35" s="1"/>
  <c r="I248" i="35" s="1"/>
  <c r="J248" i="35" s="1"/>
  <c r="K248" i="35" s="1"/>
  <c r="L248" i="35" s="1"/>
  <c r="M248" i="35" s="1"/>
  <c r="N248" i="35" s="1"/>
  <c r="O248" i="35" s="1"/>
  <c r="P248" i="35" s="1"/>
  <c r="Q248" i="35" s="1"/>
  <c r="R248" i="35" s="1"/>
  <c r="S248" i="35" s="1"/>
  <c r="T248" i="35" s="1"/>
  <c r="U248" i="35" s="1"/>
  <c r="V248" i="35" s="1"/>
  <c r="W248" i="35" s="1"/>
  <c r="X248" i="35" s="1"/>
  <c r="Y248" i="35" s="1"/>
  <c r="Z248" i="35" s="1"/>
  <c r="AA248" i="35" s="1"/>
  <c r="AB248" i="35" s="1"/>
  <c r="AC248" i="35" s="1"/>
  <c r="AD248" i="35" s="1"/>
  <c r="AE248" i="35" s="1"/>
  <c r="AF248" i="35" s="1"/>
  <c r="B248" i="35" s="1"/>
  <c r="E247" i="35"/>
  <c r="F247" i="35" s="1"/>
  <c r="G247" i="35" s="1"/>
  <c r="H247" i="35" s="1"/>
  <c r="I247" i="35" s="1"/>
  <c r="J247" i="35" s="1"/>
  <c r="K247" i="35" s="1"/>
  <c r="L247" i="35" s="1"/>
  <c r="M247" i="35" s="1"/>
  <c r="N247" i="35" s="1"/>
  <c r="O247" i="35" s="1"/>
  <c r="P247" i="35" s="1"/>
  <c r="Q247" i="35" s="1"/>
  <c r="R247" i="35" s="1"/>
  <c r="S247" i="35" s="1"/>
  <c r="T247" i="35" s="1"/>
  <c r="U247" i="35" s="1"/>
  <c r="V247" i="35" s="1"/>
  <c r="W247" i="35" s="1"/>
  <c r="X247" i="35" s="1"/>
  <c r="Y247" i="35" s="1"/>
  <c r="Z247" i="35" s="1"/>
  <c r="AA247" i="35" s="1"/>
  <c r="AB247" i="35" s="1"/>
  <c r="AC247" i="35" s="1"/>
  <c r="AD247" i="35" s="1"/>
  <c r="AE247" i="35" s="1"/>
  <c r="AF247" i="35" s="1"/>
  <c r="B247" i="35" s="1"/>
  <c r="D247" i="35"/>
  <c r="E246" i="35"/>
  <c r="F246" i="35" s="1"/>
  <c r="D246" i="35"/>
  <c r="D252" i="35" s="1"/>
  <c r="AG244" i="35"/>
  <c r="AF244" i="35"/>
  <c r="AE244" i="35"/>
  <c r="AD244" i="35"/>
  <c r="AC244" i="35"/>
  <c r="AB244" i="35"/>
  <c r="AA244" i="35"/>
  <c r="Z244" i="35"/>
  <c r="Y244" i="35"/>
  <c r="X244" i="35"/>
  <c r="W244" i="35"/>
  <c r="V244" i="35"/>
  <c r="U244" i="35"/>
  <c r="T244" i="35"/>
  <c r="S244" i="35"/>
  <c r="R244" i="35"/>
  <c r="Q244" i="35"/>
  <c r="P244" i="35"/>
  <c r="O244" i="35"/>
  <c r="N244" i="35"/>
  <c r="M244" i="35"/>
  <c r="L244" i="35"/>
  <c r="K244" i="35"/>
  <c r="J244" i="35"/>
  <c r="I244" i="35"/>
  <c r="H244" i="35"/>
  <c r="G244" i="35"/>
  <c r="F244" i="35"/>
  <c r="E244" i="35"/>
  <c r="D244" i="35"/>
  <c r="C244" i="35"/>
  <c r="B244" i="35"/>
  <c r="AI130" i="35"/>
  <c r="AH130" i="35"/>
  <c r="AI129" i="35"/>
  <c r="AH129" i="35"/>
  <c r="AI128" i="35"/>
  <c r="AH128" i="35"/>
  <c r="AI127" i="35"/>
  <c r="AH127" i="35"/>
  <c r="AI126" i="35"/>
  <c r="AH126" i="35"/>
  <c r="AI123" i="35"/>
  <c r="AH123" i="35"/>
  <c r="AI122" i="35"/>
  <c r="AH122" i="35"/>
  <c r="AI121" i="35"/>
  <c r="AH121" i="35"/>
  <c r="AI120" i="35"/>
  <c r="AH120" i="35"/>
  <c r="AI119" i="35"/>
  <c r="AH119" i="35"/>
  <c r="Y118" i="35"/>
  <c r="D118" i="35"/>
  <c r="C118" i="35"/>
  <c r="AI117" i="35"/>
  <c r="AH117" i="35"/>
  <c r="AI116" i="35"/>
  <c r="AH116" i="35"/>
  <c r="AI115" i="35"/>
  <c r="AH115" i="35"/>
  <c r="AI114" i="35"/>
  <c r="AH114" i="35"/>
  <c r="AI113" i="35"/>
  <c r="AH113" i="35"/>
  <c r="AI112" i="35"/>
  <c r="AH112" i="35"/>
  <c r="AI111" i="35"/>
  <c r="AH111" i="35"/>
  <c r="AI110" i="35"/>
  <c r="AH110" i="35"/>
  <c r="AI109" i="35"/>
  <c r="AH109" i="35"/>
  <c r="AI106" i="35"/>
  <c r="AH106" i="35"/>
  <c r="AF105" i="35"/>
  <c r="AE105" i="35"/>
  <c r="AD105" i="35"/>
  <c r="AC105" i="35"/>
  <c r="AB105" i="35"/>
  <c r="Y105" i="35"/>
  <c r="W105" i="35"/>
  <c r="V105" i="35"/>
  <c r="U105" i="35"/>
  <c r="T105" i="35"/>
  <c r="S105" i="35"/>
  <c r="R105" i="35"/>
  <c r="Q105" i="35"/>
  <c r="P105" i="35"/>
  <c r="O105" i="35"/>
  <c r="N105" i="35"/>
  <c r="M105" i="35"/>
  <c r="L105" i="35"/>
  <c r="K105" i="35"/>
  <c r="J105" i="35"/>
  <c r="I105" i="35"/>
  <c r="H105" i="35"/>
  <c r="G105" i="35"/>
  <c r="F105" i="35"/>
  <c r="E105" i="35"/>
  <c r="D105" i="35"/>
  <c r="C105" i="35"/>
  <c r="B105" i="35"/>
  <c r="AF104" i="35"/>
  <c r="AE104" i="35"/>
  <c r="AD104" i="35"/>
  <c r="AC104" i="35"/>
  <c r="AB104" i="35"/>
  <c r="Y104" i="35"/>
  <c r="W104" i="35"/>
  <c r="V104" i="35"/>
  <c r="U104" i="35"/>
  <c r="T104" i="35"/>
  <c r="S104" i="35"/>
  <c r="R104" i="35"/>
  <c r="Q104" i="35"/>
  <c r="P104" i="35"/>
  <c r="O104" i="35"/>
  <c r="N104" i="35"/>
  <c r="M104" i="35"/>
  <c r="L104" i="35"/>
  <c r="K104" i="35"/>
  <c r="J104" i="35"/>
  <c r="I104" i="35"/>
  <c r="H104" i="35"/>
  <c r="G104" i="35"/>
  <c r="F104" i="35"/>
  <c r="E104" i="35"/>
  <c r="D104" i="35"/>
  <c r="C104" i="35"/>
  <c r="B104" i="35"/>
  <c r="AF103" i="35"/>
  <c r="AE103" i="35"/>
  <c r="AD103" i="35"/>
  <c r="AC103" i="35"/>
  <c r="AB103" i="35"/>
  <c r="Y103" i="35"/>
  <c r="W103" i="35"/>
  <c r="V103" i="35"/>
  <c r="U103" i="35"/>
  <c r="T103" i="35"/>
  <c r="S103" i="35"/>
  <c r="R103" i="35"/>
  <c r="Q103" i="35"/>
  <c r="P103" i="35"/>
  <c r="O103" i="35"/>
  <c r="N103" i="35"/>
  <c r="M103" i="35"/>
  <c r="L103" i="35"/>
  <c r="K103" i="35"/>
  <c r="J103" i="35"/>
  <c r="I103" i="35"/>
  <c r="H103" i="35"/>
  <c r="G103" i="35"/>
  <c r="F103" i="35"/>
  <c r="E103" i="35"/>
  <c r="D103" i="35"/>
  <c r="C103" i="35"/>
  <c r="B103" i="35"/>
  <c r="AF102" i="35"/>
  <c r="AE102" i="35"/>
  <c r="AD102" i="35"/>
  <c r="AC102" i="35"/>
  <c r="AB102" i="35"/>
  <c r="Y102" i="35"/>
  <c r="W102" i="35"/>
  <c r="V102" i="35"/>
  <c r="U102" i="35"/>
  <c r="T102" i="35"/>
  <c r="S102" i="35"/>
  <c r="R102" i="35"/>
  <c r="Q102" i="35"/>
  <c r="P102" i="35"/>
  <c r="O102" i="35"/>
  <c r="N102" i="35"/>
  <c r="M102" i="35"/>
  <c r="L102" i="35"/>
  <c r="K102" i="35"/>
  <c r="J102" i="35"/>
  <c r="I102" i="35"/>
  <c r="H102" i="35"/>
  <c r="G102" i="35"/>
  <c r="F102" i="35"/>
  <c r="E102" i="35"/>
  <c r="D102" i="35"/>
  <c r="C102" i="35"/>
  <c r="B102" i="35"/>
  <c r="AF101" i="35"/>
  <c r="AE101" i="35"/>
  <c r="AD101" i="35"/>
  <c r="AC101" i="35"/>
  <c r="AB101" i="35"/>
  <c r="Y101" i="35"/>
  <c r="W101" i="35"/>
  <c r="V101" i="35"/>
  <c r="U101" i="35"/>
  <c r="T101" i="35"/>
  <c r="S101" i="35"/>
  <c r="R101" i="35"/>
  <c r="Q101" i="35"/>
  <c r="P101" i="35"/>
  <c r="O101" i="35"/>
  <c r="N101" i="35"/>
  <c r="M101" i="35"/>
  <c r="L101" i="35"/>
  <c r="K101" i="35"/>
  <c r="J101" i="35"/>
  <c r="I101" i="35"/>
  <c r="H101" i="35"/>
  <c r="G101" i="35"/>
  <c r="F101" i="35"/>
  <c r="E101" i="35"/>
  <c r="D101" i="35"/>
  <c r="C101" i="35"/>
  <c r="B101" i="35"/>
  <c r="AI98" i="35"/>
  <c r="AH98" i="35"/>
  <c r="AI96" i="35"/>
  <c r="AH96" i="35"/>
  <c r="AG96" i="35"/>
  <c r="AI95" i="35"/>
  <c r="AH95" i="35"/>
  <c r="AI94" i="35"/>
  <c r="AH94" i="35"/>
  <c r="AI93" i="35"/>
  <c r="AH93" i="35"/>
  <c r="AG92" i="35"/>
  <c r="AF92" i="35"/>
  <c r="AE92" i="35"/>
  <c r="AD5" i="35" s="1"/>
  <c r="AD92" i="35"/>
  <c r="BH19" i="35" s="1"/>
  <c r="AC92" i="35"/>
  <c r="AB5" i="35" s="1"/>
  <c r="AB92" i="35"/>
  <c r="AA5" i="35" s="1"/>
  <c r="Y92" i="35"/>
  <c r="Y97" i="35" s="1"/>
  <c r="Y99" i="35" s="1"/>
  <c r="BE19" i="35"/>
  <c r="W92" i="35"/>
  <c r="V5" i="35" s="1"/>
  <c r="V92" i="35"/>
  <c r="BD19" i="35" s="1"/>
  <c r="U92" i="35"/>
  <c r="T5" i="35" s="1"/>
  <c r="T92" i="35"/>
  <c r="S5" i="35" s="1"/>
  <c r="S92" i="35"/>
  <c r="R5" i="35" s="1"/>
  <c r="R92" i="35"/>
  <c r="AZ19" i="35" s="1"/>
  <c r="Q92" i="35"/>
  <c r="P5" i="35" s="1"/>
  <c r="P92" i="35"/>
  <c r="O92" i="35"/>
  <c r="N5" i="35" s="1"/>
  <c r="N92" i="35"/>
  <c r="M5" i="35" s="1"/>
  <c r="M92" i="35"/>
  <c r="L5" i="35" s="1"/>
  <c r="L92" i="35"/>
  <c r="K5" i="35" s="1"/>
  <c r="K92" i="35"/>
  <c r="AT19" i="35" s="1"/>
  <c r="J92" i="35"/>
  <c r="I5" i="35" s="1"/>
  <c r="I92" i="35"/>
  <c r="H5" i="35" s="1"/>
  <c r="H92" i="35"/>
  <c r="G92" i="35"/>
  <c r="AR19" i="35" s="1"/>
  <c r="F92" i="35"/>
  <c r="E92" i="35"/>
  <c r="D5" i="35" s="1"/>
  <c r="D92" i="35"/>
  <c r="C5" i="35" s="1"/>
  <c r="C92" i="35"/>
  <c r="AN19" i="35" s="1"/>
  <c r="B92" i="35"/>
  <c r="AI91" i="35"/>
  <c r="AH91" i="35"/>
  <c r="AI90" i="35"/>
  <c r="AH90" i="35"/>
  <c r="AI89" i="35"/>
  <c r="AH89" i="35"/>
  <c r="AI88" i="35"/>
  <c r="AH88" i="35"/>
  <c r="AI87" i="35"/>
  <c r="AH87" i="35"/>
  <c r="AI86" i="35"/>
  <c r="AH86" i="35"/>
  <c r="AI85" i="35"/>
  <c r="AH85" i="35"/>
  <c r="AI84" i="35"/>
  <c r="AH84" i="35"/>
  <c r="AI83" i="35"/>
  <c r="AH83" i="35"/>
  <c r="AI82" i="35"/>
  <c r="AH82" i="35"/>
  <c r="AI81" i="35"/>
  <c r="AH81" i="35"/>
  <c r="AG80" i="35"/>
  <c r="AF80" i="35"/>
  <c r="AE80" i="35"/>
  <c r="BI20" i="35" s="1"/>
  <c r="AD80" i="35"/>
  <c r="AC80" i="35"/>
  <c r="AB80" i="35"/>
  <c r="BF20" i="35"/>
  <c r="W80" i="35"/>
  <c r="V80" i="35"/>
  <c r="U80" i="35"/>
  <c r="BC20" i="35" s="1"/>
  <c r="T80" i="35"/>
  <c r="S80" i="35"/>
  <c r="R80" i="35"/>
  <c r="Q80" i="35"/>
  <c r="P80" i="35"/>
  <c r="O80" i="35"/>
  <c r="N80" i="35"/>
  <c r="M80" i="35"/>
  <c r="AU20" i="35" s="1"/>
  <c r="L80" i="35"/>
  <c r="K80" i="35"/>
  <c r="J80" i="35"/>
  <c r="I80" i="35"/>
  <c r="H80" i="35"/>
  <c r="G80" i="35"/>
  <c r="F80" i="35"/>
  <c r="AQ20" i="35" s="1"/>
  <c r="E80" i="35"/>
  <c r="AP20" i="35" s="1"/>
  <c r="D80" i="35"/>
  <c r="C80" i="35"/>
  <c r="AN20" i="35" s="1"/>
  <c r="B80" i="35"/>
  <c r="AM20" i="35" s="1"/>
  <c r="AI79" i="35"/>
  <c r="AH79" i="35"/>
  <c r="AI78" i="35"/>
  <c r="AH78" i="35"/>
  <c r="AI77" i="35"/>
  <c r="AH77" i="35"/>
  <c r="AF76" i="35"/>
  <c r="BJ18" i="35" s="1"/>
  <c r="AE76" i="35"/>
  <c r="BI18" i="35" s="1"/>
  <c r="AD76" i="35"/>
  <c r="BH18" i="35" s="1"/>
  <c r="AC76" i="35"/>
  <c r="AB76" i="35"/>
  <c r="BG18" i="35" s="1"/>
  <c r="BE18" i="35"/>
  <c r="W76" i="35"/>
  <c r="V76" i="35"/>
  <c r="BD18" i="35" s="1"/>
  <c r="U76" i="35"/>
  <c r="BC18" i="35" s="1"/>
  <c r="T76" i="35"/>
  <c r="BB18" i="35" s="1"/>
  <c r="S76" i="35"/>
  <c r="R76" i="35"/>
  <c r="AZ18" i="35" s="1"/>
  <c r="Q76" i="35"/>
  <c r="AY18" i="35" s="1"/>
  <c r="P76" i="35"/>
  <c r="AX18" i="35" s="1"/>
  <c r="O76" i="35"/>
  <c r="AW18" i="35" s="1"/>
  <c r="N76" i="35"/>
  <c r="AV18" i="35" s="1"/>
  <c r="M76" i="35"/>
  <c r="AU18" i="35" s="1"/>
  <c r="L76" i="35"/>
  <c r="K76" i="35"/>
  <c r="AT18" i="35" s="1"/>
  <c r="J76" i="35"/>
  <c r="I76" i="35"/>
  <c r="AS18" i="35" s="1"/>
  <c r="H76" i="35"/>
  <c r="G76" i="35"/>
  <c r="AR18" i="35" s="1"/>
  <c r="F76" i="35"/>
  <c r="E76" i="35"/>
  <c r="AP18" i="35" s="1"/>
  <c r="D76" i="35"/>
  <c r="AO18" i="35" s="1"/>
  <c r="C76" i="35"/>
  <c r="AN18" i="35" s="1"/>
  <c r="B76" i="35"/>
  <c r="AM18" i="35" s="1"/>
  <c r="BE75" i="35"/>
  <c r="AI75" i="35"/>
  <c r="AH75" i="35"/>
  <c r="AG75" i="35"/>
  <c r="AG76" i="35" s="1"/>
  <c r="AG3" i="35" s="1"/>
  <c r="AI74" i="35"/>
  <c r="AH74" i="35"/>
  <c r="BW73" i="35"/>
  <c r="BW80" i="35" s="1"/>
  <c r="BV73" i="35"/>
  <c r="BV80" i="35" s="1"/>
  <c r="BU73" i="35"/>
  <c r="BU80" i="35" s="1"/>
  <c r="BT73" i="35"/>
  <c r="BT80" i="35" s="1"/>
  <c r="BS73" i="35"/>
  <c r="BS80" i="35" s="1"/>
  <c r="BR73" i="35"/>
  <c r="BR80" i="35" s="1"/>
  <c r="BQ73" i="35"/>
  <c r="BQ80" i="35" s="1"/>
  <c r="BP73" i="35"/>
  <c r="BP80" i="35" s="1"/>
  <c r="BO73" i="35"/>
  <c r="BO80" i="35" s="1"/>
  <c r="BN73" i="35"/>
  <c r="BN80" i="35" s="1"/>
  <c r="BM73" i="35"/>
  <c r="BM80" i="35" s="1"/>
  <c r="BL73" i="35"/>
  <c r="BL80" i="35" s="1"/>
  <c r="BK73" i="35"/>
  <c r="BK80" i="35" s="1"/>
  <c r="BJ73" i="35"/>
  <c r="BJ80" i="35" s="1"/>
  <c r="BI73" i="35"/>
  <c r="BI80" i="35" s="1"/>
  <c r="BH73" i="35"/>
  <c r="BH80" i="35" s="1"/>
  <c r="BG73" i="35"/>
  <c r="BG80" i="35" s="1"/>
  <c r="BF73" i="35"/>
  <c r="BF80" i="35" s="1"/>
  <c r="BE73" i="35"/>
  <c r="BE80" i="35" s="1"/>
  <c r="BD73" i="35"/>
  <c r="BD80" i="35" s="1"/>
  <c r="BC73" i="35"/>
  <c r="BC80" i="35" s="1"/>
  <c r="BB73" i="35"/>
  <c r="BB80" i="35" s="1"/>
  <c r="BA73" i="35"/>
  <c r="BA80" i="35" s="1"/>
  <c r="AZ73" i="35"/>
  <c r="AZ80" i="35" s="1"/>
  <c r="AI73" i="35"/>
  <c r="AH73" i="35"/>
  <c r="BW72" i="35"/>
  <c r="BW79" i="35" s="1"/>
  <c r="BV72" i="35"/>
  <c r="BV79" i="35" s="1"/>
  <c r="BU72" i="35"/>
  <c r="BU79" i="35" s="1"/>
  <c r="BT72" i="35"/>
  <c r="BT79" i="35" s="1"/>
  <c r="BS72" i="35"/>
  <c r="BS79" i="35" s="1"/>
  <c r="BR72" i="35"/>
  <c r="BR79" i="35" s="1"/>
  <c r="BQ72" i="35"/>
  <c r="BQ79" i="35" s="1"/>
  <c r="BP72" i="35"/>
  <c r="BP79" i="35" s="1"/>
  <c r="BO72" i="35"/>
  <c r="BO79" i="35" s="1"/>
  <c r="BN72" i="35"/>
  <c r="BN79" i="35" s="1"/>
  <c r="BM72" i="35"/>
  <c r="BM79" i="35" s="1"/>
  <c r="BL72" i="35"/>
  <c r="BL79" i="35" s="1"/>
  <c r="BK72" i="35"/>
  <c r="BK79" i="35" s="1"/>
  <c r="BJ72" i="35"/>
  <c r="BJ79" i="35" s="1"/>
  <c r="BI72" i="35"/>
  <c r="BI79" i="35" s="1"/>
  <c r="BH72" i="35"/>
  <c r="BH79" i="35" s="1"/>
  <c r="BG72" i="35"/>
  <c r="BG79" i="35" s="1"/>
  <c r="BF72" i="35"/>
  <c r="BF79" i="35" s="1"/>
  <c r="BE72" i="35"/>
  <c r="BE79" i="35" s="1"/>
  <c r="BD72" i="35"/>
  <c r="BD79" i="35" s="1"/>
  <c r="BC72" i="35"/>
  <c r="BC79" i="35" s="1"/>
  <c r="BB72" i="35"/>
  <c r="BB79" i="35" s="1"/>
  <c r="BA72" i="35"/>
  <c r="BA79" i="35" s="1"/>
  <c r="AZ72" i="35"/>
  <c r="AZ79" i="35" s="1"/>
  <c r="AI72" i="35"/>
  <c r="AH72" i="35"/>
  <c r="BW71" i="35"/>
  <c r="BW78" i="35" s="1"/>
  <c r="BV71" i="35"/>
  <c r="BV78" i="35" s="1"/>
  <c r="BU71" i="35"/>
  <c r="BU78" i="35" s="1"/>
  <c r="BT71" i="35"/>
  <c r="BT78" i="35" s="1"/>
  <c r="BS71" i="35"/>
  <c r="BS78" i="35" s="1"/>
  <c r="BR71" i="35"/>
  <c r="BR78" i="35" s="1"/>
  <c r="BQ71" i="35"/>
  <c r="BQ78" i="35" s="1"/>
  <c r="BP71" i="35"/>
  <c r="BP78" i="35" s="1"/>
  <c r="BO71" i="35"/>
  <c r="BO78" i="35" s="1"/>
  <c r="BN71" i="35"/>
  <c r="BN78" i="35" s="1"/>
  <c r="BM71" i="35"/>
  <c r="BM78" i="35" s="1"/>
  <c r="BL71" i="35"/>
  <c r="BL78" i="35" s="1"/>
  <c r="BK71" i="35"/>
  <c r="BK78" i="35" s="1"/>
  <c r="BJ71" i="35"/>
  <c r="BJ78" i="35" s="1"/>
  <c r="BI71" i="35"/>
  <c r="BI78" i="35" s="1"/>
  <c r="BH71" i="35"/>
  <c r="BH78" i="35" s="1"/>
  <c r="BG71" i="35"/>
  <c r="BG78" i="35" s="1"/>
  <c r="BF71" i="35"/>
  <c r="BF78" i="35" s="1"/>
  <c r="BE71" i="35"/>
  <c r="BE78" i="35" s="1"/>
  <c r="BD71" i="35"/>
  <c r="BD78" i="35" s="1"/>
  <c r="BC71" i="35"/>
  <c r="BC78" i="35" s="1"/>
  <c r="BB71" i="35"/>
  <c r="BB78" i="35" s="1"/>
  <c r="BA71" i="35"/>
  <c r="BA78" i="35" s="1"/>
  <c r="AZ71" i="35"/>
  <c r="AZ78" i="35" s="1"/>
  <c r="AI71" i="35"/>
  <c r="AH71" i="35"/>
  <c r="BW70" i="35"/>
  <c r="BW77" i="35" s="1"/>
  <c r="BV70" i="35"/>
  <c r="BV77" i="35" s="1"/>
  <c r="BU70" i="35"/>
  <c r="BU77" i="35" s="1"/>
  <c r="BT70" i="35"/>
  <c r="BT77" i="35" s="1"/>
  <c r="BS70" i="35"/>
  <c r="BS77" i="35" s="1"/>
  <c r="BR70" i="35"/>
  <c r="BR77" i="35" s="1"/>
  <c r="BQ70" i="35"/>
  <c r="BQ77" i="35" s="1"/>
  <c r="BP70" i="35"/>
  <c r="BP77" i="35" s="1"/>
  <c r="BO70" i="35"/>
  <c r="BO77" i="35" s="1"/>
  <c r="BN70" i="35"/>
  <c r="BN77" i="35" s="1"/>
  <c r="BM70" i="35"/>
  <c r="BM77" i="35" s="1"/>
  <c r="BL70" i="35"/>
  <c r="BL77" i="35" s="1"/>
  <c r="BK70" i="35"/>
  <c r="BK77" i="35" s="1"/>
  <c r="BJ70" i="35"/>
  <c r="BJ77" i="35" s="1"/>
  <c r="BI70" i="35"/>
  <c r="BI77" i="35" s="1"/>
  <c r="BH70" i="35"/>
  <c r="BH77" i="35" s="1"/>
  <c r="BG70" i="35"/>
  <c r="BG77" i="35" s="1"/>
  <c r="BF70" i="35"/>
  <c r="BF77" i="35" s="1"/>
  <c r="BE70" i="35"/>
  <c r="BE77" i="35" s="1"/>
  <c r="BD70" i="35"/>
  <c r="BD77" i="35" s="1"/>
  <c r="BC70" i="35"/>
  <c r="BC77" i="35" s="1"/>
  <c r="BB70" i="35"/>
  <c r="BB77" i="35" s="1"/>
  <c r="BA70" i="35"/>
  <c r="BA77" i="35" s="1"/>
  <c r="AZ70" i="35"/>
  <c r="AZ77" i="35" s="1"/>
  <c r="AI70" i="35"/>
  <c r="AH70" i="35"/>
  <c r="BW69" i="35"/>
  <c r="BW76" i="35" s="1"/>
  <c r="BV69" i="35"/>
  <c r="BV76" i="35" s="1"/>
  <c r="BU69" i="35"/>
  <c r="BU76" i="35" s="1"/>
  <c r="BT69" i="35"/>
  <c r="BT76" i="35" s="1"/>
  <c r="BS69" i="35"/>
  <c r="BS76" i="35" s="1"/>
  <c r="BR69" i="35"/>
  <c r="BR76" i="35" s="1"/>
  <c r="BQ69" i="35"/>
  <c r="BQ76" i="35" s="1"/>
  <c r="BP69" i="35"/>
  <c r="BP76" i="35" s="1"/>
  <c r="BO69" i="35"/>
  <c r="BO76" i="35" s="1"/>
  <c r="BN69" i="35"/>
  <c r="BN76" i="35" s="1"/>
  <c r="BM69" i="35"/>
  <c r="BM76" i="35" s="1"/>
  <c r="BL69" i="35"/>
  <c r="BL76" i="35" s="1"/>
  <c r="BK69" i="35"/>
  <c r="BK76" i="35" s="1"/>
  <c r="BJ69" i="35"/>
  <c r="BJ76" i="35" s="1"/>
  <c r="BI69" i="35"/>
  <c r="BI76" i="35" s="1"/>
  <c r="BH69" i="35"/>
  <c r="BH76" i="35" s="1"/>
  <c r="BG69" i="35"/>
  <c r="BG76" i="35" s="1"/>
  <c r="BF69" i="35"/>
  <c r="BF76" i="35" s="1"/>
  <c r="BE69" i="35"/>
  <c r="BE76" i="35" s="1"/>
  <c r="BD69" i="35"/>
  <c r="BD76" i="35" s="1"/>
  <c r="BC69" i="35"/>
  <c r="BC76" i="35" s="1"/>
  <c r="BB69" i="35"/>
  <c r="BB76" i="35" s="1"/>
  <c r="BA69" i="35"/>
  <c r="BA76" i="35" s="1"/>
  <c r="AZ69" i="35"/>
  <c r="AZ76" i="35" s="1"/>
  <c r="AI69" i="35"/>
  <c r="AH69" i="35"/>
  <c r="BW68" i="35"/>
  <c r="BW75" i="35" s="1"/>
  <c r="BV68" i="35"/>
  <c r="BV75" i="35" s="1"/>
  <c r="BU68" i="35"/>
  <c r="BU75" i="35" s="1"/>
  <c r="BT68" i="35"/>
  <c r="BT75" i="35" s="1"/>
  <c r="BS68" i="35"/>
  <c r="BS75" i="35" s="1"/>
  <c r="BR68" i="35"/>
  <c r="BR75" i="35" s="1"/>
  <c r="BQ68" i="35"/>
  <c r="BQ75" i="35" s="1"/>
  <c r="BP68" i="35"/>
  <c r="BP75" i="35" s="1"/>
  <c r="BO68" i="35"/>
  <c r="BO75" i="35" s="1"/>
  <c r="BN68" i="35"/>
  <c r="BN75" i="35" s="1"/>
  <c r="BM68" i="35"/>
  <c r="BM75" i="35" s="1"/>
  <c r="BL68" i="35"/>
  <c r="BL75" i="35" s="1"/>
  <c r="BK68" i="35"/>
  <c r="BK75" i="35" s="1"/>
  <c r="BJ68" i="35"/>
  <c r="BJ75" i="35" s="1"/>
  <c r="BI68" i="35"/>
  <c r="BI75" i="35" s="1"/>
  <c r="BH68" i="35"/>
  <c r="BH75" i="35" s="1"/>
  <c r="BG68" i="35"/>
  <c r="BG75" i="35" s="1"/>
  <c r="BF68" i="35"/>
  <c r="BF75" i="35" s="1"/>
  <c r="BE68" i="35"/>
  <c r="BD68" i="35"/>
  <c r="BD75" i="35" s="1"/>
  <c r="BC68" i="35"/>
  <c r="BC75" i="35" s="1"/>
  <c r="BB68" i="35"/>
  <c r="BB75" i="35" s="1"/>
  <c r="BA68" i="35"/>
  <c r="BA75" i="35" s="1"/>
  <c r="AZ68" i="35"/>
  <c r="AZ75" i="35" s="1"/>
  <c r="AI68" i="35"/>
  <c r="AH68" i="35"/>
  <c r="AI67" i="35"/>
  <c r="AH67" i="35"/>
  <c r="AI66" i="35"/>
  <c r="AH66" i="35"/>
  <c r="AI65" i="35"/>
  <c r="AH65" i="35"/>
  <c r="AI64" i="35"/>
  <c r="AH64" i="35"/>
  <c r="AI63" i="35"/>
  <c r="AH63" i="35"/>
  <c r="AG62" i="35"/>
  <c r="AF62" i="35"/>
  <c r="BJ17" i="35" s="1"/>
  <c r="AE62" i="35"/>
  <c r="BI17" i="35" s="1"/>
  <c r="AD62" i="35"/>
  <c r="BH17" i="35" s="1"/>
  <c r="AC62" i="35"/>
  <c r="AB62" i="35"/>
  <c r="BG17" i="35" s="1"/>
  <c r="BE17" i="35"/>
  <c r="W62" i="35"/>
  <c r="V62" i="35"/>
  <c r="U62" i="35"/>
  <c r="BC17" i="35" s="1"/>
  <c r="T62" i="35"/>
  <c r="BB17" i="35" s="1"/>
  <c r="S62" i="35"/>
  <c r="BA17" i="35" s="1"/>
  <c r="Q62" i="35"/>
  <c r="AY17" i="35" s="1"/>
  <c r="P62" i="35"/>
  <c r="AX17" i="35" s="1"/>
  <c r="O62" i="35"/>
  <c r="AW17" i="35" s="1"/>
  <c r="N62" i="35"/>
  <c r="AU17" i="35"/>
  <c r="L62" i="35"/>
  <c r="K62" i="35"/>
  <c r="AT17" i="35" s="1"/>
  <c r="J62" i="35"/>
  <c r="I62" i="35"/>
  <c r="AS17" i="35" s="1"/>
  <c r="H62" i="35"/>
  <c r="G62" i="35"/>
  <c r="AR17" i="35" s="1"/>
  <c r="F62" i="35"/>
  <c r="AQ17" i="35" s="1"/>
  <c r="E62" i="35"/>
  <c r="AP17" i="35" s="1"/>
  <c r="D62" i="35"/>
  <c r="AO17" i="35" s="1"/>
  <c r="C62" i="35"/>
  <c r="AN17" i="35" s="1"/>
  <c r="B62" i="35"/>
  <c r="AI61" i="35"/>
  <c r="AH61" i="35"/>
  <c r="AI60" i="35"/>
  <c r="AH60" i="35"/>
  <c r="AI59" i="35"/>
  <c r="AH59" i="35"/>
  <c r="AG58" i="35"/>
  <c r="AG2" i="35" s="1"/>
  <c r="AF58" i="35"/>
  <c r="BJ16" i="35" s="1"/>
  <c r="AE58" i="35"/>
  <c r="AD58" i="35"/>
  <c r="AC58" i="35"/>
  <c r="AB58" i="35"/>
  <c r="AA7" i="35"/>
  <c r="W58" i="35"/>
  <c r="V58" i="35"/>
  <c r="U58" i="35"/>
  <c r="T58" i="35"/>
  <c r="S58" i="35"/>
  <c r="S97" i="35" s="1"/>
  <c r="S99" i="35" s="1"/>
  <c r="Q58" i="35"/>
  <c r="P58" i="35"/>
  <c r="P97" i="35" s="1"/>
  <c r="P99" i="35" s="1"/>
  <c r="O58" i="35"/>
  <c r="N58" i="35"/>
  <c r="AV16" i="35" s="1"/>
  <c r="L58" i="35"/>
  <c r="K58" i="35"/>
  <c r="J58" i="35"/>
  <c r="I58" i="35"/>
  <c r="H58" i="35"/>
  <c r="G58" i="35"/>
  <c r="AR16" i="35" s="1"/>
  <c r="F58" i="35"/>
  <c r="E58" i="35"/>
  <c r="D58" i="35"/>
  <c r="C58" i="35"/>
  <c r="B58" i="35"/>
  <c r="AI57" i="35"/>
  <c r="AH57" i="35"/>
  <c r="AI56" i="35"/>
  <c r="AH56" i="35"/>
  <c r="AI55" i="35"/>
  <c r="AH55" i="35"/>
  <c r="AI54" i="35"/>
  <c r="AH54" i="35"/>
  <c r="AI53" i="35"/>
  <c r="AH53" i="35"/>
  <c r="AI52" i="35"/>
  <c r="AH52" i="35"/>
  <c r="AI51" i="35"/>
  <c r="AH51" i="35"/>
  <c r="AI50" i="35"/>
  <c r="AH50" i="35"/>
  <c r="AI49" i="35"/>
  <c r="AH49" i="35"/>
  <c r="AI48" i="35"/>
  <c r="AH48" i="35"/>
  <c r="AI47" i="35"/>
  <c r="AH47" i="35"/>
  <c r="AI46" i="35"/>
  <c r="AH46" i="35"/>
  <c r="AI45" i="35"/>
  <c r="AH45" i="35"/>
  <c r="AI44" i="35"/>
  <c r="AH44" i="35"/>
  <c r="AI43" i="35"/>
  <c r="AH43" i="35"/>
  <c r="AI42" i="35"/>
  <c r="AH42" i="35"/>
  <c r="AI41" i="35"/>
  <c r="AH41" i="35"/>
  <c r="AI40" i="35"/>
  <c r="AH40" i="35"/>
  <c r="AI39" i="35"/>
  <c r="AH39" i="35"/>
  <c r="AI38" i="35"/>
  <c r="AH38" i="35"/>
  <c r="AI37" i="35"/>
  <c r="AH37" i="35"/>
  <c r="AI36" i="35"/>
  <c r="AH36" i="35"/>
  <c r="AI35" i="35"/>
  <c r="AH35" i="35"/>
  <c r="AI34" i="35"/>
  <c r="AH34" i="35"/>
  <c r="AI33" i="35"/>
  <c r="AH33" i="35"/>
  <c r="AI32" i="35"/>
  <c r="AH32" i="35"/>
  <c r="AI31" i="35"/>
  <c r="AH31" i="35"/>
  <c r="AI30" i="35"/>
  <c r="AH30" i="35"/>
  <c r="AI29" i="35"/>
  <c r="AH29" i="35"/>
  <c r="AI28" i="35"/>
  <c r="AH28" i="35"/>
  <c r="AI27" i="35"/>
  <c r="AH27" i="35"/>
  <c r="AI26" i="35"/>
  <c r="AH26" i="35"/>
  <c r="AI25" i="35"/>
  <c r="AH25" i="35"/>
  <c r="AI24" i="35"/>
  <c r="AH24" i="35"/>
  <c r="AI23" i="35"/>
  <c r="AH23" i="35"/>
  <c r="AI22" i="35"/>
  <c r="AH22" i="35"/>
  <c r="BJ21" i="35"/>
  <c r="BI21" i="35"/>
  <c r="BH21" i="35"/>
  <c r="BG21" i="35"/>
  <c r="BF21" i="35"/>
  <c r="BE21" i="35"/>
  <c r="BD21" i="35"/>
  <c r="BC21" i="35"/>
  <c r="BB21" i="35"/>
  <c r="BA21" i="35"/>
  <c r="AZ21" i="35"/>
  <c r="AY21" i="35"/>
  <c r="AX21" i="35"/>
  <c r="AW21" i="35"/>
  <c r="AV21" i="35"/>
  <c r="AU21" i="35"/>
  <c r="AT21" i="35"/>
  <c r="AS21" i="35"/>
  <c r="AR21" i="35"/>
  <c r="AQ21" i="35"/>
  <c r="AP21" i="35"/>
  <c r="AO21" i="35"/>
  <c r="AN21" i="35"/>
  <c r="AM21" i="35"/>
  <c r="AI21" i="35"/>
  <c r="AH21" i="35"/>
  <c r="BJ20" i="35"/>
  <c r="BH20" i="35"/>
  <c r="BG20" i="35"/>
  <c r="BE20" i="35"/>
  <c r="BD20" i="35"/>
  <c r="BB20" i="35"/>
  <c r="BA20" i="35"/>
  <c r="AZ20" i="35"/>
  <c r="AY20" i="35"/>
  <c r="AX20" i="35"/>
  <c r="AW20" i="35"/>
  <c r="AV20" i="35"/>
  <c r="AT20" i="35"/>
  <c r="AS20" i="35"/>
  <c r="AR20" i="35"/>
  <c r="AO20" i="35"/>
  <c r="AI20" i="35"/>
  <c r="AH20" i="35"/>
  <c r="BJ19" i="35"/>
  <c r="BG19" i="35"/>
  <c r="BF19" i="35"/>
  <c r="AX19" i="35"/>
  <c r="AI19" i="35"/>
  <c r="AH19" i="35"/>
  <c r="BF18" i="35"/>
  <c r="BA18" i="35"/>
  <c r="AQ18" i="35"/>
  <c r="AI18" i="35"/>
  <c r="AH18" i="35"/>
  <c r="BF17" i="35"/>
  <c r="BD17" i="35"/>
  <c r="AZ17" i="35"/>
  <c r="AV17" i="35"/>
  <c r="AI17" i="35"/>
  <c r="AH17" i="35"/>
  <c r="BG16" i="35"/>
  <c r="BF16" i="35"/>
  <c r="AZ16" i="35"/>
  <c r="AM16" i="35"/>
  <c r="AI16" i="35"/>
  <c r="AH16" i="35"/>
  <c r="AI15" i="35"/>
  <c r="AH15" i="35"/>
  <c r="AI14" i="35"/>
  <c r="AH14" i="35"/>
  <c r="AI13" i="35"/>
  <c r="AH13" i="35"/>
  <c r="AL12" i="35"/>
  <c r="AI12" i="35"/>
  <c r="AH12" i="35"/>
  <c r="AI11" i="35"/>
  <c r="AH11" i="35"/>
  <c r="AE5" i="35"/>
  <c r="Z5" i="35"/>
  <c r="Y5" i="35"/>
  <c r="W5" i="35"/>
  <c r="Q5" i="35"/>
  <c r="O5" i="35"/>
  <c r="AG4" i="35"/>
  <c r="K4" i="35"/>
  <c r="E4" i="35"/>
  <c r="H4" i="35" s="1"/>
  <c r="B4" i="35"/>
  <c r="D258" i="35" s="1"/>
  <c r="BI19" i="35" l="1"/>
  <c r="AD107" i="35"/>
  <c r="BH23" i="35" s="1"/>
  <c r="AC5" i="35"/>
  <c r="AD97" i="35"/>
  <c r="AD99" i="35" s="1"/>
  <c r="AC107" i="35"/>
  <c r="AC97" i="35"/>
  <c r="AC99" i="35" s="1"/>
  <c r="X5" i="35"/>
  <c r="V107" i="35"/>
  <c r="BD23" i="35" s="1"/>
  <c r="U5" i="35"/>
  <c r="V97" i="35"/>
  <c r="V99" i="35" s="1"/>
  <c r="V100" i="35" s="1"/>
  <c r="V7" i="35" s="1"/>
  <c r="BC19" i="35"/>
  <c r="U97" i="35"/>
  <c r="U99" i="35" s="1"/>
  <c r="BB19" i="35"/>
  <c r="BA19" i="35"/>
  <c r="S107" i="35"/>
  <c r="BA23" i="35" s="1"/>
  <c r="BA16" i="35"/>
  <c r="BA22" i="35" s="1"/>
  <c r="BA24" i="35" s="1"/>
  <c r="G246" i="35"/>
  <c r="F118" i="35"/>
  <c r="BH16" i="35"/>
  <c r="BH22" i="35" s="1"/>
  <c r="AG6" i="35"/>
  <c r="V108" i="35"/>
  <c r="AD108" i="35"/>
  <c r="Y107" i="35"/>
  <c r="Y108" i="35" s="1"/>
  <c r="U107" i="35"/>
  <c r="BC23" i="35" s="1"/>
  <c r="AC100" i="35"/>
  <c r="AC7" i="35" s="1"/>
  <c r="BG22" i="35"/>
  <c r="X7" i="35"/>
  <c r="AF97" i="35"/>
  <c r="AF99" i="35" s="1"/>
  <c r="AF100" i="35" s="1"/>
  <c r="AF7" i="35" s="1"/>
  <c r="AF108" i="35"/>
  <c r="T107" i="35"/>
  <c r="AB107" i="35"/>
  <c r="BG23" i="35" s="1"/>
  <c r="BD16" i="35"/>
  <c r="BD22" i="35" s="1"/>
  <c r="BD24" i="35" s="1"/>
  <c r="BF22" i="35"/>
  <c r="BF24" i="35" s="1"/>
  <c r="BE16" i="35"/>
  <c r="T97" i="35"/>
  <c r="T99" i="35" s="1"/>
  <c r="AB97" i="35"/>
  <c r="AB99" i="35" s="1"/>
  <c r="AB100" i="35" s="1"/>
  <c r="AB7" i="35" s="1"/>
  <c r="BE23" i="35"/>
  <c r="AF107" i="35"/>
  <c r="BJ23" i="35" s="1"/>
  <c r="BF23" i="35"/>
  <c r="R107" i="35"/>
  <c r="AZ23" i="35" s="1"/>
  <c r="AZ22" i="35"/>
  <c r="AY19" i="35"/>
  <c r="Q107" i="35"/>
  <c r="AY23" i="35" s="1"/>
  <c r="Q97" i="35"/>
  <c r="Q99" i="35" s="1"/>
  <c r="AY16" i="35"/>
  <c r="P107" i="35"/>
  <c r="AX23" i="35" s="1"/>
  <c r="AX16" i="35"/>
  <c r="AI102" i="35"/>
  <c r="AW19" i="35"/>
  <c r="AV19" i="35"/>
  <c r="AV22" i="35" s="1"/>
  <c r="AV24" i="35" s="1"/>
  <c r="N107" i="35"/>
  <c r="AV23" i="35" s="1"/>
  <c r="N97" i="35"/>
  <c r="N99" i="35" s="1"/>
  <c r="M97" i="35"/>
  <c r="M99" i="35" s="1"/>
  <c r="M107" i="35"/>
  <c r="AU23" i="35" s="1"/>
  <c r="AU19" i="35"/>
  <c r="L107" i="35"/>
  <c r="L108" i="35" s="1"/>
  <c r="L97" i="35"/>
  <c r="L99" i="35" s="1"/>
  <c r="K107" i="35"/>
  <c r="AT23" i="35" s="1"/>
  <c r="J5" i="35"/>
  <c r="J107" i="35"/>
  <c r="K97" i="35"/>
  <c r="K99" i="35" s="1"/>
  <c r="AT16" i="35"/>
  <c r="AT22" i="35" s="1"/>
  <c r="AS19" i="35"/>
  <c r="I107" i="35"/>
  <c r="I97" i="35"/>
  <c r="I99" i="35" s="1"/>
  <c r="AS16" i="35"/>
  <c r="AS22" i="35" s="1"/>
  <c r="H107" i="35"/>
  <c r="H108" i="35" s="1"/>
  <c r="G5" i="35"/>
  <c r="H97" i="35"/>
  <c r="H99" i="35" s="1"/>
  <c r="F5" i="35"/>
  <c r="AR22" i="35"/>
  <c r="AH104" i="35"/>
  <c r="AP19" i="35"/>
  <c r="AQ19" i="35"/>
  <c r="F107" i="35"/>
  <c r="AQ23" i="35" s="1"/>
  <c r="E5" i="35"/>
  <c r="AI105" i="35"/>
  <c r="E97" i="35"/>
  <c r="E99" i="35" s="1"/>
  <c r="F97" i="35"/>
  <c r="F99" i="35" s="1"/>
  <c r="F100" i="35" s="1"/>
  <c r="F7" i="35" s="1"/>
  <c r="AQ16" i="35"/>
  <c r="AQ22" i="35" s="1"/>
  <c r="AQ24" i="35" s="1"/>
  <c r="AI104" i="35"/>
  <c r="AO19" i="35"/>
  <c r="D107" i="35"/>
  <c r="AO23" i="35" s="1"/>
  <c r="D97" i="35"/>
  <c r="D99" i="35" s="1"/>
  <c r="AH103" i="35"/>
  <c r="B5" i="35"/>
  <c r="C107" i="35"/>
  <c r="AN23" i="35" s="1"/>
  <c r="AI92" i="35"/>
  <c r="AH76" i="35"/>
  <c r="AH62" i="35"/>
  <c r="C97" i="35"/>
  <c r="C99" i="35" s="1"/>
  <c r="C100" i="35" s="1"/>
  <c r="C7" i="35" s="1"/>
  <c r="AN16" i="35"/>
  <c r="AN22" i="35" s="1"/>
  <c r="AN24" i="35" s="1"/>
  <c r="BG84" i="35" a="1"/>
  <c r="BJ99" i="35" s="1"/>
  <c r="AF5" i="35"/>
  <c r="AM19" i="35"/>
  <c r="AM22" i="35" s="1"/>
  <c r="AH105" i="35"/>
  <c r="AI62" i="35"/>
  <c r="AM17" i="35"/>
  <c r="BJ22" i="35"/>
  <c r="BJ24" i="35" s="1"/>
  <c r="BE22" i="35"/>
  <c r="AX22" i="35"/>
  <c r="AX24" i="35" s="1"/>
  <c r="AE97" i="35"/>
  <c r="AE99" i="35" s="1"/>
  <c r="AP16" i="35"/>
  <c r="AI58" i="35"/>
  <c r="AI103" i="35"/>
  <c r="AH101" i="35"/>
  <c r="AI101" i="35"/>
  <c r="B107" i="35"/>
  <c r="BI16" i="35"/>
  <c r="BI22" i="35" s="1"/>
  <c r="AH80" i="35"/>
  <c r="AG99" i="35"/>
  <c r="E107" i="35"/>
  <c r="AP23" i="35" s="1"/>
  <c r="E252" i="35"/>
  <c r="F252" i="35"/>
  <c r="R108" i="35"/>
  <c r="H246" i="35"/>
  <c r="G252" i="35"/>
  <c r="G118" i="35"/>
  <c r="BB16" i="35"/>
  <c r="BB22" i="35" s="1"/>
  <c r="G97" i="35"/>
  <c r="G99" i="35" s="1"/>
  <c r="AU16" i="35"/>
  <c r="AU22" i="35" s="1"/>
  <c r="AU24" i="35" s="1"/>
  <c r="BC16" i="35"/>
  <c r="BC22" i="35" s="1"/>
  <c r="K108" i="35"/>
  <c r="S108" i="35"/>
  <c r="O97" i="35"/>
  <c r="O99" i="35" s="1"/>
  <c r="AI76" i="35"/>
  <c r="J108" i="35"/>
  <c r="AL13" i="35"/>
  <c r="I100" i="35"/>
  <c r="I7" i="35" s="1"/>
  <c r="Q100" i="35"/>
  <c r="Q7" i="35" s="1"/>
  <c r="AG97" i="35"/>
  <c r="Q108" i="35"/>
  <c r="W97" i="35"/>
  <c r="W99" i="35" s="1"/>
  <c r="AO16" i="35"/>
  <c r="AW16" i="35"/>
  <c r="AW22" i="35" s="1"/>
  <c r="B97" i="35"/>
  <c r="J97" i="35"/>
  <c r="J99" i="35" s="1"/>
  <c r="J100" i="35" s="1"/>
  <c r="J7" i="35" s="1"/>
  <c r="R97" i="35"/>
  <c r="R99" i="35" s="1"/>
  <c r="R100" i="35" s="1"/>
  <c r="R7" i="35" s="1"/>
  <c r="Z7" i="35"/>
  <c r="AH58" i="35"/>
  <c r="E108" i="35"/>
  <c r="M108" i="35"/>
  <c r="AC108" i="35"/>
  <c r="G107" i="35"/>
  <c r="AR23" i="35" s="1"/>
  <c r="O107" i="35"/>
  <c r="AW23" i="35" s="1"/>
  <c r="W107" i="35"/>
  <c r="W108" i="35" s="1"/>
  <c r="AE107" i="35"/>
  <c r="BI23" i="35" s="1"/>
  <c r="AI80" i="35"/>
  <c r="AH92" i="35"/>
  <c r="E118" i="35"/>
  <c r="AH102" i="35"/>
  <c r="AD100" i="35" l="1"/>
  <c r="AD7" i="35" s="1"/>
  <c r="BH24" i="35"/>
  <c r="BG24" i="35"/>
  <c r="AB108" i="35"/>
  <c r="BE24" i="35"/>
  <c r="Y100" i="35"/>
  <c r="Y7" i="35" s="1"/>
  <c r="BC24" i="35"/>
  <c r="U108" i="35"/>
  <c r="U100" i="35"/>
  <c r="U7" i="35" s="1"/>
  <c r="T100" i="35"/>
  <c r="T7" i="35" s="1"/>
  <c r="S100" i="35"/>
  <c r="S7" i="35" s="1"/>
  <c r="AT24" i="35"/>
  <c r="H100" i="35"/>
  <c r="H7" i="35" s="1"/>
  <c r="K100" i="35"/>
  <c r="K7" i="35" s="1"/>
  <c r="T108" i="35"/>
  <c r="BB23" i="35"/>
  <c r="BB24" i="35" s="1"/>
  <c r="AY22" i="35"/>
  <c r="AY24" i="35" s="1"/>
  <c r="AZ24" i="35"/>
  <c r="P108" i="35"/>
  <c r="P100" i="35"/>
  <c r="P7" i="35" s="1"/>
  <c r="AW24" i="35"/>
  <c r="O100" i="35"/>
  <c r="O7" i="35" s="1"/>
  <c r="N100" i="35"/>
  <c r="N7" i="35" s="1"/>
  <c r="N108" i="35"/>
  <c r="M100" i="35"/>
  <c r="M7" i="35" s="1"/>
  <c r="L100" i="35"/>
  <c r="L7" i="35" s="1"/>
  <c r="I108" i="35"/>
  <c r="AS23" i="35"/>
  <c r="AS24" i="35" s="1"/>
  <c r="AR24" i="35"/>
  <c r="E100" i="35"/>
  <c r="E7" i="35" s="1"/>
  <c r="AP22" i="35"/>
  <c r="AP24" i="35" s="1"/>
  <c r="F108" i="35"/>
  <c r="AO22" i="35"/>
  <c r="AO24" i="35" s="1"/>
  <c r="D108" i="35"/>
  <c r="D100" i="35"/>
  <c r="D7" i="35" s="1"/>
  <c r="C108" i="35"/>
  <c r="BH105" i="35"/>
  <c r="BG93" i="35"/>
  <c r="BI103" i="35"/>
  <c r="BK103" i="35"/>
  <c r="BK92" i="35"/>
  <c r="BG103" i="35"/>
  <c r="BI89" i="35"/>
  <c r="BL100" i="35"/>
  <c r="BJ97" i="35"/>
  <c r="BH95" i="35"/>
  <c r="BK101" i="35"/>
  <c r="BL105" i="35"/>
  <c r="BG100" i="35"/>
  <c r="BH90" i="35"/>
  <c r="BL86" i="35"/>
  <c r="BJ84" i="35"/>
  <c r="BI96" i="35"/>
  <c r="BJ94" i="35"/>
  <c r="BK90" i="35"/>
  <c r="BH88" i="35"/>
  <c r="BL98" i="35"/>
  <c r="BL85" i="35"/>
  <c r="BJ96" i="35"/>
  <c r="BH107" i="35"/>
  <c r="BG94" i="35"/>
  <c r="BK104" i="35"/>
  <c r="BJ91" i="35"/>
  <c r="BH102" i="35"/>
  <c r="BI95" i="35"/>
  <c r="BI106" i="35"/>
  <c r="BH100" i="35"/>
  <c r="BK84" i="35"/>
  <c r="BG106" i="35"/>
  <c r="BJ103" i="35"/>
  <c r="BH97" i="35"/>
  <c r="BL104" i="35"/>
  <c r="BK99" i="35"/>
  <c r="BK97" i="35"/>
  <c r="BL107" i="35"/>
  <c r="BJ106" i="35"/>
  <c r="BH89" i="35"/>
  <c r="BI94" i="35"/>
  <c r="BG105" i="35"/>
  <c r="BI101" i="35"/>
  <c r="BL103" i="35"/>
  <c r="BI92" i="35"/>
  <c r="BJ102" i="35"/>
  <c r="BH101" i="35"/>
  <c r="BI104" i="35"/>
  <c r="BK95" i="35"/>
  <c r="BG92" i="35"/>
  <c r="BJ89" i="35"/>
  <c r="BL97" i="35"/>
  <c r="BJ98" i="35"/>
  <c r="BG87" i="35"/>
  <c r="BL95" i="35"/>
  <c r="BG99" i="35"/>
  <c r="BI86" i="35"/>
  <c r="BG97" i="35"/>
  <c r="BK107" i="35"/>
  <c r="BI93" i="35"/>
  <c r="BG104" i="35"/>
  <c r="BJ101" i="35"/>
  <c r="BJ88" i="35"/>
  <c r="BH99" i="35"/>
  <c r="BG86" i="35"/>
  <c r="BK96" i="35"/>
  <c r="BI107" i="35"/>
  <c r="BH94" i="35"/>
  <c r="BH93" i="35"/>
  <c r="BL99" i="35"/>
  <c r="BL91" i="35"/>
  <c r="BJ90" i="35"/>
  <c r="BK105" i="35"/>
  <c r="BK93" i="35"/>
  <c r="BK87" i="35"/>
  <c r="BI98" i="35"/>
  <c r="BG84" i="35"/>
  <c r="BK94" i="35"/>
  <c r="BI105" i="35"/>
  <c r="BH92" i="35"/>
  <c r="BL102" i="35"/>
  <c r="BL89" i="35"/>
  <c r="BJ100" i="35"/>
  <c r="BI87" i="35"/>
  <c r="BG98" i="35"/>
  <c r="BL84" i="35"/>
  <c r="BJ95" i="35"/>
  <c r="BH106" i="35"/>
  <c r="BL87" i="35"/>
  <c r="BJ86" i="35"/>
  <c r="BH85" i="35"/>
  <c r="BI100" i="35"/>
  <c r="BI88" i="35"/>
  <c r="BG89" i="35"/>
  <c r="BI85" i="35"/>
  <c r="BG96" i="35"/>
  <c r="BK106" i="35"/>
  <c r="BJ93" i="35"/>
  <c r="BH104" i="35"/>
  <c r="BH91" i="35"/>
  <c r="BL101" i="35"/>
  <c r="BK88" i="35"/>
  <c r="BI99" i="35"/>
  <c r="BH86" i="35"/>
  <c r="BL96" i="35"/>
  <c r="BJ107" i="35"/>
  <c r="BI84" i="35"/>
  <c r="BG95" i="35"/>
  <c r="BI90" i="35"/>
  <c r="BG101" i="35"/>
  <c r="BK86" i="35"/>
  <c r="BI97" i="35"/>
  <c r="BH84" i="35"/>
  <c r="BL94" i="35"/>
  <c r="BJ105" i="35"/>
  <c r="BJ92" i="35"/>
  <c r="BH103" i="35"/>
  <c r="BG90" i="35"/>
  <c r="BK100" i="35"/>
  <c r="BJ87" i="35"/>
  <c r="BH98" i="35"/>
  <c r="BG91" i="35"/>
  <c r="BG85" i="35"/>
  <c r="BK102" i="35"/>
  <c r="BH87" i="35"/>
  <c r="BL92" i="35"/>
  <c r="BK85" i="35"/>
  <c r="BL90" i="35"/>
  <c r="BG107" i="35"/>
  <c r="BK89" i="35"/>
  <c r="BK91" i="35"/>
  <c r="BI102" i="35"/>
  <c r="BG88" i="35"/>
  <c r="BK98" i="35"/>
  <c r="BJ85" i="35"/>
  <c r="BH96" i="35"/>
  <c r="BL106" i="35"/>
  <c r="BL93" i="35"/>
  <c r="BJ104" i="35"/>
  <c r="BI91" i="35"/>
  <c r="BG102" i="35"/>
  <c r="BL88" i="35"/>
  <c r="O108" i="35"/>
  <c r="B99" i="35"/>
  <c r="AH97" i="35"/>
  <c r="AI97" i="35"/>
  <c r="G108" i="35"/>
  <c r="AE100" i="35"/>
  <c r="AE7" i="35" s="1"/>
  <c r="AH107" i="35"/>
  <c r="AM23" i="35"/>
  <c r="AM24" i="35" s="1"/>
  <c r="AI107" i="35"/>
  <c r="AE108" i="35"/>
  <c r="W100" i="35"/>
  <c r="W7" i="35" s="1"/>
  <c r="I246" i="35"/>
  <c r="H252" i="35"/>
  <c r="H118" i="35"/>
  <c r="B108" i="35"/>
  <c r="C256" i="35"/>
  <c r="G100" i="35"/>
  <c r="G7" i="35" s="1"/>
  <c r="B256" i="35"/>
  <c r="BI24" i="35"/>
  <c r="AT8" i="35" l="1"/>
  <c r="AT9" i="35"/>
  <c r="AI108" i="35"/>
  <c r="AH108" i="35"/>
  <c r="I252" i="35"/>
  <c r="J246" i="35"/>
  <c r="I118" i="35"/>
  <c r="K6" i="35"/>
  <c r="AH99" i="35"/>
  <c r="AI99" i="35"/>
  <c r="B100" i="35"/>
  <c r="J252" i="35" l="1"/>
  <c r="J118" i="35"/>
  <c r="K246" i="35"/>
  <c r="AH100" i="35"/>
  <c r="B7" i="35"/>
  <c r="A7" i="35" s="1"/>
  <c r="AI100" i="35"/>
  <c r="K252" i="35" l="1"/>
  <c r="K118" i="35"/>
  <c r="L246" i="35"/>
  <c r="L252" i="35" l="1"/>
  <c r="L118" i="35"/>
  <c r="M246" i="35"/>
  <c r="N246" i="35" l="1"/>
  <c r="M252" i="35"/>
  <c r="M118" i="35"/>
  <c r="O246" i="35" l="1"/>
  <c r="N118" i="35"/>
  <c r="N252" i="35"/>
  <c r="P246" i="35" l="1"/>
  <c r="O252" i="35"/>
  <c r="O118" i="35"/>
  <c r="Q246" i="35" l="1"/>
  <c r="P252" i="35"/>
  <c r="Q252" i="35" l="1"/>
  <c r="Q118" i="35"/>
  <c r="R246" i="35"/>
  <c r="R252" i="35" l="1"/>
  <c r="R118" i="35"/>
  <c r="S246" i="35"/>
  <c r="S252" i="35" l="1"/>
  <c r="S118" i="35"/>
  <c r="T246" i="35"/>
  <c r="T252" i="35" l="1"/>
  <c r="T118" i="35"/>
  <c r="U246" i="35"/>
  <c r="U118" i="35" l="1"/>
  <c r="V246" i="35"/>
  <c r="U252" i="35"/>
  <c r="W246" i="35" l="1"/>
  <c r="V118" i="35"/>
  <c r="V252" i="35"/>
  <c r="X246" i="35" l="1"/>
  <c r="W252" i="35"/>
  <c r="W118" i="35"/>
  <c r="Y246" i="35" l="1"/>
  <c r="X252" i="35"/>
  <c r="X118" i="35"/>
  <c r="Y252" i="35" l="1"/>
  <c r="Z246" i="35"/>
  <c r="Z252" i="35" l="1"/>
  <c r="AA246" i="35"/>
  <c r="AA252" i="35" l="1"/>
  <c r="AB246" i="35"/>
  <c r="AB252" i="35" l="1"/>
  <c r="AB118" i="35"/>
  <c r="AC246" i="35"/>
  <c r="AC118" i="35" l="1"/>
  <c r="AD246" i="35"/>
  <c r="AC252" i="35"/>
  <c r="AE246" i="35" l="1"/>
  <c r="AD118" i="35"/>
  <c r="AD252" i="35"/>
  <c r="AF246" i="35" l="1"/>
  <c r="AE252" i="35"/>
  <c r="AE118" i="35"/>
  <c r="AF252" i="35" l="1"/>
  <c r="AF118" i="35"/>
  <c r="B246" i="35"/>
  <c r="B252" i="35" l="1"/>
  <c r="B118" i="35"/>
  <c r="AI118" i="35" l="1"/>
  <c r="AH118" i="35"/>
  <c r="AA58" i="34" l="1"/>
  <c r="AA62" i="34"/>
  <c r="AA76" i="34"/>
  <c r="AA80" i="34"/>
  <c r="AA92" i="34"/>
  <c r="AA101" i="34"/>
  <c r="AA102" i="34"/>
  <c r="AA103" i="34"/>
  <c r="AA104" i="34"/>
  <c r="AA105" i="34"/>
  <c r="Z92" i="34"/>
  <c r="Z105" i="34"/>
  <c r="Z104" i="34"/>
  <c r="Z103" i="34"/>
  <c r="Z102" i="34"/>
  <c r="Z101" i="34"/>
  <c r="Z80" i="34"/>
  <c r="Z76" i="34"/>
  <c r="Z62" i="34"/>
  <c r="Z58" i="34"/>
  <c r="X58" i="34"/>
  <c r="W91" i="34"/>
  <c r="U57" i="34"/>
  <c r="S57" i="34"/>
  <c r="Z107" i="34" l="1"/>
  <c r="Z108" i="34" s="1"/>
  <c r="AA107" i="34"/>
  <c r="AA108" i="34" s="1"/>
  <c r="AA97" i="34"/>
  <c r="AA99" i="34" s="1"/>
  <c r="Z97" i="34"/>
  <c r="Z99" i="34" s="1"/>
  <c r="Z100" i="34" s="1"/>
  <c r="AA100" i="34" l="1"/>
  <c r="Q57" i="34"/>
  <c r="R57" i="34"/>
  <c r="P57" i="34"/>
  <c r="AH125" i="34" l="1"/>
  <c r="AI125" i="34"/>
  <c r="AH124" i="34"/>
  <c r="AI124" i="34"/>
  <c r="D58" i="34"/>
  <c r="D62" i="34"/>
  <c r="D76" i="34"/>
  <c r="D80" i="34"/>
  <c r="D92" i="34"/>
  <c r="AO19" i="34" s="1"/>
  <c r="D101" i="34"/>
  <c r="D102" i="34"/>
  <c r="D103" i="34"/>
  <c r="D104" i="34"/>
  <c r="D105" i="34"/>
  <c r="C58" i="34"/>
  <c r="C62" i="34"/>
  <c r="C76" i="34"/>
  <c r="AN18" i="34" s="1"/>
  <c r="C80" i="34"/>
  <c r="C92" i="34"/>
  <c r="C101" i="34"/>
  <c r="C102" i="34"/>
  <c r="C103" i="34"/>
  <c r="C104" i="34"/>
  <c r="C105" i="34"/>
  <c r="C118" i="34"/>
  <c r="B105" i="34"/>
  <c r="B104" i="34"/>
  <c r="B103" i="34"/>
  <c r="B102" i="34"/>
  <c r="B101" i="34"/>
  <c r="B92" i="34"/>
  <c r="B80" i="34"/>
  <c r="B76" i="34"/>
  <c r="AM18" i="34" s="1"/>
  <c r="B62" i="34"/>
  <c r="AM17" i="34" s="1"/>
  <c r="B58" i="34"/>
  <c r="AM16" i="34" s="1"/>
  <c r="AG252" i="34"/>
  <c r="AG75" i="34" s="1"/>
  <c r="AG76" i="34" s="1"/>
  <c r="AG3" i="34" s="1"/>
  <c r="C252" i="34"/>
  <c r="D251" i="34"/>
  <c r="E251" i="34" s="1"/>
  <c r="D250" i="34"/>
  <c r="E250" i="34" s="1"/>
  <c r="F250" i="34" s="1"/>
  <c r="G250" i="34" s="1"/>
  <c r="H250" i="34" s="1"/>
  <c r="I250" i="34" s="1"/>
  <c r="J250" i="34" s="1"/>
  <c r="K250" i="34" s="1"/>
  <c r="L250" i="34" s="1"/>
  <c r="M250" i="34" s="1"/>
  <c r="N250" i="34" s="1"/>
  <c r="O250" i="34" s="1"/>
  <c r="P250" i="34" s="1"/>
  <c r="Q250" i="34" s="1"/>
  <c r="R250" i="34" s="1"/>
  <c r="S250" i="34" s="1"/>
  <c r="T250" i="34" s="1"/>
  <c r="U250" i="34" s="1"/>
  <c r="V250" i="34" s="1"/>
  <c r="W250" i="34" s="1"/>
  <c r="X250" i="34" s="1"/>
  <c r="Y250" i="34" s="1"/>
  <c r="Z250" i="34" s="1"/>
  <c r="AA250" i="34" s="1"/>
  <c r="AB250" i="34" s="1"/>
  <c r="AC250" i="34" s="1"/>
  <c r="AD250" i="34" s="1"/>
  <c r="AE250" i="34" s="1"/>
  <c r="AF250" i="34" s="1"/>
  <c r="B250" i="34" s="1"/>
  <c r="D249" i="34"/>
  <c r="E249" i="34" s="1"/>
  <c r="F249" i="34" s="1"/>
  <c r="G249" i="34" s="1"/>
  <c r="H249" i="34" s="1"/>
  <c r="I249" i="34" s="1"/>
  <c r="J249" i="34" s="1"/>
  <c r="K249" i="34" s="1"/>
  <c r="L249" i="34" s="1"/>
  <c r="M249" i="34" s="1"/>
  <c r="N249" i="34" s="1"/>
  <c r="O249" i="34" s="1"/>
  <c r="P249" i="34" s="1"/>
  <c r="Q249" i="34" s="1"/>
  <c r="R249" i="34" s="1"/>
  <c r="S249" i="34" s="1"/>
  <c r="T249" i="34" s="1"/>
  <c r="U249" i="34" s="1"/>
  <c r="V249" i="34" s="1"/>
  <c r="W249" i="34" s="1"/>
  <c r="X249" i="34" s="1"/>
  <c r="Y249" i="34" s="1"/>
  <c r="Z249" i="34" s="1"/>
  <c r="AA249" i="34" s="1"/>
  <c r="AB249" i="34" s="1"/>
  <c r="AC249" i="34" s="1"/>
  <c r="AD249" i="34" s="1"/>
  <c r="AE249" i="34" s="1"/>
  <c r="AF249" i="34" s="1"/>
  <c r="B249" i="34" s="1"/>
  <c r="D248" i="34"/>
  <c r="E248" i="34" s="1"/>
  <c r="F248" i="34" s="1"/>
  <c r="G248" i="34" s="1"/>
  <c r="H248" i="34" s="1"/>
  <c r="I248" i="34" s="1"/>
  <c r="J248" i="34" s="1"/>
  <c r="K248" i="34" s="1"/>
  <c r="L248" i="34" s="1"/>
  <c r="M248" i="34" s="1"/>
  <c r="N248" i="34" s="1"/>
  <c r="O248" i="34" s="1"/>
  <c r="P248" i="34" s="1"/>
  <c r="Q248" i="34" s="1"/>
  <c r="R248" i="34" s="1"/>
  <c r="S248" i="34" s="1"/>
  <c r="T248" i="34" s="1"/>
  <c r="U248" i="34" s="1"/>
  <c r="V248" i="34" s="1"/>
  <c r="W248" i="34" s="1"/>
  <c r="X248" i="34" s="1"/>
  <c r="Y248" i="34" s="1"/>
  <c r="Z248" i="34" s="1"/>
  <c r="AA248" i="34" s="1"/>
  <c r="AB248" i="34" s="1"/>
  <c r="AC248" i="34" s="1"/>
  <c r="AD248" i="34" s="1"/>
  <c r="AE248" i="34" s="1"/>
  <c r="AF248" i="34" s="1"/>
  <c r="B248" i="34" s="1"/>
  <c r="D247" i="34"/>
  <c r="E247" i="34" s="1"/>
  <c r="D246" i="34"/>
  <c r="E246" i="34" s="1"/>
  <c r="F246" i="34" s="1"/>
  <c r="G246" i="34" s="1"/>
  <c r="AG244" i="34"/>
  <c r="AF244" i="34"/>
  <c r="AE244" i="34"/>
  <c r="AD244" i="34"/>
  <c r="AC244" i="34"/>
  <c r="AB244" i="34"/>
  <c r="AA244" i="34"/>
  <c r="AA118" i="34" s="1"/>
  <c r="Z244" i="34"/>
  <c r="Z118" i="34" s="1"/>
  <c r="Y244" i="34"/>
  <c r="Y118" i="34" s="1"/>
  <c r="X244" i="34"/>
  <c r="W244" i="34"/>
  <c r="V244" i="34"/>
  <c r="U244" i="34"/>
  <c r="T244" i="34"/>
  <c r="S244" i="34"/>
  <c r="R244" i="34"/>
  <c r="Q244" i="34"/>
  <c r="P244" i="34"/>
  <c r="O244" i="34"/>
  <c r="N244" i="34"/>
  <c r="M244" i="34"/>
  <c r="L244" i="34"/>
  <c r="K244" i="34"/>
  <c r="J244" i="34"/>
  <c r="I244" i="34"/>
  <c r="H244" i="34"/>
  <c r="G244" i="34"/>
  <c r="F244" i="34"/>
  <c r="E244" i="34"/>
  <c r="D244" i="34"/>
  <c r="C244" i="34"/>
  <c r="B244" i="34"/>
  <c r="AI130" i="34"/>
  <c r="AH130" i="34"/>
  <c r="AI129" i="34"/>
  <c r="AH129" i="34"/>
  <c r="AI128" i="34"/>
  <c r="AH128" i="34"/>
  <c r="AI127" i="34"/>
  <c r="AH127" i="34"/>
  <c r="AI126" i="34"/>
  <c r="AH126" i="34"/>
  <c r="AI123" i="34"/>
  <c r="AH123" i="34"/>
  <c r="AI122" i="34"/>
  <c r="AH122" i="34"/>
  <c r="AI121" i="34"/>
  <c r="AH121" i="34"/>
  <c r="AI120" i="34"/>
  <c r="AH120" i="34"/>
  <c r="AI119" i="34"/>
  <c r="AH119" i="34"/>
  <c r="AI117" i="34"/>
  <c r="AH117" i="34"/>
  <c r="AI116" i="34"/>
  <c r="AH116" i="34"/>
  <c r="AI115" i="34"/>
  <c r="AH115" i="34"/>
  <c r="AI114" i="34"/>
  <c r="AH114" i="34"/>
  <c r="AI113" i="34"/>
  <c r="AH113" i="34"/>
  <c r="AI112" i="34"/>
  <c r="AH112" i="34"/>
  <c r="AI111" i="34"/>
  <c r="AH111" i="34"/>
  <c r="AI110" i="34"/>
  <c r="AH110" i="34"/>
  <c r="AI109" i="34"/>
  <c r="AH109" i="34"/>
  <c r="AI106" i="34"/>
  <c r="AH106" i="34"/>
  <c r="AF105" i="34"/>
  <c r="AE105" i="34"/>
  <c r="AD105" i="34"/>
  <c r="AC105" i="34"/>
  <c r="AB105" i="34"/>
  <c r="Y105" i="34"/>
  <c r="X105" i="34"/>
  <c r="W105" i="34"/>
  <c r="V105" i="34"/>
  <c r="U105" i="34"/>
  <c r="T105" i="34"/>
  <c r="S105" i="34"/>
  <c r="R105" i="34"/>
  <c r="Q105" i="34"/>
  <c r="P105" i="34"/>
  <c r="O105" i="34"/>
  <c r="N105" i="34"/>
  <c r="M105" i="34"/>
  <c r="L105" i="34"/>
  <c r="K105" i="34"/>
  <c r="J105" i="34"/>
  <c r="I105" i="34"/>
  <c r="H105" i="34"/>
  <c r="G105" i="34"/>
  <c r="F105" i="34"/>
  <c r="E105" i="34"/>
  <c r="AF104" i="34"/>
  <c r="AE104" i="34"/>
  <c r="AD104" i="34"/>
  <c r="AC104" i="34"/>
  <c r="AB104" i="34"/>
  <c r="Y104" i="34"/>
  <c r="X104" i="34"/>
  <c r="W104" i="34"/>
  <c r="V104" i="34"/>
  <c r="U104" i="34"/>
  <c r="T104" i="34"/>
  <c r="S104" i="34"/>
  <c r="R104" i="34"/>
  <c r="Q104" i="34"/>
  <c r="P104" i="34"/>
  <c r="O104" i="34"/>
  <c r="N104" i="34"/>
  <c r="M104" i="34"/>
  <c r="L104" i="34"/>
  <c r="K104" i="34"/>
  <c r="J104" i="34"/>
  <c r="I104" i="34"/>
  <c r="H104" i="34"/>
  <c r="G104" i="34"/>
  <c r="F104" i="34"/>
  <c r="E104" i="34"/>
  <c r="AF103" i="34"/>
  <c r="AE103" i="34"/>
  <c r="AD103" i="34"/>
  <c r="AC103" i="34"/>
  <c r="AB103" i="34"/>
  <c r="Y103" i="34"/>
  <c r="X103" i="34"/>
  <c r="W103" i="34"/>
  <c r="V103" i="34"/>
  <c r="U103" i="34"/>
  <c r="T103" i="34"/>
  <c r="S103" i="34"/>
  <c r="R103" i="34"/>
  <c r="Q103" i="34"/>
  <c r="P103" i="34"/>
  <c r="O103" i="34"/>
  <c r="N103" i="34"/>
  <c r="M103" i="34"/>
  <c r="L103" i="34"/>
  <c r="K103" i="34"/>
  <c r="J103" i="34"/>
  <c r="I103" i="34"/>
  <c r="H103" i="34"/>
  <c r="G103" i="34"/>
  <c r="F103" i="34"/>
  <c r="E103" i="34"/>
  <c r="AF102" i="34"/>
  <c r="AE102" i="34"/>
  <c r="AD102" i="34"/>
  <c r="AC102" i="34"/>
  <c r="AB102" i="34"/>
  <c r="Y102" i="34"/>
  <c r="X102" i="34"/>
  <c r="W102" i="34"/>
  <c r="V102" i="34"/>
  <c r="U102" i="34"/>
  <c r="T102" i="34"/>
  <c r="S102" i="34"/>
  <c r="R102" i="34"/>
  <c r="Q102" i="34"/>
  <c r="P102" i="34"/>
  <c r="O102" i="34"/>
  <c r="N102" i="34"/>
  <c r="M102" i="34"/>
  <c r="L102" i="34"/>
  <c r="K102" i="34"/>
  <c r="J102" i="34"/>
  <c r="I102" i="34"/>
  <c r="H102" i="34"/>
  <c r="G102" i="34"/>
  <c r="F102" i="34"/>
  <c r="E102" i="34"/>
  <c r="AF101" i="34"/>
  <c r="AE101" i="34"/>
  <c r="AD101" i="34"/>
  <c r="AC101" i="34"/>
  <c r="AB101" i="34"/>
  <c r="Y101" i="34"/>
  <c r="X101" i="34"/>
  <c r="W101" i="34"/>
  <c r="V101" i="34"/>
  <c r="U101" i="34"/>
  <c r="T101" i="34"/>
  <c r="S101" i="34"/>
  <c r="R101" i="34"/>
  <c r="Q101" i="34"/>
  <c r="P101" i="34"/>
  <c r="O101" i="34"/>
  <c r="N101" i="34"/>
  <c r="M101" i="34"/>
  <c r="L101" i="34"/>
  <c r="K101" i="34"/>
  <c r="J101" i="34"/>
  <c r="I101" i="34"/>
  <c r="H101" i="34"/>
  <c r="G101" i="34"/>
  <c r="F101" i="34"/>
  <c r="E101" i="34"/>
  <c r="AI98" i="34"/>
  <c r="AH98" i="34"/>
  <c r="AI96" i="34"/>
  <c r="AH96" i="34"/>
  <c r="AG96" i="34"/>
  <c r="AI95" i="34"/>
  <c r="AH95" i="34"/>
  <c r="AI94" i="34"/>
  <c r="AH94" i="34"/>
  <c r="AI93" i="34"/>
  <c r="AH93" i="34"/>
  <c r="AG92" i="34"/>
  <c r="AF92" i="34"/>
  <c r="BJ19" i="34" s="1"/>
  <c r="AE92" i="34"/>
  <c r="BI19" i="34" s="1"/>
  <c r="AD92" i="34"/>
  <c r="AC5" i="34" s="1"/>
  <c r="AC92" i="34"/>
  <c r="AB5" i="34" s="1"/>
  <c r="AB92" i="34"/>
  <c r="AA5" i="34" s="1"/>
  <c r="Y92" i="34"/>
  <c r="X5" i="34" s="1"/>
  <c r="X92" i="34"/>
  <c r="BE19" i="34" s="1"/>
  <c r="W92" i="34"/>
  <c r="V5" i="34" s="1"/>
  <c r="V92" i="34"/>
  <c r="U5" i="34" s="1"/>
  <c r="U92" i="34"/>
  <c r="BC19" i="34" s="1"/>
  <c r="T92" i="34"/>
  <c r="S5" i="34" s="1"/>
  <c r="S92" i="34"/>
  <c r="R92" i="34"/>
  <c r="Q5" i="34" s="1"/>
  <c r="Q92" i="34"/>
  <c r="AY19" i="34" s="1"/>
  <c r="P92" i="34"/>
  <c r="O92" i="34"/>
  <c r="N5" i="34" s="1"/>
  <c r="N92" i="34"/>
  <c r="AV19" i="34" s="1"/>
  <c r="M92" i="34"/>
  <c r="L5" i="34" s="1"/>
  <c r="L92" i="34"/>
  <c r="K5" i="34" s="1"/>
  <c r="K92" i="34"/>
  <c r="AT19" i="34" s="1"/>
  <c r="J92" i="34"/>
  <c r="I92" i="34"/>
  <c r="H5" i="34" s="1"/>
  <c r="H92" i="34"/>
  <c r="G92" i="34"/>
  <c r="AR19" i="34" s="1"/>
  <c r="F92" i="34"/>
  <c r="E5" i="34" s="1"/>
  <c r="E92" i="34"/>
  <c r="AP19" i="34" s="1"/>
  <c r="AI91" i="34"/>
  <c r="AH91" i="34"/>
  <c r="AI90" i="34"/>
  <c r="AH90" i="34"/>
  <c r="AI89" i="34"/>
  <c r="AH89" i="34"/>
  <c r="AI88" i="34"/>
  <c r="AH88" i="34"/>
  <c r="AI87" i="34"/>
  <c r="AH87" i="34"/>
  <c r="AI86" i="34"/>
  <c r="AH86" i="34"/>
  <c r="AI85" i="34"/>
  <c r="AH85" i="34"/>
  <c r="AI84" i="34"/>
  <c r="AH84" i="34"/>
  <c r="AI83" i="34"/>
  <c r="AH83" i="34"/>
  <c r="AI82" i="34"/>
  <c r="AH82" i="34"/>
  <c r="AI81" i="34"/>
  <c r="AH81" i="34"/>
  <c r="AG80" i="34"/>
  <c r="AF80" i="34"/>
  <c r="BJ20" i="34" s="1"/>
  <c r="AE80" i="34"/>
  <c r="BI20" i="34" s="1"/>
  <c r="AD80" i="34"/>
  <c r="BH20" i="34" s="1"/>
  <c r="AC80" i="34"/>
  <c r="AB80" i="34"/>
  <c r="BG20" i="34" s="1"/>
  <c r="Y80" i="34"/>
  <c r="X80" i="34"/>
  <c r="BE20" i="34" s="1"/>
  <c r="W80" i="34"/>
  <c r="V80" i="34"/>
  <c r="U80" i="34"/>
  <c r="BC20" i="34" s="1"/>
  <c r="T80" i="34"/>
  <c r="BB20" i="34" s="1"/>
  <c r="S80" i="34"/>
  <c r="BA20" i="34" s="1"/>
  <c r="R80" i="34"/>
  <c r="AZ20" i="34" s="1"/>
  <c r="Q80" i="34"/>
  <c r="AY20" i="34" s="1"/>
  <c r="P80" i="34"/>
  <c r="O80" i="34"/>
  <c r="AW20" i="34" s="1"/>
  <c r="N80" i="34"/>
  <c r="M80" i="34"/>
  <c r="AU20" i="34" s="1"/>
  <c r="L80" i="34"/>
  <c r="K80" i="34"/>
  <c r="J80" i="34"/>
  <c r="I80" i="34"/>
  <c r="AS20" i="34" s="1"/>
  <c r="H80" i="34"/>
  <c r="G80" i="34"/>
  <c r="AR20" i="34" s="1"/>
  <c r="F80" i="34"/>
  <c r="AQ20" i="34" s="1"/>
  <c r="E80" i="34"/>
  <c r="AP20" i="34" s="1"/>
  <c r="BW79" i="34"/>
  <c r="AI79" i="34"/>
  <c r="AH79" i="34"/>
  <c r="AI78" i="34"/>
  <c r="AH78" i="34"/>
  <c r="AI77" i="34"/>
  <c r="AH77" i="34"/>
  <c r="BM76" i="34"/>
  <c r="BE76" i="34"/>
  <c r="AF76" i="34"/>
  <c r="BJ18" i="34" s="1"/>
  <c r="AE76" i="34"/>
  <c r="BI18" i="34" s="1"/>
  <c r="AD76" i="34"/>
  <c r="BH18" i="34" s="1"/>
  <c r="AC76" i="34"/>
  <c r="AB76" i="34"/>
  <c r="BG18" i="34" s="1"/>
  <c r="Y76" i="34"/>
  <c r="X76" i="34"/>
  <c r="W76" i="34"/>
  <c r="V76" i="34"/>
  <c r="U76" i="34"/>
  <c r="BC18" i="34" s="1"/>
  <c r="T76" i="34"/>
  <c r="BB18" i="34" s="1"/>
  <c r="S76" i="34"/>
  <c r="BA18" i="34" s="1"/>
  <c r="R76" i="34"/>
  <c r="AZ18" i="34" s="1"/>
  <c r="Q76" i="34"/>
  <c r="AY18" i="34" s="1"/>
  <c r="P76" i="34"/>
  <c r="AX18" i="34" s="1"/>
  <c r="O76" i="34"/>
  <c r="AW18" i="34" s="1"/>
  <c r="N76" i="34"/>
  <c r="AV18" i="34" s="1"/>
  <c r="M76" i="34"/>
  <c r="AU18" i="34" s="1"/>
  <c r="L76" i="34"/>
  <c r="K76" i="34"/>
  <c r="J76" i="34"/>
  <c r="I76" i="34"/>
  <c r="AS18" i="34" s="1"/>
  <c r="H76" i="34"/>
  <c r="G76" i="34"/>
  <c r="AR18" i="34" s="1"/>
  <c r="F76" i="34"/>
  <c r="AQ18" i="34" s="1"/>
  <c r="E76" i="34"/>
  <c r="AP18" i="34" s="1"/>
  <c r="AI75" i="34"/>
  <c r="AH75" i="34"/>
  <c r="AI74" i="34"/>
  <c r="AH74" i="34"/>
  <c r="BW73" i="34"/>
  <c r="BW80" i="34" s="1"/>
  <c r="BV73" i="34"/>
  <c r="BV80" i="34" s="1"/>
  <c r="BU73" i="34"/>
  <c r="BU80" i="34" s="1"/>
  <c r="BT73" i="34"/>
  <c r="BT80" i="34" s="1"/>
  <c r="BS73" i="34"/>
  <c r="BS80" i="34" s="1"/>
  <c r="BR73" i="34"/>
  <c r="BR80" i="34" s="1"/>
  <c r="BQ73" i="34"/>
  <c r="BQ80" i="34" s="1"/>
  <c r="BP73" i="34"/>
  <c r="BP80" i="34" s="1"/>
  <c r="BO73" i="34"/>
  <c r="BO80" i="34" s="1"/>
  <c r="BN73" i="34"/>
  <c r="BN80" i="34" s="1"/>
  <c r="BM73" i="34"/>
  <c r="BM80" i="34" s="1"/>
  <c r="BL73" i="34"/>
  <c r="BL80" i="34" s="1"/>
  <c r="BK73" i="34"/>
  <c r="BK80" i="34" s="1"/>
  <c r="BJ73" i="34"/>
  <c r="BJ80" i="34" s="1"/>
  <c r="BI73" i="34"/>
  <c r="BI80" i="34" s="1"/>
  <c r="BH73" i="34"/>
  <c r="BH80" i="34" s="1"/>
  <c r="BG73" i="34"/>
  <c r="BG80" i="34" s="1"/>
  <c r="BF73" i="34"/>
  <c r="BF80" i="34" s="1"/>
  <c r="BE73" i="34"/>
  <c r="BE80" i="34" s="1"/>
  <c r="BD73" i="34"/>
  <c r="BD80" i="34" s="1"/>
  <c r="BC73" i="34"/>
  <c r="BC80" i="34" s="1"/>
  <c r="BB73" i="34"/>
  <c r="BB80" i="34" s="1"/>
  <c r="BA73" i="34"/>
  <c r="BA80" i="34" s="1"/>
  <c r="AZ73" i="34"/>
  <c r="AZ80" i="34" s="1"/>
  <c r="AI73" i="34"/>
  <c r="AH73" i="34"/>
  <c r="BW72" i="34"/>
  <c r="BV72" i="34"/>
  <c r="BV79" i="34" s="1"/>
  <c r="BU72" i="34"/>
  <c r="BU79" i="34" s="1"/>
  <c r="BT72" i="34"/>
  <c r="BT79" i="34" s="1"/>
  <c r="BS72" i="34"/>
  <c r="BS79" i="34" s="1"/>
  <c r="BR72" i="34"/>
  <c r="BR79" i="34" s="1"/>
  <c r="BQ72" i="34"/>
  <c r="BQ79" i="34" s="1"/>
  <c r="BP72" i="34"/>
  <c r="BP79" i="34" s="1"/>
  <c r="BO72" i="34"/>
  <c r="BO79" i="34" s="1"/>
  <c r="BN72" i="34"/>
  <c r="BN79" i="34" s="1"/>
  <c r="BM72" i="34"/>
  <c r="BM79" i="34" s="1"/>
  <c r="BL72" i="34"/>
  <c r="BL79" i="34" s="1"/>
  <c r="BK72" i="34"/>
  <c r="BK79" i="34" s="1"/>
  <c r="BJ72" i="34"/>
  <c r="BJ79" i="34" s="1"/>
  <c r="BI72" i="34"/>
  <c r="BI79" i="34" s="1"/>
  <c r="BH72" i="34"/>
  <c r="BH79" i="34" s="1"/>
  <c r="BG72" i="34"/>
  <c r="BG79" i="34" s="1"/>
  <c r="BF72" i="34"/>
  <c r="BF79" i="34" s="1"/>
  <c r="BE72" i="34"/>
  <c r="BE79" i="34" s="1"/>
  <c r="BD72" i="34"/>
  <c r="BD79" i="34" s="1"/>
  <c r="BC72" i="34"/>
  <c r="BC79" i="34" s="1"/>
  <c r="BB72" i="34"/>
  <c r="BB79" i="34" s="1"/>
  <c r="BA72" i="34"/>
  <c r="BA79" i="34" s="1"/>
  <c r="AZ72" i="34"/>
  <c r="AZ79" i="34" s="1"/>
  <c r="AI72" i="34"/>
  <c r="AH72" i="34"/>
  <c r="BW71" i="34"/>
  <c r="BW78" i="34" s="1"/>
  <c r="BV71" i="34"/>
  <c r="BV78" i="34" s="1"/>
  <c r="BU71" i="34"/>
  <c r="BU78" i="34" s="1"/>
  <c r="BT71" i="34"/>
  <c r="BT78" i="34" s="1"/>
  <c r="BS71" i="34"/>
  <c r="BS78" i="34" s="1"/>
  <c r="BR71" i="34"/>
  <c r="BR78" i="34" s="1"/>
  <c r="BQ71" i="34"/>
  <c r="BQ78" i="34" s="1"/>
  <c r="BP71" i="34"/>
  <c r="BP78" i="34" s="1"/>
  <c r="BO71" i="34"/>
  <c r="BO78" i="34" s="1"/>
  <c r="BN71" i="34"/>
  <c r="BN78" i="34" s="1"/>
  <c r="BM71" i="34"/>
  <c r="BM78" i="34" s="1"/>
  <c r="BL71" i="34"/>
  <c r="BL78" i="34" s="1"/>
  <c r="BK71" i="34"/>
  <c r="BK78" i="34" s="1"/>
  <c r="BJ71" i="34"/>
  <c r="BJ78" i="34" s="1"/>
  <c r="BI71" i="34"/>
  <c r="BI78" i="34" s="1"/>
  <c r="BH71" i="34"/>
  <c r="BH78" i="34" s="1"/>
  <c r="BG71" i="34"/>
  <c r="BG78" i="34" s="1"/>
  <c r="BF71" i="34"/>
  <c r="BF78" i="34" s="1"/>
  <c r="BE71" i="34"/>
  <c r="BE78" i="34" s="1"/>
  <c r="BD71" i="34"/>
  <c r="BD78" i="34" s="1"/>
  <c r="BC71" i="34"/>
  <c r="BC78" i="34" s="1"/>
  <c r="BB71" i="34"/>
  <c r="BB78" i="34" s="1"/>
  <c r="BA71" i="34"/>
  <c r="BA78" i="34" s="1"/>
  <c r="AZ71" i="34"/>
  <c r="AZ78" i="34" s="1"/>
  <c r="AI71" i="34"/>
  <c r="AH71" i="34"/>
  <c r="BW70" i="34"/>
  <c r="BW77" i="34" s="1"/>
  <c r="BV70" i="34"/>
  <c r="BV77" i="34" s="1"/>
  <c r="BU70" i="34"/>
  <c r="BU77" i="34" s="1"/>
  <c r="BT70" i="34"/>
  <c r="BT77" i="34" s="1"/>
  <c r="BS70" i="34"/>
  <c r="BS77" i="34" s="1"/>
  <c r="BR70" i="34"/>
  <c r="BR77" i="34" s="1"/>
  <c r="BQ70" i="34"/>
  <c r="BQ77" i="34" s="1"/>
  <c r="BP70" i="34"/>
  <c r="BP77" i="34" s="1"/>
  <c r="BO70" i="34"/>
  <c r="BO77" i="34" s="1"/>
  <c r="BN70" i="34"/>
  <c r="BN77" i="34" s="1"/>
  <c r="BM70" i="34"/>
  <c r="BM77" i="34" s="1"/>
  <c r="BL70" i="34"/>
  <c r="BL77" i="34" s="1"/>
  <c r="BK70" i="34"/>
  <c r="BK77" i="34" s="1"/>
  <c r="BJ70" i="34"/>
  <c r="BJ77" i="34" s="1"/>
  <c r="BI70" i="34"/>
  <c r="BI77" i="34" s="1"/>
  <c r="BH70" i="34"/>
  <c r="BH77" i="34" s="1"/>
  <c r="BG70" i="34"/>
  <c r="BG77" i="34" s="1"/>
  <c r="BF70" i="34"/>
  <c r="BF77" i="34" s="1"/>
  <c r="BE70" i="34"/>
  <c r="BE77" i="34" s="1"/>
  <c r="BD70" i="34"/>
  <c r="BD77" i="34" s="1"/>
  <c r="BC70" i="34"/>
  <c r="BC77" i="34" s="1"/>
  <c r="BB70" i="34"/>
  <c r="BB77" i="34" s="1"/>
  <c r="BA70" i="34"/>
  <c r="BA77" i="34" s="1"/>
  <c r="AZ70" i="34"/>
  <c r="AZ77" i="34" s="1"/>
  <c r="AI70" i="34"/>
  <c r="AH70" i="34"/>
  <c r="BW69" i="34"/>
  <c r="BW76" i="34" s="1"/>
  <c r="BV69" i="34"/>
  <c r="BV76" i="34" s="1"/>
  <c r="BU69" i="34"/>
  <c r="BU76" i="34" s="1"/>
  <c r="BT69" i="34"/>
  <c r="BT76" i="34" s="1"/>
  <c r="BS69" i="34"/>
  <c r="BS76" i="34" s="1"/>
  <c r="BR69" i="34"/>
  <c r="BR76" i="34" s="1"/>
  <c r="BQ69" i="34"/>
  <c r="BQ76" i="34" s="1"/>
  <c r="BP69" i="34"/>
  <c r="BP76" i="34" s="1"/>
  <c r="BO69" i="34"/>
  <c r="BO76" i="34" s="1"/>
  <c r="BN69" i="34"/>
  <c r="BN76" i="34" s="1"/>
  <c r="BM69" i="34"/>
  <c r="BL69" i="34"/>
  <c r="BL76" i="34" s="1"/>
  <c r="BK69" i="34"/>
  <c r="BK76" i="34" s="1"/>
  <c r="BJ69" i="34"/>
  <c r="BJ76" i="34" s="1"/>
  <c r="BI69" i="34"/>
  <c r="BI76" i="34" s="1"/>
  <c r="BH69" i="34"/>
  <c r="BH76" i="34" s="1"/>
  <c r="BG69" i="34"/>
  <c r="BG76" i="34" s="1"/>
  <c r="BF69" i="34"/>
  <c r="BF76" i="34" s="1"/>
  <c r="BE69" i="34"/>
  <c r="BD69" i="34"/>
  <c r="BD76" i="34" s="1"/>
  <c r="BC69" i="34"/>
  <c r="BC76" i="34" s="1"/>
  <c r="BB69" i="34"/>
  <c r="BB76" i="34" s="1"/>
  <c r="BA69" i="34"/>
  <c r="BA76" i="34" s="1"/>
  <c r="AZ69" i="34"/>
  <c r="AZ76" i="34" s="1"/>
  <c r="AI69" i="34"/>
  <c r="AH69" i="34"/>
  <c r="BW68" i="34"/>
  <c r="BW75" i="34" s="1"/>
  <c r="BV68" i="34"/>
  <c r="BV75" i="34" s="1"/>
  <c r="BU68" i="34"/>
  <c r="BU75" i="34" s="1"/>
  <c r="BT68" i="34"/>
  <c r="BT75" i="34" s="1"/>
  <c r="BS68" i="34"/>
  <c r="BS75" i="34" s="1"/>
  <c r="BR68" i="34"/>
  <c r="BR75" i="34" s="1"/>
  <c r="BQ68" i="34"/>
  <c r="BQ75" i="34" s="1"/>
  <c r="BP68" i="34"/>
  <c r="BP75" i="34" s="1"/>
  <c r="BO68" i="34"/>
  <c r="BO75" i="34" s="1"/>
  <c r="BN68" i="34"/>
  <c r="BN75" i="34" s="1"/>
  <c r="BM68" i="34"/>
  <c r="BM75" i="34" s="1"/>
  <c r="BL68" i="34"/>
  <c r="BL75" i="34" s="1"/>
  <c r="BK68" i="34"/>
  <c r="BK75" i="34" s="1"/>
  <c r="BJ68" i="34"/>
  <c r="BJ75" i="34" s="1"/>
  <c r="BI68" i="34"/>
  <c r="BI75" i="34" s="1"/>
  <c r="BH68" i="34"/>
  <c r="BH75" i="34" s="1"/>
  <c r="BG68" i="34"/>
  <c r="BG75" i="34" s="1"/>
  <c r="BF68" i="34"/>
  <c r="BF75" i="34" s="1"/>
  <c r="BE68" i="34"/>
  <c r="BE75" i="34" s="1"/>
  <c r="BD68" i="34"/>
  <c r="BD75" i="34" s="1"/>
  <c r="BC68" i="34"/>
  <c r="BC75" i="34" s="1"/>
  <c r="BB68" i="34"/>
  <c r="BB75" i="34" s="1"/>
  <c r="BA68" i="34"/>
  <c r="BA75" i="34" s="1"/>
  <c r="AZ68" i="34"/>
  <c r="AZ75" i="34" s="1"/>
  <c r="AI68" i="34"/>
  <c r="AH68" i="34"/>
  <c r="AI67" i="34"/>
  <c r="AH67" i="34"/>
  <c r="AI66" i="34"/>
  <c r="AH66" i="34"/>
  <c r="AI65" i="34"/>
  <c r="AH65" i="34"/>
  <c r="AI64" i="34"/>
  <c r="AH64" i="34"/>
  <c r="AI63" i="34"/>
  <c r="AH63" i="34"/>
  <c r="AG62" i="34"/>
  <c r="AF62" i="34"/>
  <c r="BJ17" i="34" s="1"/>
  <c r="AE62" i="34"/>
  <c r="BI17" i="34" s="1"/>
  <c r="AD62" i="34"/>
  <c r="BH17" i="34" s="1"/>
  <c r="AC62" i="34"/>
  <c r="AB62" i="34"/>
  <c r="BG17" i="34" s="1"/>
  <c r="Y62" i="34"/>
  <c r="X62" i="34"/>
  <c r="W62" i="34"/>
  <c r="V62" i="34"/>
  <c r="BD17" i="34" s="1"/>
  <c r="U62" i="34"/>
  <c r="BC17" i="34" s="1"/>
  <c r="T62" i="34"/>
  <c r="BB17" i="34" s="1"/>
  <c r="S62" i="34"/>
  <c r="BA17" i="34" s="1"/>
  <c r="R62" i="34"/>
  <c r="AZ17" i="34" s="1"/>
  <c r="Q62" i="34"/>
  <c r="AY17" i="34" s="1"/>
  <c r="P62" i="34"/>
  <c r="AX17" i="34" s="1"/>
  <c r="O62" i="34"/>
  <c r="AW17" i="34" s="1"/>
  <c r="N62" i="34"/>
  <c r="AV17" i="34" s="1"/>
  <c r="M62" i="34"/>
  <c r="AU17" i="34" s="1"/>
  <c r="L62" i="34"/>
  <c r="K62" i="34"/>
  <c r="J62" i="34"/>
  <c r="I62" i="34"/>
  <c r="AS17" i="34" s="1"/>
  <c r="H62" i="34"/>
  <c r="G62" i="34"/>
  <c r="AR17" i="34" s="1"/>
  <c r="F62" i="34"/>
  <c r="AQ17" i="34" s="1"/>
  <c r="E62" i="34"/>
  <c r="AP17" i="34" s="1"/>
  <c r="AI61" i="34"/>
  <c r="AH61" i="34"/>
  <c r="AI60" i="34"/>
  <c r="AH60" i="34"/>
  <c r="AI59" i="34"/>
  <c r="AH59" i="34"/>
  <c r="AG58" i="34"/>
  <c r="AG2" i="34" s="1"/>
  <c r="AF58" i="34"/>
  <c r="BJ16" i="34" s="1"/>
  <c r="AE58" i="34"/>
  <c r="BI16" i="34" s="1"/>
  <c r="AD58" i="34"/>
  <c r="AC58" i="34"/>
  <c r="AB58" i="34"/>
  <c r="BG16" i="34" s="1"/>
  <c r="BF16" i="34"/>
  <c r="Y58" i="34"/>
  <c r="BE16" i="34"/>
  <c r="W58" i="34"/>
  <c r="V58" i="34"/>
  <c r="U58" i="34"/>
  <c r="T58" i="34"/>
  <c r="S58" i="34"/>
  <c r="BA16" i="34" s="1"/>
  <c r="R58" i="34"/>
  <c r="AZ16" i="34" s="1"/>
  <c r="Q58" i="34"/>
  <c r="AY16" i="34" s="1"/>
  <c r="P58" i="34"/>
  <c r="AX16" i="34" s="1"/>
  <c r="O58" i="34"/>
  <c r="AW16" i="34" s="1"/>
  <c r="N58" i="34"/>
  <c r="M58" i="34"/>
  <c r="L58" i="34"/>
  <c r="K58" i="34"/>
  <c r="J58" i="34"/>
  <c r="I58" i="34"/>
  <c r="H58" i="34"/>
  <c r="G58" i="34"/>
  <c r="F58" i="34"/>
  <c r="E58" i="34"/>
  <c r="AI57" i="34"/>
  <c r="AH57" i="34"/>
  <c r="AI56" i="34"/>
  <c r="AH56" i="34"/>
  <c r="AI55" i="34"/>
  <c r="AH55" i="34"/>
  <c r="AI54" i="34"/>
  <c r="AH54" i="34"/>
  <c r="AI53" i="34"/>
  <c r="AH53" i="34"/>
  <c r="AI52" i="34"/>
  <c r="AH52" i="34"/>
  <c r="AI51" i="34"/>
  <c r="AH51" i="34"/>
  <c r="AI50" i="34"/>
  <c r="AH50" i="34"/>
  <c r="AI49" i="34"/>
  <c r="AH49" i="34"/>
  <c r="AI48" i="34"/>
  <c r="AH48" i="34"/>
  <c r="AI47" i="34"/>
  <c r="AH47" i="34"/>
  <c r="AI46" i="34"/>
  <c r="AH46" i="34"/>
  <c r="AI45" i="34"/>
  <c r="AH45" i="34"/>
  <c r="AI44" i="34"/>
  <c r="AH44" i="34"/>
  <c r="AI43" i="34"/>
  <c r="AH43" i="34"/>
  <c r="AI42" i="34"/>
  <c r="AH42" i="34"/>
  <c r="AI41" i="34"/>
  <c r="AH41" i="34"/>
  <c r="AI40" i="34"/>
  <c r="AH40" i="34"/>
  <c r="AI39" i="34"/>
  <c r="AH39" i="34"/>
  <c r="AI38" i="34"/>
  <c r="AH38" i="34"/>
  <c r="AI37" i="34"/>
  <c r="AH37" i="34"/>
  <c r="AI36" i="34"/>
  <c r="AH36" i="34"/>
  <c r="AI35" i="34"/>
  <c r="AH35" i="34"/>
  <c r="AI34" i="34"/>
  <c r="AH34" i="34"/>
  <c r="AI33" i="34"/>
  <c r="AH33" i="34"/>
  <c r="AI32" i="34"/>
  <c r="AH32" i="34"/>
  <c r="AI31" i="34"/>
  <c r="AH31" i="34"/>
  <c r="AI30" i="34"/>
  <c r="AH30" i="34"/>
  <c r="AI29" i="34"/>
  <c r="AH29" i="34"/>
  <c r="AI28" i="34"/>
  <c r="AH28" i="34"/>
  <c r="AI27" i="34"/>
  <c r="AH27" i="34"/>
  <c r="AI26" i="34"/>
  <c r="AH26" i="34"/>
  <c r="AI25" i="34"/>
  <c r="AH25" i="34"/>
  <c r="AI24" i="34"/>
  <c r="AH24" i="34"/>
  <c r="AI23" i="34"/>
  <c r="AH23" i="34"/>
  <c r="AI22" i="34"/>
  <c r="AH22" i="34"/>
  <c r="BJ21" i="34"/>
  <c r="BI21" i="34"/>
  <c r="BH21" i="34"/>
  <c r="BG21" i="34"/>
  <c r="BF21" i="34"/>
  <c r="BE21" i="34"/>
  <c r="BD21" i="34"/>
  <c r="BC21" i="34"/>
  <c r="BB21" i="34"/>
  <c r="BA21" i="34"/>
  <c r="AZ21" i="34"/>
  <c r="AY21" i="34"/>
  <c r="AX21" i="34"/>
  <c r="AW21" i="34"/>
  <c r="AV21" i="34"/>
  <c r="AU21" i="34"/>
  <c r="AT21" i="34"/>
  <c r="AS21" i="34"/>
  <c r="AR21" i="34"/>
  <c r="AQ21" i="34"/>
  <c r="AP21" i="34"/>
  <c r="AO21" i="34"/>
  <c r="AN21" i="34"/>
  <c r="AM21" i="34"/>
  <c r="AI21" i="34"/>
  <c r="AH21" i="34"/>
  <c r="BF20" i="34"/>
  <c r="BD20" i="34"/>
  <c r="AX20" i="34"/>
  <c r="AV20" i="34"/>
  <c r="AT20" i="34"/>
  <c r="AO20" i="34"/>
  <c r="AN20" i="34"/>
  <c r="AM20" i="34"/>
  <c r="AI20" i="34"/>
  <c r="AH20" i="34"/>
  <c r="BF19" i="34"/>
  <c r="AN19" i="34"/>
  <c r="AI19" i="34"/>
  <c r="AH19" i="34"/>
  <c r="BF18" i="34"/>
  <c r="BD18" i="34"/>
  <c r="AT18" i="34"/>
  <c r="AO18" i="34"/>
  <c r="AI18" i="34"/>
  <c r="AH18" i="34"/>
  <c r="BF17" i="34"/>
  <c r="BE17" i="34"/>
  <c r="AT17" i="34"/>
  <c r="AO17" i="34"/>
  <c r="AN17" i="34"/>
  <c r="AI17" i="34"/>
  <c r="AH17" i="34"/>
  <c r="AS16" i="34"/>
  <c r="AR16" i="34"/>
  <c r="AN16" i="34"/>
  <c r="AI16" i="34"/>
  <c r="AH16" i="34"/>
  <c r="AI15" i="34"/>
  <c r="AH15" i="34"/>
  <c r="AI14" i="34"/>
  <c r="AH14" i="34"/>
  <c r="AI13" i="34"/>
  <c r="AH13" i="34"/>
  <c r="AL12" i="34"/>
  <c r="AI12" i="34"/>
  <c r="AH12" i="34"/>
  <c r="AI11" i="34"/>
  <c r="AH11" i="34"/>
  <c r="Z5" i="34"/>
  <c r="Y5" i="34"/>
  <c r="I5" i="34"/>
  <c r="B5" i="34"/>
  <c r="AG4" i="34"/>
  <c r="K4" i="34"/>
  <c r="E4" i="34"/>
  <c r="H4" i="34" s="1"/>
  <c r="B4" i="34"/>
  <c r="D258" i="34" s="1"/>
  <c r="AF58" i="33"/>
  <c r="AF62" i="33"/>
  <c r="AF76" i="33"/>
  <c r="AF80" i="33"/>
  <c r="AF92" i="33"/>
  <c r="AF101" i="33"/>
  <c r="AF107" i="33" s="1"/>
  <c r="AF102" i="33"/>
  <c r="AF103" i="33"/>
  <c r="AF104" i="33"/>
  <c r="AF105" i="33"/>
  <c r="AF118" i="33"/>
  <c r="AE58" i="33"/>
  <c r="AE62" i="33"/>
  <c r="AE76" i="33"/>
  <c r="AE80" i="33"/>
  <c r="AE92" i="33"/>
  <c r="AE101" i="33"/>
  <c r="AE107" i="33" s="1"/>
  <c r="AE102" i="33"/>
  <c r="AE103" i="33"/>
  <c r="AE104" i="33"/>
  <c r="AE105" i="33"/>
  <c r="AE118" i="33"/>
  <c r="AD58" i="33"/>
  <c r="AD62" i="33"/>
  <c r="AD76" i="33"/>
  <c r="AD80" i="33"/>
  <c r="AD92" i="33"/>
  <c r="AD101" i="33"/>
  <c r="AD102" i="33"/>
  <c r="AD103" i="33"/>
  <c r="AD104" i="33"/>
  <c r="AD107" i="33" s="1"/>
  <c r="AD105" i="33"/>
  <c r="AD118" i="33"/>
  <c r="AC58" i="33"/>
  <c r="AC62" i="33"/>
  <c r="AC76" i="33"/>
  <c r="AC80" i="33"/>
  <c r="AC92" i="33"/>
  <c r="AC101" i="33"/>
  <c r="AC102" i="33"/>
  <c r="AC103" i="33"/>
  <c r="AC104" i="33"/>
  <c r="AC105" i="33"/>
  <c r="AC118" i="33"/>
  <c r="AB58" i="33"/>
  <c r="AB62" i="33"/>
  <c r="AB76" i="33"/>
  <c r="AB80" i="33"/>
  <c r="AB92" i="33"/>
  <c r="AB101" i="33"/>
  <c r="AB107" i="33" s="1"/>
  <c r="AB102" i="33"/>
  <c r="AB103" i="33"/>
  <c r="AB104" i="33"/>
  <c r="AB105" i="33"/>
  <c r="AB118" i="33"/>
  <c r="Z118" i="33"/>
  <c r="Z105" i="33"/>
  <c r="Z104" i="33"/>
  <c r="Z103" i="33"/>
  <c r="Z102" i="33"/>
  <c r="Z101" i="33"/>
  <c r="Z107" i="33" s="1"/>
  <c r="Z92" i="33"/>
  <c r="Z80" i="33"/>
  <c r="Z76" i="33"/>
  <c r="Z62" i="33"/>
  <c r="Z58" i="33"/>
  <c r="AD5" i="34" l="1"/>
  <c r="BG19" i="34"/>
  <c r="AF107" i="34"/>
  <c r="BJ23" i="34" s="1"/>
  <c r="C107" i="34"/>
  <c r="F251" i="34"/>
  <c r="E118" i="34"/>
  <c r="AF108" i="34"/>
  <c r="Q107" i="34"/>
  <c r="BF22" i="34"/>
  <c r="C108" i="34"/>
  <c r="P5" i="34"/>
  <c r="AA7" i="34"/>
  <c r="BH19" i="34"/>
  <c r="AC97" i="34"/>
  <c r="AC99" i="34" s="1"/>
  <c r="BF23" i="34"/>
  <c r="B107" i="34"/>
  <c r="AM23" i="34" s="1"/>
  <c r="BI22" i="34"/>
  <c r="AD97" i="34"/>
  <c r="AD99" i="34" s="1"/>
  <c r="AB97" i="34"/>
  <c r="AB99" i="34" s="1"/>
  <c r="AE97" i="34"/>
  <c r="AE99" i="34" s="1"/>
  <c r="D252" i="34"/>
  <c r="D118" i="34"/>
  <c r="Y107" i="34"/>
  <c r="Y108" i="34" s="1"/>
  <c r="X107" i="34"/>
  <c r="BE23" i="34" s="1"/>
  <c r="X97" i="34"/>
  <c r="X99" i="34" s="1"/>
  <c r="W97" i="34"/>
  <c r="W99" i="34" s="1"/>
  <c r="BD19" i="34"/>
  <c r="T5" i="34"/>
  <c r="T97" i="34"/>
  <c r="T99" i="34" s="1"/>
  <c r="BB19" i="34"/>
  <c r="BB16" i="34"/>
  <c r="R5" i="34"/>
  <c r="S107" i="34"/>
  <c r="BA23" i="34" s="1"/>
  <c r="BA19" i="34"/>
  <c r="BA22" i="34" s="1"/>
  <c r="BA24" i="34" s="1"/>
  <c r="S97" i="34"/>
  <c r="S99" i="34" s="1"/>
  <c r="S100" i="34" s="1"/>
  <c r="S7" i="34" s="1"/>
  <c r="R107" i="34"/>
  <c r="AZ23" i="34" s="1"/>
  <c r="AZ19" i="34"/>
  <c r="AZ22" i="34" s="1"/>
  <c r="AY22" i="34"/>
  <c r="P107" i="34"/>
  <c r="AX23" i="34" s="1"/>
  <c r="AW19" i="34"/>
  <c r="M5" i="34"/>
  <c r="AW22" i="34"/>
  <c r="AU19" i="34"/>
  <c r="AI104" i="34"/>
  <c r="L97" i="34"/>
  <c r="L99" i="34" s="1"/>
  <c r="J5" i="34"/>
  <c r="K107" i="34"/>
  <c r="AT23" i="34" s="1"/>
  <c r="K97" i="34"/>
  <c r="K99" i="34" s="1"/>
  <c r="AT16" i="34"/>
  <c r="AT22" i="34" s="1"/>
  <c r="AT24" i="34" s="1"/>
  <c r="J107" i="34"/>
  <c r="J108" i="34" s="1"/>
  <c r="AS19" i="34"/>
  <c r="AS22" i="34" s="1"/>
  <c r="I107" i="34"/>
  <c r="AS23" i="34" s="1"/>
  <c r="H97" i="34"/>
  <c r="H99" i="34" s="1"/>
  <c r="F5" i="34"/>
  <c r="AR22" i="34"/>
  <c r="G97" i="34"/>
  <c r="G99" i="34" s="1"/>
  <c r="AQ19" i="34"/>
  <c r="D5" i="34"/>
  <c r="AH105" i="34"/>
  <c r="D97" i="34"/>
  <c r="D99" i="34" s="1"/>
  <c r="D100" i="34" s="1"/>
  <c r="C5" i="34"/>
  <c r="AI80" i="34"/>
  <c r="D108" i="34"/>
  <c r="AI105" i="34"/>
  <c r="AN22" i="34"/>
  <c r="C97" i="34"/>
  <c r="C99" i="34" s="1"/>
  <c r="C100" i="34" s="1"/>
  <c r="AF5" i="34"/>
  <c r="AM19" i="34"/>
  <c r="AM22" i="34" s="1"/>
  <c r="B97" i="34"/>
  <c r="B99" i="34" s="1"/>
  <c r="P97" i="34"/>
  <c r="P99" i="34" s="1"/>
  <c r="P100" i="34" s="1"/>
  <c r="P7" i="34" s="1"/>
  <c r="AF97" i="34"/>
  <c r="AF99" i="34" s="1"/>
  <c r="AF100" i="34" s="1"/>
  <c r="AF7" i="34" s="1"/>
  <c r="AI62" i="34"/>
  <c r="BE18" i="34"/>
  <c r="BE22" i="34" s="1"/>
  <c r="Q97" i="34"/>
  <c r="Q99" i="34" s="1"/>
  <c r="Q100" i="34" s="1"/>
  <c r="Q7" i="34" s="1"/>
  <c r="AG97" i="34"/>
  <c r="I108" i="34"/>
  <c r="AI76" i="34"/>
  <c r="AG99" i="34"/>
  <c r="G107" i="34"/>
  <c r="AR23" i="34" s="1"/>
  <c r="AH102" i="34"/>
  <c r="O107" i="34"/>
  <c r="AW23" i="34" s="1"/>
  <c r="W107" i="34"/>
  <c r="W108" i="34" s="1"/>
  <c r="AE107" i="34"/>
  <c r="BI23" i="34" s="1"/>
  <c r="E97" i="34"/>
  <c r="E99" i="34" s="1"/>
  <c r="AP16" i="34"/>
  <c r="AP22" i="34" s="1"/>
  <c r="AU16" i="34"/>
  <c r="M97" i="34"/>
  <c r="M99" i="34" s="1"/>
  <c r="U97" i="34"/>
  <c r="U99" i="34" s="1"/>
  <c r="BC16" i="34"/>
  <c r="BC22" i="34" s="1"/>
  <c r="BJ22" i="34"/>
  <c r="F97" i="34"/>
  <c r="F99" i="34" s="1"/>
  <c r="AQ16" i="34"/>
  <c r="N97" i="34"/>
  <c r="N99" i="34" s="1"/>
  <c r="AV16" i="34"/>
  <c r="AV22" i="34" s="1"/>
  <c r="V97" i="34"/>
  <c r="V99" i="34" s="1"/>
  <c r="BD16" i="34"/>
  <c r="AG6" i="34"/>
  <c r="Y97" i="34"/>
  <c r="Y99" i="34" s="1"/>
  <c r="C7" i="34"/>
  <c r="BG22" i="34"/>
  <c r="I97" i="34"/>
  <c r="I99" i="34" s="1"/>
  <c r="I100" i="34" s="1"/>
  <c r="I7" i="34" s="1"/>
  <c r="F247" i="34"/>
  <c r="E252" i="34"/>
  <c r="BH16" i="34"/>
  <c r="BH22" i="34" s="1"/>
  <c r="H107" i="34"/>
  <c r="AH101" i="34"/>
  <c r="Q108" i="34"/>
  <c r="AY23" i="34"/>
  <c r="G5" i="34"/>
  <c r="O5" i="34"/>
  <c r="W5" i="34"/>
  <c r="AE5" i="34"/>
  <c r="AH76" i="34"/>
  <c r="AH80" i="34"/>
  <c r="BG84" i="34" a="1"/>
  <c r="AI101" i="34"/>
  <c r="AH92" i="34"/>
  <c r="O97" i="34"/>
  <c r="O99" i="34" s="1"/>
  <c r="AI102" i="34"/>
  <c r="AI103" i="34"/>
  <c r="AH104" i="34"/>
  <c r="AN23" i="34"/>
  <c r="AL13" i="34"/>
  <c r="AX19" i="34"/>
  <c r="AX22" i="34" s="1"/>
  <c r="AX24" i="34" s="1"/>
  <c r="AI92" i="34"/>
  <c r="AO23" i="34"/>
  <c r="L107" i="34"/>
  <c r="L108" i="34" s="1"/>
  <c r="T107" i="34"/>
  <c r="BB23" i="34" s="1"/>
  <c r="AB107" i="34"/>
  <c r="BG23" i="34" s="1"/>
  <c r="AO16" i="34"/>
  <c r="AO22" i="34" s="1"/>
  <c r="J97" i="34"/>
  <c r="J99" i="34" s="1"/>
  <c r="R97" i="34"/>
  <c r="R99" i="34" s="1"/>
  <c r="R100" i="34" s="1"/>
  <c r="R7" i="34" s="1"/>
  <c r="AH58" i="34"/>
  <c r="AH62" i="34"/>
  <c r="E107" i="34"/>
  <c r="AP23" i="34" s="1"/>
  <c r="M107" i="34"/>
  <c r="AU23" i="34" s="1"/>
  <c r="U107" i="34"/>
  <c r="BC23" i="34" s="1"/>
  <c r="AC107" i="34"/>
  <c r="H246" i="34"/>
  <c r="AI58" i="34"/>
  <c r="F107" i="34"/>
  <c r="N107" i="34"/>
  <c r="V107" i="34"/>
  <c r="AD107" i="34"/>
  <c r="AH103" i="34"/>
  <c r="AF108" i="33"/>
  <c r="AF97" i="33"/>
  <c r="AF99" i="33" s="1"/>
  <c r="AF100" i="33" s="1"/>
  <c r="AE108" i="33"/>
  <c r="AE97" i="33"/>
  <c r="AE99" i="33" s="1"/>
  <c r="AE100" i="33" s="1"/>
  <c r="AD108" i="33"/>
  <c r="AD97" i="33"/>
  <c r="AD99" i="33" s="1"/>
  <c r="AD100" i="33" s="1"/>
  <c r="AC107" i="33"/>
  <c r="AC97" i="33"/>
  <c r="AC99" i="33" s="1"/>
  <c r="AC100" i="33" s="1"/>
  <c r="AC108" i="33"/>
  <c r="AB97" i="33"/>
  <c r="AB99" i="33" s="1"/>
  <c r="AB100" i="33" s="1"/>
  <c r="AB108" i="33"/>
  <c r="Z97" i="33"/>
  <c r="Z99" i="33" s="1"/>
  <c r="Z100" i="33" s="1"/>
  <c r="Z108" i="33"/>
  <c r="BJ24" i="34" l="1"/>
  <c r="BI24" i="34"/>
  <c r="AD100" i="34"/>
  <c r="AD7" i="34" s="1"/>
  <c r="X108" i="34"/>
  <c r="BE24" i="34"/>
  <c r="X100" i="34"/>
  <c r="X7" i="34" s="1"/>
  <c r="BD22" i="34"/>
  <c r="BF24" i="34"/>
  <c r="J100" i="34"/>
  <c r="J7" i="34" s="1"/>
  <c r="B100" i="34"/>
  <c r="AZ24" i="34"/>
  <c r="AB108" i="34"/>
  <c r="T108" i="34"/>
  <c r="AB100" i="34"/>
  <c r="AB7" i="34" s="1"/>
  <c r="K100" i="34"/>
  <c r="K7" i="34" s="1"/>
  <c r="R108" i="34"/>
  <c r="K108" i="34"/>
  <c r="G251" i="34"/>
  <c r="F118" i="34"/>
  <c r="AY24" i="34"/>
  <c r="BG24" i="34"/>
  <c r="AW24" i="34"/>
  <c r="AC100" i="34"/>
  <c r="AC7" i="34" s="1"/>
  <c r="Z7" i="34"/>
  <c r="O100" i="34"/>
  <c r="O7" i="34" s="1"/>
  <c r="AU22" i="34"/>
  <c r="AU24" i="34" s="1"/>
  <c r="H100" i="34"/>
  <c r="H7" i="34" s="1"/>
  <c r="H108" i="34"/>
  <c r="AQ22" i="34"/>
  <c r="Y100" i="34"/>
  <c r="Y7" i="34" s="1"/>
  <c r="AE100" i="34"/>
  <c r="AE7" i="34" s="1"/>
  <c r="B108" i="34"/>
  <c r="AC108" i="34"/>
  <c r="V100" i="34"/>
  <c r="V7" i="34" s="1"/>
  <c r="U108" i="34"/>
  <c r="BB22" i="34"/>
  <c r="BB24" i="34" s="1"/>
  <c r="S108" i="34"/>
  <c r="P108" i="34"/>
  <c r="N100" i="34"/>
  <c r="N7" i="34" s="1"/>
  <c r="M108" i="34"/>
  <c r="L100" i="34"/>
  <c r="L7" i="34" s="1"/>
  <c r="B256" i="34"/>
  <c r="AR24" i="34"/>
  <c r="C256" i="34"/>
  <c r="E108" i="34"/>
  <c r="AN24" i="34"/>
  <c r="U100" i="34"/>
  <c r="U7" i="34" s="1"/>
  <c r="G100" i="34"/>
  <c r="G7" i="34" s="1"/>
  <c r="BH23" i="34"/>
  <c r="BH24" i="34" s="1"/>
  <c r="AD108" i="34"/>
  <c r="AP24" i="34"/>
  <c r="AI107" i="34"/>
  <c r="AI97" i="34"/>
  <c r="AH97" i="34"/>
  <c r="BJ107" i="34"/>
  <c r="BH106" i="34"/>
  <c r="BL104" i="34"/>
  <c r="BJ103" i="34"/>
  <c r="BH102" i="34"/>
  <c r="BL100" i="34"/>
  <c r="BJ99" i="34"/>
  <c r="BH98" i="34"/>
  <c r="BL96" i="34"/>
  <c r="BJ95" i="34"/>
  <c r="BH94" i="34"/>
  <c r="BL92" i="34"/>
  <c r="BJ91" i="34"/>
  <c r="BH90" i="34"/>
  <c r="BL88" i="34"/>
  <c r="BJ87" i="34"/>
  <c r="BH86" i="34"/>
  <c r="BL84" i="34"/>
  <c r="BH107" i="34"/>
  <c r="BL105" i="34"/>
  <c r="BJ104" i="34"/>
  <c r="BH103" i="34"/>
  <c r="BL101" i="34"/>
  <c r="BJ100" i="34"/>
  <c r="BH99" i="34"/>
  <c r="BL97" i="34"/>
  <c r="BJ96" i="34"/>
  <c r="BH95" i="34"/>
  <c r="BL93" i="34"/>
  <c r="BJ92" i="34"/>
  <c r="BH91" i="34"/>
  <c r="BL89" i="34"/>
  <c r="BJ88" i="34"/>
  <c r="BH87" i="34"/>
  <c r="BL85" i="34"/>
  <c r="BJ84" i="34"/>
  <c r="BL106" i="34"/>
  <c r="BJ105" i="34"/>
  <c r="BH104" i="34"/>
  <c r="BL102" i="34"/>
  <c r="BJ101" i="34"/>
  <c r="BH100" i="34"/>
  <c r="BL98" i="34"/>
  <c r="BJ97" i="34"/>
  <c r="BH96" i="34"/>
  <c r="BL94" i="34"/>
  <c r="BJ93" i="34"/>
  <c r="BH92" i="34"/>
  <c r="BL90" i="34"/>
  <c r="BJ89" i="34"/>
  <c r="BH88" i="34"/>
  <c r="BL86" i="34"/>
  <c r="BJ85" i="34"/>
  <c r="BH84" i="34"/>
  <c r="BI106" i="34"/>
  <c r="BG104" i="34"/>
  <c r="BG102" i="34"/>
  <c r="BL99" i="34"/>
  <c r="BK97" i="34"/>
  <c r="BK95" i="34"/>
  <c r="BI93" i="34"/>
  <c r="BI91" i="34"/>
  <c r="BH89" i="34"/>
  <c r="BG87" i="34"/>
  <c r="BG85" i="34"/>
  <c r="BG106" i="34"/>
  <c r="BL103" i="34"/>
  <c r="BK101" i="34"/>
  <c r="BK99" i="34"/>
  <c r="BI97" i="34"/>
  <c r="BI95" i="34"/>
  <c r="BH93" i="34"/>
  <c r="BG91" i="34"/>
  <c r="BG89" i="34"/>
  <c r="BK86" i="34"/>
  <c r="BK84" i="34"/>
  <c r="BG92" i="34"/>
  <c r="BL107" i="34"/>
  <c r="BK105" i="34"/>
  <c r="BK103" i="34"/>
  <c r="BI101" i="34"/>
  <c r="BI99" i="34"/>
  <c r="BH97" i="34"/>
  <c r="BG95" i="34"/>
  <c r="BG93" i="34"/>
  <c r="BK90" i="34"/>
  <c r="BK88" i="34"/>
  <c r="BJ86" i="34"/>
  <c r="BI84" i="34"/>
  <c r="BG107" i="34"/>
  <c r="BK102" i="34"/>
  <c r="BK100" i="34"/>
  <c r="BJ98" i="34"/>
  <c r="BK107" i="34"/>
  <c r="BI105" i="34"/>
  <c r="BI103" i="34"/>
  <c r="BH101" i="34"/>
  <c r="BG99" i="34"/>
  <c r="BG97" i="34"/>
  <c r="BK94" i="34"/>
  <c r="BK92" i="34"/>
  <c r="BJ90" i="34"/>
  <c r="BI88" i="34"/>
  <c r="BI86" i="34"/>
  <c r="BG84" i="34"/>
  <c r="BG105" i="34"/>
  <c r="BI96" i="34"/>
  <c r="BL87" i="34"/>
  <c r="BI107" i="34"/>
  <c r="BH105" i="34"/>
  <c r="BG103" i="34"/>
  <c r="BG101" i="34"/>
  <c r="BK98" i="34"/>
  <c r="BK96" i="34"/>
  <c r="BJ94" i="34"/>
  <c r="BI92" i="34"/>
  <c r="BI90" i="34"/>
  <c r="BG88" i="34"/>
  <c r="BG86" i="34"/>
  <c r="BJ106" i="34"/>
  <c r="BI104" i="34"/>
  <c r="BI102" i="34"/>
  <c r="BG100" i="34"/>
  <c r="BG98" i="34"/>
  <c r="BL95" i="34"/>
  <c r="BK93" i="34"/>
  <c r="BK91" i="34"/>
  <c r="BI89" i="34"/>
  <c r="BI87" i="34"/>
  <c r="BH85" i="34"/>
  <c r="BI94" i="34"/>
  <c r="BG94" i="34"/>
  <c r="BK87" i="34"/>
  <c r="BK85" i="34"/>
  <c r="BK106" i="34"/>
  <c r="BL91" i="34"/>
  <c r="BI100" i="34"/>
  <c r="BI98" i="34"/>
  <c r="BG96" i="34"/>
  <c r="BI85" i="34"/>
  <c r="BK104" i="34"/>
  <c r="BG90" i="34"/>
  <c r="BJ102" i="34"/>
  <c r="BK89" i="34"/>
  <c r="W100" i="34"/>
  <c r="W7" i="34" s="1"/>
  <c r="E100" i="34"/>
  <c r="E7" i="34" s="1"/>
  <c r="AS24" i="34"/>
  <c r="AH107" i="34"/>
  <c r="D7" i="34"/>
  <c r="AV23" i="34"/>
  <c r="AV24" i="34" s="1"/>
  <c r="N108" i="34"/>
  <c r="AO24" i="34"/>
  <c r="G247" i="34"/>
  <c r="F252" i="34"/>
  <c r="F100" i="34"/>
  <c r="F7" i="34" s="1"/>
  <c r="AE108" i="34"/>
  <c r="M100" i="34"/>
  <c r="M7" i="34" s="1"/>
  <c r="AM24" i="34"/>
  <c r="V108" i="34"/>
  <c r="BD23" i="34"/>
  <c r="BD24" i="34" s="1"/>
  <c r="AQ23" i="34"/>
  <c r="F108" i="34"/>
  <c r="I246" i="34"/>
  <c r="O108" i="34"/>
  <c r="T100" i="34"/>
  <c r="T7" i="34" s="1"/>
  <c r="BC24" i="34"/>
  <c r="G108" i="34"/>
  <c r="AT8" i="34" l="1"/>
  <c r="H251" i="34"/>
  <c r="G118" i="34"/>
  <c r="AQ24" i="34"/>
  <c r="K6" i="34"/>
  <c r="AI108" i="34"/>
  <c r="H247" i="34"/>
  <c r="G252" i="34"/>
  <c r="AT9" i="34"/>
  <c r="J246" i="34"/>
  <c r="AH108" i="34"/>
  <c r="AH99" i="34"/>
  <c r="AI99" i="34"/>
  <c r="I251" i="34" l="1"/>
  <c r="H118" i="34"/>
  <c r="K246" i="34"/>
  <c r="B7" i="34"/>
  <c r="A7" i="34" s="1"/>
  <c r="AI100" i="34"/>
  <c r="AH100" i="34"/>
  <c r="I247" i="34"/>
  <c r="H252" i="34"/>
  <c r="J251" i="34" l="1"/>
  <c r="I118" i="34"/>
  <c r="J247" i="34"/>
  <c r="I252" i="34"/>
  <c r="L246" i="34"/>
  <c r="K251" i="34" l="1"/>
  <c r="J118" i="34"/>
  <c r="M246" i="34"/>
  <c r="K247" i="34"/>
  <c r="J252" i="34"/>
  <c r="L251" i="34" l="1"/>
  <c r="K118" i="34"/>
  <c r="L247" i="34"/>
  <c r="K252" i="34"/>
  <c r="N246" i="34"/>
  <c r="M251" i="34" l="1"/>
  <c r="L118" i="34"/>
  <c r="O246" i="34"/>
  <c r="M247" i="34"/>
  <c r="L252" i="34"/>
  <c r="N251" i="34" l="1"/>
  <c r="M118" i="34"/>
  <c r="N247" i="34"/>
  <c r="M252" i="34"/>
  <c r="P246" i="34"/>
  <c r="O251" i="34" l="1"/>
  <c r="N118" i="34"/>
  <c r="Q246" i="34"/>
  <c r="O247" i="34"/>
  <c r="N252" i="34"/>
  <c r="P251" i="34" l="1"/>
  <c r="Q251" i="34" s="1"/>
  <c r="R251" i="34" s="1"/>
  <c r="S251" i="34" s="1"/>
  <c r="T251" i="34" s="1"/>
  <c r="U251" i="34" s="1"/>
  <c r="V251" i="34" s="1"/>
  <c r="W251" i="34" s="1"/>
  <c r="X251" i="34" s="1"/>
  <c r="Y251" i="34" s="1"/>
  <c r="Z251" i="34" s="1"/>
  <c r="AA251" i="34" s="1"/>
  <c r="AB251" i="34" s="1"/>
  <c r="AC251" i="34" s="1"/>
  <c r="AD251" i="34" s="1"/>
  <c r="AE251" i="34" s="1"/>
  <c r="AF251" i="34" s="1"/>
  <c r="B251" i="34" s="1"/>
  <c r="O118" i="34"/>
  <c r="P247" i="34"/>
  <c r="O252" i="34"/>
  <c r="Q118" i="34"/>
  <c r="R246" i="34"/>
  <c r="R118" i="34" l="1"/>
  <c r="S246" i="34"/>
  <c r="Q247" i="34"/>
  <c r="P252" i="34"/>
  <c r="R247" i="34" l="1"/>
  <c r="Q252" i="34"/>
  <c r="S118" i="34"/>
  <c r="T246" i="34"/>
  <c r="T118" i="34" l="1"/>
  <c r="U246" i="34"/>
  <c r="S247" i="34"/>
  <c r="R252" i="34"/>
  <c r="U118" i="34" l="1"/>
  <c r="V246" i="34"/>
  <c r="T247" i="34"/>
  <c r="S252" i="34"/>
  <c r="U247" i="34" l="1"/>
  <c r="T252" i="34"/>
  <c r="W246" i="34"/>
  <c r="V118" i="34"/>
  <c r="X246" i="34" l="1"/>
  <c r="W118" i="34"/>
  <c r="V247" i="34"/>
  <c r="U252" i="34"/>
  <c r="W247" i="34" l="1"/>
  <c r="V252" i="34"/>
  <c r="Y246" i="34"/>
  <c r="X118" i="34"/>
  <c r="Z246" i="34" l="1"/>
  <c r="X247" i="34"/>
  <c r="W252" i="34"/>
  <c r="Y247" i="34" l="1"/>
  <c r="X252" i="34"/>
  <c r="AA246" i="34"/>
  <c r="Z247" i="34" l="1"/>
  <c r="Y252" i="34"/>
  <c r="AB246" i="34"/>
  <c r="AB118" i="34" l="1"/>
  <c r="AC246" i="34"/>
  <c r="AA247" i="34"/>
  <c r="Z252" i="34"/>
  <c r="AB247" i="34" l="1"/>
  <c r="AA252" i="34"/>
  <c r="AC118" i="34"/>
  <c r="AD246" i="34"/>
  <c r="AE246" i="34" l="1"/>
  <c r="AD118" i="34"/>
  <c r="AC247" i="34"/>
  <c r="AB252" i="34"/>
  <c r="AD247" i="34" l="1"/>
  <c r="AC252" i="34"/>
  <c r="AF246" i="34"/>
  <c r="AE118" i="34"/>
  <c r="AE247" i="34" l="1"/>
  <c r="AD252" i="34"/>
  <c r="AF118" i="34"/>
  <c r="B246" i="34"/>
  <c r="B118" i="34" s="1"/>
  <c r="AF247" i="34" l="1"/>
  <c r="AE252" i="34"/>
  <c r="B247" i="34" l="1"/>
  <c r="B252" i="34" s="1"/>
  <c r="AF252" i="34"/>
  <c r="AI118" i="34"/>
  <c r="AH118" i="34"/>
  <c r="X58" i="33" l="1"/>
  <c r="X62" i="33"/>
  <c r="R121" i="33" l="1"/>
  <c r="R57" i="33"/>
  <c r="Q121" i="33"/>
  <c r="Q57" i="33"/>
  <c r="P121" i="33"/>
  <c r="P57" i="33"/>
  <c r="P58" i="33"/>
  <c r="P62" i="33"/>
  <c r="P76" i="33"/>
  <c r="P80" i="33"/>
  <c r="O57" i="33"/>
  <c r="N121" i="33"/>
  <c r="N57" i="33"/>
  <c r="M121" i="33"/>
  <c r="M57" i="33"/>
  <c r="L57" i="33"/>
  <c r="K57" i="33"/>
  <c r="J121" i="33"/>
  <c r="J57" i="33"/>
  <c r="I121" i="33"/>
  <c r="I57" i="33"/>
  <c r="H121" i="33" l="1"/>
  <c r="H57" i="33"/>
  <c r="G121" i="33"/>
  <c r="G57" i="33"/>
  <c r="F121" i="33"/>
  <c r="F91" i="33"/>
  <c r="F57" i="33"/>
  <c r="E121" i="33"/>
  <c r="E57" i="33"/>
  <c r="D121" i="33"/>
  <c r="D57" i="33"/>
  <c r="B62" i="33"/>
  <c r="B58" i="33"/>
  <c r="AH125" i="33"/>
  <c r="AI125" i="33"/>
  <c r="AH124" i="33"/>
  <c r="AI124" i="33"/>
  <c r="C121" i="33"/>
  <c r="C118" i="33" s="1"/>
  <c r="B99" i="33"/>
  <c r="B92" i="33"/>
  <c r="B80" i="33"/>
  <c r="B76" i="33"/>
  <c r="AM18" i="33" s="1"/>
  <c r="C57" i="33"/>
  <c r="AG252" i="33"/>
  <c r="C252" i="33"/>
  <c r="G251" i="33"/>
  <c r="H251" i="33" s="1"/>
  <c r="I251" i="33" s="1"/>
  <c r="J251" i="33" s="1"/>
  <c r="K251" i="33" s="1"/>
  <c r="L251" i="33" s="1"/>
  <c r="M251" i="33" s="1"/>
  <c r="N251" i="33" s="1"/>
  <c r="O251" i="33" s="1"/>
  <c r="P251" i="33" s="1"/>
  <c r="Q251" i="33" s="1"/>
  <c r="R251" i="33" s="1"/>
  <c r="S251" i="33" s="1"/>
  <c r="T251" i="33" s="1"/>
  <c r="U251" i="33" s="1"/>
  <c r="V251" i="33" s="1"/>
  <c r="W251" i="33" s="1"/>
  <c r="X251" i="33" s="1"/>
  <c r="Y251" i="33" s="1"/>
  <c r="Z251" i="33" s="1"/>
  <c r="AA251" i="33" s="1"/>
  <c r="AB251" i="33" s="1"/>
  <c r="AC251" i="33" s="1"/>
  <c r="AD251" i="33" s="1"/>
  <c r="AE251" i="33" s="1"/>
  <c r="AF251" i="33" s="1"/>
  <c r="B251" i="33" s="1"/>
  <c r="E251" i="33"/>
  <c r="F251" i="33" s="1"/>
  <c r="D251" i="33"/>
  <c r="D118" i="33" s="1"/>
  <c r="E250" i="33"/>
  <c r="F250" i="33" s="1"/>
  <c r="G250" i="33" s="1"/>
  <c r="H250" i="33" s="1"/>
  <c r="I250" i="33" s="1"/>
  <c r="J250" i="33" s="1"/>
  <c r="K250" i="33" s="1"/>
  <c r="L250" i="33" s="1"/>
  <c r="M250" i="33" s="1"/>
  <c r="N250" i="33" s="1"/>
  <c r="O250" i="33" s="1"/>
  <c r="P250" i="33" s="1"/>
  <c r="Q250" i="33" s="1"/>
  <c r="R250" i="33" s="1"/>
  <c r="S250" i="33" s="1"/>
  <c r="T250" i="33" s="1"/>
  <c r="U250" i="33" s="1"/>
  <c r="V250" i="33" s="1"/>
  <c r="W250" i="33" s="1"/>
  <c r="X250" i="33" s="1"/>
  <c r="Y250" i="33" s="1"/>
  <c r="Z250" i="33" s="1"/>
  <c r="AA250" i="33" s="1"/>
  <c r="AB250" i="33" s="1"/>
  <c r="AC250" i="33" s="1"/>
  <c r="AD250" i="33" s="1"/>
  <c r="AE250" i="33" s="1"/>
  <c r="AF250" i="33" s="1"/>
  <c r="B250" i="33" s="1"/>
  <c r="D250" i="33"/>
  <c r="P249" i="33"/>
  <c r="Q249" i="33" s="1"/>
  <c r="R249" i="33" s="1"/>
  <c r="S249" i="33" s="1"/>
  <c r="T249" i="33" s="1"/>
  <c r="U249" i="33" s="1"/>
  <c r="V249" i="33" s="1"/>
  <c r="W249" i="33" s="1"/>
  <c r="X249" i="33" s="1"/>
  <c r="Y249" i="33" s="1"/>
  <c r="Z249" i="33" s="1"/>
  <c r="AA249" i="33" s="1"/>
  <c r="AB249" i="33" s="1"/>
  <c r="AC249" i="33" s="1"/>
  <c r="AD249" i="33" s="1"/>
  <c r="AE249" i="33" s="1"/>
  <c r="AF249" i="33" s="1"/>
  <c r="B249" i="33" s="1"/>
  <c r="H249" i="33"/>
  <c r="I249" i="33" s="1"/>
  <c r="J249" i="33" s="1"/>
  <c r="K249" i="33" s="1"/>
  <c r="L249" i="33" s="1"/>
  <c r="M249" i="33" s="1"/>
  <c r="N249" i="33" s="1"/>
  <c r="O249" i="33" s="1"/>
  <c r="D249" i="33"/>
  <c r="E249" i="33" s="1"/>
  <c r="F249" i="33" s="1"/>
  <c r="G249" i="33" s="1"/>
  <c r="F248" i="33"/>
  <c r="G248" i="33" s="1"/>
  <c r="H248" i="33" s="1"/>
  <c r="I248" i="33" s="1"/>
  <c r="J248" i="33" s="1"/>
  <c r="K248" i="33" s="1"/>
  <c r="L248" i="33" s="1"/>
  <c r="M248" i="33" s="1"/>
  <c r="N248" i="33" s="1"/>
  <c r="O248" i="33" s="1"/>
  <c r="P248" i="33" s="1"/>
  <c r="Q248" i="33" s="1"/>
  <c r="R248" i="33" s="1"/>
  <c r="S248" i="33" s="1"/>
  <c r="T248" i="33" s="1"/>
  <c r="U248" i="33" s="1"/>
  <c r="V248" i="33" s="1"/>
  <c r="W248" i="33" s="1"/>
  <c r="X248" i="33" s="1"/>
  <c r="Y248" i="33" s="1"/>
  <c r="Z248" i="33" s="1"/>
  <c r="AA248" i="33" s="1"/>
  <c r="AB248" i="33" s="1"/>
  <c r="AC248" i="33" s="1"/>
  <c r="AD248" i="33" s="1"/>
  <c r="AE248" i="33" s="1"/>
  <c r="AF248" i="33" s="1"/>
  <c r="B248" i="33" s="1"/>
  <c r="E248" i="33"/>
  <c r="D248" i="33"/>
  <c r="D247" i="33"/>
  <c r="D252" i="33" s="1"/>
  <c r="E246" i="33"/>
  <c r="D246" i="33"/>
  <c r="AG244" i="33"/>
  <c r="AF244" i="33"/>
  <c r="AE244" i="33"/>
  <c r="AD244" i="33"/>
  <c r="AC244" i="33"/>
  <c r="AB244" i="33"/>
  <c r="AA244" i="33"/>
  <c r="Z244" i="33"/>
  <c r="Y244" i="33"/>
  <c r="Y118" i="33" s="1"/>
  <c r="X244" i="33"/>
  <c r="W244" i="33"/>
  <c r="V244" i="33"/>
  <c r="U244" i="33"/>
  <c r="T244" i="33"/>
  <c r="S244" i="33"/>
  <c r="R244" i="33"/>
  <c r="Q244" i="33"/>
  <c r="P244" i="33"/>
  <c r="O244" i="33"/>
  <c r="N244" i="33"/>
  <c r="M244" i="33"/>
  <c r="L244" i="33"/>
  <c r="K244" i="33"/>
  <c r="J244" i="33"/>
  <c r="I244" i="33"/>
  <c r="H244" i="33"/>
  <c r="G244" i="33"/>
  <c r="F244" i="33"/>
  <c r="E244" i="33"/>
  <c r="D244" i="33"/>
  <c r="C244" i="33"/>
  <c r="B244" i="33"/>
  <c r="AI130" i="33"/>
  <c r="AH130" i="33"/>
  <c r="AI129" i="33"/>
  <c r="AH129" i="33"/>
  <c r="AI128" i="33"/>
  <c r="AH128" i="33"/>
  <c r="AI127" i="33"/>
  <c r="AH127" i="33"/>
  <c r="AI126" i="33"/>
  <c r="AH126" i="33"/>
  <c r="AI123" i="33"/>
  <c r="AH123" i="33"/>
  <c r="AI122" i="33"/>
  <c r="AH122" i="33"/>
  <c r="AI120" i="33"/>
  <c r="AH120" i="33"/>
  <c r="AI119" i="33"/>
  <c r="AH119" i="33"/>
  <c r="AI117" i="33"/>
  <c r="AH117" i="33"/>
  <c r="AI116" i="33"/>
  <c r="AH116" i="33"/>
  <c r="AI115" i="33"/>
  <c r="AH115" i="33"/>
  <c r="AI114" i="33"/>
  <c r="AH114" i="33"/>
  <c r="AI113" i="33"/>
  <c r="AH113" i="33"/>
  <c r="AI112" i="33"/>
  <c r="AH112" i="33"/>
  <c r="AI111" i="33"/>
  <c r="AH111" i="33"/>
  <c r="AI110" i="33"/>
  <c r="AH110" i="33"/>
  <c r="AI109" i="33"/>
  <c r="AH109" i="33"/>
  <c r="AI106" i="33"/>
  <c r="AH106" i="33"/>
  <c r="AA105" i="33"/>
  <c r="Y105" i="33"/>
  <c r="X105" i="33"/>
  <c r="W105" i="33"/>
  <c r="V105" i="33"/>
  <c r="U105" i="33"/>
  <c r="T105" i="33"/>
  <c r="S105" i="33"/>
  <c r="R105" i="33"/>
  <c r="Q105" i="33"/>
  <c r="P105" i="33"/>
  <c r="O105" i="33"/>
  <c r="N105" i="33"/>
  <c r="M105" i="33"/>
  <c r="L105" i="33"/>
  <c r="K105" i="33"/>
  <c r="J105" i="33"/>
  <c r="I105" i="33"/>
  <c r="H105" i="33"/>
  <c r="G105" i="33"/>
  <c r="F105" i="33"/>
  <c r="E105" i="33"/>
  <c r="D105" i="33"/>
  <c r="C105" i="33"/>
  <c r="AA104" i="33"/>
  <c r="Y104" i="33"/>
  <c r="X104" i="33"/>
  <c r="W104" i="33"/>
  <c r="V104" i="33"/>
  <c r="U104" i="33"/>
  <c r="T104" i="33"/>
  <c r="S104" i="33"/>
  <c r="R104" i="33"/>
  <c r="Q104" i="33"/>
  <c r="P104" i="33"/>
  <c r="O104" i="33"/>
  <c r="N104" i="33"/>
  <c r="M104" i="33"/>
  <c r="L104" i="33"/>
  <c r="K104" i="33"/>
  <c r="J104" i="33"/>
  <c r="I104" i="33"/>
  <c r="H104" i="33"/>
  <c r="G104" i="33"/>
  <c r="F104" i="33"/>
  <c r="E104" i="33"/>
  <c r="D104" i="33"/>
  <c r="C104" i="33"/>
  <c r="AA103" i="33"/>
  <c r="Y103" i="33"/>
  <c r="X103" i="33"/>
  <c r="W103" i="33"/>
  <c r="V103" i="33"/>
  <c r="U103" i="33"/>
  <c r="T103" i="33"/>
  <c r="S103" i="33"/>
  <c r="R103" i="33"/>
  <c r="Q103" i="33"/>
  <c r="P103" i="33"/>
  <c r="O103" i="33"/>
  <c r="N103" i="33"/>
  <c r="M103" i="33"/>
  <c r="L103" i="33"/>
  <c r="K103" i="33"/>
  <c r="J103" i="33"/>
  <c r="I103" i="33"/>
  <c r="H103" i="33"/>
  <c r="G103" i="33"/>
  <c r="F103" i="33"/>
  <c r="E103" i="33"/>
  <c r="D103" i="33"/>
  <c r="C103" i="33"/>
  <c r="AA102" i="33"/>
  <c r="Y102" i="33"/>
  <c r="X102" i="33"/>
  <c r="W102" i="33"/>
  <c r="V102" i="33"/>
  <c r="U102" i="33"/>
  <c r="T102" i="33"/>
  <c r="S102" i="33"/>
  <c r="R102" i="33"/>
  <c r="Q102" i="33"/>
  <c r="P102" i="33"/>
  <c r="O102" i="33"/>
  <c r="N102" i="33"/>
  <c r="M102" i="33"/>
  <c r="L102" i="33"/>
  <c r="K102" i="33"/>
  <c r="J102" i="33"/>
  <c r="I102" i="33"/>
  <c r="H102" i="33"/>
  <c r="G102" i="33"/>
  <c r="F102" i="33"/>
  <c r="E102" i="33"/>
  <c r="D102" i="33"/>
  <c r="C102" i="33"/>
  <c r="AA101" i="33"/>
  <c r="Y101" i="33"/>
  <c r="X101" i="33"/>
  <c r="W101" i="33"/>
  <c r="V101" i="33"/>
  <c r="U101" i="33"/>
  <c r="T101" i="33"/>
  <c r="S101" i="33"/>
  <c r="R101" i="33"/>
  <c r="Q101" i="33"/>
  <c r="P101" i="33"/>
  <c r="O101" i="33"/>
  <c r="N101" i="33"/>
  <c r="M101" i="33"/>
  <c r="L101" i="33"/>
  <c r="K101" i="33"/>
  <c r="K107" i="33" s="1"/>
  <c r="AT23" i="33" s="1"/>
  <c r="J101" i="33"/>
  <c r="I101" i="33"/>
  <c r="H101" i="33"/>
  <c r="G101" i="33"/>
  <c r="F101" i="33"/>
  <c r="E101" i="33"/>
  <c r="D101" i="33"/>
  <c r="C101" i="33"/>
  <c r="C107" i="33" s="1"/>
  <c r="AI98" i="33"/>
  <c r="AH98" i="33"/>
  <c r="AI96" i="33"/>
  <c r="AH96" i="33"/>
  <c r="AG96" i="33"/>
  <c r="AI95" i="33"/>
  <c r="AH95" i="33"/>
  <c r="AI94" i="33"/>
  <c r="AH94" i="33"/>
  <c r="AI93" i="33"/>
  <c r="AH93" i="33"/>
  <c r="AG92" i="33"/>
  <c r="AA92" i="33"/>
  <c r="Z5" i="33" s="1"/>
  <c r="Y92" i="33"/>
  <c r="X5" i="33" s="1"/>
  <c r="X92" i="33"/>
  <c r="BE19" i="33" s="1"/>
  <c r="W92" i="33"/>
  <c r="V5" i="33" s="1"/>
  <c r="V92" i="33"/>
  <c r="U5" i="33" s="1"/>
  <c r="U92" i="33"/>
  <c r="BC19" i="33" s="1"/>
  <c r="T92" i="33"/>
  <c r="BB19" i="33" s="1"/>
  <c r="S92" i="33"/>
  <c r="R92" i="33"/>
  <c r="AZ19" i="33" s="1"/>
  <c r="Q92" i="33"/>
  <c r="P5" i="33" s="1"/>
  <c r="P92" i="33"/>
  <c r="O5" i="33" s="1"/>
  <c r="O92" i="33"/>
  <c r="AW19" i="33" s="1"/>
  <c r="N92" i="33"/>
  <c r="AV19" i="33" s="1"/>
  <c r="M92" i="33"/>
  <c r="AU19" i="33" s="1"/>
  <c r="L92" i="33"/>
  <c r="K5" i="33" s="1"/>
  <c r="K92" i="33"/>
  <c r="AT19" i="33" s="1"/>
  <c r="J92" i="33"/>
  <c r="I92" i="33"/>
  <c r="H92" i="33"/>
  <c r="G5" i="33" s="1"/>
  <c r="G92" i="33"/>
  <c r="AR19" i="33" s="1"/>
  <c r="F92" i="33"/>
  <c r="AQ19" i="33" s="1"/>
  <c r="E92" i="33"/>
  <c r="AP19" i="33" s="1"/>
  <c r="D92" i="33"/>
  <c r="AO19" i="33" s="1"/>
  <c r="C92" i="33"/>
  <c r="C108" i="33" s="1"/>
  <c r="AI91" i="33"/>
  <c r="AH91" i="33"/>
  <c r="AI90" i="33"/>
  <c r="AH90" i="33"/>
  <c r="AI89" i="33"/>
  <c r="AH89" i="33"/>
  <c r="AI88" i="33"/>
  <c r="AH88" i="33"/>
  <c r="AI87" i="33"/>
  <c r="AH87" i="33"/>
  <c r="AI86" i="33"/>
  <c r="AH86" i="33"/>
  <c r="AI85" i="33"/>
  <c r="AH85" i="33"/>
  <c r="AI84" i="33"/>
  <c r="AH84" i="33"/>
  <c r="AI83" i="33"/>
  <c r="AH83" i="33"/>
  <c r="AI82" i="33"/>
  <c r="AH82" i="33"/>
  <c r="AI81" i="33"/>
  <c r="AH81" i="33"/>
  <c r="BP80" i="33"/>
  <c r="BL80" i="33"/>
  <c r="BD80" i="33"/>
  <c r="AG80" i="33"/>
  <c r="AA80" i="33"/>
  <c r="Y80" i="33"/>
  <c r="X80" i="33"/>
  <c r="BE20" i="33" s="1"/>
  <c r="W80" i="33"/>
  <c r="V80" i="33"/>
  <c r="U80" i="33"/>
  <c r="T80" i="33"/>
  <c r="S80" i="33"/>
  <c r="BA20" i="33" s="1"/>
  <c r="R80" i="33"/>
  <c r="AZ20" i="33" s="1"/>
  <c r="Q80" i="33"/>
  <c r="AY20" i="33" s="1"/>
  <c r="O80" i="33"/>
  <c r="N80" i="33"/>
  <c r="M80" i="33"/>
  <c r="AU20" i="33" s="1"/>
  <c r="L80" i="33"/>
  <c r="K80" i="33"/>
  <c r="AT20" i="33" s="1"/>
  <c r="J80" i="33"/>
  <c r="I80" i="33"/>
  <c r="AS20" i="33" s="1"/>
  <c r="H80" i="33"/>
  <c r="G80" i="33"/>
  <c r="AR20" i="33" s="1"/>
  <c r="F80" i="33"/>
  <c r="E80" i="33"/>
  <c r="D80" i="33"/>
  <c r="AO20" i="33" s="1"/>
  <c r="C80" i="33"/>
  <c r="AN20" i="33" s="1"/>
  <c r="BA79" i="33"/>
  <c r="AI79" i="33"/>
  <c r="AH79" i="33"/>
  <c r="BD78" i="33"/>
  <c r="AZ78" i="33"/>
  <c r="AI78" i="33"/>
  <c r="AH78" i="33"/>
  <c r="BF77" i="33"/>
  <c r="AI77" i="33"/>
  <c r="AH77" i="33"/>
  <c r="BT76" i="33"/>
  <c r="BG76" i="33"/>
  <c r="BD76" i="33"/>
  <c r="AZ76" i="33"/>
  <c r="BI18" i="33"/>
  <c r="AA76" i="33"/>
  <c r="Y76" i="33"/>
  <c r="X76" i="33"/>
  <c r="BE18" i="33" s="1"/>
  <c r="W76" i="33"/>
  <c r="V76" i="33"/>
  <c r="BD18" i="33" s="1"/>
  <c r="U76" i="33"/>
  <c r="T76" i="33"/>
  <c r="BB18" i="33" s="1"/>
  <c r="S76" i="33"/>
  <c r="BA18" i="33" s="1"/>
  <c r="R76" i="33"/>
  <c r="Q76" i="33"/>
  <c r="AY18" i="33" s="1"/>
  <c r="AX18" i="33"/>
  <c r="O76" i="33"/>
  <c r="AW18" i="33" s="1"/>
  <c r="N76" i="33"/>
  <c r="M76" i="33"/>
  <c r="L76" i="33"/>
  <c r="K76" i="33"/>
  <c r="J76" i="33"/>
  <c r="I76" i="33"/>
  <c r="AS18" i="33" s="1"/>
  <c r="H76" i="33"/>
  <c r="G76" i="33"/>
  <c r="F76" i="33"/>
  <c r="AQ18" i="33" s="1"/>
  <c r="E76" i="33"/>
  <c r="AP18" i="33" s="1"/>
  <c r="D76" i="33"/>
  <c r="AO18" i="33" s="1"/>
  <c r="C76" i="33"/>
  <c r="AN18" i="33" s="1"/>
  <c r="BQ75" i="33"/>
  <c r="BB75" i="33"/>
  <c r="AI75" i="33"/>
  <c r="AH75" i="33"/>
  <c r="AG75" i="33"/>
  <c r="AG76" i="33" s="1"/>
  <c r="AG3" i="33" s="1"/>
  <c r="AG6" i="33" s="1"/>
  <c r="AI74" i="33"/>
  <c r="AH74" i="33"/>
  <c r="BW73" i="33"/>
  <c r="BW80" i="33" s="1"/>
  <c r="BV73" i="33"/>
  <c r="BV80" i="33" s="1"/>
  <c r="BU73" i="33"/>
  <c r="BU80" i="33" s="1"/>
  <c r="BT73" i="33"/>
  <c r="BT80" i="33" s="1"/>
  <c r="BS73" i="33"/>
  <c r="BS80" i="33" s="1"/>
  <c r="BR73" i="33"/>
  <c r="BR80" i="33" s="1"/>
  <c r="BQ73" i="33"/>
  <c r="BQ80" i="33" s="1"/>
  <c r="BP73" i="33"/>
  <c r="BO73" i="33"/>
  <c r="BO80" i="33" s="1"/>
  <c r="BN73" i="33"/>
  <c r="BN80" i="33" s="1"/>
  <c r="BM73" i="33"/>
  <c r="BM80" i="33" s="1"/>
  <c r="BL73" i="33"/>
  <c r="BK73" i="33"/>
  <c r="BK80" i="33" s="1"/>
  <c r="BJ73" i="33"/>
  <c r="BJ80" i="33" s="1"/>
  <c r="BI73" i="33"/>
  <c r="BI80" i="33" s="1"/>
  <c r="BH73" i="33"/>
  <c r="BH80" i="33" s="1"/>
  <c r="BG73" i="33"/>
  <c r="BG80" i="33" s="1"/>
  <c r="BF73" i="33"/>
  <c r="BF80" i="33" s="1"/>
  <c r="BE73" i="33"/>
  <c r="BE80" i="33" s="1"/>
  <c r="BD73" i="33"/>
  <c r="BC73" i="33"/>
  <c r="BC80" i="33" s="1"/>
  <c r="BB73" i="33"/>
  <c r="BB80" i="33" s="1"/>
  <c r="BA73" i="33"/>
  <c r="BA80" i="33" s="1"/>
  <c r="AZ73" i="33"/>
  <c r="AZ80" i="33" s="1"/>
  <c r="AI73" i="33"/>
  <c r="AH73" i="33"/>
  <c r="BW72" i="33"/>
  <c r="BW79" i="33" s="1"/>
  <c r="BV72" i="33"/>
  <c r="BV79" i="33" s="1"/>
  <c r="BU72" i="33"/>
  <c r="BU79" i="33" s="1"/>
  <c r="BT72" i="33"/>
  <c r="BT79" i="33" s="1"/>
  <c r="BS72" i="33"/>
  <c r="BS79" i="33" s="1"/>
  <c r="BR72" i="33"/>
  <c r="BR79" i="33" s="1"/>
  <c r="BQ72" i="33"/>
  <c r="BQ79" i="33" s="1"/>
  <c r="BP72" i="33"/>
  <c r="BP79" i="33" s="1"/>
  <c r="BO72" i="33"/>
  <c r="BO79" i="33" s="1"/>
  <c r="BN72" i="33"/>
  <c r="BN79" i="33" s="1"/>
  <c r="BM72" i="33"/>
  <c r="BM79" i="33" s="1"/>
  <c r="BL72" i="33"/>
  <c r="BL79" i="33" s="1"/>
  <c r="BK72" i="33"/>
  <c r="BK79" i="33" s="1"/>
  <c r="BJ72" i="33"/>
  <c r="BJ79" i="33" s="1"/>
  <c r="BI72" i="33"/>
  <c r="BI79" i="33" s="1"/>
  <c r="BH72" i="33"/>
  <c r="BH79" i="33" s="1"/>
  <c r="BG72" i="33"/>
  <c r="BG79" i="33" s="1"/>
  <c r="BF72" i="33"/>
  <c r="BF79" i="33" s="1"/>
  <c r="BE72" i="33"/>
  <c r="BE79" i="33" s="1"/>
  <c r="BD72" i="33"/>
  <c r="BD79" i="33" s="1"/>
  <c r="BC72" i="33"/>
  <c r="BC79" i="33" s="1"/>
  <c r="BB72" i="33"/>
  <c r="BB79" i="33" s="1"/>
  <c r="BA72" i="33"/>
  <c r="AZ72" i="33"/>
  <c r="AZ79" i="33" s="1"/>
  <c r="AI72" i="33"/>
  <c r="AH72" i="33"/>
  <c r="BW71" i="33"/>
  <c r="BW78" i="33" s="1"/>
  <c r="BV71" i="33"/>
  <c r="BV78" i="33" s="1"/>
  <c r="BU71" i="33"/>
  <c r="BU78" i="33" s="1"/>
  <c r="BT71" i="33"/>
  <c r="BT78" i="33" s="1"/>
  <c r="BS71" i="33"/>
  <c r="BS78" i="33" s="1"/>
  <c r="BR71" i="33"/>
  <c r="BR78" i="33" s="1"/>
  <c r="BQ71" i="33"/>
  <c r="BQ78" i="33" s="1"/>
  <c r="BP71" i="33"/>
  <c r="BP78" i="33" s="1"/>
  <c r="BO71" i="33"/>
  <c r="BO78" i="33" s="1"/>
  <c r="BN71" i="33"/>
  <c r="BN78" i="33" s="1"/>
  <c r="BM71" i="33"/>
  <c r="BM78" i="33" s="1"/>
  <c r="BL71" i="33"/>
  <c r="BL78" i="33" s="1"/>
  <c r="BK71" i="33"/>
  <c r="BK78" i="33" s="1"/>
  <c r="BJ71" i="33"/>
  <c r="BJ78" i="33" s="1"/>
  <c r="BI71" i="33"/>
  <c r="BI78" i="33" s="1"/>
  <c r="BH71" i="33"/>
  <c r="BH78" i="33" s="1"/>
  <c r="BG71" i="33"/>
  <c r="BG78" i="33" s="1"/>
  <c r="BF71" i="33"/>
  <c r="BF78" i="33" s="1"/>
  <c r="BE71" i="33"/>
  <c r="BE78" i="33" s="1"/>
  <c r="BD71" i="33"/>
  <c r="BC71" i="33"/>
  <c r="BC78" i="33" s="1"/>
  <c r="BB71" i="33"/>
  <c r="BB78" i="33" s="1"/>
  <c r="BA71" i="33"/>
  <c r="BA78" i="33" s="1"/>
  <c r="AZ71" i="33"/>
  <c r="AI71" i="33"/>
  <c r="AH71" i="33"/>
  <c r="BW70" i="33"/>
  <c r="BW77" i="33" s="1"/>
  <c r="BV70" i="33"/>
  <c r="BV77" i="33" s="1"/>
  <c r="BU70" i="33"/>
  <c r="BU77" i="33" s="1"/>
  <c r="BT70" i="33"/>
  <c r="BT77" i="33" s="1"/>
  <c r="BS70" i="33"/>
  <c r="BS77" i="33" s="1"/>
  <c r="BR70" i="33"/>
  <c r="BR77" i="33" s="1"/>
  <c r="BQ70" i="33"/>
  <c r="BQ77" i="33" s="1"/>
  <c r="BP70" i="33"/>
  <c r="BP77" i="33" s="1"/>
  <c r="BO70" i="33"/>
  <c r="BO77" i="33" s="1"/>
  <c r="BN70" i="33"/>
  <c r="BN77" i="33" s="1"/>
  <c r="BM70" i="33"/>
  <c r="BM77" i="33" s="1"/>
  <c r="BL70" i="33"/>
  <c r="BL77" i="33" s="1"/>
  <c r="BK70" i="33"/>
  <c r="BK77" i="33" s="1"/>
  <c r="BJ70" i="33"/>
  <c r="BJ77" i="33" s="1"/>
  <c r="BI70" i="33"/>
  <c r="BI77" i="33" s="1"/>
  <c r="BH70" i="33"/>
  <c r="BH77" i="33" s="1"/>
  <c r="BG70" i="33"/>
  <c r="BG77" i="33" s="1"/>
  <c r="BF70" i="33"/>
  <c r="BE70" i="33"/>
  <c r="BE77" i="33" s="1"/>
  <c r="BD70" i="33"/>
  <c r="BD77" i="33" s="1"/>
  <c r="BC70" i="33"/>
  <c r="BC77" i="33" s="1"/>
  <c r="BB70" i="33"/>
  <c r="BB77" i="33" s="1"/>
  <c r="BA70" i="33"/>
  <c r="BA77" i="33" s="1"/>
  <c r="AZ70" i="33"/>
  <c r="AZ77" i="33" s="1"/>
  <c r="AI70" i="33"/>
  <c r="AH70" i="33"/>
  <c r="BW69" i="33"/>
  <c r="BW76" i="33" s="1"/>
  <c r="BV69" i="33"/>
  <c r="BV76" i="33" s="1"/>
  <c r="BU69" i="33"/>
  <c r="BU76" i="33" s="1"/>
  <c r="BT69" i="33"/>
  <c r="BS69" i="33"/>
  <c r="BS76" i="33" s="1"/>
  <c r="BR69" i="33"/>
  <c r="BR76" i="33" s="1"/>
  <c r="BQ69" i="33"/>
  <c r="BQ76" i="33" s="1"/>
  <c r="BP69" i="33"/>
  <c r="BP76" i="33" s="1"/>
  <c r="BO69" i="33"/>
  <c r="BO76" i="33" s="1"/>
  <c r="BN69" i="33"/>
  <c r="BN76" i="33" s="1"/>
  <c r="BM69" i="33"/>
  <c r="BM76" i="33" s="1"/>
  <c r="BL69" i="33"/>
  <c r="BL76" i="33" s="1"/>
  <c r="BK69" i="33"/>
  <c r="BK76" i="33" s="1"/>
  <c r="BJ69" i="33"/>
  <c r="BJ76" i="33" s="1"/>
  <c r="BI69" i="33"/>
  <c r="BI76" i="33" s="1"/>
  <c r="BH69" i="33"/>
  <c r="BH76" i="33" s="1"/>
  <c r="BG69" i="33"/>
  <c r="BF69" i="33"/>
  <c r="BF76" i="33" s="1"/>
  <c r="BE69" i="33"/>
  <c r="BE76" i="33" s="1"/>
  <c r="BD69" i="33"/>
  <c r="BC69" i="33"/>
  <c r="BC76" i="33" s="1"/>
  <c r="BB69" i="33"/>
  <c r="BB76" i="33" s="1"/>
  <c r="BA69" i="33"/>
  <c r="BA76" i="33" s="1"/>
  <c r="AZ69" i="33"/>
  <c r="AI69" i="33"/>
  <c r="AH69" i="33"/>
  <c r="BW68" i="33"/>
  <c r="BW75" i="33" s="1"/>
  <c r="BV68" i="33"/>
  <c r="BV75" i="33" s="1"/>
  <c r="BU68" i="33"/>
  <c r="BU75" i="33" s="1"/>
  <c r="BT68" i="33"/>
  <c r="BT75" i="33" s="1"/>
  <c r="BS68" i="33"/>
  <c r="BS75" i="33" s="1"/>
  <c r="BR68" i="33"/>
  <c r="BR75" i="33" s="1"/>
  <c r="BQ68" i="33"/>
  <c r="BP68" i="33"/>
  <c r="BP75" i="33" s="1"/>
  <c r="BO68" i="33"/>
  <c r="BO75" i="33" s="1"/>
  <c r="BN68" i="33"/>
  <c r="BN75" i="33" s="1"/>
  <c r="BM68" i="33"/>
  <c r="BM75" i="33" s="1"/>
  <c r="BL68" i="33"/>
  <c r="BL75" i="33" s="1"/>
  <c r="BK68" i="33"/>
  <c r="BK75" i="33" s="1"/>
  <c r="BJ68" i="33"/>
  <c r="BJ75" i="33" s="1"/>
  <c r="BI68" i="33"/>
  <c r="BI75" i="33" s="1"/>
  <c r="BH68" i="33"/>
  <c r="BH75" i="33" s="1"/>
  <c r="BG68" i="33"/>
  <c r="BG75" i="33" s="1"/>
  <c r="BF68" i="33"/>
  <c r="BF75" i="33" s="1"/>
  <c r="BE68" i="33"/>
  <c r="BE75" i="33" s="1"/>
  <c r="BD68" i="33"/>
  <c r="BD75" i="33" s="1"/>
  <c r="BC68" i="33"/>
  <c r="BC75" i="33" s="1"/>
  <c r="BB68" i="33"/>
  <c r="BA68" i="33"/>
  <c r="BA75" i="33" s="1"/>
  <c r="AZ68" i="33"/>
  <c r="AI68" i="33"/>
  <c r="AH68" i="33"/>
  <c r="AI67" i="33"/>
  <c r="AH67" i="33"/>
  <c r="AI66" i="33"/>
  <c r="AH66" i="33"/>
  <c r="AI65" i="33"/>
  <c r="AH65" i="33"/>
  <c r="AI64" i="33"/>
  <c r="AH64" i="33"/>
  <c r="AI63" i="33"/>
  <c r="AH63" i="33"/>
  <c r="AG62" i="33"/>
  <c r="BI17" i="33"/>
  <c r="BG17" i="33"/>
  <c r="AA62" i="33"/>
  <c r="Y62" i="33"/>
  <c r="W62" i="33"/>
  <c r="V62" i="33"/>
  <c r="BD17" i="33" s="1"/>
  <c r="U62" i="33"/>
  <c r="BC17" i="33" s="1"/>
  <c r="T62" i="33"/>
  <c r="BB17" i="33" s="1"/>
  <c r="S62" i="33"/>
  <c r="BA17" i="33" s="1"/>
  <c r="R62" i="33"/>
  <c r="AZ17" i="33" s="1"/>
  <c r="Q62" i="33"/>
  <c r="AY17" i="33" s="1"/>
  <c r="O62" i="33"/>
  <c r="N62" i="33"/>
  <c r="M62" i="33"/>
  <c r="AU17" i="33" s="1"/>
  <c r="L62" i="33"/>
  <c r="K62" i="33"/>
  <c r="AT17" i="33" s="1"/>
  <c r="J62" i="33"/>
  <c r="I62" i="33"/>
  <c r="AS17" i="33" s="1"/>
  <c r="H62" i="33"/>
  <c r="G62" i="33"/>
  <c r="AR17" i="33" s="1"/>
  <c r="F62" i="33"/>
  <c r="AQ17" i="33" s="1"/>
  <c r="E62" i="33"/>
  <c r="D62" i="33"/>
  <c r="AO17" i="33" s="1"/>
  <c r="C62" i="33"/>
  <c r="AI61" i="33"/>
  <c r="AH61" i="33"/>
  <c r="AI60" i="33"/>
  <c r="AH60" i="33"/>
  <c r="AI59" i="33"/>
  <c r="AH59" i="33"/>
  <c r="AG58" i="33"/>
  <c r="BJ16" i="33"/>
  <c r="AB7" i="33"/>
  <c r="AA58" i="33"/>
  <c r="Y58" i="33"/>
  <c r="W58" i="33"/>
  <c r="V58" i="33"/>
  <c r="U58" i="33"/>
  <c r="BC16" i="33" s="1"/>
  <c r="T58" i="33"/>
  <c r="S58" i="33"/>
  <c r="R58" i="33"/>
  <c r="Q58" i="33"/>
  <c r="O58" i="33"/>
  <c r="N58" i="33"/>
  <c r="M58" i="33"/>
  <c r="L58" i="33"/>
  <c r="K58" i="33"/>
  <c r="AT16" i="33" s="1"/>
  <c r="J58" i="33"/>
  <c r="I58" i="33"/>
  <c r="H58" i="33"/>
  <c r="G58" i="33"/>
  <c r="F58" i="33"/>
  <c r="E58" i="33"/>
  <c r="AP16" i="33" s="1"/>
  <c r="D58" i="33"/>
  <c r="C58" i="33"/>
  <c r="AN16" i="33" s="1"/>
  <c r="AH57" i="33"/>
  <c r="AI56" i="33"/>
  <c r="AH56" i="33"/>
  <c r="AI55" i="33"/>
  <c r="AH55" i="33"/>
  <c r="AI54" i="33"/>
  <c r="AH54" i="33"/>
  <c r="AI53" i="33"/>
  <c r="AH53" i="33"/>
  <c r="AI52" i="33"/>
  <c r="AH52" i="33"/>
  <c r="AI51" i="33"/>
  <c r="AH51" i="33"/>
  <c r="AI50" i="33"/>
  <c r="AH50" i="33"/>
  <c r="AI49" i="33"/>
  <c r="AH49" i="33"/>
  <c r="AI48" i="33"/>
  <c r="AH48" i="33"/>
  <c r="AI47" i="33"/>
  <c r="AH47" i="33"/>
  <c r="AI46" i="33"/>
  <c r="AH46" i="33"/>
  <c r="AI45" i="33"/>
  <c r="AH45" i="33"/>
  <c r="AI44" i="33"/>
  <c r="AH44" i="33"/>
  <c r="AI43" i="33"/>
  <c r="AH43" i="33"/>
  <c r="AI42" i="33"/>
  <c r="AH42" i="33"/>
  <c r="AI41" i="33"/>
  <c r="AH41" i="33"/>
  <c r="AI40" i="33"/>
  <c r="AH40" i="33"/>
  <c r="AI39" i="33"/>
  <c r="AH39" i="33"/>
  <c r="AI38" i="33"/>
  <c r="AH38" i="33"/>
  <c r="AI37" i="33"/>
  <c r="AH37" i="33"/>
  <c r="AI36" i="33"/>
  <c r="AH36" i="33"/>
  <c r="AI35" i="33"/>
  <c r="AH35" i="33"/>
  <c r="AI34" i="33"/>
  <c r="AH34" i="33"/>
  <c r="AI33" i="33"/>
  <c r="AH33" i="33"/>
  <c r="AI32" i="33"/>
  <c r="AH32" i="33"/>
  <c r="AI31" i="33"/>
  <c r="AH31" i="33"/>
  <c r="AI30" i="33"/>
  <c r="AH30" i="33"/>
  <c r="AI29" i="33"/>
  <c r="AH29" i="33"/>
  <c r="AI28" i="33"/>
  <c r="AH28" i="33"/>
  <c r="AI27" i="33"/>
  <c r="AH27" i="33"/>
  <c r="AI26" i="33"/>
  <c r="AH26" i="33"/>
  <c r="AI25" i="33"/>
  <c r="AH25" i="33"/>
  <c r="AI24" i="33"/>
  <c r="AH24" i="33"/>
  <c r="BJ23" i="33"/>
  <c r="BF23" i="33"/>
  <c r="AN23" i="33"/>
  <c r="AI23" i="33"/>
  <c r="AH23" i="33"/>
  <c r="AI22" i="33"/>
  <c r="AH22" i="33"/>
  <c r="BJ21" i="33"/>
  <c r="BI21" i="33"/>
  <c r="BH21" i="33"/>
  <c r="BG21" i="33"/>
  <c r="BF21" i="33"/>
  <c r="BE21" i="33"/>
  <c r="BD21" i="33"/>
  <c r="BC21" i="33"/>
  <c r="BB21" i="33"/>
  <c r="BA21" i="33"/>
  <c r="AZ21" i="33"/>
  <c r="AY21" i="33"/>
  <c r="AX21" i="33"/>
  <c r="AW21" i="33"/>
  <c r="AV21" i="33"/>
  <c r="AU21" i="33"/>
  <c r="AT21" i="33"/>
  <c r="AS21" i="33"/>
  <c r="AR21" i="33"/>
  <c r="AQ21" i="33"/>
  <c r="AP21" i="33"/>
  <c r="AO21" i="33"/>
  <c r="AN21" i="33"/>
  <c r="AM21" i="33"/>
  <c r="AI21" i="33"/>
  <c r="AH21" i="33"/>
  <c r="BJ20" i="33"/>
  <c r="BI20" i="33"/>
  <c r="BH20" i="33"/>
  <c r="BG20" i="33"/>
  <c r="BF20" i="33"/>
  <c r="BD20" i="33"/>
  <c r="BC20" i="33"/>
  <c r="BB20" i="33"/>
  <c r="AX20" i="33"/>
  <c r="AW20" i="33"/>
  <c r="AV20" i="33"/>
  <c r="AQ20" i="33"/>
  <c r="AP20" i="33"/>
  <c r="AM20" i="33"/>
  <c r="AI20" i="33"/>
  <c r="AH20" i="33"/>
  <c r="BJ19" i="33"/>
  <c r="BI19" i="33"/>
  <c r="BH19" i="33"/>
  <c r="BG19" i="33"/>
  <c r="BF19" i="33"/>
  <c r="BA19" i="33"/>
  <c r="AN19" i="33"/>
  <c r="AI19" i="33"/>
  <c r="AH19" i="33"/>
  <c r="BJ18" i="33"/>
  <c r="BH18" i="33"/>
  <c r="BG18" i="33"/>
  <c r="BF18" i="33"/>
  <c r="BC18" i="33"/>
  <c r="AZ18" i="33"/>
  <c r="AV18" i="33"/>
  <c r="AU18" i="33"/>
  <c r="AT18" i="33"/>
  <c r="AI18" i="33"/>
  <c r="AH18" i="33"/>
  <c r="BJ17" i="33"/>
  <c r="BH17" i="33"/>
  <c r="BF17" i="33"/>
  <c r="BE17" i="33"/>
  <c r="AX17" i="33"/>
  <c r="AW17" i="33"/>
  <c r="AV17" i="33"/>
  <c r="AP17" i="33"/>
  <c r="AM17" i="33"/>
  <c r="AI17" i="33"/>
  <c r="AH17" i="33"/>
  <c r="BH16" i="33"/>
  <c r="BG16" i="33"/>
  <c r="BF16" i="33"/>
  <c r="AY16" i="33"/>
  <c r="AX16" i="33"/>
  <c r="AV16" i="33"/>
  <c r="AM16" i="33"/>
  <c r="AI16" i="33"/>
  <c r="AH16" i="33"/>
  <c r="AI15" i="33"/>
  <c r="AH15" i="33"/>
  <c r="AI14" i="33"/>
  <c r="AH14" i="33"/>
  <c r="AI13" i="33"/>
  <c r="AH13" i="33"/>
  <c r="AL12" i="33"/>
  <c r="AI12" i="33"/>
  <c r="AH12" i="33"/>
  <c r="AI11" i="33"/>
  <c r="AH11" i="33"/>
  <c r="Z7" i="33"/>
  <c r="AF5" i="33"/>
  <c r="AE5" i="33"/>
  <c r="AD5" i="33"/>
  <c r="AC5" i="33"/>
  <c r="AB5" i="33"/>
  <c r="AA5" i="33"/>
  <c r="F5" i="33"/>
  <c r="AG4" i="33"/>
  <c r="K4" i="33"/>
  <c r="E4" i="33"/>
  <c r="H4" i="33" s="1"/>
  <c r="B4" i="33"/>
  <c r="D258" i="33" s="1"/>
  <c r="AG2" i="33"/>
  <c r="AF121" i="32"/>
  <c r="AF57" i="32"/>
  <c r="AE121" i="32"/>
  <c r="AE57" i="32"/>
  <c r="AD57" i="32"/>
  <c r="AC57" i="32"/>
  <c r="AB121" i="32"/>
  <c r="AB57" i="32"/>
  <c r="Z99" i="32"/>
  <c r="Z100" i="32"/>
  <c r="Z97" i="32"/>
  <c r="Y97" i="32"/>
  <c r="Z92" i="32"/>
  <c r="Z93" i="32" s="1"/>
  <c r="Z80" i="32"/>
  <c r="Z58" i="32"/>
  <c r="AA76" i="32"/>
  <c r="AA62" i="32"/>
  <c r="AA58" i="32"/>
  <c r="Z118" i="32"/>
  <c r="Y99" i="32"/>
  <c r="Z106" i="32"/>
  <c r="Z105" i="32"/>
  <c r="Z104" i="32"/>
  <c r="Z103" i="32"/>
  <c r="Z102" i="32"/>
  <c r="Z76" i="32"/>
  <c r="Z62" i="32"/>
  <c r="W57" i="32"/>
  <c r="X57" i="32"/>
  <c r="W58" i="32"/>
  <c r="W97" i="32" s="1"/>
  <c r="W99" i="32" s="1"/>
  <c r="W100" i="32" s="1"/>
  <c r="X58" i="32"/>
  <c r="W62" i="32"/>
  <c r="X62" i="32"/>
  <c r="W76" i="32"/>
  <c r="X76" i="32"/>
  <c r="W80" i="32"/>
  <c r="X80" i="32"/>
  <c r="W92" i="32"/>
  <c r="X92" i="32"/>
  <c r="W101" i="32"/>
  <c r="W107" i="32" s="1"/>
  <c r="X101" i="32"/>
  <c r="W102" i="32"/>
  <c r="X102" i="32"/>
  <c r="W103" i="32"/>
  <c r="X103" i="32"/>
  <c r="W104" i="32"/>
  <c r="X104" i="32"/>
  <c r="W105" i="32"/>
  <c r="X105" i="32"/>
  <c r="W118" i="32"/>
  <c r="X118" i="32"/>
  <c r="V57" i="32"/>
  <c r="U57" i="32"/>
  <c r="BJ22" i="33" l="1"/>
  <c r="BJ24" i="33" s="1"/>
  <c r="BH22" i="33"/>
  <c r="BG22" i="33"/>
  <c r="AA107" i="33"/>
  <c r="AA108" i="33" s="1"/>
  <c r="AA97" i="33"/>
  <c r="AA99" i="33" s="1"/>
  <c r="BF22" i="33"/>
  <c r="BF24" i="33" s="1"/>
  <c r="Y107" i="33"/>
  <c r="Y108" i="33"/>
  <c r="X107" i="33"/>
  <c r="W5" i="33"/>
  <c r="W97" i="33"/>
  <c r="W99" i="33" s="1"/>
  <c r="BD19" i="33"/>
  <c r="V97" i="33"/>
  <c r="V99" i="33" s="1"/>
  <c r="BD16" i="33"/>
  <c r="BD22" i="33" s="1"/>
  <c r="T5" i="33"/>
  <c r="BC22" i="33"/>
  <c r="S5" i="33"/>
  <c r="T107" i="33"/>
  <c r="T108" i="33" s="1"/>
  <c r="T97" i="33"/>
  <c r="T99" i="33" s="1"/>
  <c r="S107" i="33"/>
  <c r="BA23" i="33" s="1"/>
  <c r="R5" i="33"/>
  <c r="R107" i="33"/>
  <c r="AZ23" i="33" s="1"/>
  <c r="R97" i="33"/>
  <c r="R99" i="33" s="1"/>
  <c r="AZ16" i="33"/>
  <c r="AZ22" i="33" s="1"/>
  <c r="Q107" i="33"/>
  <c r="AY23" i="33" s="1"/>
  <c r="AX19" i="33"/>
  <c r="P97" i="33"/>
  <c r="P99" i="33" s="1"/>
  <c r="P107" i="33"/>
  <c r="N5" i="33"/>
  <c r="M5" i="33"/>
  <c r="AI103" i="33"/>
  <c r="AV22" i="33"/>
  <c r="N97" i="33"/>
  <c r="N99" i="33" s="1"/>
  <c r="L5" i="33"/>
  <c r="L107" i="33"/>
  <c r="L108" i="33" s="1"/>
  <c r="L97" i="33"/>
  <c r="L99" i="33" s="1"/>
  <c r="L100" i="33" s="1"/>
  <c r="L7" i="33" s="1"/>
  <c r="AI101" i="33"/>
  <c r="K108" i="33"/>
  <c r="J5" i="33"/>
  <c r="K97" i="33"/>
  <c r="K99" i="33" s="1"/>
  <c r="K100" i="33" s="1"/>
  <c r="K7" i="33" s="1"/>
  <c r="AT22" i="33"/>
  <c r="AT24" i="33" s="1"/>
  <c r="J107" i="33"/>
  <c r="J97" i="33"/>
  <c r="J99" i="33" s="1"/>
  <c r="J100" i="33" s="1"/>
  <c r="J7" i="33" s="1"/>
  <c r="I107" i="33"/>
  <c r="AS23" i="33" s="1"/>
  <c r="AS19" i="33"/>
  <c r="H107" i="33"/>
  <c r="H108" i="33" s="1"/>
  <c r="H97" i="33"/>
  <c r="H99" i="33" s="1"/>
  <c r="H100" i="33" s="1"/>
  <c r="H7" i="33" s="1"/>
  <c r="G97" i="33"/>
  <c r="G99" i="33" s="1"/>
  <c r="E5" i="33"/>
  <c r="F97" i="33"/>
  <c r="F99" i="33" s="1"/>
  <c r="AQ16" i="33"/>
  <c r="AQ22" i="33" s="1"/>
  <c r="D5" i="33"/>
  <c r="AI62" i="33"/>
  <c r="AI57" i="33"/>
  <c r="D107" i="33"/>
  <c r="D108" i="33" s="1"/>
  <c r="C5" i="33"/>
  <c r="AO23" i="33"/>
  <c r="AH80" i="33"/>
  <c r="AP22" i="33"/>
  <c r="AH121" i="33"/>
  <c r="AI121" i="33"/>
  <c r="AH104" i="33"/>
  <c r="B5" i="33"/>
  <c r="AI80" i="33"/>
  <c r="AI76" i="33"/>
  <c r="AN17" i="33"/>
  <c r="AN22" i="33" s="1"/>
  <c r="AN24" i="33" s="1"/>
  <c r="AH62" i="33"/>
  <c r="AL13" i="33"/>
  <c r="AM22" i="33"/>
  <c r="AX22" i="33"/>
  <c r="AY19" i="33"/>
  <c r="AY22" i="33" s="1"/>
  <c r="AY24" i="33" s="1"/>
  <c r="M97" i="33"/>
  <c r="M99" i="33" s="1"/>
  <c r="AI92" i="33"/>
  <c r="AM19" i="33"/>
  <c r="AH92" i="33"/>
  <c r="J108" i="33"/>
  <c r="AR16" i="33"/>
  <c r="D97" i="33"/>
  <c r="D99" i="33" s="1"/>
  <c r="D100" i="33" s="1"/>
  <c r="D7" i="33" s="1"/>
  <c r="AO16" i="33"/>
  <c r="AO22" i="33" s="1"/>
  <c r="AO24" i="33" s="1"/>
  <c r="BG84" i="33" a="1"/>
  <c r="AF7" i="33"/>
  <c r="E97" i="33"/>
  <c r="E99" i="33" s="1"/>
  <c r="U97" i="33"/>
  <c r="U99" i="33" s="1"/>
  <c r="AC7" i="33"/>
  <c r="AU16" i="33"/>
  <c r="AU22" i="33" s="1"/>
  <c r="AR18" i="33"/>
  <c r="BG23" i="33"/>
  <c r="BG24" i="33" s="1"/>
  <c r="F246" i="33"/>
  <c r="E118" i="33"/>
  <c r="O97" i="33"/>
  <c r="O99" i="33" s="1"/>
  <c r="AW16" i="33"/>
  <c r="AW22" i="33" s="1"/>
  <c r="BE16" i="33"/>
  <c r="BE22" i="33" s="1"/>
  <c r="X97" i="33"/>
  <c r="X99" i="33" s="1"/>
  <c r="X100" i="33" s="1"/>
  <c r="X7" i="33" s="1"/>
  <c r="AE7" i="33"/>
  <c r="BI16" i="33"/>
  <c r="BI22" i="33" s="1"/>
  <c r="H5" i="33"/>
  <c r="I97" i="33"/>
  <c r="I99" i="33" s="1"/>
  <c r="I100" i="33" s="1"/>
  <c r="I7" i="33" s="1"/>
  <c r="AS16" i="33"/>
  <c r="AS22" i="33" s="1"/>
  <c r="AS24" i="33" s="1"/>
  <c r="G107" i="33"/>
  <c r="AR23" i="33" s="1"/>
  <c r="O107" i="33"/>
  <c r="AW23" i="33" s="1"/>
  <c r="W107" i="33"/>
  <c r="W108" i="33" s="1"/>
  <c r="BI23" i="33"/>
  <c r="AH58" i="33"/>
  <c r="AH76" i="33"/>
  <c r="AH103" i="33"/>
  <c r="BB16" i="33"/>
  <c r="BB22" i="33" s="1"/>
  <c r="AI58" i="33"/>
  <c r="C97" i="33"/>
  <c r="C99" i="33" s="1"/>
  <c r="C100" i="33" s="1"/>
  <c r="C7" i="33" s="1"/>
  <c r="BA16" i="33"/>
  <c r="BA22" i="33" s="1"/>
  <c r="BA24" i="33" s="1"/>
  <c r="S97" i="33"/>
  <c r="S99" i="33" s="1"/>
  <c r="S100" i="33" s="1"/>
  <c r="S7" i="33" s="1"/>
  <c r="AZ75" i="33"/>
  <c r="AD7" i="33"/>
  <c r="AH102" i="33"/>
  <c r="AI102" i="33"/>
  <c r="AG99" i="33"/>
  <c r="I5" i="33"/>
  <c r="Q5" i="33"/>
  <c r="Y5" i="33"/>
  <c r="AH101" i="33"/>
  <c r="AI104" i="33"/>
  <c r="AI105" i="33"/>
  <c r="Y97" i="33"/>
  <c r="Y99" i="33" s="1"/>
  <c r="Y100" i="33" s="1"/>
  <c r="Y7" i="33" s="1"/>
  <c r="AH105" i="33"/>
  <c r="Q97" i="33"/>
  <c r="Q99" i="33" s="1"/>
  <c r="Q100" i="33" s="1"/>
  <c r="Q7" i="33" s="1"/>
  <c r="AG97" i="33"/>
  <c r="E107" i="33"/>
  <c r="AP23" i="33" s="1"/>
  <c r="M107" i="33"/>
  <c r="AU23" i="33" s="1"/>
  <c r="U107" i="33"/>
  <c r="BC23" i="33" s="1"/>
  <c r="E247" i="33"/>
  <c r="F107" i="33"/>
  <c r="AQ23" i="33" s="1"/>
  <c r="N107" i="33"/>
  <c r="V107" i="33"/>
  <c r="BD23" i="33" s="1"/>
  <c r="BH23" i="33"/>
  <c r="BH24" i="33" s="1"/>
  <c r="Z108" i="32"/>
  <c r="X97" i="32"/>
  <c r="X99" i="32" s="1"/>
  <c r="X107" i="32"/>
  <c r="X108" i="32" s="1"/>
  <c r="W108" i="32"/>
  <c r="AA100" i="33" l="1"/>
  <c r="AA7" i="33" s="1"/>
  <c r="X108" i="33"/>
  <c r="BE23" i="33"/>
  <c r="BE24" i="33" s="1"/>
  <c r="BD24" i="33"/>
  <c r="U108" i="33"/>
  <c r="BC24" i="33"/>
  <c r="T100" i="33"/>
  <c r="T7" i="33" s="1"/>
  <c r="BB23" i="33"/>
  <c r="BB24" i="33" s="1"/>
  <c r="S108" i="33"/>
  <c r="AZ24" i="33"/>
  <c r="R100" i="33"/>
  <c r="R7" i="33" s="1"/>
  <c r="R108" i="33"/>
  <c r="Q108" i="33"/>
  <c r="P108" i="33"/>
  <c r="AX23" i="33"/>
  <c r="AX24" i="33" s="1"/>
  <c r="P100" i="33"/>
  <c r="P7" i="33" s="1"/>
  <c r="AW24" i="33"/>
  <c r="M108" i="33"/>
  <c r="I108" i="33"/>
  <c r="C256" i="33"/>
  <c r="G108" i="33"/>
  <c r="F100" i="33"/>
  <c r="F7" i="33" s="1"/>
  <c r="AQ24" i="33"/>
  <c r="AP24" i="33"/>
  <c r="V108" i="33"/>
  <c r="M100" i="33"/>
  <c r="M7" i="33" s="1"/>
  <c r="W100" i="33"/>
  <c r="W7" i="33" s="1"/>
  <c r="AV23" i="33"/>
  <c r="AV24" i="33" s="1"/>
  <c r="N100" i="33"/>
  <c r="N7" i="33" s="1"/>
  <c r="N108" i="33"/>
  <c r="E108" i="33"/>
  <c r="AM23" i="33"/>
  <c r="AI107" i="33"/>
  <c r="AH107" i="33"/>
  <c r="B256" i="33"/>
  <c r="O108" i="33"/>
  <c r="F108" i="33"/>
  <c r="V100" i="33"/>
  <c r="V7" i="33" s="1"/>
  <c r="AU24" i="33"/>
  <c r="AR22" i="33"/>
  <c r="AR24" i="33" s="1"/>
  <c r="G100" i="33"/>
  <c r="G7" i="33" s="1"/>
  <c r="F247" i="33"/>
  <c r="G247" i="33" s="1"/>
  <c r="H247" i="33" s="1"/>
  <c r="I247" i="33" s="1"/>
  <c r="J247" i="33" s="1"/>
  <c r="K247" i="33" s="1"/>
  <c r="L247" i="33" s="1"/>
  <c r="M247" i="33" s="1"/>
  <c r="N247" i="33" s="1"/>
  <c r="O247" i="33" s="1"/>
  <c r="P247" i="33" s="1"/>
  <c r="Q247" i="33" s="1"/>
  <c r="R247" i="33" s="1"/>
  <c r="S247" i="33" s="1"/>
  <c r="T247" i="33" s="1"/>
  <c r="U247" i="33" s="1"/>
  <c r="V247" i="33" s="1"/>
  <c r="W247" i="33" s="1"/>
  <c r="X247" i="33" s="1"/>
  <c r="Y247" i="33" s="1"/>
  <c r="Z247" i="33" s="1"/>
  <c r="AA247" i="33" s="1"/>
  <c r="AB247" i="33" s="1"/>
  <c r="AC247" i="33" s="1"/>
  <c r="AD247" i="33" s="1"/>
  <c r="AE247" i="33" s="1"/>
  <c r="AF247" i="33" s="1"/>
  <c r="B247" i="33" s="1"/>
  <c r="E252" i="33"/>
  <c r="AI97" i="33"/>
  <c r="AH97" i="33"/>
  <c r="O100" i="33"/>
  <c r="O7" i="33" s="1"/>
  <c r="U100" i="33"/>
  <c r="U7" i="33" s="1"/>
  <c r="E100" i="33"/>
  <c r="E7" i="33" s="1"/>
  <c r="BI24" i="33"/>
  <c r="G246" i="33"/>
  <c r="F252" i="33"/>
  <c r="F118" i="33"/>
  <c r="AM24" i="33"/>
  <c r="BI107" i="33"/>
  <c r="BG106" i="33"/>
  <c r="BK104" i="33"/>
  <c r="BI103" i="33"/>
  <c r="BG102" i="33"/>
  <c r="BK100" i="33"/>
  <c r="BI99" i="33"/>
  <c r="BG98" i="33"/>
  <c r="BK96" i="33"/>
  <c r="BI95" i="33"/>
  <c r="BG94" i="33"/>
  <c r="BK92" i="33"/>
  <c r="BI91" i="33"/>
  <c r="BG90" i="33"/>
  <c r="BK88" i="33"/>
  <c r="BI87" i="33"/>
  <c r="BG86" i="33"/>
  <c r="BK84" i="33"/>
  <c r="BK106" i="33"/>
  <c r="BI105" i="33"/>
  <c r="BG104" i="33"/>
  <c r="BK102" i="33"/>
  <c r="BI101" i="33"/>
  <c r="BG100" i="33"/>
  <c r="BK98" i="33"/>
  <c r="BI97" i="33"/>
  <c r="BG96" i="33"/>
  <c r="BK94" i="33"/>
  <c r="BI93" i="33"/>
  <c r="BG92" i="33"/>
  <c r="BK90" i="33"/>
  <c r="BI89" i="33"/>
  <c r="BG88" i="33"/>
  <c r="BK86" i="33"/>
  <c r="BI85" i="33"/>
  <c r="BG84" i="33"/>
  <c r="BH107" i="33"/>
  <c r="BJ105" i="33"/>
  <c r="BK103" i="33"/>
  <c r="BL101" i="33"/>
  <c r="BH100" i="33"/>
  <c r="BI98" i="33"/>
  <c r="BJ96" i="33"/>
  <c r="BL94" i="33"/>
  <c r="BG93" i="33"/>
  <c r="BH91" i="33"/>
  <c r="BJ89" i="33"/>
  <c r="BK87" i="33"/>
  <c r="BL85" i="33"/>
  <c r="BH84" i="33"/>
  <c r="BG107" i="33"/>
  <c r="BH105" i="33"/>
  <c r="BJ103" i="33"/>
  <c r="BK101" i="33"/>
  <c r="BL99" i="33"/>
  <c r="BH98" i="33"/>
  <c r="BI96" i="33"/>
  <c r="BJ94" i="33"/>
  <c r="BL92" i="33"/>
  <c r="BG91" i="33"/>
  <c r="BH89" i="33"/>
  <c r="BJ87" i="33"/>
  <c r="BK85" i="33"/>
  <c r="BL106" i="33"/>
  <c r="BG105" i="33"/>
  <c r="BH103" i="33"/>
  <c r="BJ101" i="33"/>
  <c r="BK99" i="33"/>
  <c r="BL97" i="33"/>
  <c r="BH96" i="33"/>
  <c r="BI94" i="33"/>
  <c r="BJ92" i="33"/>
  <c r="BL90" i="33"/>
  <c r="BG89" i="33"/>
  <c r="BH87" i="33"/>
  <c r="BJ85" i="33"/>
  <c r="BJ106" i="33"/>
  <c r="BL104" i="33"/>
  <c r="BG103" i="33"/>
  <c r="BH101" i="33"/>
  <c r="BJ99" i="33"/>
  <c r="BK97" i="33"/>
  <c r="BL95" i="33"/>
  <c r="BH94" i="33"/>
  <c r="BI92" i="33"/>
  <c r="BJ90" i="33"/>
  <c r="BL88" i="33"/>
  <c r="BG87" i="33"/>
  <c r="BH85" i="33"/>
  <c r="BL107" i="33"/>
  <c r="BH106" i="33"/>
  <c r="BI104" i="33"/>
  <c r="BJ102" i="33"/>
  <c r="BL100" i="33"/>
  <c r="BG99" i="33"/>
  <c r="BH97" i="33"/>
  <c r="BJ95" i="33"/>
  <c r="BK93" i="33"/>
  <c r="BL91" i="33"/>
  <c r="BH90" i="33"/>
  <c r="BI88" i="33"/>
  <c r="BJ86" i="33"/>
  <c r="BL84" i="33"/>
  <c r="BL105" i="33"/>
  <c r="BG101" i="33"/>
  <c r="BL96" i="33"/>
  <c r="BK91" i="33"/>
  <c r="BL86" i="33"/>
  <c r="BL93" i="33"/>
  <c r="BK105" i="33"/>
  <c r="BJ100" i="33"/>
  <c r="BK95" i="33"/>
  <c r="BJ91" i="33"/>
  <c r="BI86" i="33"/>
  <c r="BL103" i="33"/>
  <c r="BJ104" i="33"/>
  <c r="BI100" i="33"/>
  <c r="BH95" i="33"/>
  <c r="BI90" i="33"/>
  <c r="BH86" i="33"/>
  <c r="BH104" i="33"/>
  <c r="BH99" i="33"/>
  <c r="BG95" i="33"/>
  <c r="BL89" i="33"/>
  <c r="BG85" i="33"/>
  <c r="BK107" i="33"/>
  <c r="BL102" i="33"/>
  <c r="BJ98" i="33"/>
  <c r="BJ93" i="33"/>
  <c r="BJ88" i="33"/>
  <c r="BI84" i="33"/>
  <c r="BI106" i="33"/>
  <c r="BH102" i="33"/>
  <c r="BG97" i="33"/>
  <c r="BH92" i="33"/>
  <c r="BL87" i="33"/>
  <c r="BL98" i="33"/>
  <c r="BK89" i="33"/>
  <c r="BJ84" i="33"/>
  <c r="BJ107" i="33"/>
  <c r="BI102" i="33"/>
  <c r="BJ97" i="33"/>
  <c r="BH93" i="33"/>
  <c r="BH88" i="33"/>
  <c r="Z101" i="32"/>
  <c r="Z7" i="32"/>
  <c r="X100" i="32"/>
  <c r="T57" i="32"/>
  <c r="K6" i="33" l="1"/>
  <c r="AT8" i="33"/>
  <c r="AT9" i="33"/>
  <c r="AI99" i="33"/>
  <c r="AH99" i="33"/>
  <c r="H246" i="33"/>
  <c r="G252" i="33"/>
  <c r="G118" i="33"/>
  <c r="AI108" i="33"/>
  <c r="AH108" i="33"/>
  <c r="M58" i="32"/>
  <c r="M62" i="32"/>
  <c r="M76" i="32"/>
  <c r="M80" i="32"/>
  <c r="I246" i="33" l="1"/>
  <c r="H252" i="33"/>
  <c r="H118" i="33"/>
  <c r="AI100" i="33"/>
  <c r="AH100" i="33"/>
  <c r="B7" i="33"/>
  <c r="A7" i="33" s="1"/>
  <c r="AH125" i="32"/>
  <c r="AI125" i="32"/>
  <c r="AH124" i="32"/>
  <c r="AI124" i="32"/>
  <c r="B118" i="32"/>
  <c r="B105" i="32"/>
  <c r="B104" i="32"/>
  <c r="B103" i="32"/>
  <c r="B102" i="32"/>
  <c r="B101" i="32"/>
  <c r="B92" i="32"/>
  <c r="B80" i="32"/>
  <c r="B76" i="32"/>
  <c r="AM18" i="32" s="1"/>
  <c r="B62" i="32"/>
  <c r="AM17" i="32" s="1"/>
  <c r="B58" i="32"/>
  <c r="AG252" i="32"/>
  <c r="C252" i="32"/>
  <c r="N251" i="32"/>
  <c r="O251" i="32" s="1"/>
  <c r="P251" i="32" s="1"/>
  <c r="Q251" i="32" s="1"/>
  <c r="R251" i="32" s="1"/>
  <c r="S251" i="32" s="1"/>
  <c r="T251" i="32" s="1"/>
  <c r="U251" i="32" s="1"/>
  <c r="V251" i="32" s="1"/>
  <c r="W251" i="32" s="1"/>
  <c r="X251" i="32" s="1"/>
  <c r="Y251" i="32" s="1"/>
  <c r="Z251" i="32" s="1"/>
  <c r="AA251" i="32" s="1"/>
  <c r="AB251" i="32" s="1"/>
  <c r="AC251" i="32" s="1"/>
  <c r="AD251" i="32" s="1"/>
  <c r="AE251" i="32" s="1"/>
  <c r="AF251" i="32" s="1"/>
  <c r="B251" i="32" s="1"/>
  <c r="M251" i="32"/>
  <c r="F251" i="32"/>
  <c r="G251" i="32" s="1"/>
  <c r="H251" i="32" s="1"/>
  <c r="I251" i="32" s="1"/>
  <c r="J251" i="32" s="1"/>
  <c r="K251" i="32" s="1"/>
  <c r="L251" i="32" s="1"/>
  <c r="E251" i="32"/>
  <c r="D251" i="32"/>
  <c r="D250" i="32"/>
  <c r="E250" i="32" s="1"/>
  <c r="F250" i="32" s="1"/>
  <c r="G250" i="32" s="1"/>
  <c r="H250" i="32" s="1"/>
  <c r="I250" i="32" s="1"/>
  <c r="J250" i="32" s="1"/>
  <c r="K250" i="32" s="1"/>
  <c r="L250" i="32" s="1"/>
  <c r="M250" i="32" s="1"/>
  <c r="N250" i="32" s="1"/>
  <c r="O250" i="32" s="1"/>
  <c r="P250" i="32" s="1"/>
  <c r="Q250" i="32" s="1"/>
  <c r="R250" i="32" s="1"/>
  <c r="S250" i="32" s="1"/>
  <c r="T250" i="32" s="1"/>
  <c r="U250" i="32" s="1"/>
  <c r="V250" i="32" s="1"/>
  <c r="W250" i="32" s="1"/>
  <c r="X250" i="32" s="1"/>
  <c r="Y250" i="32" s="1"/>
  <c r="Z250" i="32" s="1"/>
  <c r="AA250" i="32" s="1"/>
  <c r="AB250" i="32" s="1"/>
  <c r="AC250" i="32" s="1"/>
  <c r="AD250" i="32" s="1"/>
  <c r="AE250" i="32" s="1"/>
  <c r="AF250" i="32" s="1"/>
  <c r="B250" i="32" s="1"/>
  <c r="H249" i="32"/>
  <c r="I249" i="32" s="1"/>
  <c r="J249" i="32" s="1"/>
  <c r="K249" i="32" s="1"/>
  <c r="L249" i="32" s="1"/>
  <c r="M249" i="32" s="1"/>
  <c r="N249" i="32" s="1"/>
  <c r="O249" i="32" s="1"/>
  <c r="P249" i="32" s="1"/>
  <c r="Q249" i="32" s="1"/>
  <c r="R249" i="32" s="1"/>
  <c r="S249" i="32" s="1"/>
  <c r="T249" i="32" s="1"/>
  <c r="U249" i="32" s="1"/>
  <c r="V249" i="32" s="1"/>
  <c r="W249" i="32" s="1"/>
  <c r="X249" i="32" s="1"/>
  <c r="Y249" i="32" s="1"/>
  <c r="Z249" i="32" s="1"/>
  <c r="AA249" i="32" s="1"/>
  <c r="AB249" i="32" s="1"/>
  <c r="AC249" i="32" s="1"/>
  <c r="AD249" i="32" s="1"/>
  <c r="AE249" i="32" s="1"/>
  <c r="AF249" i="32" s="1"/>
  <c r="B249" i="32" s="1"/>
  <c r="D249" i="32"/>
  <c r="E249" i="32" s="1"/>
  <c r="F249" i="32" s="1"/>
  <c r="G249" i="32" s="1"/>
  <c r="O248" i="32"/>
  <c r="P248" i="32" s="1"/>
  <c r="Q248" i="32" s="1"/>
  <c r="R248" i="32" s="1"/>
  <c r="S248" i="32" s="1"/>
  <c r="T248" i="32" s="1"/>
  <c r="U248" i="32" s="1"/>
  <c r="V248" i="32" s="1"/>
  <c r="W248" i="32" s="1"/>
  <c r="X248" i="32" s="1"/>
  <c r="Y248" i="32" s="1"/>
  <c r="Z248" i="32" s="1"/>
  <c r="AA248" i="32" s="1"/>
  <c r="AB248" i="32" s="1"/>
  <c r="AC248" i="32" s="1"/>
  <c r="AD248" i="32" s="1"/>
  <c r="AE248" i="32" s="1"/>
  <c r="AF248" i="32" s="1"/>
  <c r="B248" i="32" s="1"/>
  <c r="F248" i="32"/>
  <c r="G248" i="32" s="1"/>
  <c r="H248" i="32" s="1"/>
  <c r="I248" i="32" s="1"/>
  <c r="J248" i="32" s="1"/>
  <c r="K248" i="32" s="1"/>
  <c r="L248" i="32" s="1"/>
  <c r="M248" i="32" s="1"/>
  <c r="N248" i="32" s="1"/>
  <c r="E248" i="32"/>
  <c r="D248" i="32"/>
  <c r="D247" i="32"/>
  <c r="E247" i="32" s="1"/>
  <c r="F247" i="32" s="1"/>
  <c r="G247" i="32" s="1"/>
  <c r="H247" i="32" s="1"/>
  <c r="I247" i="32" s="1"/>
  <c r="J247" i="32" s="1"/>
  <c r="K247" i="32" s="1"/>
  <c r="L247" i="32" s="1"/>
  <c r="M247" i="32" s="1"/>
  <c r="N247" i="32" s="1"/>
  <c r="O247" i="32" s="1"/>
  <c r="P247" i="32" s="1"/>
  <c r="Q247" i="32" s="1"/>
  <c r="R247" i="32" s="1"/>
  <c r="S247" i="32" s="1"/>
  <c r="T247" i="32" s="1"/>
  <c r="U247" i="32" s="1"/>
  <c r="V247" i="32" s="1"/>
  <c r="W247" i="32" s="1"/>
  <c r="X247" i="32" s="1"/>
  <c r="Y247" i="32" s="1"/>
  <c r="Z247" i="32" s="1"/>
  <c r="AA247" i="32" s="1"/>
  <c r="AB247" i="32" s="1"/>
  <c r="AC247" i="32" s="1"/>
  <c r="AD247" i="32" s="1"/>
  <c r="AE247" i="32" s="1"/>
  <c r="AF247" i="32" s="1"/>
  <c r="B247" i="32" s="1"/>
  <c r="D246" i="32"/>
  <c r="AG244" i="32"/>
  <c r="AF244" i="32"/>
  <c r="AE244" i="32"/>
  <c r="AD244" i="32"/>
  <c r="AC244" i="32"/>
  <c r="AB244" i="32"/>
  <c r="AA244" i="32"/>
  <c r="Z244" i="32"/>
  <c r="Y244" i="32"/>
  <c r="Y118" i="32" s="1"/>
  <c r="X244" i="32"/>
  <c r="W244" i="32"/>
  <c r="V244" i="32"/>
  <c r="U244" i="32"/>
  <c r="T244" i="32"/>
  <c r="S244" i="32"/>
  <c r="R244" i="32"/>
  <c r="Q244" i="32"/>
  <c r="P244" i="32"/>
  <c r="O244" i="32"/>
  <c r="N244" i="32"/>
  <c r="M244" i="32"/>
  <c r="L244" i="32"/>
  <c r="K244" i="32"/>
  <c r="J244" i="32"/>
  <c r="I244" i="32"/>
  <c r="H244" i="32"/>
  <c r="G244" i="32"/>
  <c r="F244" i="32"/>
  <c r="E244" i="32"/>
  <c r="D244" i="32"/>
  <c r="C244" i="32"/>
  <c r="B244" i="32"/>
  <c r="AI130" i="32"/>
  <c r="AH130" i="32"/>
  <c r="AI129" i="32"/>
  <c r="AH129" i="32"/>
  <c r="AI128" i="32"/>
  <c r="AH128" i="32"/>
  <c r="AI127" i="32"/>
  <c r="AH127" i="32"/>
  <c r="AI126" i="32"/>
  <c r="AH126" i="32"/>
  <c r="AI123" i="32"/>
  <c r="AH123" i="32"/>
  <c r="AI122" i="32"/>
  <c r="AH122" i="32"/>
  <c r="AI121" i="32"/>
  <c r="AH121" i="32"/>
  <c r="AI120" i="32"/>
  <c r="AH120" i="32"/>
  <c r="AI119" i="32"/>
  <c r="AH119" i="32"/>
  <c r="C118" i="32"/>
  <c r="AI117" i="32"/>
  <c r="AH117" i="32"/>
  <c r="AI116" i="32"/>
  <c r="AH116" i="32"/>
  <c r="AI115" i="32"/>
  <c r="AH115" i="32"/>
  <c r="AI114" i="32"/>
  <c r="AH114" i="32"/>
  <c r="AI113" i="32"/>
  <c r="AH113" i="32"/>
  <c r="AI112" i="32"/>
  <c r="AH112" i="32"/>
  <c r="AI111" i="32"/>
  <c r="AH111" i="32"/>
  <c r="AI110" i="32"/>
  <c r="AH110" i="32"/>
  <c r="AI109" i="32"/>
  <c r="AH109" i="32"/>
  <c r="AI106" i="32"/>
  <c r="AH106" i="32"/>
  <c r="AF105" i="32"/>
  <c r="AE105" i="32"/>
  <c r="AD105" i="32"/>
  <c r="AC105" i="32"/>
  <c r="AC107" i="32" s="1"/>
  <c r="AB105" i="32"/>
  <c r="AA105" i="32"/>
  <c r="Y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AF104" i="32"/>
  <c r="AE104" i="32"/>
  <c r="AD104" i="32"/>
  <c r="AC104" i="32"/>
  <c r="AB104" i="32"/>
  <c r="AA104" i="32"/>
  <c r="Y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AF103" i="32"/>
  <c r="AE103" i="32"/>
  <c r="AD103" i="32"/>
  <c r="AC103" i="32"/>
  <c r="AB103" i="32"/>
  <c r="AA103" i="32"/>
  <c r="Y103" i="32"/>
  <c r="V103" i="32"/>
  <c r="U103" i="32"/>
  <c r="U107" i="32" s="1"/>
  <c r="BC23" i="32" s="1"/>
  <c r="T103" i="32"/>
  <c r="S103" i="32"/>
  <c r="R103" i="32"/>
  <c r="Q103" i="32"/>
  <c r="P103" i="32"/>
  <c r="O103" i="32"/>
  <c r="N103" i="32"/>
  <c r="M103" i="32"/>
  <c r="M107" i="32" s="1"/>
  <c r="AU23" i="32" s="1"/>
  <c r="L103" i="32"/>
  <c r="K103" i="32"/>
  <c r="J103" i="32"/>
  <c r="I103" i="32"/>
  <c r="H103" i="32"/>
  <c r="G103" i="32"/>
  <c r="F103" i="32"/>
  <c r="E103" i="32"/>
  <c r="E107" i="32" s="1"/>
  <c r="AP23" i="32" s="1"/>
  <c r="D103" i="32"/>
  <c r="C103" i="32"/>
  <c r="AF102" i="32"/>
  <c r="AE102" i="32"/>
  <c r="AD102" i="32"/>
  <c r="AC102" i="32"/>
  <c r="AB102" i="32"/>
  <c r="AA102" i="32"/>
  <c r="Y102" i="32"/>
  <c r="V102" i="32"/>
  <c r="U102" i="32"/>
  <c r="T102" i="32"/>
  <c r="S102" i="32"/>
  <c r="S107" i="32" s="1"/>
  <c r="BA23" i="32" s="1"/>
  <c r="R102" i="32"/>
  <c r="Q102" i="32"/>
  <c r="P102" i="32"/>
  <c r="O102" i="32"/>
  <c r="N102" i="32"/>
  <c r="M102" i="32"/>
  <c r="L102" i="32"/>
  <c r="K102" i="32"/>
  <c r="J102" i="32"/>
  <c r="I102" i="32"/>
  <c r="H102" i="32"/>
  <c r="G102" i="32"/>
  <c r="F102" i="32"/>
  <c r="E102" i="32"/>
  <c r="D102" i="32"/>
  <c r="C102" i="32"/>
  <c r="AF101" i="32"/>
  <c r="AE101" i="32"/>
  <c r="AD101" i="32"/>
  <c r="AC101" i="32"/>
  <c r="AB101" i="32"/>
  <c r="AA101" i="32"/>
  <c r="AA107" i="32" s="1"/>
  <c r="Y101" i="32"/>
  <c r="V101" i="32"/>
  <c r="U101" i="32"/>
  <c r="T101" i="32"/>
  <c r="S101" i="32"/>
  <c r="R101" i="32"/>
  <c r="R107" i="32" s="1"/>
  <c r="AZ23" i="32" s="1"/>
  <c r="Q101" i="32"/>
  <c r="Q107" i="32" s="1"/>
  <c r="AY23" i="32" s="1"/>
  <c r="P101" i="32"/>
  <c r="O101" i="32"/>
  <c r="N101" i="32"/>
  <c r="M101" i="32"/>
  <c r="L101" i="32"/>
  <c r="K101" i="32"/>
  <c r="J101" i="32"/>
  <c r="J107" i="32" s="1"/>
  <c r="J108" i="32" s="1"/>
  <c r="I101" i="32"/>
  <c r="H101" i="32"/>
  <c r="G101" i="32"/>
  <c r="F101" i="32"/>
  <c r="E101" i="32"/>
  <c r="D101" i="32"/>
  <c r="D107" i="32" s="1"/>
  <c r="C101" i="32"/>
  <c r="AI98" i="32"/>
  <c r="AH98" i="32"/>
  <c r="AI96" i="32"/>
  <c r="AH96" i="32"/>
  <c r="AG96" i="32"/>
  <c r="AI95" i="32"/>
  <c r="AH95" i="32"/>
  <c r="AI94" i="32"/>
  <c r="AH94" i="32"/>
  <c r="AI93" i="32"/>
  <c r="AH93" i="32"/>
  <c r="AG92" i="32"/>
  <c r="AF92" i="32"/>
  <c r="AE5" i="32" s="1"/>
  <c r="AE92" i="32"/>
  <c r="AD5" i="32" s="1"/>
  <c r="AD92" i="32"/>
  <c r="BH19" i="32" s="1"/>
  <c r="AC92" i="32"/>
  <c r="AB92" i="32"/>
  <c r="BG19" i="32" s="1"/>
  <c r="AA92" i="32"/>
  <c r="Y92" i="32"/>
  <c r="V92" i="32"/>
  <c r="U92" i="32"/>
  <c r="T92" i="32"/>
  <c r="S92" i="32"/>
  <c r="R5" i="32" s="1"/>
  <c r="R92" i="32"/>
  <c r="Q92" i="32"/>
  <c r="P92" i="32"/>
  <c r="O92" i="32"/>
  <c r="AW19" i="32" s="1"/>
  <c r="N92" i="32"/>
  <c r="AV19" i="32" s="1"/>
  <c r="M92" i="32"/>
  <c r="AU19" i="32" s="1"/>
  <c r="L92" i="32"/>
  <c r="K5" i="32" s="1"/>
  <c r="K92" i="32"/>
  <c r="J92" i="32"/>
  <c r="I92" i="32"/>
  <c r="AS19" i="32" s="1"/>
  <c r="H92" i="32"/>
  <c r="G92" i="32"/>
  <c r="F92" i="32"/>
  <c r="E5" i="32" s="1"/>
  <c r="E92" i="32"/>
  <c r="AP19" i="32" s="1"/>
  <c r="D92" i="32"/>
  <c r="D108" i="32" s="1"/>
  <c r="C92" i="32"/>
  <c r="AI91" i="32"/>
  <c r="AH91" i="32"/>
  <c r="AI90" i="32"/>
  <c r="AH90" i="32"/>
  <c r="AI89" i="32"/>
  <c r="AH89" i="32"/>
  <c r="AI88" i="32"/>
  <c r="AH88" i="32"/>
  <c r="AI87" i="32"/>
  <c r="AH87" i="32"/>
  <c r="AI86" i="32"/>
  <c r="AH86" i="32"/>
  <c r="AI85" i="32"/>
  <c r="AH85" i="32"/>
  <c r="AI84" i="32"/>
  <c r="AH84" i="32"/>
  <c r="AI83" i="32"/>
  <c r="AH83" i="32"/>
  <c r="AI82" i="32"/>
  <c r="AH82" i="32"/>
  <c r="AI81" i="32"/>
  <c r="AH81" i="32"/>
  <c r="AG80" i="32"/>
  <c r="AF80" i="32"/>
  <c r="AE80" i="32"/>
  <c r="AD80" i="32"/>
  <c r="BH20" i="32" s="1"/>
  <c r="AC80" i="32"/>
  <c r="AB80" i="32"/>
  <c r="BG20" i="32" s="1"/>
  <c r="AA80" i="32"/>
  <c r="BF20" i="32"/>
  <c r="Y80" i="32"/>
  <c r="V80" i="32"/>
  <c r="U80" i="32"/>
  <c r="T80" i="32"/>
  <c r="BB20" i="32" s="1"/>
  <c r="S80" i="32"/>
  <c r="BA20" i="32" s="1"/>
  <c r="R80" i="32"/>
  <c r="AZ20" i="32" s="1"/>
  <c r="Q80" i="32"/>
  <c r="P80" i="32"/>
  <c r="O80" i="32"/>
  <c r="N80" i="32"/>
  <c r="AV20" i="32" s="1"/>
  <c r="L80" i="32"/>
  <c r="K80" i="32"/>
  <c r="AT20" i="32" s="1"/>
  <c r="J80" i="32"/>
  <c r="I80" i="32"/>
  <c r="H80" i="32"/>
  <c r="G80" i="32"/>
  <c r="F80" i="32"/>
  <c r="AQ20" i="32" s="1"/>
  <c r="E80" i="32"/>
  <c r="D80" i="32"/>
  <c r="C80" i="32"/>
  <c r="AN20" i="32" s="1"/>
  <c r="BH79" i="32"/>
  <c r="BC79" i="32"/>
  <c r="AI79" i="32"/>
  <c r="AH79" i="32"/>
  <c r="BV78" i="32"/>
  <c r="BF78" i="32"/>
  <c r="BE78" i="32"/>
  <c r="AI78" i="32"/>
  <c r="AH78" i="32"/>
  <c r="BP77" i="32"/>
  <c r="BO77" i="32"/>
  <c r="AI77" i="32"/>
  <c r="AH77" i="32"/>
  <c r="BN76" i="32"/>
  <c r="BI76" i="32"/>
  <c r="BA76" i="32"/>
  <c r="AF76" i="32"/>
  <c r="BJ18" i="32" s="1"/>
  <c r="AE76" i="32"/>
  <c r="BI18" i="32" s="1"/>
  <c r="AD76" i="32"/>
  <c r="BH18" i="32" s="1"/>
  <c r="AC76" i="32"/>
  <c r="AB76" i="32"/>
  <c r="BG18" i="32" s="1"/>
  <c r="Y76" i="32"/>
  <c r="V76" i="32"/>
  <c r="BD18" i="32" s="1"/>
  <c r="U76" i="32"/>
  <c r="BC18" i="32" s="1"/>
  <c r="T76" i="32"/>
  <c r="BB18" i="32" s="1"/>
  <c r="S76" i="32"/>
  <c r="R76" i="32"/>
  <c r="AZ18" i="32" s="1"/>
  <c r="Q76" i="32"/>
  <c r="AY18" i="32" s="1"/>
  <c r="P76" i="32"/>
  <c r="AX18" i="32" s="1"/>
  <c r="O76" i="32"/>
  <c r="N76" i="32"/>
  <c r="AU18" i="32"/>
  <c r="L76" i="32"/>
  <c r="K76" i="32"/>
  <c r="AT18" i="32" s="1"/>
  <c r="J76" i="32"/>
  <c r="I76" i="32"/>
  <c r="H76" i="32"/>
  <c r="G76" i="32"/>
  <c r="AR18" i="32" s="1"/>
  <c r="F76" i="32"/>
  <c r="AQ18" i="32" s="1"/>
  <c r="E76" i="32"/>
  <c r="AP18" i="32" s="1"/>
  <c r="D76" i="32"/>
  <c r="AO18" i="32" s="1"/>
  <c r="C76" i="32"/>
  <c r="AN18" i="32" s="1"/>
  <c r="BW75" i="32"/>
  <c r="BS75" i="32"/>
  <c r="BN75" i="32"/>
  <c r="BK75" i="32"/>
  <c r="AI75" i="32"/>
  <c r="AH75" i="32"/>
  <c r="AG75" i="32"/>
  <c r="AG76" i="32" s="1"/>
  <c r="AG3" i="32" s="1"/>
  <c r="AG6" i="32" s="1"/>
  <c r="AI74" i="32"/>
  <c r="AH74" i="32"/>
  <c r="BW73" i="32"/>
  <c r="BW80" i="32" s="1"/>
  <c r="BV73" i="32"/>
  <c r="BV80" i="32" s="1"/>
  <c r="BU73" i="32"/>
  <c r="BU80" i="32" s="1"/>
  <c r="BT73" i="32"/>
  <c r="BT80" i="32" s="1"/>
  <c r="BS73" i="32"/>
  <c r="BS80" i="32" s="1"/>
  <c r="BR73" i="32"/>
  <c r="BR80" i="32" s="1"/>
  <c r="BQ73" i="32"/>
  <c r="BQ80" i="32" s="1"/>
  <c r="BP73" i="32"/>
  <c r="BP80" i="32" s="1"/>
  <c r="BO73" i="32"/>
  <c r="BO80" i="32" s="1"/>
  <c r="BN73" i="32"/>
  <c r="BN80" i="32" s="1"/>
  <c r="BM73" i="32"/>
  <c r="BM80" i="32" s="1"/>
  <c r="BL73" i="32"/>
  <c r="BL80" i="32" s="1"/>
  <c r="BK73" i="32"/>
  <c r="BK80" i="32" s="1"/>
  <c r="BJ73" i="32"/>
  <c r="BJ80" i="32" s="1"/>
  <c r="BI73" i="32"/>
  <c r="BI80" i="32" s="1"/>
  <c r="BH73" i="32"/>
  <c r="BH80" i="32" s="1"/>
  <c r="BG73" i="32"/>
  <c r="BG80" i="32" s="1"/>
  <c r="BF73" i="32"/>
  <c r="BF80" i="32" s="1"/>
  <c r="BE73" i="32"/>
  <c r="BE80" i="32" s="1"/>
  <c r="BD73" i="32"/>
  <c r="BD80" i="32" s="1"/>
  <c r="BC73" i="32"/>
  <c r="BC80" i="32" s="1"/>
  <c r="BB73" i="32"/>
  <c r="BB80" i="32" s="1"/>
  <c r="BA73" i="32"/>
  <c r="BA80" i="32" s="1"/>
  <c r="AZ73" i="32"/>
  <c r="AZ80" i="32" s="1"/>
  <c r="AI73" i="32"/>
  <c r="AH73" i="32"/>
  <c r="BW72" i="32"/>
  <c r="BW79" i="32" s="1"/>
  <c r="BV72" i="32"/>
  <c r="BV79" i="32" s="1"/>
  <c r="BU72" i="32"/>
  <c r="BU79" i="32" s="1"/>
  <c r="BT72" i="32"/>
  <c r="BT79" i="32" s="1"/>
  <c r="BS72" i="32"/>
  <c r="BS79" i="32" s="1"/>
  <c r="BR72" i="32"/>
  <c r="BR79" i="32" s="1"/>
  <c r="BQ72" i="32"/>
  <c r="BQ79" i="32" s="1"/>
  <c r="BP72" i="32"/>
  <c r="BP79" i="32" s="1"/>
  <c r="BO72" i="32"/>
  <c r="BO79" i="32" s="1"/>
  <c r="BN72" i="32"/>
  <c r="BN79" i="32" s="1"/>
  <c r="BM72" i="32"/>
  <c r="BM79" i="32" s="1"/>
  <c r="BL72" i="32"/>
  <c r="BL79" i="32" s="1"/>
  <c r="BK72" i="32"/>
  <c r="BK79" i="32" s="1"/>
  <c r="BJ72" i="32"/>
  <c r="BJ79" i="32" s="1"/>
  <c r="BI72" i="32"/>
  <c r="BI79" i="32" s="1"/>
  <c r="BH72" i="32"/>
  <c r="BG72" i="32"/>
  <c r="BG79" i="32" s="1"/>
  <c r="BF72" i="32"/>
  <c r="BF79" i="32" s="1"/>
  <c r="BE72" i="32"/>
  <c r="BE79" i="32" s="1"/>
  <c r="BD72" i="32"/>
  <c r="BD79" i="32" s="1"/>
  <c r="BC72" i="32"/>
  <c r="BB72" i="32"/>
  <c r="BB79" i="32" s="1"/>
  <c r="BA72" i="32"/>
  <c r="BA79" i="32" s="1"/>
  <c r="AZ72" i="32"/>
  <c r="AZ79" i="32" s="1"/>
  <c r="AI72" i="32"/>
  <c r="AH72" i="32"/>
  <c r="BW71" i="32"/>
  <c r="BW78" i="32" s="1"/>
  <c r="BV71" i="32"/>
  <c r="BU71" i="32"/>
  <c r="BU78" i="32" s="1"/>
  <c r="BT71" i="32"/>
  <c r="BT78" i="32" s="1"/>
  <c r="BS71" i="32"/>
  <c r="BS78" i="32" s="1"/>
  <c r="BR71" i="32"/>
  <c r="BR78" i="32" s="1"/>
  <c r="BQ71" i="32"/>
  <c r="BQ78" i="32" s="1"/>
  <c r="BP71" i="32"/>
  <c r="BP78" i="32" s="1"/>
  <c r="BO71" i="32"/>
  <c r="BO78" i="32" s="1"/>
  <c r="BN71" i="32"/>
  <c r="BN78" i="32" s="1"/>
  <c r="BM71" i="32"/>
  <c r="BM78" i="32" s="1"/>
  <c r="BL71" i="32"/>
  <c r="BL78" i="32" s="1"/>
  <c r="BK71" i="32"/>
  <c r="BK78" i="32" s="1"/>
  <c r="BJ71" i="32"/>
  <c r="BJ78" i="32" s="1"/>
  <c r="BI71" i="32"/>
  <c r="BI78" i="32" s="1"/>
  <c r="BH71" i="32"/>
  <c r="BH78" i="32" s="1"/>
  <c r="BG71" i="32"/>
  <c r="BG78" i="32" s="1"/>
  <c r="BF71" i="32"/>
  <c r="BE71" i="32"/>
  <c r="BD71" i="32"/>
  <c r="BD78" i="32" s="1"/>
  <c r="BC71" i="32"/>
  <c r="BC78" i="32" s="1"/>
  <c r="BB71" i="32"/>
  <c r="BB78" i="32" s="1"/>
  <c r="BA71" i="32"/>
  <c r="BA78" i="32" s="1"/>
  <c r="AZ71" i="32"/>
  <c r="AZ78" i="32" s="1"/>
  <c r="AI71" i="32"/>
  <c r="AH71" i="32"/>
  <c r="BW70" i="32"/>
  <c r="BW77" i="32" s="1"/>
  <c r="BV70" i="32"/>
  <c r="BV77" i="32" s="1"/>
  <c r="BU70" i="32"/>
  <c r="BU77" i="32" s="1"/>
  <c r="BT70" i="32"/>
  <c r="BT77" i="32" s="1"/>
  <c r="BS70" i="32"/>
  <c r="BS77" i="32" s="1"/>
  <c r="BR70" i="32"/>
  <c r="BR77" i="32" s="1"/>
  <c r="BQ70" i="32"/>
  <c r="BQ77" i="32" s="1"/>
  <c r="BP70" i="32"/>
  <c r="BO70" i="32"/>
  <c r="BN70" i="32"/>
  <c r="BN77" i="32" s="1"/>
  <c r="BM70" i="32"/>
  <c r="BM77" i="32" s="1"/>
  <c r="BL70" i="32"/>
  <c r="BL77" i="32" s="1"/>
  <c r="BK70" i="32"/>
  <c r="BK77" i="32" s="1"/>
  <c r="BJ70" i="32"/>
  <c r="BJ77" i="32" s="1"/>
  <c r="BI70" i="32"/>
  <c r="BI77" i="32" s="1"/>
  <c r="BH70" i="32"/>
  <c r="BH77" i="32" s="1"/>
  <c r="BG70" i="32"/>
  <c r="BG77" i="32" s="1"/>
  <c r="BF70" i="32"/>
  <c r="BF77" i="32" s="1"/>
  <c r="BE70" i="32"/>
  <c r="BE77" i="32" s="1"/>
  <c r="BD70" i="32"/>
  <c r="BD77" i="32" s="1"/>
  <c r="BC70" i="32"/>
  <c r="BC77" i="32" s="1"/>
  <c r="BB70" i="32"/>
  <c r="BB77" i="32" s="1"/>
  <c r="BA70" i="32"/>
  <c r="BA77" i="32" s="1"/>
  <c r="AZ70" i="32"/>
  <c r="AZ77" i="32" s="1"/>
  <c r="AI70" i="32"/>
  <c r="AH70" i="32"/>
  <c r="BW69" i="32"/>
  <c r="BW76" i="32" s="1"/>
  <c r="BV69" i="32"/>
  <c r="BV76" i="32" s="1"/>
  <c r="BU69" i="32"/>
  <c r="BU76" i="32" s="1"/>
  <c r="BT69" i="32"/>
  <c r="BT76" i="32" s="1"/>
  <c r="BS69" i="32"/>
  <c r="BS76" i="32" s="1"/>
  <c r="BR69" i="32"/>
  <c r="BR76" i="32" s="1"/>
  <c r="BQ69" i="32"/>
  <c r="BQ76" i="32" s="1"/>
  <c r="BP69" i="32"/>
  <c r="BP76" i="32" s="1"/>
  <c r="BO69" i="32"/>
  <c r="BO76" i="32" s="1"/>
  <c r="BN69" i="32"/>
  <c r="BM69" i="32"/>
  <c r="BM76" i="32" s="1"/>
  <c r="BL69" i="32"/>
  <c r="BL76" i="32" s="1"/>
  <c r="BK69" i="32"/>
  <c r="BK76" i="32" s="1"/>
  <c r="BJ69" i="32"/>
  <c r="BJ76" i="32" s="1"/>
  <c r="BI69" i="32"/>
  <c r="BH69" i="32"/>
  <c r="BH76" i="32" s="1"/>
  <c r="BG69" i="32"/>
  <c r="BG76" i="32" s="1"/>
  <c r="BF69" i="32"/>
  <c r="BF76" i="32" s="1"/>
  <c r="BE69" i="32"/>
  <c r="BE76" i="32" s="1"/>
  <c r="BD69" i="32"/>
  <c r="BD76" i="32" s="1"/>
  <c r="BC69" i="32"/>
  <c r="BC76" i="32" s="1"/>
  <c r="BB69" i="32"/>
  <c r="BB76" i="32" s="1"/>
  <c r="BA69" i="32"/>
  <c r="AZ69" i="32"/>
  <c r="AZ76" i="32" s="1"/>
  <c r="AI69" i="32"/>
  <c r="AH69" i="32"/>
  <c r="BW68" i="32"/>
  <c r="BV68" i="32"/>
  <c r="BV75" i="32" s="1"/>
  <c r="BU68" i="32"/>
  <c r="BU75" i="32" s="1"/>
  <c r="BT68" i="32"/>
  <c r="BT75" i="32" s="1"/>
  <c r="BS68" i="32"/>
  <c r="BR68" i="32"/>
  <c r="BR75" i="32" s="1"/>
  <c r="BQ68" i="32"/>
  <c r="BQ75" i="32" s="1"/>
  <c r="BP68" i="32"/>
  <c r="BP75" i="32" s="1"/>
  <c r="BO68" i="32"/>
  <c r="BO75" i="32" s="1"/>
  <c r="BN68" i="32"/>
  <c r="BM68" i="32"/>
  <c r="BM75" i="32" s="1"/>
  <c r="BL68" i="32"/>
  <c r="BL75" i="32" s="1"/>
  <c r="BK68" i="32"/>
  <c r="BJ68" i="32"/>
  <c r="BJ75" i="32" s="1"/>
  <c r="BI68" i="32"/>
  <c r="BI75" i="32" s="1"/>
  <c r="BH68" i="32"/>
  <c r="BH75" i="32" s="1"/>
  <c r="BG68" i="32"/>
  <c r="BG75" i="32" s="1"/>
  <c r="BF68" i="32"/>
  <c r="BF75" i="32" s="1"/>
  <c r="BE68" i="32"/>
  <c r="BE75" i="32" s="1"/>
  <c r="BD68" i="32"/>
  <c r="BD75" i="32" s="1"/>
  <c r="BC68" i="32"/>
  <c r="BC75" i="32" s="1"/>
  <c r="BB68" i="32"/>
  <c r="BB75" i="32" s="1"/>
  <c r="BA68" i="32"/>
  <c r="BA75" i="32" s="1"/>
  <c r="AZ68" i="32"/>
  <c r="AI68" i="32"/>
  <c r="AH68" i="32"/>
  <c r="AI67" i="32"/>
  <c r="AH67" i="32"/>
  <c r="AI66" i="32"/>
  <c r="AH66" i="32"/>
  <c r="AI65" i="32"/>
  <c r="AH65" i="32"/>
  <c r="AI64" i="32"/>
  <c r="AH64" i="32"/>
  <c r="AI63" i="32"/>
  <c r="AH63" i="32"/>
  <c r="AG62" i="32"/>
  <c r="AF62" i="32"/>
  <c r="BJ17" i="32" s="1"/>
  <c r="AE62" i="32"/>
  <c r="BI17" i="32" s="1"/>
  <c r="AD62" i="32"/>
  <c r="BH17" i="32" s="1"/>
  <c r="AC62" i="32"/>
  <c r="AB62" i="32"/>
  <c r="BG17" i="32" s="1"/>
  <c r="Y62" i="32"/>
  <c r="BE17" i="32"/>
  <c r="V62" i="32"/>
  <c r="BD17" i="32" s="1"/>
  <c r="U62" i="32"/>
  <c r="BC17" i="32" s="1"/>
  <c r="T62" i="32"/>
  <c r="S62" i="32"/>
  <c r="BA17" i="32" s="1"/>
  <c r="R62" i="32"/>
  <c r="AZ17" i="32" s="1"/>
  <c r="Q62" i="32"/>
  <c r="AY17" i="32" s="1"/>
  <c r="P62" i="32"/>
  <c r="AX17" i="32" s="1"/>
  <c r="O62" i="32"/>
  <c r="N62" i="32"/>
  <c r="AV17" i="32" s="1"/>
  <c r="AU17" i="32"/>
  <c r="L62" i="32"/>
  <c r="K62" i="32"/>
  <c r="AT17" i="32" s="1"/>
  <c r="J62" i="32"/>
  <c r="I62" i="32"/>
  <c r="AS17" i="32" s="1"/>
  <c r="H62" i="32"/>
  <c r="G62" i="32"/>
  <c r="F62" i="32"/>
  <c r="E62" i="32"/>
  <c r="AP17" i="32" s="1"/>
  <c r="D62" i="32"/>
  <c r="C62" i="32"/>
  <c r="AI61" i="32"/>
  <c r="AH61" i="32"/>
  <c r="AI60" i="32"/>
  <c r="AH60" i="32"/>
  <c r="AI59" i="32"/>
  <c r="AH59" i="32"/>
  <c r="AG58" i="32"/>
  <c r="AG97" i="32" s="1"/>
  <c r="AF58" i="32"/>
  <c r="AE58" i="32"/>
  <c r="AD58" i="32"/>
  <c r="BH16" i="32" s="1"/>
  <c r="AC58" i="32"/>
  <c r="AB58" i="32"/>
  <c r="Y58" i="32"/>
  <c r="V58" i="32"/>
  <c r="BD16" i="32" s="1"/>
  <c r="U58" i="32"/>
  <c r="T58" i="32"/>
  <c r="S58" i="32"/>
  <c r="R58" i="32"/>
  <c r="Q58" i="32"/>
  <c r="P58" i="32"/>
  <c r="O58" i="32"/>
  <c r="O97" i="32" s="1"/>
  <c r="O99" i="32" s="1"/>
  <c r="N58" i="32"/>
  <c r="AV16" i="32" s="1"/>
  <c r="L58" i="32"/>
  <c r="K58" i="32"/>
  <c r="J58" i="32"/>
  <c r="I58" i="32"/>
  <c r="AS16" i="32" s="1"/>
  <c r="H58" i="32"/>
  <c r="H97" i="32" s="1"/>
  <c r="H99" i="32" s="1"/>
  <c r="G58" i="32"/>
  <c r="F58" i="32"/>
  <c r="E58" i="32"/>
  <c r="D58" i="32"/>
  <c r="C58" i="32"/>
  <c r="C97" i="32" s="1"/>
  <c r="C99" i="32" s="1"/>
  <c r="AI57" i="32"/>
  <c r="AH57" i="32"/>
  <c r="AI56" i="32"/>
  <c r="AH56" i="32"/>
  <c r="AI55" i="32"/>
  <c r="AH55" i="32"/>
  <c r="AI54" i="32"/>
  <c r="AH54" i="32"/>
  <c r="AI53" i="32"/>
  <c r="AH53" i="32"/>
  <c r="AI52" i="32"/>
  <c r="AH52" i="32"/>
  <c r="AI51" i="32"/>
  <c r="AH51" i="32"/>
  <c r="AI50" i="32"/>
  <c r="AH50" i="32"/>
  <c r="AI49" i="32"/>
  <c r="AH49" i="32"/>
  <c r="AI48" i="32"/>
  <c r="AH48" i="32"/>
  <c r="AI47" i="32"/>
  <c r="AH47" i="32"/>
  <c r="AI46" i="32"/>
  <c r="AH46" i="32"/>
  <c r="AI45" i="32"/>
  <c r="AH45" i="32"/>
  <c r="AI44" i="32"/>
  <c r="AH44" i="32"/>
  <c r="AI43" i="32"/>
  <c r="AH43" i="32"/>
  <c r="AI42" i="32"/>
  <c r="AH42" i="32"/>
  <c r="AI41" i="32"/>
  <c r="AH41" i="32"/>
  <c r="AI40" i="32"/>
  <c r="AH40" i="32"/>
  <c r="AI39" i="32"/>
  <c r="AH39" i="32"/>
  <c r="AI38" i="32"/>
  <c r="AH38" i="32"/>
  <c r="AI37" i="32"/>
  <c r="AH37" i="32"/>
  <c r="AI36" i="32"/>
  <c r="AH36" i="32"/>
  <c r="AI35" i="32"/>
  <c r="AH35" i="32"/>
  <c r="AI34" i="32"/>
  <c r="AH34" i="32"/>
  <c r="AI33" i="32"/>
  <c r="AH33" i="32"/>
  <c r="AI32" i="32"/>
  <c r="AH32" i="32"/>
  <c r="AI31" i="32"/>
  <c r="AH31" i="32"/>
  <c r="AI30" i="32"/>
  <c r="AH30" i="32"/>
  <c r="AI29" i="32"/>
  <c r="AH29" i="32"/>
  <c r="AI28" i="32"/>
  <c r="AH28" i="32"/>
  <c r="AI27" i="32"/>
  <c r="AH27" i="32"/>
  <c r="AI26" i="32"/>
  <c r="AH26" i="32"/>
  <c r="AI25" i="32"/>
  <c r="AH25" i="32"/>
  <c r="AI24" i="32"/>
  <c r="AH24" i="32"/>
  <c r="BF23" i="32"/>
  <c r="AO23" i="32"/>
  <c r="AI23" i="32"/>
  <c r="AH23" i="32"/>
  <c r="AI22" i="32"/>
  <c r="AH22" i="32"/>
  <c r="BJ21" i="32"/>
  <c r="BI21" i="32"/>
  <c r="BH21" i="32"/>
  <c r="BG21" i="32"/>
  <c r="BF21" i="32"/>
  <c r="BE21" i="32"/>
  <c r="BD21" i="32"/>
  <c r="BC21" i="32"/>
  <c r="BB21" i="32"/>
  <c r="BA21" i="32"/>
  <c r="AZ21" i="32"/>
  <c r="AY21" i="32"/>
  <c r="AX21" i="32"/>
  <c r="AW21" i="32"/>
  <c r="AV21" i="32"/>
  <c r="AU21" i="32"/>
  <c r="AT21" i="32"/>
  <c r="AS21" i="32"/>
  <c r="AR21" i="32"/>
  <c r="AQ21" i="32"/>
  <c r="AP21" i="32"/>
  <c r="AO21" i="32"/>
  <c r="AN21" i="32"/>
  <c r="AM21" i="32"/>
  <c r="AI21" i="32"/>
  <c r="AH21" i="32"/>
  <c r="BJ20" i="32"/>
  <c r="BI20" i="32"/>
  <c r="BE20" i="32"/>
  <c r="BD20" i="32"/>
  <c r="BC20" i="32"/>
  <c r="AY20" i="32"/>
  <c r="AX20" i="32"/>
  <c r="AW20" i="32"/>
  <c r="AU20" i="32"/>
  <c r="AS20" i="32"/>
  <c r="AR20" i="32"/>
  <c r="AP20" i="32"/>
  <c r="AO20" i="32"/>
  <c r="AI20" i="32"/>
  <c r="AH20" i="32"/>
  <c r="BF19" i="32"/>
  <c r="BE19" i="32"/>
  <c r="BD19" i="32"/>
  <c r="BB19" i="32"/>
  <c r="AZ19" i="32"/>
  <c r="AY19" i="32"/>
  <c r="AX19" i="32"/>
  <c r="AR19" i="32"/>
  <c r="AI19" i="32"/>
  <c r="AH19" i="32"/>
  <c r="BF18" i="32"/>
  <c r="BE18" i="32"/>
  <c r="BA18" i="32"/>
  <c r="AW18" i="32"/>
  <c r="AV18" i="32"/>
  <c r="AS18" i="32"/>
  <c r="AI18" i="32"/>
  <c r="AH18" i="32"/>
  <c r="BF17" i="32"/>
  <c r="BB17" i="32"/>
  <c r="AW17" i="32"/>
  <c r="AR17" i="32"/>
  <c r="AQ17" i="32"/>
  <c r="AO17" i="32"/>
  <c r="AN17" i="32"/>
  <c r="AI17" i="32"/>
  <c r="AH17" i="32"/>
  <c r="BI16" i="32"/>
  <c r="BG16" i="32"/>
  <c r="BE16" i="32"/>
  <c r="BC16" i="32"/>
  <c r="AZ16" i="32"/>
  <c r="AY16" i="32"/>
  <c r="AU16" i="32"/>
  <c r="AT16" i="32"/>
  <c r="AR16" i="32"/>
  <c r="AQ16" i="32"/>
  <c r="AO16" i="32"/>
  <c r="AI16" i="32"/>
  <c r="AH16" i="32"/>
  <c r="AI15" i="32"/>
  <c r="AH15" i="32"/>
  <c r="AI14" i="32"/>
  <c r="AH14" i="32"/>
  <c r="AI13" i="32"/>
  <c r="AH13" i="32"/>
  <c r="AL12" i="32"/>
  <c r="AI12" i="32"/>
  <c r="AH12" i="32"/>
  <c r="AI11" i="32"/>
  <c r="AH11" i="32"/>
  <c r="AB5" i="32"/>
  <c r="Y5" i="32"/>
  <c r="W5" i="32"/>
  <c r="V5" i="32"/>
  <c r="U5" i="32"/>
  <c r="Q5" i="32"/>
  <c r="O5" i="32"/>
  <c r="I5" i="32"/>
  <c r="G5" i="32"/>
  <c r="F5" i="32"/>
  <c r="B5" i="32"/>
  <c r="AG4" i="32"/>
  <c r="K4" i="32"/>
  <c r="E4" i="32"/>
  <c r="H4" i="32" s="1"/>
  <c r="B4" i="32"/>
  <c r="D258" i="32" s="1"/>
  <c r="AG2" i="32"/>
  <c r="AF58" i="31"/>
  <c r="AF62" i="31"/>
  <c r="AF76" i="31"/>
  <c r="AF80" i="31"/>
  <c r="AF92" i="31"/>
  <c r="AF101" i="31"/>
  <c r="AF102" i="31"/>
  <c r="AF103" i="31"/>
  <c r="AF104" i="31"/>
  <c r="AF105" i="31"/>
  <c r="AF118" i="31"/>
  <c r="AE58" i="31"/>
  <c r="AE62" i="31"/>
  <c r="AE76" i="31"/>
  <c r="AE80" i="31"/>
  <c r="AE92" i="31"/>
  <c r="AE101" i="31"/>
  <c r="AE102" i="31"/>
  <c r="AE103" i="31"/>
  <c r="AE104" i="31"/>
  <c r="AE105" i="31"/>
  <c r="AE118" i="31"/>
  <c r="AD58" i="31"/>
  <c r="AD62" i="31"/>
  <c r="AD76" i="31"/>
  <c r="AD80" i="31"/>
  <c r="AD92" i="31"/>
  <c r="AD101" i="31"/>
  <c r="AD102" i="31"/>
  <c r="AD103" i="31"/>
  <c r="AD104" i="31"/>
  <c r="AD105" i="31"/>
  <c r="AD118" i="31"/>
  <c r="AC58" i="31"/>
  <c r="AC62" i="31"/>
  <c r="AC76" i="31"/>
  <c r="AC80" i="31"/>
  <c r="AC92" i="31"/>
  <c r="AC108" i="31" s="1"/>
  <c r="AC101" i="31"/>
  <c r="AC102" i="31"/>
  <c r="AC103" i="31"/>
  <c r="AC104" i="31"/>
  <c r="AC107" i="31" s="1"/>
  <c r="AC105" i="31"/>
  <c r="AC118" i="31"/>
  <c r="AB58" i="31"/>
  <c r="AB62" i="31"/>
  <c r="AB76" i="31"/>
  <c r="AB80" i="31"/>
  <c r="AB92" i="31"/>
  <c r="AB101" i="31"/>
  <c r="AB107" i="31" s="1"/>
  <c r="AB102" i="31"/>
  <c r="AB103" i="31"/>
  <c r="AB104" i="31"/>
  <c r="AB105" i="31"/>
  <c r="AB118" i="31"/>
  <c r="R57" i="31"/>
  <c r="Q121" i="31"/>
  <c r="Q57" i="31"/>
  <c r="P57" i="31"/>
  <c r="O57" i="31"/>
  <c r="N57" i="31"/>
  <c r="I252" i="33" l="1"/>
  <c r="I118" i="33"/>
  <c r="J246" i="33"/>
  <c r="BJ19" i="32"/>
  <c r="BI19" i="32"/>
  <c r="BI22" i="32" s="1"/>
  <c r="AE97" i="32"/>
  <c r="AE99" i="32" s="1"/>
  <c r="AC5" i="32"/>
  <c r="BH22" i="32"/>
  <c r="AC108" i="32"/>
  <c r="AC97" i="32"/>
  <c r="AC99" i="32" s="1"/>
  <c r="AC100" i="32" s="1"/>
  <c r="AC7" i="32" s="1"/>
  <c r="AA5" i="32"/>
  <c r="AB107" i="32"/>
  <c r="BG23" i="32" s="1"/>
  <c r="AB108" i="32"/>
  <c r="BG22" i="32"/>
  <c r="BG24" i="32" s="1"/>
  <c r="AA108" i="32"/>
  <c r="Z5" i="32"/>
  <c r="AA97" i="32"/>
  <c r="AW16" i="32"/>
  <c r="Y107" i="32"/>
  <c r="Y108" i="32" s="1"/>
  <c r="BD22" i="32"/>
  <c r="V97" i="32"/>
  <c r="V99" i="32" s="1"/>
  <c r="U108" i="32"/>
  <c r="BC19" i="32"/>
  <c r="BC22" i="32" s="1"/>
  <c r="BC24" i="32" s="1"/>
  <c r="T5" i="32"/>
  <c r="T107" i="32"/>
  <c r="BB23" i="32" s="1"/>
  <c r="T108" i="32"/>
  <c r="S5" i="32"/>
  <c r="BA19" i="32"/>
  <c r="S97" i="32"/>
  <c r="S99" i="32" s="1"/>
  <c r="S100" i="32" s="1"/>
  <c r="S7" i="32" s="1"/>
  <c r="BA16" i="32"/>
  <c r="BA22" i="32" s="1"/>
  <c r="BA24" i="32" s="1"/>
  <c r="R97" i="32"/>
  <c r="R99" i="32" s="1"/>
  <c r="R100" i="32" s="1"/>
  <c r="R7" i="32" s="1"/>
  <c r="Q108" i="32"/>
  <c r="AY22" i="32"/>
  <c r="AY24" i="32" s="1"/>
  <c r="N5" i="32"/>
  <c r="AW22" i="32"/>
  <c r="M5" i="32"/>
  <c r="AV22" i="32"/>
  <c r="AU22" i="32"/>
  <c r="AU24" i="32" s="1"/>
  <c r="M108" i="32"/>
  <c r="L5" i="32"/>
  <c r="L107" i="32"/>
  <c r="L108" i="32" s="1"/>
  <c r="AI102" i="32"/>
  <c r="K107" i="32"/>
  <c r="AT23" i="32" s="1"/>
  <c r="J5" i="32"/>
  <c r="AT19" i="32"/>
  <c r="AT22" i="32"/>
  <c r="I107" i="32"/>
  <c r="AS23" i="32" s="1"/>
  <c r="H107" i="32"/>
  <c r="H108" i="32" s="1"/>
  <c r="G97" i="32"/>
  <c r="G99" i="32" s="1"/>
  <c r="AR22" i="32"/>
  <c r="AQ19" i="32"/>
  <c r="AQ22" i="32" s="1"/>
  <c r="F97" i="32"/>
  <c r="F99" i="32" s="1"/>
  <c r="AH76" i="32"/>
  <c r="E108" i="32"/>
  <c r="D5" i="32"/>
  <c r="C107" i="32"/>
  <c r="AN23" i="32" s="1"/>
  <c r="C5" i="32"/>
  <c r="AH80" i="32"/>
  <c r="AI76" i="32"/>
  <c r="AN16" i="32"/>
  <c r="B107" i="32"/>
  <c r="B108" i="32" s="1"/>
  <c r="AM20" i="32"/>
  <c r="AM19" i="32"/>
  <c r="AF5" i="32"/>
  <c r="B97" i="32"/>
  <c r="B99" i="32" s="1"/>
  <c r="B100" i="32" s="1"/>
  <c r="AI58" i="32"/>
  <c r="AI101" i="32"/>
  <c r="BE22" i="32"/>
  <c r="AS22" i="32"/>
  <c r="AS24" i="32" s="1"/>
  <c r="AZ22" i="32"/>
  <c r="AZ24" i="32" s="1"/>
  <c r="F100" i="32"/>
  <c r="F7" i="32" s="1"/>
  <c r="AH102" i="32"/>
  <c r="I108" i="32"/>
  <c r="H5" i="32"/>
  <c r="P5" i="32"/>
  <c r="X5" i="32"/>
  <c r="P97" i="32"/>
  <c r="P99" i="32" s="1"/>
  <c r="AX16" i="32"/>
  <c r="AX22" i="32" s="1"/>
  <c r="AF97" i="32"/>
  <c r="AF99" i="32" s="1"/>
  <c r="BJ16" i="32"/>
  <c r="BJ22" i="32" s="1"/>
  <c r="AI80" i="32"/>
  <c r="AH92" i="32"/>
  <c r="R108" i="32"/>
  <c r="AD97" i="32"/>
  <c r="AD99" i="32" s="1"/>
  <c r="AH101" i="32"/>
  <c r="AH103" i="32"/>
  <c r="I97" i="32"/>
  <c r="I99" i="32" s="1"/>
  <c r="I100" i="32" s="1"/>
  <c r="I7" i="32" s="1"/>
  <c r="Q97" i="32"/>
  <c r="Q99" i="32" s="1"/>
  <c r="Q100" i="32" s="1"/>
  <c r="Q7" i="32" s="1"/>
  <c r="Y100" i="32"/>
  <c r="Y7" i="32" s="1"/>
  <c r="AI62" i="32"/>
  <c r="AH62" i="32"/>
  <c r="AI92" i="32"/>
  <c r="AN19" i="32"/>
  <c r="AN22" i="32" s="1"/>
  <c r="AN24" i="32" s="1"/>
  <c r="C108" i="32"/>
  <c r="S108" i="32"/>
  <c r="AI103" i="32"/>
  <c r="J97" i="32"/>
  <c r="J99" i="32" s="1"/>
  <c r="J100" i="32" s="1"/>
  <c r="J7" i="32" s="1"/>
  <c r="BF16" i="32"/>
  <c r="BF22" i="32" s="1"/>
  <c r="BF24" i="32" s="1"/>
  <c r="AH58" i="32"/>
  <c r="K97" i="32"/>
  <c r="K99" i="32" s="1"/>
  <c r="K100" i="32" s="1"/>
  <c r="K7" i="32" s="1"/>
  <c r="AH104" i="32"/>
  <c r="N97" i="32"/>
  <c r="N99" i="32" s="1"/>
  <c r="AT24" i="32"/>
  <c r="AM16" i="32"/>
  <c r="AM22" i="32" s="1"/>
  <c r="D97" i="32"/>
  <c r="D99" i="32" s="1"/>
  <c r="D100" i="32" s="1"/>
  <c r="D7" i="32" s="1"/>
  <c r="L97" i="32"/>
  <c r="L99" i="32" s="1"/>
  <c r="L100" i="32" s="1"/>
  <c r="L7" i="32" s="1"/>
  <c r="T97" i="32"/>
  <c r="T99" i="32" s="1"/>
  <c r="T100" i="32" s="1"/>
  <c r="T7" i="32" s="1"/>
  <c r="BB16" i="32"/>
  <c r="BB22" i="32" s="1"/>
  <c r="BB24" i="32" s="1"/>
  <c r="AB97" i="32"/>
  <c r="AB99" i="32" s="1"/>
  <c r="AB100" i="32" s="1"/>
  <c r="AB7" i="32" s="1"/>
  <c r="AL13" i="32"/>
  <c r="AO19" i="32"/>
  <c r="AO22" i="32" s="1"/>
  <c r="AO24" i="32" s="1"/>
  <c r="E97" i="32"/>
  <c r="E99" i="32" s="1"/>
  <c r="E100" i="32" s="1"/>
  <c r="E7" i="32" s="1"/>
  <c r="AP16" i="32"/>
  <c r="AP22" i="32" s="1"/>
  <c r="AP24" i="32" s="1"/>
  <c r="M97" i="32"/>
  <c r="M99" i="32" s="1"/>
  <c r="M100" i="32" s="1"/>
  <c r="M7" i="32" s="1"/>
  <c r="U97" i="32"/>
  <c r="U99" i="32" s="1"/>
  <c r="U100" i="32" s="1"/>
  <c r="U7" i="32" s="1"/>
  <c r="AZ75" i="32"/>
  <c r="BG84" i="32" a="1"/>
  <c r="P107" i="32"/>
  <c r="AI104" i="32"/>
  <c r="AI105" i="32"/>
  <c r="D252" i="32"/>
  <c r="D118" i="32"/>
  <c r="E246" i="32"/>
  <c r="F107" i="32"/>
  <c r="AQ23" i="32" s="1"/>
  <c r="N107" i="32"/>
  <c r="AV23" i="32" s="1"/>
  <c r="AV24" i="32" s="1"/>
  <c r="V107" i="32"/>
  <c r="BD23" i="32" s="1"/>
  <c r="BD24" i="32" s="1"/>
  <c r="AD107" i="32"/>
  <c r="BH23" i="32" s="1"/>
  <c r="G107" i="32"/>
  <c r="O107" i="32"/>
  <c r="AE107" i="32"/>
  <c r="AG99" i="32"/>
  <c r="AF107" i="32"/>
  <c r="AH105" i="32"/>
  <c r="AF107" i="31"/>
  <c r="AF108" i="31"/>
  <c r="AF97" i="31"/>
  <c r="AF99" i="31" s="1"/>
  <c r="AE107" i="31"/>
  <c r="AE108" i="31" s="1"/>
  <c r="AE97" i="31"/>
  <c r="AE99" i="31" s="1"/>
  <c r="AE100" i="31" s="1"/>
  <c r="AD107" i="31"/>
  <c r="AD108" i="31" s="1"/>
  <c r="AD97" i="31"/>
  <c r="AD99" i="31" s="1"/>
  <c r="AD100" i="31" s="1"/>
  <c r="AC97" i="31"/>
  <c r="AC99" i="31" s="1"/>
  <c r="AC100" i="31" s="1"/>
  <c r="AB97" i="31"/>
  <c r="AB99" i="31" s="1"/>
  <c r="AB100" i="31" s="1"/>
  <c r="AB108" i="31"/>
  <c r="J252" i="33" l="1"/>
  <c r="J118" i="33"/>
  <c r="K246" i="33"/>
  <c r="AE100" i="32"/>
  <c r="AE7" i="32" s="1"/>
  <c r="BH24" i="32"/>
  <c r="AD108" i="32"/>
  <c r="AA99" i="32"/>
  <c r="AA100" i="32" s="1"/>
  <c r="AA7" i="32" s="1"/>
  <c r="G100" i="32"/>
  <c r="G7" i="32" s="1"/>
  <c r="K108" i="32"/>
  <c r="H100" i="32"/>
  <c r="H7" i="32" s="1"/>
  <c r="AQ24" i="32"/>
  <c r="F108" i="32"/>
  <c r="AF100" i="31"/>
  <c r="C100" i="32"/>
  <c r="C7" i="32" s="1"/>
  <c r="BE23" i="32"/>
  <c r="BE24" i="32" s="1"/>
  <c r="AT8" i="32"/>
  <c r="AD100" i="32"/>
  <c r="AD7" i="32" s="1"/>
  <c r="O108" i="32"/>
  <c r="AW23" i="32"/>
  <c r="AW24" i="32" s="1"/>
  <c r="P108" i="32"/>
  <c r="AX23" i="32"/>
  <c r="AX24" i="32" s="1"/>
  <c r="C256" i="32"/>
  <c r="W7" i="32"/>
  <c r="G108" i="32"/>
  <c r="AR23" i="32"/>
  <c r="AR24" i="32" s="1"/>
  <c r="BI107" i="32"/>
  <c r="BG106" i="32"/>
  <c r="BK104" i="32"/>
  <c r="BI103" i="32"/>
  <c r="BG102" i="32"/>
  <c r="BK100" i="32"/>
  <c r="BI99" i="32"/>
  <c r="BG98" i="32"/>
  <c r="BK96" i="32"/>
  <c r="BI95" i="32"/>
  <c r="BG94" i="32"/>
  <c r="BK92" i="32"/>
  <c r="BI91" i="32"/>
  <c r="BG90" i="32"/>
  <c r="BK88" i="32"/>
  <c r="BI87" i="32"/>
  <c r="BG86" i="32"/>
  <c r="BK84" i="32"/>
  <c r="BH107" i="32"/>
  <c r="BL105" i="32"/>
  <c r="BJ104" i="32"/>
  <c r="BH103" i="32"/>
  <c r="BL101" i="32"/>
  <c r="BJ100" i="32"/>
  <c r="BH99" i="32"/>
  <c r="BL97" i="32"/>
  <c r="BJ96" i="32"/>
  <c r="BH95" i="32"/>
  <c r="BL93" i="32"/>
  <c r="BJ92" i="32"/>
  <c r="BH91" i="32"/>
  <c r="BL89" i="32"/>
  <c r="BJ88" i="32"/>
  <c r="BH87" i="32"/>
  <c r="BL85" i="32"/>
  <c r="BJ84" i="32"/>
  <c r="BK107" i="32"/>
  <c r="BK105" i="32"/>
  <c r="BG104" i="32"/>
  <c r="BI102" i="32"/>
  <c r="BI100" i="32"/>
  <c r="BK98" i="32"/>
  <c r="BG97" i="32"/>
  <c r="BG95" i="32"/>
  <c r="BI93" i="32"/>
  <c r="BK91" i="32"/>
  <c r="BK89" i="32"/>
  <c r="BG88" i="32"/>
  <c r="BI86" i="32"/>
  <c r="BI84" i="32"/>
  <c r="BG107" i="32"/>
  <c r="BI105" i="32"/>
  <c r="BK103" i="32"/>
  <c r="BK101" i="32"/>
  <c r="BG100" i="32"/>
  <c r="BI98" i="32"/>
  <c r="BI96" i="32"/>
  <c r="BK94" i="32"/>
  <c r="BG93" i="32"/>
  <c r="BG91" i="32"/>
  <c r="BI89" i="32"/>
  <c r="BK87" i="32"/>
  <c r="BK85" i="32"/>
  <c r="BG84" i="32"/>
  <c r="BL106" i="32"/>
  <c r="BH105" i="32"/>
  <c r="BJ103" i="32"/>
  <c r="BJ101" i="32"/>
  <c r="BL99" i="32"/>
  <c r="BH98" i="32"/>
  <c r="BH96" i="32"/>
  <c r="BJ94" i="32"/>
  <c r="BL92" i="32"/>
  <c r="BL90" i="32"/>
  <c r="BH89" i="32"/>
  <c r="BJ87" i="32"/>
  <c r="BJ85" i="32"/>
  <c r="BK106" i="32"/>
  <c r="BG105" i="32"/>
  <c r="BG103" i="32"/>
  <c r="BI101" i="32"/>
  <c r="BK99" i="32"/>
  <c r="BK97" i="32"/>
  <c r="BG96" i="32"/>
  <c r="BI94" i="32"/>
  <c r="BI92" i="32"/>
  <c r="BK90" i="32"/>
  <c r="BG89" i="32"/>
  <c r="BG87" i="32"/>
  <c r="BI85" i="32"/>
  <c r="BI106" i="32"/>
  <c r="BK102" i="32"/>
  <c r="BG99" i="32"/>
  <c r="BK95" i="32"/>
  <c r="BG92" i="32"/>
  <c r="BI88" i="32"/>
  <c r="BG85" i="32"/>
  <c r="BH106" i="32"/>
  <c r="BJ102" i="32"/>
  <c r="BL98" i="32"/>
  <c r="BJ95" i="32"/>
  <c r="BL91" i="32"/>
  <c r="BH88" i="32"/>
  <c r="BL84" i="32"/>
  <c r="BL88" i="32"/>
  <c r="BJ105" i="32"/>
  <c r="BH102" i="32"/>
  <c r="BJ98" i="32"/>
  <c r="BL94" i="32"/>
  <c r="BJ91" i="32"/>
  <c r="BL87" i="32"/>
  <c r="BH84" i="32"/>
  <c r="BL104" i="32"/>
  <c r="BH101" i="32"/>
  <c r="BJ97" i="32"/>
  <c r="BH94" i="32"/>
  <c r="BJ90" i="32"/>
  <c r="BL86" i="32"/>
  <c r="BI104" i="32"/>
  <c r="BG101" i="32"/>
  <c r="BI97" i="32"/>
  <c r="BK93" i="32"/>
  <c r="BI90" i="32"/>
  <c r="BK86" i="32"/>
  <c r="BL107" i="32"/>
  <c r="BH104" i="32"/>
  <c r="BL100" i="32"/>
  <c r="BH97" i="32"/>
  <c r="BJ93" i="32"/>
  <c r="BH90" i="32"/>
  <c r="BJ86" i="32"/>
  <c r="BJ107" i="32"/>
  <c r="BL103" i="32"/>
  <c r="BH100" i="32"/>
  <c r="BL96" i="32"/>
  <c r="BH93" i="32"/>
  <c r="BJ89" i="32"/>
  <c r="BH86" i="32"/>
  <c r="BJ106" i="32"/>
  <c r="BL102" i="32"/>
  <c r="BJ99" i="32"/>
  <c r="BL95" i="32"/>
  <c r="BH92" i="32"/>
  <c r="BH85" i="32"/>
  <c r="O100" i="32"/>
  <c r="O7" i="32" s="1"/>
  <c r="N100" i="32"/>
  <c r="N7" i="32" s="1"/>
  <c r="AI97" i="32"/>
  <c r="AH97" i="32"/>
  <c r="AF100" i="32"/>
  <c r="AF7" i="32" s="1"/>
  <c r="V100" i="32"/>
  <c r="V7" i="32" s="1"/>
  <c r="AF108" i="32"/>
  <c r="BJ23" i="32"/>
  <c r="BJ24" i="32" s="1"/>
  <c r="V108" i="32"/>
  <c r="N108" i="32"/>
  <c r="AI107" i="32"/>
  <c r="AH107" i="32"/>
  <c r="AM23" i="32"/>
  <c r="AM24" i="32" s="1"/>
  <c r="X7" i="32"/>
  <c r="AE108" i="32"/>
  <c r="BI23" i="32"/>
  <c r="BI24" i="32" s="1"/>
  <c r="E252" i="32"/>
  <c r="F246" i="32"/>
  <c r="E118" i="32"/>
  <c r="P100" i="32"/>
  <c r="P7" i="32" s="1"/>
  <c r="B256" i="32"/>
  <c r="K252" i="33" l="1"/>
  <c r="K118" i="33"/>
  <c r="L246" i="33"/>
  <c r="AT9" i="32"/>
  <c r="K6" i="32"/>
  <c r="G246" i="32"/>
  <c r="F252" i="32"/>
  <c r="F118" i="32"/>
  <c r="AH108" i="32"/>
  <c r="AI108" i="32"/>
  <c r="AI99" i="32"/>
  <c r="AH99" i="32"/>
  <c r="L252" i="33" l="1"/>
  <c r="L118" i="33"/>
  <c r="M246" i="33"/>
  <c r="AI100" i="32"/>
  <c r="AH100" i="32"/>
  <c r="B7" i="32"/>
  <c r="A7" i="32" s="1"/>
  <c r="H246" i="32"/>
  <c r="G118" i="32"/>
  <c r="G252" i="32"/>
  <c r="N246" i="33" l="1"/>
  <c r="M252" i="33"/>
  <c r="M118" i="33"/>
  <c r="I246" i="32"/>
  <c r="H252" i="32"/>
  <c r="H118" i="32"/>
  <c r="O246" i="33" l="1"/>
  <c r="N252" i="33"/>
  <c r="N118" i="33"/>
  <c r="I252" i="32"/>
  <c r="J246" i="32"/>
  <c r="I118" i="32"/>
  <c r="P246" i="33" l="1"/>
  <c r="O252" i="33"/>
  <c r="O118" i="33"/>
  <c r="J252" i="32"/>
  <c r="J118" i="32"/>
  <c r="K246" i="32"/>
  <c r="I58" i="31"/>
  <c r="Q246" i="33" l="1"/>
  <c r="P252" i="33"/>
  <c r="K252" i="32"/>
  <c r="K118" i="32"/>
  <c r="L246" i="32"/>
  <c r="Q252" i="33" l="1"/>
  <c r="R246" i="33"/>
  <c r="Q118" i="33"/>
  <c r="L252" i="32"/>
  <c r="L118" i="32"/>
  <c r="M246" i="32"/>
  <c r="R252" i="33" l="1"/>
  <c r="R118" i="33"/>
  <c r="S246" i="33"/>
  <c r="M252" i="32"/>
  <c r="N246" i="32"/>
  <c r="M118" i="32"/>
  <c r="S252" i="33" l="1"/>
  <c r="S118" i="33"/>
  <c r="T246" i="33"/>
  <c r="O246" i="32"/>
  <c r="N118" i="32"/>
  <c r="N252" i="32"/>
  <c r="T252" i="33" l="1"/>
  <c r="T118" i="33"/>
  <c r="U246" i="33"/>
  <c r="P246" i="32"/>
  <c r="O118" i="32"/>
  <c r="O252" i="32"/>
  <c r="U118" i="33" l="1"/>
  <c r="V246" i="33"/>
  <c r="U252" i="33"/>
  <c r="Q246" i="32"/>
  <c r="P252" i="32"/>
  <c r="W246" i="33" l="1"/>
  <c r="V118" i="33"/>
  <c r="V252" i="33"/>
  <c r="Q252" i="32"/>
  <c r="Q118" i="32"/>
  <c r="R246" i="32"/>
  <c r="X246" i="33" l="1"/>
  <c r="W252" i="33"/>
  <c r="W118" i="33"/>
  <c r="R252" i="32"/>
  <c r="R118" i="32"/>
  <c r="S246" i="32"/>
  <c r="Y246" i="33" l="1"/>
  <c r="X118" i="33"/>
  <c r="X252" i="33"/>
  <c r="S252" i="32"/>
  <c r="S118" i="32"/>
  <c r="T246" i="32"/>
  <c r="Y252" i="33" l="1"/>
  <c r="Z246" i="33"/>
  <c r="T252" i="32"/>
  <c r="T118" i="32"/>
  <c r="U246" i="32"/>
  <c r="Z252" i="33" l="1"/>
  <c r="AA246" i="33"/>
  <c r="U118" i="32"/>
  <c r="U252" i="32"/>
  <c r="V246" i="32"/>
  <c r="AA252" i="33" l="1"/>
  <c r="AA118" i="33"/>
  <c r="AB246" i="33"/>
  <c r="W246" i="32"/>
  <c r="V118" i="32"/>
  <c r="V252" i="32"/>
  <c r="AB252" i="33" l="1"/>
  <c r="AC246" i="33"/>
  <c r="X246" i="32"/>
  <c r="W252" i="32"/>
  <c r="AD246" i="33" l="1"/>
  <c r="AC252" i="33"/>
  <c r="Y246" i="32"/>
  <c r="X252" i="32"/>
  <c r="AE246" i="33" l="1"/>
  <c r="AD252" i="33"/>
  <c r="Y252" i="32"/>
  <c r="Z246" i="32"/>
  <c r="AF246" i="33" l="1"/>
  <c r="AE252" i="33"/>
  <c r="Z252" i="32"/>
  <c r="AA246" i="32"/>
  <c r="AF252" i="33" l="1"/>
  <c r="B246" i="33"/>
  <c r="AA252" i="32"/>
  <c r="AA118" i="32"/>
  <c r="AB246" i="32"/>
  <c r="B252" i="33" l="1"/>
  <c r="AB252" i="32"/>
  <c r="AB118" i="32"/>
  <c r="AC246" i="32"/>
  <c r="AI118" i="33" l="1"/>
  <c r="AH118" i="33"/>
  <c r="AC118" i="32"/>
  <c r="AC252" i="32"/>
  <c r="AD246" i="32"/>
  <c r="AE246" i="32" l="1"/>
  <c r="AD252" i="32"/>
  <c r="AD118" i="32"/>
  <c r="AF246" i="32" l="1"/>
  <c r="AE252" i="32"/>
  <c r="AE118" i="32"/>
  <c r="AF252" i="32" l="1"/>
  <c r="AF118" i="32"/>
  <c r="B246" i="32"/>
  <c r="B252" i="32" l="1"/>
  <c r="AH118" i="32" l="1"/>
  <c r="AI118" i="32"/>
  <c r="D58" i="31" l="1"/>
  <c r="D62" i="31"/>
  <c r="AH125" i="31"/>
  <c r="AI125" i="31"/>
  <c r="AH124" i="31"/>
  <c r="AI124" i="31"/>
  <c r="AG252" i="31"/>
  <c r="C252" i="31"/>
  <c r="E251" i="31"/>
  <c r="F251" i="31" s="1"/>
  <c r="G251" i="31" s="1"/>
  <c r="H251" i="31" s="1"/>
  <c r="I251" i="31" s="1"/>
  <c r="J251" i="31" s="1"/>
  <c r="K251" i="31" s="1"/>
  <c r="L251" i="31" s="1"/>
  <c r="M251" i="31" s="1"/>
  <c r="N251" i="31" s="1"/>
  <c r="O251" i="31" s="1"/>
  <c r="P251" i="31" s="1"/>
  <c r="Q251" i="31" s="1"/>
  <c r="R251" i="31" s="1"/>
  <c r="S251" i="31" s="1"/>
  <c r="T251" i="31" s="1"/>
  <c r="U251" i="31" s="1"/>
  <c r="V251" i="31" s="1"/>
  <c r="W251" i="31" s="1"/>
  <c r="X251" i="31" s="1"/>
  <c r="Y251" i="31" s="1"/>
  <c r="Z251" i="31" s="1"/>
  <c r="AA251" i="31" s="1"/>
  <c r="AB251" i="31" s="1"/>
  <c r="AC251" i="31" s="1"/>
  <c r="AD251" i="31" s="1"/>
  <c r="AE251" i="31" s="1"/>
  <c r="AF251" i="31" s="1"/>
  <c r="B251" i="31" s="1"/>
  <c r="D251" i="31"/>
  <c r="F250" i="31"/>
  <c r="G250" i="31" s="1"/>
  <c r="H250" i="31" s="1"/>
  <c r="I250" i="31" s="1"/>
  <c r="J250" i="31" s="1"/>
  <c r="K250" i="31" s="1"/>
  <c r="L250" i="31" s="1"/>
  <c r="M250" i="31" s="1"/>
  <c r="N250" i="31" s="1"/>
  <c r="O250" i="31" s="1"/>
  <c r="P250" i="31" s="1"/>
  <c r="Q250" i="31" s="1"/>
  <c r="R250" i="31" s="1"/>
  <c r="S250" i="31" s="1"/>
  <c r="T250" i="31" s="1"/>
  <c r="U250" i="31" s="1"/>
  <c r="V250" i="31" s="1"/>
  <c r="W250" i="31" s="1"/>
  <c r="X250" i="31" s="1"/>
  <c r="Y250" i="31" s="1"/>
  <c r="Z250" i="31" s="1"/>
  <c r="AA250" i="31" s="1"/>
  <c r="AB250" i="31" s="1"/>
  <c r="AC250" i="31" s="1"/>
  <c r="AD250" i="31" s="1"/>
  <c r="AE250" i="31" s="1"/>
  <c r="AF250" i="31" s="1"/>
  <c r="B250" i="31" s="1"/>
  <c r="E250" i="31"/>
  <c r="D250" i="31"/>
  <c r="D249" i="31"/>
  <c r="E249" i="31" s="1"/>
  <c r="F249" i="31" s="1"/>
  <c r="G249" i="31" s="1"/>
  <c r="H249" i="31" s="1"/>
  <c r="I249" i="31" s="1"/>
  <c r="J249" i="31" s="1"/>
  <c r="K249" i="31" s="1"/>
  <c r="L249" i="31" s="1"/>
  <c r="M249" i="31" s="1"/>
  <c r="N249" i="31" s="1"/>
  <c r="O249" i="31" s="1"/>
  <c r="P249" i="31" s="1"/>
  <c r="Q249" i="31" s="1"/>
  <c r="R249" i="31" s="1"/>
  <c r="S249" i="31" s="1"/>
  <c r="T249" i="31" s="1"/>
  <c r="U249" i="31" s="1"/>
  <c r="V249" i="31" s="1"/>
  <c r="W249" i="31" s="1"/>
  <c r="X249" i="31" s="1"/>
  <c r="Y249" i="31" s="1"/>
  <c r="Z249" i="31" s="1"/>
  <c r="AA249" i="31" s="1"/>
  <c r="AB249" i="31" s="1"/>
  <c r="AC249" i="31" s="1"/>
  <c r="AD249" i="31" s="1"/>
  <c r="AE249" i="31" s="1"/>
  <c r="AF249" i="31" s="1"/>
  <c r="B249" i="31" s="1"/>
  <c r="G248" i="31"/>
  <c r="H248" i="31" s="1"/>
  <c r="I248" i="31" s="1"/>
  <c r="J248" i="31" s="1"/>
  <c r="K248" i="31" s="1"/>
  <c r="L248" i="31" s="1"/>
  <c r="M248" i="31" s="1"/>
  <c r="N248" i="31" s="1"/>
  <c r="O248" i="31" s="1"/>
  <c r="P248" i="31" s="1"/>
  <c r="Q248" i="31" s="1"/>
  <c r="R248" i="31" s="1"/>
  <c r="S248" i="31" s="1"/>
  <c r="T248" i="31" s="1"/>
  <c r="U248" i="31" s="1"/>
  <c r="V248" i="31" s="1"/>
  <c r="W248" i="31" s="1"/>
  <c r="X248" i="31" s="1"/>
  <c r="Y248" i="31" s="1"/>
  <c r="Z248" i="31" s="1"/>
  <c r="AA248" i="31" s="1"/>
  <c r="AB248" i="31" s="1"/>
  <c r="AC248" i="31" s="1"/>
  <c r="AD248" i="31" s="1"/>
  <c r="AE248" i="31" s="1"/>
  <c r="AF248" i="31" s="1"/>
  <c r="B248" i="31" s="1"/>
  <c r="D248" i="31"/>
  <c r="E248" i="31" s="1"/>
  <c r="F248" i="31" s="1"/>
  <c r="E247" i="31"/>
  <c r="D247" i="31"/>
  <c r="D252" i="31" s="1"/>
  <c r="F246" i="31"/>
  <c r="G246" i="31" s="1"/>
  <c r="E246" i="31"/>
  <c r="D246" i="31"/>
  <c r="AG244" i="31"/>
  <c r="AF244" i="31"/>
  <c r="AE244" i="31"/>
  <c r="AD244" i="31"/>
  <c r="AC244" i="31"/>
  <c r="AB244" i="31"/>
  <c r="AA244" i="31"/>
  <c r="Z244" i="31"/>
  <c r="Z118" i="31" s="1"/>
  <c r="Y244" i="31"/>
  <c r="Y118" i="31" s="1"/>
  <c r="X244" i="31"/>
  <c r="W244" i="31"/>
  <c r="V244" i="31"/>
  <c r="U244" i="31"/>
  <c r="T244" i="31"/>
  <c r="S244" i="31"/>
  <c r="R244" i="31"/>
  <c r="Q244" i="31"/>
  <c r="P244" i="31"/>
  <c r="O244" i="31"/>
  <c r="N244" i="31"/>
  <c r="M244" i="31"/>
  <c r="L244" i="31"/>
  <c r="K244" i="31"/>
  <c r="J244" i="31"/>
  <c r="I244" i="31"/>
  <c r="H244" i="31"/>
  <c r="G244" i="31"/>
  <c r="F244" i="31"/>
  <c r="E244" i="31"/>
  <c r="D244" i="31"/>
  <c r="C244" i="31"/>
  <c r="B244" i="31"/>
  <c r="AI130" i="31"/>
  <c r="AH130" i="31"/>
  <c r="AI129" i="31"/>
  <c r="AH129" i="31"/>
  <c r="AI128" i="31"/>
  <c r="AH128" i="31"/>
  <c r="AI127" i="31"/>
  <c r="AH127" i="31"/>
  <c r="AI126" i="31"/>
  <c r="AH126" i="31"/>
  <c r="AI123" i="31"/>
  <c r="AH123" i="31"/>
  <c r="AI122" i="31"/>
  <c r="AH122" i="31"/>
  <c r="AI121" i="31"/>
  <c r="AH121" i="31"/>
  <c r="AI120" i="31"/>
  <c r="AH120" i="31"/>
  <c r="AI119" i="31"/>
  <c r="AH119" i="31"/>
  <c r="F118" i="31"/>
  <c r="E118" i="31"/>
  <c r="D118" i="31"/>
  <c r="C118" i="31"/>
  <c r="AI117" i="31"/>
  <c r="AH117" i="31"/>
  <c r="AI116" i="31"/>
  <c r="AH116" i="31"/>
  <c r="AI115" i="31"/>
  <c r="AH115" i="31"/>
  <c r="AI114" i="31"/>
  <c r="AH114" i="31"/>
  <c r="AI113" i="31"/>
  <c r="AH113" i="31"/>
  <c r="AI112" i="31"/>
  <c r="AH112" i="31"/>
  <c r="AI111" i="31"/>
  <c r="AH111" i="31"/>
  <c r="AI110" i="31"/>
  <c r="AH110" i="31"/>
  <c r="AI109" i="31"/>
  <c r="AH109" i="31"/>
  <c r="AI106" i="31"/>
  <c r="AH106" i="31"/>
  <c r="AA105" i="31"/>
  <c r="Z105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B107" i="31" s="1"/>
  <c r="AM23" i="31" s="1"/>
  <c r="AA104" i="31"/>
  <c r="Z104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AA103" i="31"/>
  <c r="Z103" i="31"/>
  <c r="Y103" i="31"/>
  <c r="X103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AA102" i="31"/>
  <c r="Z102" i="31"/>
  <c r="Y102" i="31"/>
  <c r="X102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AA101" i="31"/>
  <c r="Z101" i="31"/>
  <c r="Y101" i="31"/>
  <c r="X101" i="31"/>
  <c r="W101" i="31"/>
  <c r="V101" i="31"/>
  <c r="U101" i="31"/>
  <c r="T101" i="31"/>
  <c r="S101" i="31"/>
  <c r="R101" i="31"/>
  <c r="Q101" i="31"/>
  <c r="P101" i="31"/>
  <c r="P107" i="31" s="1"/>
  <c r="AX23" i="31" s="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AE7" i="31"/>
  <c r="AI98" i="31"/>
  <c r="AH98" i="31"/>
  <c r="AI96" i="31"/>
  <c r="AH96" i="31"/>
  <c r="AG96" i="31"/>
  <c r="AI95" i="31"/>
  <c r="AH95" i="31"/>
  <c r="AI94" i="31"/>
  <c r="AH94" i="31"/>
  <c r="AI93" i="31"/>
  <c r="AH93" i="31"/>
  <c r="AG92" i="31"/>
  <c r="AA92" i="31"/>
  <c r="Z92" i="31"/>
  <c r="Y92" i="31"/>
  <c r="X5" i="31" s="1"/>
  <c r="X92" i="31"/>
  <c r="BE19" i="31" s="1"/>
  <c r="W92" i="31"/>
  <c r="V5" i="31" s="1"/>
  <c r="V92" i="31"/>
  <c r="BD19" i="31" s="1"/>
  <c r="U92" i="31"/>
  <c r="T5" i="31" s="1"/>
  <c r="T92" i="31"/>
  <c r="S5" i="31" s="1"/>
  <c r="S92" i="31"/>
  <c r="BA19" i="31" s="1"/>
  <c r="R92" i="31"/>
  <c r="Q92" i="31"/>
  <c r="P5" i="31" s="1"/>
  <c r="P92" i="31"/>
  <c r="O5" i="31" s="1"/>
  <c r="O92" i="31"/>
  <c r="N5" i="31" s="1"/>
  <c r="N92" i="31"/>
  <c r="M5" i="31" s="1"/>
  <c r="M92" i="31"/>
  <c r="AU19" i="31" s="1"/>
  <c r="L92" i="31"/>
  <c r="K5" i="31" s="1"/>
  <c r="K92" i="31"/>
  <c r="AT19" i="31" s="1"/>
  <c r="J92" i="31"/>
  <c r="I92" i="31"/>
  <c r="AS19" i="31" s="1"/>
  <c r="H92" i="31"/>
  <c r="G92" i="31"/>
  <c r="AR19" i="31" s="1"/>
  <c r="F92" i="31"/>
  <c r="E5" i="31" s="1"/>
  <c r="E92" i="31"/>
  <c r="AP19" i="31" s="1"/>
  <c r="D92" i="31"/>
  <c r="C92" i="31"/>
  <c r="B5" i="31" s="1"/>
  <c r="B92" i="31"/>
  <c r="AM19" i="31" s="1"/>
  <c r="AI91" i="31"/>
  <c r="AH91" i="31"/>
  <c r="AI90" i="31"/>
  <c r="AH90" i="31"/>
  <c r="AI89" i="31"/>
  <c r="AH89" i="31"/>
  <c r="AI88" i="31"/>
  <c r="AH88" i="31"/>
  <c r="AI87" i="31"/>
  <c r="AH87" i="31"/>
  <c r="AI86" i="31"/>
  <c r="AH86" i="31"/>
  <c r="AI85" i="31"/>
  <c r="AH85" i="31"/>
  <c r="AI84" i="31"/>
  <c r="AH84" i="31"/>
  <c r="AI83" i="31"/>
  <c r="AH83" i="31"/>
  <c r="AI82" i="31"/>
  <c r="AH82" i="31"/>
  <c r="AI81" i="31"/>
  <c r="AH81" i="31"/>
  <c r="AG80" i="31"/>
  <c r="AG99" i="31" s="1"/>
  <c r="AA80" i="31"/>
  <c r="Y80" i="31"/>
  <c r="X80" i="31"/>
  <c r="W80" i="31"/>
  <c r="V80" i="31"/>
  <c r="U80" i="31"/>
  <c r="T80" i="31"/>
  <c r="BB20" i="31" s="1"/>
  <c r="S80" i="31"/>
  <c r="R80" i="31"/>
  <c r="Q80" i="31"/>
  <c r="P80" i="31"/>
  <c r="AX20" i="31" s="1"/>
  <c r="O80" i="31"/>
  <c r="AW20" i="31" s="1"/>
  <c r="N80" i="31"/>
  <c r="M80" i="31"/>
  <c r="L80" i="31"/>
  <c r="K80" i="31"/>
  <c r="AT20" i="31" s="1"/>
  <c r="J80" i="31"/>
  <c r="I80" i="31"/>
  <c r="H80" i="31"/>
  <c r="G80" i="31"/>
  <c r="F80" i="31"/>
  <c r="E80" i="31"/>
  <c r="D80" i="31"/>
  <c r="C80" i="31"/>
  <c r="B80" i="31"/>
  <c r="BW79" i="31"/>
  <c r="BR79" i="31"/>
  <c r="BQ79" i="31"/>
  <c r="BD79" i="31"/>
  <c r="BA79" i="31"/>
  <c r="AZ79" i="31"/>
  <c r="AI79" i="31"/>
  <c r="AH79" i="31"/>
  <c r="BT78" i="31"/>
  <c r="BQ78" i="31"/>
  <c r="BO78" i="31"/>
  <c r="BJ78" i="31"/>
  <c r="BD78" i="31"/>
  <c r="BC78" i="31"/>
  <c r="BB78" i="31"/>
  <c r="AI78" i="31"/>
  <c r="AH78" i="31"/>
  <c r="BN77" i="31"/>
  <c r="BF77" i="31"/>
  <c r="BD77" i="31"/>
  <c r="BA77" i="31"/>
  <c r="AI77" i="31"/>
  <c r="AH77" i="31"/>
  <c r="BN76" i="31"/>
  <c r="BJ76" i="31"/>
  <c r="BE76" i="31"/>
  <c r="BC76" i="31"/>
  <c r="AZ76" i="31"/>
  <c r="AG76" i="31"/>
  <c r="BI18" i="31"/>
  <c r="BG18" i="31"/>
  <c r="AA76" i="31"/>
  <c r="Y76" i="31"/>
  <c r="X76" i="31"/>
  <c r="BE18" i="31" s="1"/>
  <c r="W76" i="31"/>
  <c r="V76" i="31"/>
  <c r="BD18" i="31" s="1"/>
  <c r="U76" i="31"/>
  <c r="T76" i="31"/>
  <c r="S76" i="31"/>
  <c r="R76" i="31"/>
  <c r="Q76" i="31"/>
  <c r="AY18" i="31" s="1"/>
  <c r="P76" i="31"/>
  <c r="O76" i="31"/>
  <c r="AW18" i="31" s="1"/>
  <c r="N76" i="31"/>
  <c r="M76" i="31"/>
  <c r="L76" i="31"/>
  <c r="K76" i="31"/>
  <c r="J76" i="31"/>
  <c r="I76" i="31"/>
  <c r="AS18" i="31" s="1"/>
  <c r="H76" i="31"/>
  <c r="G76" i="31"/>
  <c r="F76" i="31"/>
  <c r="AQ18" i="31" s="1"/>
  <c r="E76" i="31"/>
  <c r="AP18" i="31" s="1"/>
  <c r="D76" i="31"/>
  <c r="C76" i="31"/>
  <c r="AN18" i="31" s="1"/>
  <c r="B76" i="31"/>
  <c r="AI75" i="31"/>
  <c r="AH75" i="31"/>
  <c r="AG75" i="31"/>
  <c r="AI74" i="31"/>
  <c r="AH74" i="31"/>
  <c r="BW73" i="31"/>
  <c r="BW80" i="31" s="1"/>
  <c r="BV73" i="31"/>
  <c r="BV80" i="31" s="1"/>
  <c r="BU73" i="31"/>
  <c r="BU80" i="31" s="1"/>
  <c r="BT73" i="31"/>
  <c r="BT80" i="31" s="1"/>
  <c r="BS73" i="31"/>
  <c r="BS80" i="31" s="1"/>
  <c r="BR73" i="31"/>
  <c r="BR80" i="31" s="1"/>
  <c r="BQ73" i="31"/>
  <c r="BQ80" i="31" s="1"/>
  <c r="BP73" i="31"/>
  <c r="BP80" i="31" s="1"/>
  <c r="BO73" i="31"/>
  <c r="BO80" i="31" s="1"/>
  <c r="BN73" i="31"/>
  <c r="BN80" i="31" s="1"/>
  <c r="BM73" i="31"/>
  <c r="BM80" i="31" s="1"/>
  <c r="BL73" i="31"/>
  <c r="BL80" i="31" s="1"/>
  <c r="BK73" i="31"/>
  <c r="BK80" i="31" s="1"/>
  <c r="BJ73" i="31"/>
  <c r="BJ80" i="31" s="1"/>
  <c r="BI73" i="31"/>
  <c r="BI80" i="31" s="1"/>
  <c r="BH73" i="31"/>
  <c r="BH80" i="31" s="1"/>
  <c r="BG73" i="31"/>
  <c r="BG80" i="31" s="1"/>
  <c r="BF73" i="31"/>
  <c r="BF80" i="31" s="1"/>
  <c r="BE73" i="31"/>
  <c r="BE80" i="31" s="1"/>
  <c r="BD73" i="31"/>
  <c r="BD80" i="31" s="1"/>
  <c r="BC73" i="31"/>
  <c r="BC80" i="31" s="1"/>
  <c r="BB73" i="31"/>
  <c r="BB80" i="31" s="1"/>
  <c r="BA73" i="31"/>
  <c r="BA80" i="31" s="1"/>
  <c r="AZ73" i="31"/>
  <c r="AZ80" i="31" s="1"/>
  <c r="AI73" i="31"/>
  <c r="AH73" i="31"/>
  <c r="BW72" i="31"/>
  <c r="BV72" i="31"/>
  <c r="BV79" i="31" s="1"/>
  <c r="BU72" i="31"/>
  <c r="BU79" i="31" s="1"/>
  <c r="BT72" i="31"/>
  <c r="BT79" i="31" s="1"/>
  <c r="BS72" i="31"/>
  <c r="BS79" i="31" s="1"/>
  <c r="BR72" i="31"/>
  <c r="BQ72" i="31"/>
  <c r="BP72" i="31"/>
  <c r="BP79" i="31" s="1"/>
  <c r="BO72" i="31"/>
  <c r="BO79" i="31" s="1"/>
  <c r="BN72" i="31"/>
  <c r="BN79" i="31" s="1"/>
  <c r="BM72" i="31"/>
  <c r="BM79" i="31" s="1"/>
  <c r="BL72" i="31"/>
  <c r="BL79" i="31" s="1"/>
  <c r="BK72" i="31"/>
  <c r="BK79" i="31" s="1"/>
  <c r="BJ72" i="31"/>
  <c r="BJ79" i="31" s="1"/>
  <c r="BI72" i="31"/>
  <c r="BI79" i="31" s="1"/>
  <c r="BH72" i="31"/>
  <c r="BH79" i="31" s="1"/>
  <c r="BG72" i="31"/>
  <c r="BG79" i="31" s="1"/>
  <c r="BF72" i="31"/>
  <c r="BF79" i="31" s="1"/>
  <c r="BE72" i="31"/>
  <c r="BE79" i="31" s="1"/>
  <c r="BD72" i="31"/>
  <c r="BC72" i="31"/>
  <c r="BC79" i="31" s="1"/>
  <c r="BB72" i="31"/>
  <c r="BB79" i="31" s="1"/>
  <c r="BA72" i="31"/>
  <c r="AZ72" i="31"/>
  <c r="AI72" i="31"/>
  <c r="AH72" i="31"/>
  <c r="BW71" i="31"/>
  <c r="BW78" i="31" s="1"/>
  <c r="BV71" i="31"/>
  <c r="BV78" i="31" s="1"/>
  <c r="BU71" i="31"/>
  <c r="BU78" i="31" s="1"/>
  <c r="BT71" i="31"/>
  <c r="BS71" i="31"/>
  <c r="BS78" i="31" s="1"/>
  <c r="BR71" i="31"/>
  <c r="BR78" i="31" s="1"/>
  <c r="BQ71" i="31"/>
  <c r="BP71" i="31"/>
  <c r="BP78" i="31" s="1"/>
  <c r="BO71" i="31"/>
  <c r="BN71" i="31"/>
  <c r="BN78" i="31" s="1"/>
  <c r="BM71" i="31"/>
  <c r="BM78" i="31" s="1"/>
  <c r="BL71" i="31"/>
  <c r="BL78" i="31" s="1"/>
  <c r="BK71" i="31"/>
  <c r="BK78" i="31" s="1"/>
  <c r="BJ71" i="31"/>
  <c r="BI71" i="31"/>
  <c r="BI78" i="31" s="1"/>
  <c r="BH71" i="31"/>
  <c r="BH78" i="31" s="1"/>
  <c r="BG71" i="31"/>
  <c r="BG78" i="31" s="1"/>
  <c r="BF71" i="31"/>
  <c r="BF78" i="31" s="1"/>
  <c r="BE71" i="31"/>
  <c r="BE78" i="31" s="1"/>
  <c r="BD71" i="31"/>
  <c r="BC71" i="31"/>
  <c r="BB71" i="31"/>
  <c r="BA71" i="31"/>
  <c r="BA78" i="31" s="1"/>
  <c r="AZ71" i="31"/>
  <c r="AZ78" i="31" s="1"/>
  <c r="AI71" i="31"/>
  <c r="AH71" i="31"/>
  <c r="BW70" i="31"/>
  <c r="BW77" i="31" s="1"/>
  <c r="BV70" i="31"/>
  <c r="BV77" i="31" s="1"/>
  <c r="BU70" i="31"/>
  <c r="BU77" i="31" s="1"/>
  <c r="BT70" i="31"/>
  <c r="BT77" i="31" s="1"/>
  <c r="BS70" i="31"/>
  <c r="BS77" i="31" s="1"/>
  <c r="BR70" i="31"/>
  <c r="BR77" i="31" s="1"/>
  <c r="BQ70" i="31"/>
  <c r="BQ77" i="31" s="1"/>
  <c r="BP70" i="31"/>
  <c r="BP77" i="31" s="1"/>
  <c r="BO70" i="31"/>
  <c r="BO77" i="31" s="1"/>
  <c r="BN70" i="31"/>
  <c r="BM70" i="31"/>
  <c r="BM77" i="31" s="1"/>
  <c r="BL70" i="31"/>
  <c r="BL77" i="31" s="1"/>
  <c r="BK70" i="31"/>
  <c r="BK77" i="31" s="1"/>
  <c r="BJ70" i="31"/>
  <c r="BJ77" i="31" s="1"/>
  <c r="BI70" i="31"/>
  <c r="BI77" i="31" s="1"/>
  <c r="BH70" i="31"/>
  <c r="BH77" i="31" s="1"/>
  <c r="BG70" i="31"/>
  <c r="BG77" i="31" s="1"/>
  <c r="BF70" i="31"/>
  <c r="BE70" i="31"/>
  <c r="BE77" i="31" s="1"/>
  <c r="BD70" i="31"/>
  <c r="BC70" i="31"/>
  <c r="BC77" i="31" s="1"/>
  <c r="BB70" i="31"/>
  <c r="BB77" i="31" s="1"/>
  <c r="BA70" i="31"/>
  <c r="AZ70" i="31"/>
  <c r="AZ77" i="31" s="1"/>
  <c r="AI70" i="31"/>
  <c r="AH70" i="31"/>
  <c r="BW69" i="31"/>
  <c r="BW76" i="31" s="1"/>
  <c r="BV69" i="31"/>
  <c r="BV76" i="31" s="1"/>
  <c r="BU69" i="31"/>
  <c r="BU76" i="31" s="1"/>
  <c r="BT69" i="31"/>
  <c r="BT76" i="31" s="1"/>
  <c r="BS69" i="31"/>
  <c r="BS76" i="31" s="1"/>
  <c r="BR69" i="31"/>
  <c r="BR76" i="31" s="1"/>
  <c r="BQ69" i="31"/>
  <c r="BQ76" i="31" s="1"/>
  <c r="BP69" i="31"/>
  <c r="BP76" i="31" s="1"/>
  <c r="BO69" i="31"/>
  <c r="BO76" i="31" s="1"/>
  <c r="BN69" i="31"/>
  <c r="BM69" i="31"/>
  <c r="BM76" i="31" s="1"/>
  <c r="BL69" i="31"/>
  <c r="BL76" i="31" s="1"/>
  <c r="BK69" i="31"/>
  <c r="BK76" i="31" s="1"/>
  <c r="BJ69" i="31"/>
  <c r="BI69" i="31"/>
  <c r="BI76" i="31" s="1"/>
  <c r="BH69" i="31"/>
  <c r="BH76" i="31" s="1"/>
  <c r="BG69" i="31"/>
  <c r="BG76" i="31" s="1"/>
  <c r="BF69" i="31"/>
  <c r="BF76" i="31" s="1"/>
  <c r="BE69" i="31"/>
  <c r="BD69" i="31"/>
  <c r="BD76" i="31" s="1"/>
  <c r="BC69" i="31"/>
  <c r="BB69" i="31"/>
  <c r="BB76" i="31" s="1"/>
  <c r="BA69" i="31"/>
  <c r="BA76" i="31" s="1"/>
  <c r="AZ69" i="31"/>
  <c r="AI69" i="31"/>
  <c r="AH69" i="31"/>
  <c r="BW68" i="31"/>
  <c r="BW75" i="31" s="1"/>
  <c r="BV68" i="31"/>
  <c r="BV75" i="31" s="1"/>
  <c r="BU68" i="31"/>
  <c r="BU75" i="31" s="1"/>
  <c r="BT68" i="31"/>
  <c r="BT75" i="31" s="1"/>
  <c r="BS68" i="31"/>
  <c r="BS75" i="31" s="1"/>
  <c r="BR68" i="31"/>
  <c r="BR75" i="31" s="1"/>
  <c r="BQ68" i="31"/>
  <c r="BQ75" i="31" s="1"/>
  <c r="BP68" i="31"/>
  <c r="BP75" i="31" s="1"/>
  <c r="BO68" i="31"/>
  <c r="BO75" i="31" s="1"/>
  <c r="BN68" i="31"/>
  <c r="BN75" i="31" s="1"/>
  <c r="BM68" i="31"/>
  <c r="BM75" i="31" s="1"/>
  <c r="BL68" i="31"/>
  <c r="BL75" i="31" s="1"/>
  <c r="BK68" i="31"/>
  <c r="BK75" i="31" s="1"/>
  <c r="BJ68" i="31"/>
  <c r="BJ75" i="31" s="1"/>
  <c r="BI68" i="31"/>
  <c r="BI75" i="31" s="1"/>
  <c r="BH68" i="31"/>
  <c r="BH75" i="31" s="1"/>
  <c r="BG68" i="31"/>
  <c r="BG75" i="31" s="1"/>
  <c r="BF68" i="31"/>
  <c r="BF75" i="31" s="1"/>
  <c r="BE68" i="31"/>
  <c r="BE75" i="31" s="1"/>
  <c r="BD68" i="31"/>
  <c r="BD75" i="31" s="1"/>
  <c r="BC68" i="31"/>
  <c r="BC75" i="31" s="1"/>
  <c r="BB68" i="31"/>
  <c r="BB75" i="31" s="1"/>
  <c r="BA68" i="31"/>
  <c r="BA75" i="31" s="1"/>
  <c r="AZ68" i="31"/>
  <c r="AZ75" i="31" s="1"/>
  <c r="AI68" i="31"/>
  <c r="AH68" i="31"/>
  <c r="AI67" i="31"/>
  <c r="AH67" i="31"/>
  <c r="AI66" i="31"/>
  <c r="AH66" i="31"/>
  <c r="AI65" i="31"/>
  <c r="AH65" i="31"/>
  <c r="AI64" i="31"/>
  <c r="AH64" i="31"/>
  <c r="AI63" i="31"/>
  <c r="AH63" i="31"/>
  <c r="AG62" i="31"/>
  <c r="BI17" i="31"/>
  <c r="BG17" i="31"/>
  <c r="AA62" i="31"/>
  <c r="Y62" i="31"/>
  <c r="X62" i="31"/>
  <c r="BE17" i="31" s="1"/>
  <c r="W62" i="31"/>
  <c r="V62" i="31"/>
  <c r="BD17" i="31" s="1"/>
  <c r="U62" i="31"/>
  <c r="BC17" i="31" s="1"/>
  <c r="T62" i="31"/>
  <c r="BB17" i="31" s="1"/>
  <c r="S62" i="31"/>
  <c r="BA17" i="31" s="1"/>
  <c r="R62" i="31"/>
  <c r="AZ17" i="31" s="1"/>
  <c r="Q62" i="31"/>
  <c r="AY17" i="31" s="1"/>
  <c r="P62" i="31"/>
  <c r="O62" i="31"/>
  <c r="AW17" i="31" s="1"/>
  <c r="N62" i="31"/>
  <c r="M62" i="31"/>
  <c r="AU17" i="31" s="1"/>
  <c r="L62" i="31"/>
  <c r="K62" i="31"/>
  <c r="J62" i="31"/>
  <c r="I62" i="31"/>
  <c r="AS17" i="31" s="1"/>
  <c r="H62" i="31"/>
  <c r="G62" i="31"/>
  <c r="F62" i="31"/>
  <c r="E62" i="31"/>
  <c r="AP17" i="31" s="1"/>
  <c r="C62" i="31"/>
  <c r="AN17" i="31" s="1"/>
  <c r="B62" i="31"/>
  <c r="AI61" i="31"/>
  <c r="AH61" i="31"/>
  <c r="AI60" i="31"/>
  <c r="AH60" i="31"/>
  <c r="AI59" i="31"/>
  <c r="AH59" i="31"/>
  <c r="AG58" i="31"/>
  <c r="AD7" i="31"/>
  <c r="AA58" i="31"/>
  <c r="Y58" i="31"/>
  <c r="X58" i="31"/>
  <c r="W58" i="31"/>
  <c r="V58" i="31"/>
  <c r="U58" i="31"/>
  <c r="T58" i="31"/>
  <c r="S58" i="31"/>
  <c r="R58" i="31"/>
  <c r="Q58" i="31"/>
  <c r="P58" i="31"/>
  <c r="O58" i="31"/>
  <c r="AW16" i="31" s="1"/>
  <c r="N58" i="31"/>
  <c r="M58" i="31"/>
  <c r="L58" i="31"/>
  <c r="K58" i="31"/>
  <c r="J58" i="31"/>
  <c r="AS16" i="31"/>
  <c r="H58" i="31"/>
  <c r="G58" i="31"/>
  <c r="F58" i="31"/>
  <c r="E58" i="31"/>
  <c r="AP16" i="31" s="1"/>
  <c r="C58" i="31"/>
  <c r="B58" i="31"/>
  <c r="AM16" i="31" s="1"/>
  <c r="AI57" i="31"/>
  <c r="AH57" i="31"/>
  <c r="AI56" i="31"/>
  <c r="AH56" i="31"/>
  <c r="AI55" i="31"/>
  <c r="AH55" i="31"/>
  <c r="AI54" i="31"/>
  <c r="AH54" i="31"/>
  <c r="AI53" i="31"/>
  <c r="AH53" i="31"/>
  <c r="AI52" i="31"/>
  <c r="AH52" i="31"/>
  <c r="AI51" i="31"/>
  <c r="AH51" i="31"/>
  <c r="AI50" i="31"/>
  <c r="AH50" i="31"/>
  <c r="AI49" i="31"/>
  <c r="AH49" i="31"/>
  <c r="AI48" i="31"/>
  <c r="AH48" i="31"/>
  <c r="AI47" i="31"/>
  <c r="AH47" i="31"/>
  <c r="AI46" i="31"/>
  <c r="AH46" i="31"/>
  <c r="AI45" i="31"/>
  <c r="AH45" i="31"/>
  <c r="AI44" i="31"/>
  <c r="AH44" i="31"/>
  <c r="AI43" i="31"/>
  <c r="AH43" i="31"/>
  <c r="AI42" i="31"/>
  <c r="AH42" i="31"/>
  <c r="AI41" i="31"/>
  <c r="AH41" i="31"/>
  <c r="AI40" i="31"/>
  <c r="AH40" i="31"/>
  <c r="AI39" i="31"/>
  <c r="AH39" i="31"/>
  <c r="AI38" i="31"/>
  <c r="AH38" i="31"/>
  <c r="AI37" i="31"/>
  <c r="AH37" i="31"/>
  <c r="AI36" i="31"/>
  <c r="AH36" i="31"/>
  <c r="AI35" i="31"/>
  <c r="AH35" i="31"/>
  <c r="AI34" i="31"/>
  <c r="AH34" i="31"/>
  <c r="AI33" i="31"/>
  <c r="AH33" i="31"/>
  <c r="AI32" i="31"/>
  <c r="AH32" i="31"/>
  <c r="AI31" i="31"/>
  <c r="AH31" i="31"/>
  <c r="AI30" i="31"/>
  <c r="AH30" i="31"/>
  <c r="AI29" i="31"/>
  <c r="AH29" i="31"/>
  <c r="AI28" i="31"/>
  <c r="AH28" i="31"/>
  <c r="AI27" i="31"/>
  <c r="AH27" i="31"/>
  <c r="AI26" i="31"/>
  <c r="AH26" i="31"/>
  <c r="AI25" i="31"/>
  <c r="AH25" i="31"/>
  <c r="AI24" i="31"/>
  <c r="AH24" i="31"/>
  <c r="BJ23" i="31"/>
  <c r="BI23" i="31"/>
  <c r="BH23" i="31"/>
  <c r="AI23" i="31"/>
  <c r="AH23" i="31"/>
  <c r="AI22" i="31"/>
  <c r="AH22" i="31"/>
  <c r="BJ21" i="31"/>
  <c r="BI21" i="31"/>
  <c r="BH21" i="31"/>
  <c r="BG21" i="31"/>
  <c r="BF21" i="31"/>
  <c r="BE21" i="31"/>
  <c r="BD21" i="31"/>
  <c r="BC21" i="31"/>
  <c r="BB21" i="31"/>
  <c r="BA21" i="31"/>
  <c r="AZ21" i="31"/>
  <c r="AY21" i="31"/>
  <c r="AX21" i="31"/>
  <c r="AW21" i="31"/>
  <c r="AV21" i="31"/>
  <c r="AU21" i="31"/>
  <c r="AT21" i="31"/>
  <c r="AS21" i="31"/>
  <c r="AR21" i="31"/>
  <c r="AQ21" i="31"/>
  <c r="AP21" i="31"/>
  <c r="AO21" i="31"/>
  <c r="AN21" i="31"/>
  <c r="AM21" i="31"/>
  <c r="AI21" i="31"/>
  <c r="AH21" i="31"/>
  <c r="BJ20" i="31"/>
  <c r="BI20" i="31"/>
  <c r="BH20" i="31"/>
  <c r="BG20" i="31"/>
  <c r="BF20" i="31"/>
  <c r="BE20" i="31"/>
  <c r="BD20" i="31"/>
  <c r="BC20" i="31"/>
  <c r="BA20" i="31"/>
  <c r="AZ20" i="31"/>
  <c r="AY20" i="31"/>
  <c r="AV20" i="31"/>
  <c r="AU20" i="31"/>
  <c r="AS20" i="31"/>
  <c r="AR20" i="31"/>
  <c r="AQ20" i="31"/>
  <c r="AP20" i="31"/>
  <c r="AO20" i="31"/>
  <c r="AN20" i="31"/>
  <c r="AM20" i="31"/>
  <c r="AI20" i="31"/>
  <c r="AH20" i="31"/>
  <c r="BJ19" i="31"/>
  <c r="BI19" i="31"/>
  <c r="BH19" i="31"/>
  <c r="BG19" i="31"/>
  <c r="AO19" i="31"/>
  <c r="AI19" i="31"/>
  <c r="AH19" i="31"/>
  <c r="BJ18" i="31"/>
  <c r="BH18" i="31"/>
  <c r="BF18" i="31"/>
  <c r="BC18" i="31"/>
  <c r="BB18" i="31"/>
  <c r="BA18" i="31"/>
  <c r="AZ18" i="31"/>
  <c r="AX18" i="31"/>
  <c r="AV18" i="31"/>
  <c r="AU18" i="31"/>
  <c r="AT18" i="31"/>
  <c r="AR18" i="31"/>
  <c r="AO18" i="31"/>
  <c r="AM18" i="31"/>
  <c r="AI18" i="31"/>
  <c r="AH18" i="31"/>
  <c r="BJ17" i="31"/>
  <c r="BH17" i="31"/>
  <c r="BF17" i="31"/>
  <c r="AX17" i="31"/>
  <c r="AV17" i="31"/>
  <c r="AT17" i="31"/>
  <c r="AR17" i="31"/>
  <c r="AQ17" i="31"/>
  <c r="AO17" i="31"/>
  <c r="AM17" i="31"/>
  <c r="AI17" i="31"/>
  <c r="AH17" i="31"/>
  <c r="BJ16" i="31"/>
  <c r="BI16" i="31"/>
  <c r="BG16" i="31"/>
  <c r="BF16" i="31"/>
  <c r="BE16" i="31"/>
  <c r="BD16" i="31"/>
  <c r="BB16" i="31"/>
  <c r="BA16" i="31"/>
  <c r="AZ16" i="31"/>
  <c r="AX16" i="31"/>
  <c r="AV16" i="31"/>
  <c r="AR16" i="31"/>
  <c r="AQ16" i="31"/>
  <c r="AI16" i="31"/>
  <c r="AH16" i="31"/>
  <c r="AI15" i="31"/>
  <c r="AH15" i="31"/>
  <c r="AI14" i="31"/>
  <c r="AH14" i="31"/>
  <c r="AI13" i="31"/>
  <c r="AH13" i="31"/>
  <c r="AL12" i="31"/>
  <c r="AI12" i="31"/>
  <c r="AH12" i="31"/>
  <c r="AI11" i="31"/>
  <c r="AH11" i="31"/>
  <c r="AE5" i="31"/>
  <c r="AD5" i="31"/>
  <c r="AB5" i="31"/>
  <c r="AA5" i="31"/>
  <c r="Z5" i="31"/>
  <c r="Q5" i="31"/>
  <c r="C5" i="31"/>
  <c r="AG4" i="31"/>
  <c r="K4" i="31"/>
  <c r="E4" i="31"/>
  <c r="H4" i="31" s="1"/>
  <c r="B4" i="31"/>
  <c r="D258" i="31" s="1"/>
  <c r="AG3" i="31"/>
  <c r="AG2" i="31"/>
  <c r="AG6" i="31" s="1"/>
  <c r="AA58" i="30"/>
  <c r="AA62" i="30"/>
  <c r="AA76" i="30"/>
  <c r="AA80" i="30"/>
  <c r="AA92" i="30"/>
  <c r="AA101" i="30"/>
  <c r="AA102" i="30"/>
  <c r="AA103" i="30"/>
  <c r="AA104" i="30"/>
  <c r="AA105" i="30"/>
  <c r="Z105" i="30"/>
  <c r="Z104" i="30"/>
  <c r="Z103" i="30"/>
  <c r="Z102" i="30"/>
  <c r="Z101" i="30"/>
  <c r="Z92" i="30"/>
  <c r="Z80" i="30"/>
  <c r="Z76" i="30"/>
  <c r="Z62" i="30"/>
  <c r="Z58" i="30"/>
  <c r="Y58" i="30"/>
  <c r="Y62" i="30"/>
  <c r="Y76" i="30"/>
  <c r="Y80" i="30"/>
  <c r="Y92" i="30"/>
  <c r="Y101" i="30"/>
  <c r="Y102" i="30"/>
  <c r="Y103" i="30"/>
  <c r="Y104" i="30"/>
  <c r="Y105" i="30"/>
  <c r="X58" i="30"/>
  <c r="X62" i="30"/>
  <c r="X76" i="30"/>
  <c r="X80" i="30"/>
  <c r="X92" i="30"/>
  <c r="X101" i="30"/>
  <c r="X102" i="30"/>
  <c r="X103" i="30"/>
  <c r="X104" i="30"/>
  <c r="X105" i="30"/>
  <c r="W58" i="30"/>
  <c r="W62" i="30"/>
  <c r="W76" i="30"/>
  <c r="W80" i="30"/>
  <c r="W92" i="30"/>
  <c r="W101" i="30"/>
  <c r="W102" i="30"/>
  <c r="W103" i="30"/>
  <c r="W104" i="30"/>
  <c r="W105" i="30"/>
  <c r="V58" i="30"/>
  <c r="V62" i="30"/>
  <c r="V76" i="30"/>
  <c r="V80" i="30"/>
  <c r="V92" i="30"/>
  <c r="V101" i="30"/>
  <c r="V102" i="30"/>
  <c r="V103" i="30"/>
  <c r="V104" i="30"/>
  <c r="V105" i="30"/>
  <c r="U58" i="30"/>
  <c r="U62" i="30"/>
  <c r="U76" i="30"/>
  <c r="U80" i="30"/>
  <c r="U92" i="30"/>
  <c r="U101" i="30"/>
  <c r="U102" i="30"/>
  <c r="U103" i="30"/>
  <c r="U104" i="30"/>
  <c r="U105" i="30"/>
  <c r="BJ22" i="31" l="1"/>
  <c r="BJ24" i="31" s="1"/>
  <c r="AA97" i="31"/>
  <c r="AA99" i="31" s="1"/>
  <c r="BF19" i="31"/>
  <c r="Z97" i="31"/>
  <c r="Z99" i="31" s="1"/>
  <c r="BF22" i="31"/>
  <c r="Z107" i="31"/>
  <c r="BF23" i="31" s="1"/>
  <c r="Y5" i="31"/>
  <c r="Y107" i="31"/>
  <c r="Y108" i="31" s="1"/>
  <c r="AI102" i="31"/>
  <c r="X107" i="31"/>
  <c r="BE23" i="31" s="1"/>
  <c r="BE22" i="31"/>
  <c r="W107" i="31"/>
  <c r="W108" i="31" s="1"/>
  <c r="W97" i="31"/>
  <c r="W99" i="31" s="1"/>
  <c r="W100" i="31" s="1"/>
  <c r="W7" i="31" s="1"/>
  <c r="V107" i="31"/>
  <c r="BD23" i="31" s="1"/>
  <c r="V97" i="31"/>
  <c r="V99" i="31" s="1"/>
  <c r="V100" i="31" s="1"/>
  <c r="V7" i="31" s="1"/>
  <c r="BD22" i="31"/>
  <c r="BD24" i="31" s="1"/>
  <c r="BC19" i="31"/>
  <c r="BB19" i="31"/>
  <c r="BB22" i="31"/>
  <c r="R5" i="31"/>
  <c r="S97" i="31"/>
  <c r="S99" i="31" s="1"/>
  <c r="R107" i="31"/>
  <c r="AZ23" i="31" s="1"/>
  <c r="R108" i="31"/>
  <c r="R97" i="31"/>
  <c r="R99" i="31" s="1"/>
  <c r="R100" i="31" s="1"/>
  <c r="R7" i="31" s="1"/>
  <c r="AZ19" i="31"/>
  <c r="AZ22" i="31" s="1"/>
  <c r="AZ24" i="31" s="1"/>
  <c r="Q107" i="31"/>
  <c r="AY23" i="31" s="1"/>
  <c r="P108" i="31"/>
  <c r="AX19" i="31"/>
  <c r="AX22" i="31" s="1"/>
  <c r="AX24" i="31" s="1"/>
  <c r="O107" i="31"/>
  <c r="AW19" i="31"/>
  <c r="AW22" i="31" s="1"/>
  <c r="N107" i="31"/>
  <c r="AV23" i="31" s="1"/>
  <c r="AV19" i="31"/>
  <c r="AV22" i="31"/>
  <c r="AV24" i="31" s="1"/>
  <c r="N97" i="31"/>
  <c r="N99" i="31" s="1"/>
  <c r="N100" i="31" s="1"/>
  <c r="N7" i="31" s="1"/>
  <c r="L5" i="31"/>
  <c r="M107" i="31"/>
  <c r="AU23" i="31" s="1"/>
  <c r="J107" i="31"/>
  <c r="J108" i="31"/>
  <c r="I5" i="31"/>
  <c r="J5" i="31"/>
  <c r="K97" i="31"/>
  <c r="K99" i="31" s="1"/>
  <c r="H5" i="31"/>
  <c r="I107" i="31"/>
  <c r="AS23" i="31" s="1"/>
  <c r="G5" i="31"/>
  <c r="H107" i="31"/>
  <c r="H108" i="31" s="1"/>
  <c r="G97" i="31"/>
  <c r="G99" i="31" s="1"/>
  <c r="F5" i="31"/>
  <c r="AR22" i="31"/>
  <c r="G107" i="31"/>
  <c r="F107" i="31"/>
  <c r="AQ23" i="31" s="1"/>
  <c r="F97" i="31"/>
  <c r="F99" i="31" s="1"/>
  <c r="F100" i="31" s="1"/>
  <c r="F7" i="31" s="1"/>
  <c r="D5" i="31"/>
  <c r="AP22" i="31"/>
  <c r="D107" i="31"/>
  <c r="AO23" i="31" s="1"/>
  <c r="AN19" i="31"/>
  <c r="C97" i="31"/>
  <c r="C99" i="31" s="1"/>
  <c r="BG84" i="31" a="1"/>
  <c r="BK107" i="31" s="1"/>
  <c r="AF5" i="31"/>
  <c r="AM22" i="31"/>
  <c r="AM24" i="31" s="1"/>
  <c r="AG97" i="31"/>
  <c r="F247" i="31"/>
  <c r="E252" i="31"/>
  <c r="I97" i="31"/>
  <c r="I99" i="31" s="1"/>
  <c r="I100" i="31" s="1"/>
  <c r="I7" i="31" s="1"/>
  <c r="Q97" i="31"/>
  <c r="Q99" i="31" s="1"/>
  <c r="Q100" i="31" s="1"/>
  <c r="Q7" i="31" s="1"/>
  <c r="Y97" i="31"/>
  <c r="Y99" i="31" s="1"/>
  <c r="Y100" i="31" s="1"/>
  <c r="Y7" i="31" s="1"/>
  <c r="AH62" i="31"/>
  <c r="AI62" i="31"/>
  <c r="W5" i="31"/>
  <c r="AT16" i="31"/>
  <c r="AT22" i="31" s="1"/>
  <c r="B97" i="31"/>
  <c r="J97" i="31"/>
  <c r="J99" i="31" s="1"/>
  <c r="J100" i="31" s="1"/>
  <c r="J7" i="31" s="1"/>
  <c r="AI58" i="31"/>
  <c r="I108" i="31"/>
  <c r="AY19" i="31"/>
  <c r="AH101" i="31"/>
  <c r="L107" i="31"/>
  <c r="L108" i="31" s="1"/>
  <c r="T107" i="31"/>
  <c r="E107" i="31"/>
  <c r="AP23" i="31" s="1"/>
  <c r="U107" i="31"/>
  <c r="BC23" i="31" s="1"/>
  <c r="B108" i="31"/>
  <c r="AI92" i="31"/>
  <c r="AH92" i="31"/>
  <c r="T97" i="31"/>
  <c r="T99" i="31" s="1"/>
  <c r="E97" i="31"/>
  <c r="E99" i="31" s="1"/>
  <c r="E100" i="31" s="1"/>
  <c r="E7" i="31" s="1"/>
  <c r="AW23" i="31"/>
  <c r="O108" i="31"/>
  <c r="AS22" i="31"/>
  <c r="AS24" i="31" s="1"/>
  <c r="BG22" i="31"/>
  <c r="D97" i="31"/>
  <c r="D99" i="31" s="1"/>
  <c r="AO16" i="31"/>
  <c r="AO22" i="31" s="1"/>
  <c r="L97" i="31"/>
  <c r="L99" i="31" s="1"/>
  <c r="L100" i="31" s="1"/>
  <c r="L7" i="31" s="1"/>
  <c r="AL13" i="31"/>
  <c r="AN16" i="31"/>
  <c r="AN22" i="31" s="1"/>
  <c r="AY16" i="31"/>
  <c r="BH16" i="31"/>
  <c r="BH22" i="31" s="1"/>
  <c r="BH24" i="31" s="1"/>
  <c r="M97" i="31"/>
  <c r="M99" i="31" s="1"/>
  <c r="M100" i="31" s="1"/>
  <c r="M7" i="31" s="1"/>
  <c r="AU16" i="31"/>
  <c r="AU22" i="31" s="1"/>
  <c r="U97" i="31"/>
  <c r="U99" i="31" s="1"/>
  <c r="BC16" i="31"/>
  <c r="BC22" i="31" s="1"/>
  <c r="AC7" i="31"/>
  <c r="H97" i="31"/>
  <c r="H99" i="31" s="1"/>
  <c r="H100" i="31" s="1"/>
  <c r="H7" i="31" s="1"/>
  <c r="X97" i="31"/>
  <c r="X99" i="31" s="1"/>
  <c r="X100" i="31" s="1"/>
  <c r="X7" i="31" s="1"/>
  <c r="AF7" i="31"/>
  <c r="AH80" i="31"/>
  <c r="AI105" i="31"/>
  <c r="BI22" i="31"/>
  <c r="BI24" i="31" s="1"/>
  <c r="AI80" i="31"/>
  <c r="O97" i="31"/>
  <c r="O99" i="31" s="1"/>
  <c r="O100" i="31" s="1"/>
  <c r="O7" i="31" s="1"/>
  <c r="AI103" i="31"/>
  <c r="AH104" i="31"/>
  <c r="N108" i="31"/>
  <c r="H246" i="31"/>
  <c r="G118" i="31"/>
  <c r="AQ22" i="31"/>
  <c r="AQ24" i="31" s="1"/>
  <c r="BA22" i="31"/>
  <c r="G100" i="31"/>
  <c r="G7" i="31" s="1"/>
  <c r="AI76" i="31"/>
  <c r="AH76" i="31"/>
  <c r="AQ19" i="31"/>
  <c r="F108" i="31"/>
  <c r="V108" i="31"/>
  <c r="U5" i="31"/>
  <c r="P97" i="31"/>
  <c r="P99" i="31" s="1"/>
  <c r="P100" i="31" s="1"/>
  <c r="P7" i="31" s="1"/>
  <c r="X108" i="31"/>
  <c r="AH103" i="31"/>
  <c r="AI101" i="31"/>
  <c r="AH102" i="31"/>
  <c r="AC5" i="31"/>
  <c r="AH58" i="31"/>
  <c r="C107" i="31"/>
  <c r="K107" i="31"/>
  <c r="S107" i="31"/>
  <c r="BA23" i="31" s="1"/>
  <c r="AA107" i="31"/>
  <c r="AA108" i="31" s="1"/>
  <c r="AI104" i="31"/>
  <c r="AH105" i="31"/>
  <c r="Z97" i="30"/>
  <c r="Z99" i="30" s="1"/>
  <c r="Z107" i="30"/>
  <c r="Z108" i="30" s="1"/>
  <c r="AA107" i="30"/>
  <c r="AA108" i="30" s="1"/>
  <c r="AA97" i="30"/>
  <c r="AA99" i="30" s="1"/>
  <c r="AA100" i="30" s="1"/>
  <c r="Y97" i="30"/>
  <c r="Y99" i="30" s="1"/>
  <c r="Y107" i="30"/>
  <c r="Y108" i="30"/>
  <c r="X107" i="30"/>
  <c r="X108" i="30" s="1"/>
  <c r="X97" i="30"/>
  <c r="X99" i="30" s="1"/>
  <c r="X100" i="30" s="1"/>
  <c r="W97" i="30"/>
  <c r="W99" i="30" s="1"/>
  <c r="W107" i="30"/>
  <c r="W108" i="30" s="1"/>
  <c r="V97" i="30"/>
  <c r="V99" i="30" s="1"/>
  <c r="V107" i="30"/>
  <c r="U107" i="30"/>
  <c r="U97" i="30"/>
  <c r="U99" i="30" s="1"/>
  <c r="U100" i="30" s="1"/>
  <c r="U108" i="30"/>
  <c r="AA100" i="31" l="1"/>
  <c r="AA7" i="31" s="1"/>
  <c r="BF24" i="31"/>
  <c r="Z100" i="31"/>
  <c r="Z7" i="31" s="1"/>
  <c r="Z108" i="31"/>
  <c r="BE24" i="31"/>
  <c r="BC24" i="31"/>
  <c r="U108" i="31"/>
  <c r="U100" i="31"/>
  <c r="U7" i="31" s="1"/>
  <c r="BA24" i="31"/>
  <c r="AY22" i="31"/>
  <c r="AY24" i="31" s="1"/>
  <c r="Q108" i="31"/>
  <c r="AW24" i="31"/>
  <c r="M108" i="31"/>
  <c r="AU24" i="31"/>
  <c r="G108" i="31"/>
  <c r="AR23" i="31"/>
  <c r="AR24" i="31"/>
  <c r="AP24" i="31"/>
  <c r="E108" i="31"/>
  <c r="D108" i="31"/>
  <c r="D100" i="31"/>
  <c r="D7" i="31" s="1"/>
  <c r="AO24" i="31"/>
  <c r="BL94" i="31"/>
  <c r="BI103" i="31"/>
  <c r="BG95" i="31"/>
  <c r="BJ97" i="31"/>
  <c r="BK90" i="31"/>
  <c r="BJ88" i="31"/>
  <c r="BH105" i="31"/>
  <c r="BL92" i="31"/>
  <c r="BK91" i="31"/>
  <c r="BK92" i="31"/>
  <c r="BI99" i="31"/>
  <c r="BJ90" i="31"/>
  <c r="BK102" i="31"/>
  <c r="BG102" i="31"/>
  <c r="BJ87" i="31"/>
  <c r="BH89" i="31"/>
  <c r="BG97" i="31"/>
  <c r="BJ105" i="31"/>
  <c r="BG91" i="31"/>
  <c r="BI86" i="31"/>
  <c r="BH97" i="31"/>
  <c r="BL86" i="31"/>
  <c r="BG101" i="31"/>
  <c r="BI92" i="31"/>
  <c r="BJ106" i="31"/>
  <c r="BI93" i="31"/>
  <c r="BG104" i="31"/>
  <c r="BH91" i="31"/>
  <c r="BL101" i="31"/>
  <c r="BL87" i="31"/>
  <c r="BL98" i="31"/>
  <c r="BI107" i="31"/>
  <c r="BI84" i="31"/>
  <c r="BK89" i="31"/>
  <c r="BJ89" i="31"/>
  <c r="BH86" i="31"/>
  <c r="BJ94" i="31"/>
  <c r="BI102" i="31"/>
  <c r="BJ85" i="31"/>
  <c r="BL84" i="31"/>
  <c r="BG99" i="31"/>
  <c r="BK88" i="31"/>
  <c r="BL102" i="31"/>
  <c r="BH94" i="31"/>
  <c r="BG84" i="31"/>
  <c r="BK94" i="31"/>
  <c r="BI105" i="31"/>
  <c r="BJ92" i="31"/>
  <c r="BH103" i="31"/>
  <c r="BI96" i="31"/>
  <c r="BH104" i="31"/>
  <c r="BI87" i="31"/>
  <c r="BK93" i="31"/>
  <c r="BL103" i="31"/>
  <c r="BG92" i="31"/>
  <c r="BJ91" i="31"/>
  <c r="BL99" i="31"/>
  <c r="BL106" i="31"/>
  <c r="BJ86" i="31"/>
  <c r="BL100" i="31"/>
  <c r="BI90" i="31"/>
  <c r="BK104" i="31"/>
  <c r="BL95" i="31"/>
  <c r="BI85" i="31"/>
  <c r="BG96" i="31"/>
  <c r="BK106" i="31"/>
  <c r="BL93" i="31"/>
  <c r="BJ104" i="31"/>
  <c r="BH93" i="31"/>
  <c r="BK101" i="31"/>
  <c r="BH84" i="31"/>
  <c r="BL88" i="31"/>
  <c r="BJ100" i="31"/>
  <c r="BK97" i="31"/>
  <c r="BH95" i="31"/>
  <c r="BL90" i="31"/>
  <c r="BJ98" i="31"/>
  <c r="BG107" i="31"/>
  <c r="BH88" i="31"/>
  <c r="BK96" i="31"/>
  <c r="BL107" i="31"/>
  <c r="BG103" i="31"/>
  <c r="BI101" i="31"/>
  <c r="BH99" i="31"/>
  <c r="BG105" i="31"/>
  <c r="BG90" i="31"/>
  <c r="BH100" i="31"/>
  <c r="BK85" i="31"/>
  <c r="BJ93" i="31"/>
  <c r="BG85" i="31"/>
  <c r="BL104" i="31"/>
  <c r="BL89" i="31"/>
  <c r="BK99" i="31"/>
  <c r="BG106" i="31"/>
  <c r="BG89" i="31"/>
  <c r="BI88" i="31"/>
  <c r="BH92" i="31"/>
  <c r="BI97" i="31"/>
  <c r="BI100" i="31"/>
  <c r="BG86" i="31"/>
  <c r="BI94" i="31"/>
  <c r="BK100" i="31"/>
  <c r="BH90" i="31"/>
  <c r="BI104" i="31"/>
  <c r="BG94" i="31"/>
  <c r="BH85" i="31"/>
  <c r="BJ99" i="31"/>
  <c r="BG88" i="31"/>
  <c r="BK98" i="31"/>
  <c r="BL85" i="31"/>
  <c r="BJ96" i="31"/>
  <c r="BH107" i="31"/>
  <c r="BK87" i="31"/>
  <c r="BH96" i="31"/>
  <c r="BJ101" i="31"/>
  <c r="BJ95" i="31"/>
  <c r="BI95" i="31"/>
  <c r="BJ103" i="31"/>
  <c r="BL96" i="31"/>
  <c r="BK103" i="31"/>
  <c r="BJ102" i="31"/>
  <c r="BI106" i="31"/>
  <c r="BK86" i="31"/>
  <c r="BJ84" i="31"/>
  <c r="BL105" i="31"/>
  <c r="BG98" i="31"/>
  <c r="BK105" i="31"/>
  <c r="BI91" i="31"/>
  <c r="BH102" i="31"/>
  <c r="BH98" i="31"/>
  <c r="BL91" i="31"/>
  <c r="BH106" i="31"/>
  <c r="BK95" i="31"/>
  <c r="BG87" i="31"/>
  <c r="BH101" i="31"/>
  <c r="BI89" i="31"/>
  <c r="BG100" i="31"/>
  <c r="BH87" i="31"/>
  <c r="BL97" i="31"/>
  <c r="BJ107" i="31"/>
  <c r="BK84" i="31"/>
  <c r="BG93" i="31"/>
  <c r="BI98" i="31"/>
  <c r="AT8" i="31"/>
  <c r="AH97" i="31"/>
  <c r="B99" i="31"/>
  <c r="AI97" i="31"/>
  <c r="AN23" i="31"/>
  <c r="AN24" i="31" s="1"/>
  <c r="C108" i="31"/>
  <c r="AI107" i="31"/>
  <c r="BG23" i="31"/>
  <c r="BG24" i="31" s="1"/>
  <c r="AH107" i="31"/>
  <c r="G247" i="31"/>
  <c r="F252" i="31"/>
  <c r="T108" i="31"/>
  <c r="BB23" i="31"/>
  <c r="BB24" i="31" s="1"/>
  <c r="S108" i="31"/>
  <c r="I246" i="31"/>
  <c r="H118" i="31"/>
  <c r="C100" i="31"/>
  <c r="C7" i="31" s="1"/>
  <c r="S100" i="31"/>
  <c r="S7" i="31" s="1"/>
  <c r="B256" i="31"/>
  <c r="K108" i="31"/>
  <c r="AT23" i="31"/>
  <c r="AT24" i="31" s="1"/>
  <c r="C256" i="31"/>
  <c r="AB7" i="31"/>
  <c r="T100" i="31"/>
  <c r="T7" i="31" s="1"/>
  <c r="K100" i="31"/>
  <c r="K7" i="31" s="1"/>
  <c r="Y100" i="30"/>
  <c r="Z100" i="30"/>
  <c r="W100" i="30"/>
  <c r="V100" i="30"/>
  <c r="V108" i="30"/>
  <c r="T58" i="30"/>
  <c r="T62" i="30"/>
  <c r="T76" i="30"/>
  <c r="T80" i="30"/>
  <c r="T92" i="30"/>
  <c r="T101" i="30"/>
  <c r="T102" i="30"/>
  <c r="T103" i="30"/>
  <c r="T104" i="30"/>
  <c r="T105" i="30"/>
  <c r="AI108" i="31" l="1"/>
  <c r="AT9" i="31"/>
  <c r="H247" i="31"/>
  <c r="G252" i="31"/>
  <c r="B100" i="31"/>
  <c r="AI99" i="31"/>
  <c r="AH99" i="31"/>
  <c r="I118" i="31"/>
  <c r="J246" i="31"/>
  <c r="K6" i="31"/>
  <c r="AH108" i="31"/>
  <c r="T107" i="30"/>
  <c r="T108" i="30" s="1"/>
  <c r="T97" i="30"/>
  <c r="T99" i="30" s="1"/>
  <c r="S58" i="30"/>
  <c r="S62" i="30"/>
  <c r="S76" i="30"/>
  <c r="S80" i="30"/>
  <c r="S92" i="30"/>
  <c r="S101" i="30"/>
  <c r="S102" i="30"/>
  <c r="S103" i="30"/>
  <c r="S104" i="30"/>
  <c r="S105" i="30"/>
  <c r="R121" i="30"/>
  <c r="R57" i="30"/>
  <c r="J118" i="31" l="1"/>
  <c r="K246" i="31"/>
  <c r="AI100" i="31"/>
  <c r="AH100" i="31"/>
  <c r="B7" i="31"/>
  <c r="A7" i="31" s="1"/>
  <c r="I247" i="31"/>
  <c r="H252" i="31"/>
  <c r="T100" i="30"/>
  <c r="S107" i="30"/>
  <c r="S108" i="30" s="1"/>
  <c r="S97" i="30"/>
  <c r="S99" i="30" s="1"/>
  <c r="J247" i="31" l="1"/>
  <c r="I252" i="31"/>
  <c r="K118" i="31"/>
  <c r="L246" i="31"/>
  <c r="S100" i="30"/>
  <c r="Q57" i="30"/>
  <c r="Q58" i="30"/>
  <c r="Q62" i="30"/>
  <c r="Q76" i="30"/>
  <c r="Q80" i="30"/>
  <c r="Q92" i="30"/>
  <c r="Q101" i="30"/>
  <c r="Q102" i="30"/>
  <c r="Q103" i="30"/>
  <c r="Q104" i="30"/>
  <c r="Q105" i="30"/>
  <c r="Q121" i="30"/>
  <c r="P121" i="30"/>
  <c r="P57" i="30"/>
  <c r="O121" i="30"/>
  <c r="O57" i="30"/>
  <c r="L118" i="31" l="1"/>
  <c r="M246" i="31"/>
  <c r="K247" i="31"/>
  <c r="J252" i="31"/>
  <c r="Q107" i="30"/>
  <c r="Q108" i="30" s="1"/>
  <c r="Q97" i="30"/>
  <c r="Q99" i="30" s="1"/>
  <c r="Q100" i="30" s="1"/>
  <c r="L247" i="31" l="1"/>
  <c r="K252" i="31"/>
  <c r="N246" i="31"/>
  <c r="M118" i="31"/>
  <c r="N121" i="30"/>
  <c r="N57" i="30"/>
  <c r="O246" i="31" l="1"/>
  <c r="N118" i="31"/>
  <c r="M247" i="31"/>
  <c r="L252" i="31"/>
  <c r="M58" i="30"/>
  <c r="M62" i="30"/>
  <c r="L58" i="30"/>
  <c r="AH125" i="30"/>
  <c r="AI125" i="30"/>
  <c r="AH124" i="30"/>
  <c r="AI124" i="30"/>
  <c r="AG252" i="30"/>
  <c r="C252" i="30"/>
  <c r="D251" i="30"/>
  <c r="D118" i="30" s="1"/>
  <c r="D250" i="30"/>
  <c r="E250" i="30" s="1"/>
  <c r="F250" i="30" s="1"/>
  <c r="G250" i="30" s="1"/>
  <c r="H250" i="30" s="1"/>
  <c r="I250" i="30" s="1"/>
  <c r="J250" i="30" s="1"/>
  <c r="K250" i="30" s="1"/>
  <c r="L250" i="30" s="1"/>
  <c r="M250" i="30" s="1"/>
  <c r="N250" i="30" s="1"/>
  <c r="O250" i="30" s="1"/>
  <c r="P250" i="30" s="1"/>
  <c r="Q250" i="30" s="1"/>
  <c r="R250" i="30" s="1"/>
  <c r="S250" i="30" s="1"/>
  <c r="T250" i="30" s="1"/>
  <c r="U250" i="30" s="1"/>
  <c r="V250" i="30" s="1"/>
  <c r="W250" i="30" s="1"/>
  <c r="X250" i="30" s="1"/>
  <c r="Y250" i="30" s="1"/>
  <c r="Z250" i="30" s="1"/>
  <c r="AA250" i="30" s="1"/>
  <c r="AB250" i="30" s="1"/>
  <c r="AC250" i="30" s="1"/>
  <c r="AD250" i="30" s="1"/>
  <c r="AE250" i="30" s="1"/>
  <c r="AF250" i="30" s="1"/>
  <c r="B250" i="30" s="1"/>
  <c r="D249" i="30"/>
  <c r="E249" i="30" s="1"/>
  <c r="F249" i="30" s="1"/>
  <c r="G249" i="30" s="1"/>
  <c r="H249" i="30" s="1"/>
  <c r="I249" i="30" s="1"/>
  <c r="J249" i="30" s="1"/>
  <c r="K249" i="30" s="1"/>
  <c r="L249" i="30" s="1"/>
  <c r="M249" i="30" s="1"/>
  <c r="N249" i="30" s="1"/>
  <c r="O249" i="30" s="1"/>
  <c r="P249" i="30" s="1"/>
  <c r="Q249" i="30" s="1"/>
  <c r="R249" i="30" s="1"/>
  <c r="S249" i="30" s="1"/>
  <c r="T249" i="30" s="1"/>
  <c r="U249" i="30" s="1"/>
  <c r="V249" i="30" s="1"/>
  <c r="W249" i="30" s="1"/>
  <c r="X249" i="30" s="1"/>
  <c r="Y249" i="30" s="1"/>
  <c r="Z249" i="30" s="1"/>
  <c r="AA249" i="30" s="1"/>
  <c r="AB249" i="30" s="1"/>
  <c r="AC249" i="30" s="1"/>
  <c r="AD249" i="30" s="1"/>
  <c r="AE249" i="30" s="1"/>
  <c r="AF249" i="30" s="1"/>
  <c r="B249" i="30" s="1"/>
  <c r="D248" i="30"/>
  <c r="E248" i="30" s="1"/>
  <c r="F248" i="30" s="1"/>
  <c r="G248" i="30" s="1"/>
  <c r="H248" i="30" s="1"/>
  <c r="I248" i="30" s="1"/>
  <c r="J248" i="30" s="1"/>
  <c r="K248" i="30" s="1"/>
  <c r="L248" i="30" s="1"/>
  <c r="M248" i="30" s="1"/>
  <c r="N248" i="30" s="1"/>
  <c r="O248" i="30" s="1"/>
  <c r="P248" i="30" s="1"/>
  <c r="Q248" i="30" s="1"/>
  <c r="R248" i="30" s="1"/>
  <c r="S248" i="30" s="1"/>
  <c r="T248" i="30" s="1"/>
  <c r="U248" i="30" s="1"/>
  <c r="V248" i="30" s="1"/>
  <c r="W248" i="30" s="1"/>
  <c r="X248" i="30" s="1"/>
  <c r="Y248" i="30" s="1"/>
  <c r="Z248" i="30" s="1"/>
  <c r="AA248" i="30" s="1"/>
  <c r="AB248" i="30" s="1"/>
  <c r="AC248" i="30" s="1"/>
  <c r="AD248" i="30" s="1"/>
  <c r="AE248" i="30" s="1"/>
  <c r="AF248" i="30" s="1"/>
  <c r="B248" i="30" s="1"/>
  <c r="E247" i="30"/>
  <c r="F247" i="30" s="1"/>
  <c r="G247" i="30" s="1"/>
  <c r="H247" i="30" s="1"/>
  <c r="I247" i="30" s="1"/>
  <c r="J247" i="30" s="1"/>
  <c r="K247" i="30" s="1"/>
  <c r="L247" i="30" s="1"/>
  <c r="M247" i="30" s="1"/>
  <c r="N247" i="30" s="1"/>
  <c r="O247" i="30" s="1"/>
  <c r="P247" i="30" s="1"/>
  <c r="Q247" i="30" s="1"/>
  <c r="R247" i="30" s="1"/>
  <c r="S247" i="30" s="1"/>
  <c r="T247" i="30" s="1"/>
  <c r="U247" i="30" s="1"/>
  <c r="V247" i="30" s="1"/>
  <c r="W247" i="30" s="1"/>
  <c r="X247" i="30" s="1"/>
  <c r="Y247" i="30" s="1"/>
  <c r="Z247" i="30" s="1"/>
  <c r="AA247" i="30" s="1"/>
  <c r="AB247" i="30" s="1"/>
  <c r="AC247" i="30" s="1"/>
  <c r="AD247" i="30" s="1"/>
  <c r="AE247" i="30" s="1"/>
  <c r="AF247" i="30" s="1"/>
  <c r="B247" i="30" s="1"/>
  <c r="D247" i="30"/>
  <c r="E246" i="30"/>
  <c r="F246" i="30" s="1"/>
  <c r="G246" i="30" s="1"/>
  <c r="D246" i="30"/>
  <c r="AG244" i="30"/>
  <c r="AF244" i="30"/>
  <c r="AE244" i="30"/>
  <c r="AD244" i="30"/>
  <c r="AC244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J244" i="30"/>
  <c r="I244" i="30"/>
  <c r="H244" i="30"/>
  <c r="G244" i="30"/>
  <c r="F244" i="30"/>
  <c r="E244" i="30"/>
  <c r="D244" i="30"/>
  <c r="C244" i="30"/>
  <c r="B244" i="30"/>
  <c r="AI130" i="30"/>
  <c r="AH130" i="30"/>
  <c r="AI129" i="30"/>
  <c r="AH129" i="30"/>
  <c r="AI128" i="30"/>
  <c r="AH128" i="30"/>
  <c r="AI127" i="30"/>
  <c r="AH127" i="30"/>
  <c r="AI126" i="30"/>
  <c r="AH126" i="30"/>
  <c r="AI123" i="30"/>
  <c r="AH123" i="30"/>
  <c r="AI122" i="30"/>
  <c r="AH122" i="30"/>
  <c r="AI121" i="30"/>
  <c r="AH121" i="30"/>
  <c r="AI120" i="30"/>
  <c r="AH120" i="30"/>
  <c r="AI119" i="30"/>
  <c r="AH119" i="30"/>
  <c r="C118" i="30"/>
  <c r="AI117" i="30"/>
  <c r="AH117" i="30"/>
  <c r="AI116" i="30"/>
  <c r="AH116" i="30"/>
  <c r="AI115" i="30"/>
  <c r="AH115" i="30"/>
  <c r="AI114" i="30"/>
  <c r="AH114" i="30"/>
  <c r="AI113" i="30"/>
  <c r="AH113" i="30"/>
  <c r="AI112" i="30"/>
  <c r="AH112" i="30"/>
  <c r="AI111" i="30"/>
  <c r="AH111" i="30"/>
  <c r="AI110" i="30"/>
  <c r="AH110" i="30"/>
  <c r="AI109" i="30"/>
  <c r="AH109" i="30"/>
  <c r="BF23" i="30"/>
  <c r="AI106" i="30"/>
  <c r="AH106" i="30"/>
  <c r="AF105" i="30"/>
  <c r="AE105" i="30"/>
  <c r="AD105" i="30"/>
  <c r="AC105" i="30"/>
  <c r="AB105" i="30"/>
  <c r="BC23" i="30"/>
  <c r="BB23" i="30"/>
  <c r="R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AF104" i="30"/>
  <c r="AE104" i="30"/>
  <c r="AD104" i="30"/>
  <c r="AC104" i="30"/>
  <c r="AB104" i="30"/>
  <c r="R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AF103" i="30"/>
  <c r="AE103" i="30"/>
  <c r="AD103" i="30"/>
  <c r="AC103" i="30"/>
  <c r="AB103" i="30"/>
  <c r="R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AF102" i="30"/>
  <c r="AE102" i="30"/>
  <c r="AD102" i="30"/>
  <c r="AC102" i="30"/>
  <c r="AB102" i="30"/>
  <c r="R102" i="30"/>
  <c r="P102" i="30"/>
  <c r="O102" i="30"/>
  <c r="N102" i="30"/>
  <c r="M102" i="30"/>
  <c r="L102" i="30"/>
  <c r="K102" i="30"/>
  <c r="J102" i="30"/>
  <c r="J107" i="30" s="1"/>
  <c r="I102" i="30"/>
  <c r="H102" i="30"/>
  <c r="G102" i="30"/>
  <c r="F102" i="30"/>
  <c r="E102" i="30"/>
  <c r="D102" i="30"/>
  <c r="C102" i="30"/>
  <c r="B102" i="30"/>
  <c r="AF101" i="30"/>
  <c r="AE101" i="30"/>
  <c r="AD101" i="30"/>
  <c r="AC101" i="30"/>
  <c r="AB101" i="30"/>
  <c r="R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AI98" i="30"/>
  <c r="AH98" i="30"/>
  <c r="AI96" i="30"/>
  <c r="AH96" i="30"/>
  <c r="AG96" i="30"/>
  <c r="AI95" i="30"/>
  <c r="AH95" i="30"/>
  <c r="AI94" i="30"/>
  <c r="AH94" i="30"/>
  <c r="AI93" i="30"/>
  <c r="AH93" i="30"/>
  <c r="AG92" i="30"/>
  <c r="AF92" i="30"/>
  <c r="AE92" i="30"/>
  <c r="AD5" i="30" s="1"/>
  <c r="AD92" i="30"/>
  <c r="AC5" i="30" s="1"/>
  <c r="AC92" i="30"/>
  <c r="AB92" i="30"/>
  <c r="BG19" i="30" s="1"/>
  <c r="W5" i="30"/>
  <c r="R92" i="30"/>
  <c r="AZ19" i="30" s="1"/>
  <c r="P92" i="30"/>
  <c r="O92" i="30"/>
  <c r="N5" i="30" s="1"/>
  <c r="N92" i="30"/>
  <c r="AV19" i="30" s="1"/>
  <c r="M92" i="30"/>
  <c r="AU19" i="30" s="1"/>
  <c r="L92" i="30"/>
  <c r="K92" i="30"/>
  <c r="AT19" i="30" s="1"/>
  <c r="J92" i="30"/>
  <c r="I5" i="30" s="1"/>
  <c r="I92" i="30"/>
  <c r="AS19" i="30" s="1"/>
  <c r="H92" i="30"/>
  <c r="G5" i="30" s="1"/>
  <c r="G92" i="30"/>
  <c r="AR19" i="30" s="1"/>
  <c r="F92" i="30"/>
  <c r="E5" i="30" s="1"/>
  <c r="E92" i="30"/>
  <c r="AP19" i="30" s="1"/>
  <c r="D92" i="30"/>
  <c r="C5" i="30" s="1"/>
  <c r="C92" i="30"/>
  <c r="AN19" i="30" s="1"/>
  <c r="B92" i="30"/>
  <c r="AM19" i="30" s="1"/>
  <c r="AI91" i="30"/>
  <c r="AH91" i="30"/>
  <c r="AI90" i="30"/>
  <c r="AH90" i="30"/>
  <c r="AI89" i="30"/>
  <c r="AH89" i="30"/>
  <c r="AI88" i="30"/>
  <c r="AH88" i="30"/>
  <c r="AI87" i="30"/>
  <c r="AH87" i="30"/>
  <c r="AI86" i="30"/>
  <c r="AH86" i="30"/>
  <c r="AI85" i="30"/>
  <c r="AH85" i="30"/>
  <c r="AI84" i="30"/>
  <c r="AH84" i="30"/>
  <c r="AI83" i="30"/>
  <c r="AH83" i="30"/>
  <c r="AI82" i="30"/>
  <c r="AH82" i="30"/>
  <c r="AI81" i="30"/>
  <c r="AH81" i="30"/>
  <c r="AG80" i="30"/>
  <c r="AG4" i="30" s="1"/>
  <c r="AF80" i="30"/>
  <c r="BJ20" i="30" s="1"/>
  <c r="AE80" i="30"/>
  <c r="AD80" i="30"/>
  <c r="BH20" i="30" s="1"/>
  <c r="AC80" i="30"/>
  <c r="AB80" i="30"/>
  <c r="BG20" i="30" s="1"/>
  <c r="R80" i="30"/>
  <c r="AY20" i="30"/>
  <c r="P80" i="30"/>
  <c r="AX20" i="30" s="1"/>
  <c r="O80" i="30"/>
  <c r="AW20" i="30" s="1"/>
  <c r="N80" i="30"/>
  <c r="M80" i="30"/>
  <c r="AU20" i="30" s="1"/>
  <c r="L80" i="30"/>
  <c r="K80" i="30"/>
  <c r="J80" i="30"/>
  <c r="I80" i="30"/>
  <c r="H80" i="30"/>
  <c r="G80" i="30"/>
  <c r="AR20" i="30" s="1"/>
  <c r="F80" i="30"/>
  <c r="AQ20" i="30" s="1"/>
  <c r="E80" i="30"/>
  <c r="D80" i="30"/>
  <c r="AO20" i="30" s="1"/>
  <c r="C80" i="30"/>
  <c r="B80" i="30"/>
  <c r="AI79" i="30"/>
  <c r="AH79" i="30"/>
  <c r="AI78" i="30"/>
  <c r="AH78" i="30"/>
  <c r="AI77" i="30"/>
  <c r="AH77" i="30"/>
  <c r="BS76" i="30"/>
  <c r="BH76" i="30"/>
  <c r="AF76" i="30"/>
  <c r="BJ18" i="30" s="1"/>
  <c r="AE76" i="30"/>
  <c r="BI18" i="30" s="1"/>
  <c r="AD76" i="30"/>
  <c r="BH18" i="30" s="1"/>
  <c r="AC76" i="30"/>
  <c r="AB76" i="30"/>
  <c r="BG18" i="30" s="1"/>
  <c r="Z7" i="30"/>
  <c r="BA18" i="30"/>
  <c r="R76" i="30"/>
  <c r="AZ18" i="30" s="1"/>
  <c r="AY18" i="30"/>
  <c r="P76" i="30"/>
  <c r="AX18" i="30" s="1"/>
  <c r="O76" i="30"/>
  <c r="AW18" i="30" s="1"/>
  <c r="N76" i="30"/>
  <c r="AV18" i="30" s="1"/>
  <c r="M76" i="30"/>
  <c r="AU18" i="30" s="1"/>
  <c r="L76" i="30"/>
  <c r="K76" i="30"/>
  <c r="AT18" i="30" s="1"/>
  <c r="J76" i="30"/>
  <c r="I76" i="30"/>
  <c r="AS18" i="30" s="1"/>
  <c r="H76" i="30"/>
  <c r="G76" i="30"/>
  <c r="F76" i="30"/>
  <c r="E76" i="30"/>
  <c r="AP18" i="30" s="1"/>
  <c r="D76" i="30"/>
  <c r="AO18" i="30" s="1"/>
  <c r="C76" i="30"/>
  <c r="AN18" i="30" s="1"/>
  <c r="B76" i="30"/>
  <c r="BS75" i="30"/>
  <c r="BC75" i="30"/>
  <c r="AI75" i="30"/>
  <c r="AH75" i="30"/>
  <c r="AG75" i="30"/>
  <c r="AG76" i="30" s="1"/>
  <c r="AG3" i="30" s="1"/>
  <c r="AI74" i="30"/>
  <c r="AH74" i="30"/>
  <c r="BW73" i="30"/>
  <c r="BW80" i="30" s="1"/>
  <c r="BV73" i="30"/>
  <c r="BV80" i="30" s="1"/>
  <c r="BU73" i="30"/>
  <c r="BU80" i="30" s="1"/>
  <c r="BT73" i="30"/>
  <c r="BT80" i="30" s="1"/>
  <c r="BS73" i="30"/>
  <c r="BS80" i="30" s="1"/>
  <c r="BR73" i="30"/>
  <c r="BR80" i="30" s="1"/>
  <c r="BQ73" i="30"/>
  <c r="BQ80" i="30" s="1"/>
  <c r="BP73" i="30"/>
  <c r="BP80" i="30" s="1"/>
  <c r="BO73" i="30"/>
  <c r="BO80" i="30" s="1"/>
  <c r="BN73" i="30"/>
  <c r="BN80" i="30" s="1"/>
  <c r="BM73" i="30"/>
  <c r="BM80" i="30" s="1"/>
  <c r="BL73" i="30"/>
  <c r="BL80" i="30" s="1"/>
  <c r="BK73" i="30"/>
  <c r="BK80" i="30" s="1"/>
  <c r="BJ73" i="30"/>
  <c r="BJ80" i="30" s="1"/>
  <c r="BI73" i="30"/>
  <c r="BI80" i="30" s="1"/>
  <c r="BH73" i="30"/>
  <c r="BH80" i="30" s="1"/>
  <c r="BG73" i="30"/>
  <c r="BG80" i="30" s="1"/>
  <c r="BF73" i="30"/>
  <c r="BF80" i="30" s="1"/>
  <c r="BE73" i="30"/>
  <c r="BE80" i="30" s="1"/>
  <c r="BD73" i="30"/>
  <c r="BD80" i="30" s="1"/>
  <c r="BC73" i="30"/>
  <c r="BC80" i="30" s="1"/>
  <c r="BB73" i="30"/>
  <c r="BB80" i="30" s="1"/>
  <c r="BA73" i="30"/>
  <c r="BA80" i="30" s="1"/>
  <c r="AZ73" i="30"/>
  <c r="AZ80" i="30" s="1"/>
  <c r="AI73" i="30"/>
  <c r="AH73" i="30"/>
  <c r="BW72" i="30"/>
  <c r="BW79" i="30" s="1"/>
  <c r="BV72" i="30"/>
  <c r="BV79" i="30" s="1"/>
  <c r="BU72" i="30"/>
  <c r="BU79" i="30" s="1"/>
  <c r="BT72" i="30"/>
  <c r="BT79" i="30" s="1"/>
  <c r="BS72" i="30"/>
  <c r="BS79" i="30" s="1"/>
  <c r="BR72" i="30"/>
  <c r="BR79" i="30" s="1"/>
  <c r="BQ72" i="30"/>
  <c r="BQ79" i="30" s="1"/>
  <c r="BP72" i="30"/>
  <c r="BP79" i="30" s="1"/>
  <c r="BO72" i="30"/>
  <c r="BO79" i="30" s="1"/>
  <c r="BN72" i="30"/>
  <c r="BN79" i="30" s="1"/>
  <c r="BM72" i="30"/>
  <c r="BM79" i="30" s="1"/>
  <c r="BL72" i="30"/>
  <c r="BL79" i="30" s="1"/>
  <c r="BK72" i="30"/>
  <c r="BK79" i="30" s="1"/>
  <c r="BJ72" i="30"/>
  <c r="BJ79" i="30" s="1"/>
  <c r="BI72" i="30"/>
  <c r="BI79" i="30" s="1"/>
  <c r="BH72" i="30"/>
  <c r="BH79" i="30" s="1"/>
  <c r="BG72" i="30"/>
  <c r="BG79" i="30" s="1"/>
  <c r="BF72" i="30"/>
  <c r="BF79" i="30" s="1"/>
  <c r="BE72" i="30"/>
  <c r="BE79" i="30" s="1"/>
  <c r="BD72" i="30"/>
  <c r="BD79" i="30" s="1"/>
  <c r="BC72" i="30"/>
  <c r="BC79" i="30" s="1"/>
  <c r="BB72" i="30"/>
  <c r="BB79" i="30" s="1"/>
  <c r="BA72" i="30"/>
  <c r="BA79" i="30" s="1"/>
  <c r="AZ72" i="30"/>
  <c r="AZ79" i="30" s="1"/>
  <c r="AI72" i="30"/>
  <c r="AH72" i="30"/>
  <c r="BW71" i="30"/>
  <c r="BW78" i="30" s="1"/>
  <c r="BV71" i="30"/>
  <c r="BV78" i="30" s="1"/>
  <c r="BU71" i="30"/>
  <c r="BU78" i="30" s="1"/>
  <c r="BT71" i="30"/>
  <c r="BT78" i="30" s="1"/>
  <c r="BS71" i="30"/>
  <c r="BS78" i="30" s="1"/>
  <c r="BR71" i="30"/>
  <c r="BR78" i="30" s="1"/>
  <c r="BQ71" i="30"/>
  <c r="BQ78" i="30" s="1"/>
  <c r="BP71" i="30"/>
  <c r="BP78" i="30" s="1"/>
  <c r="BO71" i="30"/>
  <c r="BO78" i="30" s="1"/>
  <c r="BN71" i="30"/>
  <c r="BN78" i="30" s="1"/>
  <c r="BM71" i="30"/>
  <c r="BM78" i="30" s="1"/>
  <c r="BL71" i="30"/>
  <c r="BL78" i="30" s="1"/>
  <c r="BK71" i="30"/>
  <c r="BK78" i="30" s="1"/>
  <c r="BJ71" i="30"/>
  <c r="BJ78" i="30" s="1"/>
  <c r="BI71" i="30"/>
  <c r="BI78" i="30" s="1"/>
  <c r="BH71" i="30"/>
  <c r="BH78" i="30" s="1"/>
  <c r="BG71" i="30"/>
  <c r="BG78" i="30" s="1"/>
  <c r="BF71" i="30"/>
  <c r="BF78" i="30" s="1"/>
  <c r="BE71" i="30"/>
  <c r="BE78" i="30" s="1"/>
  <c r="BD71" i="30"/>
  <c r="BD78" i="30" s="1"/>
  <c r="BC71" i="30"/>
  <c r="BC78" i="30" s="1"/>
  <c r="BB71" i="30"/>
  <c r="BB78" i="30" s="1"/>
  <c r="BA71" i="30"/>
  <c r="BA78" i="30" s="1"/>
  <c r="AZ71" i="30"/>
  <c r="AZ78" i="30" s="1"/>
  <c r="AI71" i="30"/>
  <c r="AH71" i="30"/>
  <c r="BW70" i="30"/>
  <c r="BW77" i="30" s="1"/>
  <c r="BV70" i="30"/>
  <c r="BV77" i="30" s="1"/>
  <c r="BU70" i="30"/>
  <c r="BU77" i="30" s="1"/>
  <c r="BT70" i="30"/>
  <c r="BT77" i="30" s="1"/>
  <c r="BS70" i="30"/>
  <c r="BS77" i="30" s="1"/>
  <c r="BR70" i="30"/>
  <c r="BR77" i="30" s="1"/>
  <c r="BQ70" i="30"/>
  <c r="BQ77" i="30" s="1"/>
  <c r="BP70" i="30"/>
  <c r="BP77" i="30" s="1"/>
  <c r="BO70" i="30"/>
  <c r="BO77" i="30" s="1"/>
  <c r="BN70" i="30"/>
  <c r="BN77" i="30" s="1"/>
  <c r="BM70" i="30"/>
  <c r="BM77" i="30" s="1"/>
  <c r="BL70" i="30"/>
  <c r="BL77" i="30" s="1"/>
  <c r="BK70" i="30"/>
  <c r="BK77" i="30" s="1"/>
  <c r="BJ70" i="30"/>
  <c r="BJ77" i="30" s="1"/>
  <c r="BI70" i="30"/>
  <c r="BI77" i="30" s="1"/>
  <c r="BH70" i="30"/>
  <c r="BH77" i="30" s="1"/>
  <c r="BG70" i="30"/>
  <c r="BG77" i="30" s="1"/>
  <c r="BF70" i="30"/>
  <c r="BF77" i="30" s="1"/>
  <c r="BE70" i="30"/>
  <c r="BE77" i="30" s="1"/>
  <c r="BD70" i="30"/>
  <c r="BD77" i="30" s="1"/>
  <c r="BC70" i="30"/>
  <c r="BC77" i="30" s="1"/>
  <c r="BB70" i="30"/>
  <c r="BB77" i="30" s="1"/>
  <c r="BA70" i="30"/>
  <c r="BA77" i="30" s="1"/>
  <c r="AZ70" i="30"/>
  <c r="AZ77" i="30" s="1"/>
  <c r="AI70" i="30"/>
  <c r="AH70" i="30"/>
  <c r="BW69" i="30"/>
  <c r="BW76" i="30" s="1"/>
  <c r="BV69" i="30"/>
  <c r="BV76" i="30" s="1"/>
  <c r="BU69" i="30"/>
  <c r="BU76" i="30" s="1"/>
  <c r="BT69" i="30"/>
  <c r="BT76" i="30" s="1"/>
  <c r="BS69" i="30"/>
  <c r="BR69" i="30"/>
  <c r="BR76" i="30" s="1"/>
  <c r="BQ69" i="30"/>
  <c r="BQ76" i="30" s="1"/>
  <c r="BP69" i="30"/>
  <c r="BP76" i="30" s="1"/>
  <c r="BO69" i="30"/>
  <c r="BO76" i="30" s="1"/>
  <c r="BN69" i="30"/>
  <c r="BN76" i="30" s="1"/>
  <c r="BM69" i="30"/>
  <c r="BM76" i="30" s="1"/>
  <c r="BL69" i="30"/>
  <c r="BL76" i="30" s="1"/>
  <c r="BK69" i="30"/>
  <c r="BK76" i="30" s="1"/>
  <c r="BJ69" i="30"/>
  <c r="BJ76" i="30" s="1"/>
  <c r="BI69" i="30"/>
  <c r="BI76" i="30" s="1"/>
  <c r="BH69" i="30"/>
  <c r="BG69" i="30"/>
  <c r="BG76" i="30" s="1"/>
  <c r="BF69" i="30"/>
  <c r="BF76" i="30" s="1"/>
  <c r="BE69" i="30"/>
  <c r="BE76" i="30" s="1"/>
  <c r="BD69" i="30"/>
  <c r="BD76" i="30" s="1"/>
  <c r="BC69" i="30"/>
  <c r="BC76" i="30" s="1"/>
  <c r="BB69" i="30"/>
  <c r="BB76" i="30" s="1"/>
  <c r="BA69" i="30"/>
  <c r="BA76" i="30" s="1"/>
  <c r="AZ69" i="30"/>
  <c r="AZ76" i="30" s="1"/>
  <c r="AI69" i="30"/>
  <c r="AH69" i="30"/>
  <c r="BW68" i="30"/>
  <c r="BW75" i="30" s="1"/>
  <c r="BV68" i="30"/>
  <c r="BV75" i="30" s="1"/>
  <c r="BU68" i="30"/>
  <c r="BU75" i="30" s="1"/>
  <c r="BT68" i="30"/>
  <c r="BT75" i="30" s="1"/>
  <c r="BS68" i="30"/>
  <c r="BR68" i="30"/>
  <c r="BR75" i="30" s="1"/>
  <c r="BQ68" i="30"/>
  <c r="BQ75" i="30" s="1"/>
  <c r="BP68" i="30"/>
  <c r="BP75" i="30" s="1"/>
  <c r="BO68" i="30"/>
  <c r="BO75" i="30" s="1"/>
  <c r="BN68" i="30"/>
  <c r="BN75" i="30" s="1"/>
  <c r="BM68" i="30"/>
  <c r="BM75" i="30" s="1"/>
  <c r="BL68" i="30"/>
  <c r="BL75" i="30" s="1"/>
  <c r="BK68" i="30"/>
  <c r="BK75" i="30" s="1"/>
  <c r="BJ68" i="30"/>
  <c r="BJ75" i="30" s="1"/>
  <c r="BI68" i="30"/>
  <c r="BI75" i="30" s="1"/>
  <c r="BH68" i="30"/>
  <c r="BH75" i="30" s="1"/>
  <c r="BG68" i="30"/>
  <c r="BG75" i="30" s="1"/>
  <c r="BF68" i="30"/>
  <c r="BF75" i="30" s="1"/>
  <c r="BE68" i="30"/>
  <c r="BE75" i="30" s="1"/>
  <c r="BD68" i="30"/>
  <c r="BD75" i="30" s="1"/>
  <c r="BC68" i="30"/>
  <c r="BB68" i="30"/>
  <c r="BB75" i="30" s="1"/>
  <c r="BA68" i="30"/>
  <c r="BA75" i="30" s="1"/>
  <c r="AZ68" i="30"/>
  <c r="AZ75" i="30" s="1"/>
  <c r="AI68" i="30"/>
  <c r="AH68" i="30"/>
  <c r="AI67" i="30"/>
  <c r="AH67" i="30"/>
  <c r="AI66" i="30"/>
  <c r="AH66" i="30"/>
  <c r="AI65" i="30"/>
  <c r="AH65" i="30"/>
  <c r="AI64" i="30"/>
  <c r="AH64" i="30"/>
  <c r="AI63" i="30"/>
  <c r="AH63" i="30"/>
  <c r="AG62" i="30"/>
  <c r="AF62" i="30"/>
  <c r="BJ17" i="30" s="1"/>
  <c r="AE62" i="30"/>
  <c r="BI17" i="30" s="1"/>
  <c r="AD62" i="30"/>
  <c r="BH17" i="30" s="1"/>
  <c r="AC62" i="30"/>
  <c r="AB62" i="30"/>
  <c r="BE17" i="30"/>
  <c r="BD17" i="30"/>
  <c r="R62" i="30"/>
  <c r="AZ17" i="30" s="1"/>
  <c r="P62" i="30"/>
  <c r="AX17" i="30" s="1"/>
  <c r="O62" i="30"/>
  <c r="AW17" i="30" s="1"/>
  <c r="N62" i="30"/>
  <c r="AV17" i="30" s="1"/>
  <c r="L62" i="30"/>
  <c r="K62" i="30"/>
  <c r="AT17" i="30" s="1"/>
  <c r="J62" i="30"/>
  <c r="I62" i="30"/>
  <c r="AS17" i="30" s="1"/>
  <c r="H62" i="30"/>
  <c r="G62" i="30"/>
  <c r="F62" i="30"/>
  <c r="E62" i="30"/>
  <c r="AP17" i="30" s="1"/>
  <c r="D62" i="30"/>
  <c r="AO17" i="30" s="1"/>
  <c r="C62" i="30"/>
  <c r="AN17" i="30" s="1"/>
  <c r="B62" i="30"/>
  <c r="AM17" i="30" s="1"/>
  <c r="AI61" i="30"/>
  <c r="AH61" i="30"/>
  <c r="AI60" i="30"/>
  <c r="AH60" i="30"/>
  <c r="AI59" i="30"/>
  <c r="AH59" i="30"/>
  <c r="AG58" i="30"/>
  <c r="AG2" i="30" s="1"/>
  <c r="AG6" i="30" s="1"/>
  <c r="AF58" i="30"/>
  <c r="AE58" i="30"/>
  <c r="BI16" i="30" s="1"/>
  <c r="AD58" i="30"/>
  <c r="AC58" i="30"/>
  <c r="AB58" i="30"/>
  <c r="BG16" i="30" s="1"/>
  <c r="AA7" i="30"/>
  <c r="BF16" i="30"/>
  <c r="BE16" i="30"/>
  <c r="W7" i="30"/>
  <c r="S7" i="30"/>
  <c r="R58" i="30"/>
  <c r="AZ16" i="30" s="1"/>
  <c r="P58" i="30"/>
  <c r="O58" i="30"/>
  <c r="N58" i="30"/>
  <c r="K58" i="30"/>
  <c r="J58" i="30"/>
  <c r="I58" i="30"/>
  <c r="AS16" i="30" s="1"/>
  <c r="H58" i="30"/>
  <c r="G58" i="30"/>
  <c r="AR16" i="30" s="1"/>
  <c r="F58" i="30"/>
  <c r="E58" i="30"/>
  <c r="AP16" i="30" s="1"/>
  <c r="D58" i="30"/>
  <c r="AO16" i="30" s="1"/>
  <c r="C58" i="30"/>
  <c r="B58" i="30"/>
  <c r="AI57" i="30"/>
  <c r="AH57" i="30"/>
  <c r="AI56" i="30"/>
  <c r="AH56" i="30"/>
  <c r="AI55" i="30"/>
  <c r="AH55" i="30"/>
  <c r="AI54" i="30"/>
  <c r="AH54" i="30"/>
  <c r="AI53" i="30"/>
  <c r="AH53" i="30"/>
  <c r="AI52" i="30"/>
  <c r="AH52" i="30"/>
  <c r="AI51" i="30"/>
  <c r="AH51" i="30"/>
  <c r="AI50" i="30"/>
  <c r="AH50" i="30"/>
  <c r="AI49" i="30"/>
  <c r="AH49" i="30"/>
  <c r="AI48" i="30"/>
  <c r="AH48" i="30"/>
  <c r="AI47" i="30"/>
  <c r="AH47" i="30"/>
  <c r="AI46" i="30"/>
  <c r="AH46" i="30"/>
  <c r="AI45" i="30"/>
  <c r="AH45" i="30"/>
  <c r="AI44" i="30"/>
  <c r="AH44" i="30"/>
  <c r="AI43" i="30"/>
  <c r="AH43" i="30"/>
  <c r="AI42" i="30"/>
  <c r="AH42" i="30"/>
  <c r="AI41" i="30"/>
  <c r="AH41" i="30"/>
  <c r="AI40" i="30"/>
  <c r="AH40" i="30"/>
  <c r="AI39" i="30"/>
  <c r="AH39" i="30"/>
  <c r="AI38" i="30"/>
  <c r="AH38" i="30"/>
  <c r="AI37" i="30"/>
  <c r="AH37" i="30"/>
  <c r="AI36" i="30"/>
  <c r="AH36" i="30"/>
  <c r="AI35" i="30"/>
  <c r="AH35" i="30"/>
  <c r="AI34" i="30"/>
  <c r="AH34" i="30"/>
  <c r="AI33" i="30"/>
  <c r="AH33" i="30"/>
  <c r="AI32" i="30"/>
  <c r="AH32" i="30"/>
  <c r="AI31" i="30"/>
  <c r="AH31" i="30"/>
  <c r="AI30" i="30"/>
  <c r="AH30" i="30"/>
  <c r="AI29" i="30"/>
  <c r="AH29" i="30"/>
  <c r="AI28" i="30"/>
  <c r="AH28" i="30"/>
  <c r="AI27" i="30"/>
  <c r="AH27" i="30"/>
  <c r="AI26" i="30"/>
  <c r="AH26" i="30"/>
  <c r="AI25" i="30"/>
  <c r="AH25" i="30"/>
  <c r="AI24" i="30"/>
  <c r="AH24" i="30"/>
  <c r="BE23" i="30"/>
  <c r="BA23" i="30"/>
  <c r="AI23" i="30"/>
  <c r="AH23" i="30"/>
  <c r="AI22" i="30"/>
  <c r="AH22" i="30"/>
  <c r="BJ21" i="30"/>
  <c r="BI21" i="30"/>
  <c r="BH21" i="30"/>
  <c r="BG21" i="30"/>
  <c r="BF21" i="30"/>
  <c r="BE21" i="30"/>
  <c r="BD21" i="30"/>
  <c r="BC21" i="30"/>
  <c r="BB21" i="30"/>
  <c r="BA21" i="30"/>
  <c r="AZ21" i="30"/>
  <c r="AY21" i="30"/>
  <c r="AX21" i="30"/>
  <c r="AW21" i="30"/>
  <c r="AV21" i="30"/>
  <c r="AU21" i="30"/>
  <c r="AT21" i="30"/>
  <c r="AS21" i="30"/>
  <c r="AR21" i="30"/>
  <c r="AQ21" i="30"/>
  <c r="AP21" i="30"/>
  <c r="AO21" i="30"/>
  <c r="AN21" i="30"/>
  <c r="AM21" i="30"/>
  <c r="AI21" i="30"/>
  <c r="AH21" i="30"/>
  <c r="BI20" i="30"/>
  <c r="BF20" i="30"/>
  <c r="BE20" i="30"/>
  <c r="BD20" i="30"/>
  <c r="BC20" i="30"/>
  <c r="BB20" i="30"/>
  <c r="BA20" i="30"/>
  <c r="AZ20" i="30"/>
  <c r="AV20" i="30"/>
  <c r="AT20" i="30"/>
  <c r="AS20" i="30"/>
  <c r="AP20" i="30"/>
  <c r="AN20" i="30"/>
  <c r="AM20" i="30"/>
  <c r="AI20" i="30"/>
  <c r="AH20" i="30"/>
  <c r="BH19" i="30"/>
  <c r="BF19" i="30"/>
  <c r="BD19" i="30"/>
  <c r="BC19" i="30"/>
  <c r="BB19" i="30"/>
  <c r="BA19" i="30"/>
  <c r="AY19" i="30"/>
  <c r="AW19" i="30"/>
  <c r="AI19" i="30"/>
  <c r="AH19" i="30"/>
  <c r="BF18" i="30"/>
  <c r="BE18" i="30"/>
  <c r="BD18" i="30"/>
  <c r="BC18" i="30"/>
  <c r="BB18" i="30"/>
  <c r="AR18" i="30"/>
  <c r="AQ18" i="30"/>
  <c r="AI18" i="30"/>
  <c r="AH18" i="30"/>
  <c r="BG17" i="30"/>
  <c r="BF17" i="30"/>
  <c r="BC17" i="30"/>
  <c r="BB17" i="30"/>
  <c r="BA17" i="30"/>
  <c r="AY17" i="30"/>
  <c r="AU17" i="30"/>
  <c r="AR17" i="30"/>
  <c r="AQ17" i="30"/>
  <c r="AI17" i="30"/>
  <c r="AH17" i="30"/>
  <c r="BJ16" i="30"/>
  <c r="BC16" i="30"/>
  <c r="BB16" i="30"/>
  <c r="BA16" i="30"/>
  <c r="AY16" i="30"/>
  <c r="AU16" i="30"/>
  <c r="AN16" i="30"/>
  <c r="AM16" i="30"/>
  <c r="AI16" i="30"/>
  <c r="AH16" i="30"/>
  <c r="AI15" i="30"/>
  <c r="AH15" i="30"/>
  <c r="AI14" i="30"/>
  <c r="AH14" i="30"/>
  <c r="AI13" i="30"/>
  <c r="AH13" i="30"/>
  <c r="AL12" i="30"/>
  <c r="AI12" i="30"/>
  <c r="AH12" i="30"/>
  <c r="AI11" i="30"/>
  <c r="AH11" i="30"/>
  <c r="AF5" i="30"/>
  <c r="AB5" i="30"/>
  <c r="Z5" i="30"/>
  <c r="Y5" i="30"/>
  <c r="X5" i="30"/>
  <c r="V5" i="30"/>
  <c r="U5" i="30"/>
  <c r="T5" i="30"/>
  <c r="S5" i="30"/>
  <c r="R5" i="30"/>
  <c r="P5" i="30"/>
  <c r="B5" i="30"/>
  <c r="K4" i="30"/>
  <c r="E4" i="30"/>
  <c r="H4" i="30" s="1"/>
  <c r="B4" i="30"/>
  <c r="D258" i="30" s="1"/>
  <c r="AA58" i="29"/>
  <c r="AA62" i="29"/>
  <c r="AA76" i="29"/>
  <c r="AA80" i="29"/>
  <c r="AA92" i="29"/>
  <c r="AA101" i="29"/>
  <c r="AA102" i="29"/>
  <c r="AA103" i="29"/>
  <c r="AA104" i="29"/>
  <c r="AA105" i="29"/>
  <c r="AA118" i="29"/>
  <c r="Z118" i="29"/>
  <c r="Z105" i="29"/>
  <c r="Z107" i="29" s="1"/>
  <c r="Z104" i="29"/>
  <c r="Z103" i="29"/>
  <c r="Z102" i="29"/>
  <c r="Z101" i="29"/>
  <c r="Z92" i="29"/>
  <c r="Z108" i="29" s="1"/>
  <c r="Z80" i="29"/>
  <c r="Z76" i="29"/>
  <c r="Z62" i="29"/>
  <c r="Z58" i="29"/>
  <c r="X149" i="29"/>
  <c r="Y58" i="29"/>
  <c r="Y62" i="29"/>
  <c r="Y76" i="29"/>
  <c r="Y80" i="29"/>
  <c r="Y92" i="29"/>
  <c r="Y101" i="29"/>
  <c r="Y102" i="29"/>
  <c r="Y103" i="29"/>
  <c r="Y104" i="29"/>
  <c r="Y105" i="29"/>
  <c r="Y118" i="29"/>
  <c r="X58" i="29"/>
  <c r="X62" i="29"/>
  <c r="X76" i="29"/>
  <c r="X80" i="29"/>
  <c r="X92" i="29"/>
  <c r="X101" i="29"/>
  <c r="X102" i="29"/>
  <c r="X103" i="29"/>
  <c r="X104" i="29"/>
  <c r="X105" i="29"/>
  <c r="X118" i="29"/>
  <c r="W57" i="29"/>
  <c r="W58" i="29"/>
  <c r="W62" i="29"/>
  <c r="W76" i="29"/>
  <c r="W80" i="29"/>
  <c r="W92" i="29"/>
  <c r="W101" i="29"/>
  <c r="W102" i="29"/>
  <c r="W103" i="29"/>
  <c r="W104" i="29"/>
  <c r="W105" i="29"/>
  <c r="W118" i="29"/>
  <c r="V57" i="29"/>
  <c r="V58" i="29"/>
  <c r="V62" i="29"/>
  <c r="V76" i="29"/>
  <c r="V80" i="29"/>
  <c r="V92" i="29"/>
  <c r="V101" i="29"/>
  <c r="V107" i="29" s="1"/>
  <c r="V102" i="29"/>
  <c r="V103" i="29"/>
  <c r="V104" i="29"/>
  <c r="V105" i="29"/>
  <c r="V118" i="29"/>
  <c r="T127" i="29"/>
  <c r="S127" i="29"/>
  <c r="U57" i="29"/>
  <c r="U58" i="29"/>
  <c r="U62" i="29"/>
  <c r="U76" i="29"/>
  <c r="U80" i="29"/>
  <c r="U92" i="29"/>
  <c r="U101" i="29"/>
  <c r="U107" i="29" s="1"/>
  <c r="U102" i="29"/>
  <c r="U103" i="29"/>
  <c r="U104" i="29"/>
  <c r="U105" i="29"/>
  <c r="U118" i="29"/>
  <c r="Q139" i="29"/>
  <c r="R139" i="29"/>
  <c r="S139" i="29"/>
  <c r="T139" i="29"/>
  <c r="N247" i="31" l="1"/>
  <c r="M252" i="31"/>
  <c r="P246" i="31"/>
  <c r="O118" i="31"/>
  <c r="BI19" i="30"/>
  <c r="BI22" i="30" s="1"/>
  <c r="AE107" i="30"/>
  <c r="BI23" i="30" s="1"/>
  <c r="AF107" i="30"/>
  <c r="BJ23" i="30" s="1"/>
  <c r="E107" i="30"/>
  <c r="AP23" i="30" s="1"/>
  <c r="D252" i="30"/>
  <c r="E251" i="30"/>
  <c r="AE108" i="30"/>
  <c r="AA5" i="30"/>
  <c r="AB107" i="30"/>
  <c r="BG23" i="30" s="1"/>
  <c r="BG22" i="30"/>
  <c r="BF22" i="30"/>
  <c r="BF24" i="30" s="1"/>
  <c r="BA22" i="30"/>
  <c r="BA24" i="30" s="1"/>
  <c r="Q5" i="30"/>
  <c r="R107" i="30"/>
  <c r="AZ23" i="30" s="1"/>
  <c r="AZ22" i="30"/>
  <c r="P107" i="30"/>
  <c r="AX23" i="30" s="1"/>
  <c r="AY22" i="30"/>
  <c r="O107" i="30"/>
  <c r="AW23" i="30" s="1"/>
  <c r="M5" i="30"/>
  <c r="L5" i="30"/>
  <c r="AU22" i="30"/>
  <c r="L107" i="30"/>
  <c r="L108" i="30" s="1"/>
  <c r="K5" i="30"/>
  <c r="J5" i="30"/>
  <c r="K107" i="30"/>
  <c r="AT23" i="30" s="1"/>
  <c r="K97" i="30"/>
  <c r="K99" i="30" s="1"/>
  <c r="AT16" i="30"/>
  <c r="AT22" i="30" s="1"/>
  <c r="AT24" i="30" s="1"/>
  <c r="J97" i="30"/>
  <c r="J99" i="30" s="1"/>
  <c r="J100" i="30" s="1"/>
  <c r="J7" i="30" s="1"/>
  <c r="H5" i="30"/>
  <c r="AI102" i="30"/>
  <c r="I107" i="30"/>
  <c r="AS23" i="30" s="1"/>
  <c r="AS22" i="30"/>
  <c r="H107" i="30"/>
  <c r="H108" i="30" s="1"/>
  <c r="AQ19" i="30"/>
  <c r="F5" i="30"/>
  <c r="G107" i="30"/>
  <c r="AR23" i="30" s="1"/>
  <c r="D5" i="30"/>
  <c r="AI80" i="30"/>
  <c r="AP22" i="30"/>
  <c r="AP24" i="30" s="1"/>
  <c r="D107" i="30"/>
  <c r="AO23" i="30" s="1"/>
  <c r="AO19" i="30"/>
  <c r="AO22" i="30"/>
  <c r="AI103" i="30"/>
  <c r="C97" i="30"/>
  <c r="C99" i="30" s="1"/>
  <c r="C107" i="30"/>
  <c r="AN23" i="30" s="1"/>
  <c r="AN22" i="30"/>
  <c r="AN24" i="30" s="1"/>
  <c r="B97" i="30"/>
  <c r="B99" i="30" s="1"/>
  <c r="O5" i="30"/>
  <c r="P108" i="30"/>
  <c r="AX19" i="30"/>
  <c r="BE19" i="30"/>
  <c r="BE22" i="30" s="1"/>
  <c r="BE24" i="30" s="1"/>
  <c r="BG84" i="30" a="1"/>
  <c r="AH104" i="30"/>
  <c r="M107" i="30"/>
  <c r="AU23" i="30" s="1"/>
  <c r="AU24" i="30" s="1"/>
  <c r="AC107" i="30"/>
  <c r="AC108" i="30" s="1"/>
  <c r="N97" i="30"/>
  <c r="N99" i="30" s="1"/>
  <c r="AV16" i="30"/>
  <c r="AV22" i="30" s="1"/>
  <c r="G97" i="30"/>
  <c r="G99" i="30" s="1"/>
  <c r="BJ19" i="30"/>
  <c r="BJ22" i="30" s="1"/>
  <c r="BJ24" i="30" s="1"/>
  <c r="AE5" i="30"/>
  <c r="AF108" i="30"/>
  <c r="BD16" i="30"/>
  <c r="BD22" i="30" s="1"/>
  <c r="BC22" i="30"/>
  <c r="BC24" i="30" s="1"/>
  <c r="AR22" i="30"/>
  <c r="AW16" i="30"/>
  <c r="AW22" i="30" s="1"/>
  <c r="AW24" i="30" s="1"/>
  <c r="O97" i="30"/>
  <c r="O99" i="30" s="1"/>
  <c r="O100" i="30" s="1"/>
  <c r="O7" i="30" s="1"/>
  <c r="AE97" i="30"/>
  <c r="AE99" i="30" s="1"/>
  <c r="AE100" i="30" s="1"/>
  <c r="AE7" i="30" s="1"/>
  <c r="AM18" i="30"/>
  <c r="AM22" i="30" s="1"/>
  <c r="AI76" i="30"/>
  <c r="AH76" i="30"/>
  <c r="H97" i="30"/>
  <c r="H99" i="30" s="1"/>
  <c r="H100" i="30" s="1"/>
  <c r="H7" i="30" s="1"/>
  <c r="AY23" i="30"/>
  <c r="AY24" i="30" s="1"/>
  <c r="BB22" i="30"/>
  <c r="BB24" i="30" s="1"/>
  <c r="F97" i="30"/>
  <c r="F99" i="30" s="1"/>
  <c r="AQ16" i="30"/>
  <c r="AQ22" i="30" s="1"/>
  <c r="AD97" i="30"/>
  <c r="AD99" i="30" s="1"/>
  <c r="BH16" i="30"/>
  <c r="BH22" i="30" s="1"/>
  <c r="P97" i="30"/>
  <c r="P99" i="30" s="1"/>
  <c r="P100" i="30" s="1"/>
  <c r="P7" i="30" s="1"/>
  <c r="AF97" i="30"/>
  <c r="AF99" i="30" s="1"/>
  <c r="AF100" i="30" s="1"/>
  <c r="AF7" i="30" s="1"/>
  <c r="AI62" i="30"/>
  <c r="F107" i="30"/>
  <c r="AQ23" i="30" s="1"/>
  <c r="N107" i="30"/>
  <c r="AV23" i="30" s="1"/>
  <c r="BD23" i="30"/>
  <c r="AD107" i="30"/>
  <c r="BH23" i="30" s="1"/>
  <c r="X7" i="30"/>
  <c r="D108" i="30"/>
  <c r="AL13" i="30"/>
  <c r="I97" i="30"/>
  <c r="I99" i="30" s="1"/>
  <c r="Q7" i="30"/>
  <c r="Y7" i="30"/>
  <c r="AG97" i="30"/>
  <c r="J108" i="30"/>
  <c r="R108" i="30"/>
  <c r="AH92" i="30"/>
  <c r="AG99" i="30"/>
  <c r="AH101" i="30"/>
  <c r="AH103" i="30"/>
  <c r="E252" i="30"/>
  <c r="AH58" i="30"/>
  <c r="AH62" i="30"/>
  <c r="AI92" i="30"/>
  <c r="AI101" i="30"/>
  <c r="AH102" i="30"/>
  <c r="H246" i="30"/>
  <c r="AH80" i="30"/>
  <c r="AX16" i="30"/>
  <c r="AI58" i="30"/>
  <c r="AI104" i="30"/>
  <c r="AI105" i="30"/>
  <c r="D97" i="30"/>
  <c r="D99" i="30" s="1"/>
  <c r="D100" i="30" s="1"/>
  <c r="D7" i="30" s="1"/>
  <c r="L97" i="30"/>
  <c r="L99" i="30" s="1"/>
  <c r="T7" i="30"/>
  <c r="AB97" i="30"/>
  <c r="AB99" i="30" s="1"/>
  <c r="AB100" i="30" s="1"/>
  <c r="AB7" i="30" s="1"/>
  <c r="E108" i="30"/>
  <c r="R97" i="30"/>
  <c r="R99" i="30" s="1"/>
  <c r="R100" i="30" s="1"/>
  <c r="R7" i="30" s="1"/>
  <c r="B107" i="30"/>
  <c r="E97" i="30"/>
  <c r="E99" i="30" s="1"/>
  <c r="E100" i="30" s="1"/>
  <c r="E7" i="30" s="1"/>
  <c r="M97" i="30"/>
  <c r="M99" i="30" s="1"/>
  <c r="U7" i="30"/>
  <c r="AC97" i="30"/>
  <c r="AC99" i="30" s="1"/>
  <c r="N108" i="30"/>
  <c r="AH105" i="30"/>
  <c r="AA107" i="29"/>
  <c r="AA108" i="29" s="1"/>
  <c r="AA97" i="29"/>
  <c r="AA99" i="29" s="1"/>
  <c r="Z97" i="29"/>
  <c r="Z99" i="29" s="1"/>
  <c r="Z100" i="29" s="1"/>
  <c r="Y107" i="29"/>
  <c r="Y108" i="29" s="1"/>
  <c r="Y97" i="29"/>
  <c r="Y99" i="29" s="1"/>
  <c r="X107" i="29"/>
  <c r="X108" i="29" s="1"/>
  <c r="X97" i="29"/>
  <c r="X99" i="29" s="1"/>
  <c r="X100" i="29" s="1"/>
  <c r="W107" i="29"/>
  <c r="W108" i="29" s="1"/>
  <c r="W97" i="29"/>
  <c r="W99" i="29" s="1"/>
  <c r="W100" i="29" s="1"/>
  <c r="V97" i="29"/>
  <c r="V99" i="29" s="1"/>
  <c r="V100" i="29" s="1"/>
  <c r="V108" i="29"/>
  <c r="U97" i="29"/>
  <c r="U99" i="29" s="1"/>
  <c r="U100" i="29" s="1"/>
  <c r="U108" i="29"/>
  <c r="Q246" i="31" l="1"/>
  <c r="O247" i="31"/>
  <c r="N252" i="31"/>
  <c r="BI24" i="30"/>
  <c r="AD108" i="30"/>
  <c r="F251" i="30"/>
  <c r="E118" i="30"/>
  <c r="L100" i="30"/>
  <c r="L7" i="30" s="1"/>
  <c r="AO24" i="30"/>
  <c r="I100" i="30"/>
  <c r="I7" i="30" s="1"/>
  <c r="AR24" i="30"/>
  <c r="N100" i="30"/>
  <c r="N7" i="30" s="1"/>
  <c r="AB108" i="30"/>
  <c r="BG24" i="30"/>
  <c r="AZ24" i="30"/>
  <c r="O108" i="30"/>
  <c r="M100" i="30"/>
  <c r="M7" i="30" s="1"/>
  <c r="M108" i="30"/>
  <c r="K100" i="30"/>
  <c r="K7" i="30" s="1"/>
  <c r="K108" i="30"/>
  <c r="AS24" i="30"/>
  <c r="I108" i="30"/>
  <c r="G108" i="30"/>
  <c r="F108" i="30"/>
  <c r="C108" i="30"/>
  <c r="C100" i="30"/>
  <c r="C7" i="30" s="1"/>
  <c r="AC100" i="30"/>
  <c r="AC7" i="30" s="1"/>
  <c r="AX22" i="30"/>
  <c r="AX24" i="30" s="1"/>
  <c r="BH24" i="30"/>
  <c r="AH97" i="30"/>
  <c r="AI107" i="30"/>
  <c r="AH107" i="30"/>
  <c r="AM23" i="30"/>
  <c r="AM24" i="30" s="1"/>
  <c r="B108" i="30"/>
  <c r="AD100" i="30"/>
  <c r="AD7" i="30" s="1"/>
  <c r="AI97" i="30"/>
  <c r="AQ24" i="30"/>
  <c r="BD24" i="30"/>
  <c r="C256" i="30"/>
  <c r="G100" i="30"/>
  <c r="G7" i="30" s="1"/>
  <c r="B256" i="30"/>
  <c r="BJ107" i="30"/>
  <c r="BH106" i="30"/>
  <c r="BL104" i="30"/>
  <c r="BJ103" i="30"/>
  <c r="BH102" i="30"/>
  <c r="BL100" i="30"/>
  <c r="BJ99" i="30"/>
  <c r="BH98" i="30"/>
  <c r="BL96" i="30"/>
  <c r="BJ95" i="30"/>
  <c r="BH94" i="30"/>
  <c r="BL92" i="30"/>
  <c r="BJ91" i="30"/>
  <c r="BH90" i="30"/>
  <c r="BL88" i="30"/>
  <c r="BJ87" i="30"/>
  <c r="BH86" i="30"/>
  <c r="BL84" i="30"/>
  <c r="BH107" i="30"/>
  <c r="BL105" i="30"/>
  <c r="BJ104" i="30"/>
  <c r="BH103" i="30"/>
  <c r="BL101" i="30"/>
  <c r="BJ100" i="30"/>
  <c r="BH99" i="30"/>
  <c r="BL97" i="30"/>
  <c r="BJ96" i="30"/>
  <c r="BH95" i="30"/>
  <c r="BL93" i="30"/>
  <c r="BJ92" i="30"/>
  <c r="BH91" i="30"/>
  <c r="BL89" i="30"/>
  <c r="BJ88" i="30"/>
  <c r="BH87" i="30"/>
  <c r="BL85" i="30"/>
  <c r="BJ84" i="30"/>
  <c r="BK106" i="30"/>
  <c r="BI105" i="30"/>
  <c r="BG104" i="30"/>
  <c r="BK102" i="30"/>
  <c r="BI101" i="30"/>
  <c r="BG100" i="30"/>
  <c r="BK98" i="30"/>
  <c r="BI97" i="30"/>
  <c r="BG96" i="30"/>
  <c r="BK94" i="30"/>
  <c r="BI93" i="30"/>
  <c r="BG92" i="30"/>
  <c r="BK90" i="30"/>
  <c r="BI89" i="30"/>
  <c r="BG88" i="30"/>
  <c r="BK86" i="30"/>
  <c r="BI85" i="30"/>
  <c r="BG84" i="30"/>
  <c r="BJ106" i="30"/>
  <c r="BI104" i="30"/>
  <c r="BI102" i="30"/>
  <c r="BH100" i="30"/>
  <c r="BG98" i="30"/>
  <c r="BL95" i="30"/>
  <c r="BK93" i="30"/>
  <c r="BK91" i="30"/>
  <c r="BJ89" i="30"/>
  <c r="BI87" i="30"/>
  <c r="BH85" i="30"/>
  <c r="BI106" i="30"/>
  <c r="BH104" i="30"/>
  <c r="BG102" i="30"/>
  <c r="BL99" i="30"/>
  <c r="BK97" i="30"/>
  <c r="BK95" i="30"/>
  <c r="BJ93" i="30"/>
  <c r="BI91" i="30"/>
  <c r="BH89" i="30"/>
  <c r="BG87" i="30"/>
  <c r="BG85" i="30"/>
  <c r="BG106" i="30"/>
  <c r="BL103" i="30"/>
  <c r="BK101" i="30"/>
  <c r="BK99" i="30"/>
  <c r="BJ97" i="30"/>
  <c r="BI95" i="30"/>
  <c r="BH93" i="30"/>
  <c r="BG91" i="30"/>
  <c r="BG89" i="30"/>
  <c r="BL86" i="30"/>
  <c r="BK84" i="30"/>
  <c r="BI107" i="30"/>
  <c r="BG101" i="30"/>
  <c r="BL98" i="30"/>
  <c r="BJ94" i="30"/>
  <c r="BI90" i="30"/>
  <c r="BG86" i="30"/>
  <c r="BL107" i="30"/>
  <c r="BK105" i="30"/>
  <c r="BK103" i="30"/>
  <c r="BJ101" i="30"/>
  <c r="BI99" i="30"/>
  <c r="BH97" i="30"/>
  <c r="BG95" i="30"/>
  <c r="BG93" i="30"/>
  <c r="BL90" i="30"/>
  <c r="BK88" i="30"/>
  <c r="BJ86" i="30"/>
  <c r="BI84" i="30"/>
  <c r="BK107" i="30"/>
  <c r="BJ105" i="30"/>
  <c r="BI103" i="30"/>
  <c r="BH101" i="30"/>
  <c r="BG99" i="30"/>
  <c r="BG97" i="30"/>
  <c r="BL94" i="30"/>
  <c r="BK92" i="30"/>
  <c r="BJ90" i="30"/>
  <c r="BI88" i="30"/>
  <c r="BI86" i="30"/>
  <c r="BH84" i="30"/>
  <c r="BH105" i="30"/>
  <c r="BG103" i="30"/>
  <c r="BK96" i="30"/>
  <c r="BI92" i="30"/>
  <c r="BH88" i="30"/>
  <c r="BJ102" i="30"/>
  <c r="BG94" i="30"/>
  <c r="BJ85" i="30"/>
  <c r="BK100" i="30"/>
  <c r="BH92" i="30"/>
  <c r="BH96" i="30"/>
  <c r="BK87" i="30"/>
  <c r="BL102" i="30"/>
  <c r="BI100" i="30"/>
  <c r="BL91" i="30"/>
  <c r="BK85" i="30"/>
  <c r="BG107" i="30"/>
  <c r="BJ98" i="30"/>
  <c r="BG90" i="30"/>
  <c r="BL106" i="30"/>
  <c r="BI98" i="30"/>
  <c r="BK89" i="30"/>
  <c r="BG105" i="30"/>
  <c r="BI96" i="30"/>
  <c r="BL87" i="30"/>
  <c r="BK104" i="30"/>
  <c r="BI94" i="30"/>
  <c r="AH99" i="30"/>
  <c r="B100" i="30"/>
  <c r="AI99" i="30"/>
  <c r="I246" i="30"/>
  <c r="F100" i="30"/>
  <c r="F7" i="30" s="1"/>
  <c r="V7" i="30"/>
  <c r="AV24" i="30"/>
  <c r="AA100" i="29"/>
  <c r="Y100" i="29"/>
  <c r="T57" i="29"/>
  <c r="T58" i="29"/>
  <c r="T62" i="29"/>
  <c r="T76" i="29"/>
  <c r="T80" i="29"/>
  <c r="T92" i="29"/>
  <c r="T101" i="29"/>
  <c r="T102" i="29"/>
  <c r="T103" i="29"/>
  <c r="T104" i="29"/>
  <c r="T105" i="29"/>
  <c r="T118" i="29"/>
  <c r="S57" i="29"/>
  <c r="S58" i="29"/>
  <c r="S62" i="29"/>
  <c r="S76" i="29"/>
  <c r="S80" i="29"/>
  <c r="S92" i="29"/>
  <c r="S101" i="29"/>
  <c r="S102" i="29"/>
  <c r="S103" i="29"/>
  <c r="S104" i="29"/>
  <c r="S105" i="29"/>
  <c r="R121" i="29"/>
  <c r="Q57" i="29"/>
  <c r="R57" i="29"/>
  <c r="P118" i="29"/>
  <c r="Q118" i="29"/>
  <c r="P57" i="29"/>
  <c r="O57" i="29"/>
  <c r="I121" i="29"/>
  <c r="K57" i="29"/>
  <c r="H121" i="29"/>
  <c r="H57" i="29"/>
  <c r="G121" i="29"/>
  <c r="G57" i="29"/>
  <c r="P247" i="31" l="1"/>
  <c r="O252" i="31"/>
  <c r="Q118" i="31"/>
  <c r="R246" i="31"/>
  <c r="G251" i="30"/>
  <c r="F118" i="30"/>
  <c r="F252" i="30"/>
  <c r="AT9" i="30"/>
  <c r="J246" i="30"/>
  <c r="AI100" i="30"/>
  <c r="B7" i="30"/>
  <c r="A7" i="30" s="1"/>
  <c r="AH100" i="30"/>
  <c r="AI108" i="30"/>
  <c r="AH108" i="30"/>
  <c r="AT8" i="30"/>
  <c r="K6" i="30"/>
  <c r="T107" i="29"/>
  <c r="T97" i="29"/>
  <c r="T99" i="29" s="1"/>
  <c r="T108" i="29"/>
  <c r="S107" i="29"/>
  <c r="S108" i="29" s="1"/>
  <c r="S97" i="29"/>
  <c r="S99" i="29" s="1"/>
  <c r="R118" i="31" l="1"/>
  <c r="S246" i="31"/>
  <c r="Q247" i="31"/>
  <c r="P252" i="31"/>
  <c r="H251" i="30"/>
  <c r="G252" i="30"/>
  <c r="G118" i="30"/>
  <c r="K246" i="30"/>
  <c r="T100" i="29"/>
  <c r="S100" i="29"/>
  <c r="R247" i="31" l="1"/>
  <c r="Q252" i="31"/>
  <c r="S118" i="31"/>
  <c r="T246" i="31"/>
  <c r="I251" i="30"/>
  <c r="H252" i="30"/>
  <c r="H118" i="30"/>
  <c r="L246" i="30"/>
  <c r="S247" i="31" l="1"/>
  <c r="R252" i="31"/>
  <c r="T118" i="31"/>
  <c r="U246" i="31"/>
  <c r="J251" i="30"/>
  <c r="I252" i="30"/>
  <c r="I118" i="30"/>
  <c r="M246" i="30"/>
  <c r="U118" i="31" l="1"/>
  <c r="V246" i="31"/>
  <c r="T247" i="31"/>
  <c r="S252" i="31"/>
  <c r="K251" i="30"/>
  <c r="J252" i="30"/>
  <c r="J118" i="30"/>
  <c r="N246" i="30"/>
  <c r="U247" i="31" l="1"/>
  <c r="T252" i="31"/>
  <c r="W246" i="31"/>
  <c r="V118" i="31"/>
  <c r="L251" i="30"/>
  <c r="K252" i="30"/>
  <c r="K118" i="30"/>
  <c r="O246" i="30"/>
  <c r="X246" i="31" l="1"/>
  <c r="W118" i="31"/>
  <c r="V247" i="31"/>
  <c r="U252" i="31"/>
  <c r="M251" i="30"/>
  <c r="L252" i="30"/>
  <c r="L118" i="30"/>
  <c r="P246" i="30"/>
  <c r="W247" i="31" l="1"/>
  <c r="V252" i="31"/>
  <c r="Y246" i="31"/>
  <c r="X118" i="31"/>
  <c r="N251" i="30"/>
  <c r="M252" i="30"/>
  <c r="M118" i="30"/>
  <c r="Q246" i="30"/>
  <c r="Z246" i="31" l="1"/>
  <c r="X247" i="31"/>
  <c r="W252" i="31"/>
  <c r="O251" i="30"/>
  <c r="N252" i="30"/>
  <c r="N118" i="30"/>
  <c r="R246" i="30"/>
  <c r="Y247" i="31" l="1"/>
  <c r="X252" i="31"/>
  <c r="AA246" i="31"/>
  <c r="P251" i="30"/>
  <c r="O252" i="30"/>
  <c r="O118" i="30"/>
  <c r="S246" i="30"/>
  <c r="AA118" i="31" l="1"/>
  <c r="AB246" i="31"/>
  <c r="Z247" i="31"/>
  <c r="Y252" i="31"/>
  <c r="Q251" i="30"/>
  <c r="P252" i="30"/>
  <c r="T246" i="30"/>
  <c r="AC246" i="31" l="1"/>
  <c r="AA247" i="31"/>
  <c r="Z252" i="31"/>
  <c r="R251" i="30"/>
  <c r="Q252" i="30"/>
  <c r="U246" i="30"/>
  <c r="AD246" i="31" l="1"/>
  <c r="AB247" i="31"/>
  <c r="AA252" i="31"/>
  <c r="S251" i="30"/>
  <c r="R252" i="30"/>
  <c r="R118" i="30"/>
  <c r="V246" i="30"/>
  <c r="AC247" i="31" l="1"/>
  <c r="AB252" i="31"/>
  <c r="AE246" i="31"/>
  <c r="T251" i="30"/>
  <c r="S252" i="30"/>
  <c r="S118" i="30"/>
  <c r="W246" i="30"/>
  <c r="AF246" i="31" l="1"/>
  <c r="AD247" i="31"/>
  <c r="AC252" i="31"/>
  <c r="U251" i="30"/>
  <c r="T252" i="30"/>
  <c r="T118" i="30"/>
  <c r="X246" i="30"/>
  <c r="AE247" i="31" l="1"/>
  <c r="AD252" i="31"/>
  <c r="B246" i="31"/>
  <c r="V251" i="30"/>
  <c r="U118" i="30"/>
  <c r="U252" i="30"/>
  <c r="Y246" i="30"/>
  <c r="B118" i="31" l="1"/>
  <c r="AF247" i="31"/>
  <c r="AE252" i="31"/>
  <c r="W251" i="30"/>
  <c r="V118" i="30"/>
  <c r="V252" i="30"/>
  <c r="Z246" i="30"/>
  <c r="B247" i="31" l="1"/>
  <c r="B252" i="31" s="1"/>
  <c r="AF252" i="31"/>
  <c r="AI118" i="31"/>
  <c r="AH118" i="31"/>
  <c r="X251" i="30"/>
  <c r="W118" i="30"/>
  <c r="W252" i="30"/>
  <c r="AA246" i="30"/>
  <c r="Y251" i="30" l="1"/>
  <c r="X118" i="30"/>
  <c r="X252" i="30"/>
  <c r="AB246" i="30"/>
  <c r="Z251" i="30" l="1"/>
  <c r="Y118" i="30"/>
  <c r="Y252" i="30"/>
  <c r="AC246" i="30"/>
  <c r="AA251" i="30" l="1"/>
  <c r="Z118" i="30"/>
  <c r="Z252" i="30"/>
  <c r="AD246" i="30"/>
  <c r="AB251" i="30" l="1"/>
  <c r="AA118" i="30"/>
  <c r="AA252" i="30"/>
  <c r="AE246" i="30"/>
  <c r="AC251" i="30" l="1"/>
  <c r="AB252" i="30"/>
  <c r="AB118" i="30"/>
  <c r="AF246" i="30"/>
  <c r="AD251" i="30" l="1"/>
  <c r="AC118" i="30"/>
  <c r="AC252" i="30"/>
  <c r="B246" i="30"/>
  <c r="AE251" i="30" l="1"/>
  <c r="AD252" i="30"/>
  <c r="AD118" i="30"/>
  <c r="AF251" i="30" l="1"/>
  <c r="AE252" i="30"/>
  <c r="AE118" i="30"/>
  <c r="B251" i="30" l="1"/>
  <c r="AF118" i="30"/>
  <c r="AF252" i="30"/>
  <c r="F121" i="29"/>
  <c r="AI121" i="29" s="1"/>
  <c r="F57" i="29"/>
  <c r="AH125" i="29"/>
  <c r="AI125" i="29"/>
  <c r="AH124" i="29"/>
  <c r="AI124" i="29"/>
  <c r="E121" i="29"/>
  <c r="E57" i="29"/>
  <c r="D58" i="29"/>
  <c r="D62" i="29"/>
  <c r="D76" i="29"/>
  <c r="D80" i="29"/>
  <c r="D92" i="29"/>
  <c r="D101" i="29"/>
  <c r="AO23" i="29" s="1"/>
  <c r="D102" i="29"/>
  <c r="D103" i="29"/>
  <c r="D104" i="29"/>
  <c r="D105" i="29"/>
  <c r="D118" i="29"/>
  <c r="C58" i="29"/>
  <c r="C62" i="29"/>
  <c r="C76" i="29"/>
  <c r="C80" i="29"/>
  <c r="C92" i="29"/>
  <c r="C97" i="29" s="1"/>
  <c r="C99" i="29" s="1"/>
  <c r="C101" i="29"/>
  <c r="C102" i="29"/>
  <c r="C103" i="29"/>
  <c r="C104" i="29"/>
  <c r="C105" i="29"/>
  <c r="C107" i="29"/>
  <c r="AN23" i="29" s="1"/>
  <c r="C118" i="29"/>
  <c r="B118" i="29"/>
  <c r="B105" i="29"/>
  <c r="B104" i="29"/>
  <c r="B103" i="29"/>
  <c r="B102" i="29"/>
  <c r="B101" i="29"/>
  <c r="B107" i="29" s="1"/>
  <c r="AM23" i="29" s="1"/>
  <c r="B92" i="29"/>
  <c r="B108" i="29" s="1"/>
  <c r="B80" i="29"/>
  <c r="B76" i="29"/>
  <c r="B62" i="29"/>
  <c r="B58" i="29"/>
  <c r="AG252" i="29"/>
  <c r="C252" i="29"/>
  <c r="E251" i="29"/>
  <c r="F251" i="29" s="1"/>
  <c r="G251" i="29" s="1"/>
  <c r="H251" i="29" s="1"/>
  <c r="I251" i="29" s="1"/>
  <c r="J251" i="29" s="1"/>
  <c r="K251" i="29" s="1"/>
  <c r="L251" i="29" s="1"/>
  <c r="M251" i="29" s="1"/>
  <c r="N251" i="29" s="1"/>
  <c r="O251" i="29" s="1"/>
  <c r="P251" i="29" s="1"/>
  <c r="Q251" i="29" s="1"/>
  <c r="R251" i="29" s="1"/>
  <c r="S251" i="29" s="1"/>
  <c r="T251" i="29" s="1"/>
  <c r="U251" i="29" s="1"/>
  <c r="V251" i="29" s="1"/>
  <c r="W251" i="29" s="1"/>
  <c r="X251" i="29" s="1"/>
  <c r="Y251" i="29" s="1"/>
  <c r="Z251" i="29" s="1"/>
  <c r="AA251" i="29" s="1"/>
  <c r="AB251" i="29" s="1"/>
  <c r="AC251" i="29" s="1"/>
  <c r="AD251" i="29" s="1"/>
  <c r="AE251" i="29" s="1"/>
  <c r="AF251" i="29" s="1"/>
  <c r="B251" i="29" s="1"/>
  <c r="D251" i="29"/>
  <c r="D250" i="29"/>
  <c r="E250" i="29" s="1"/>
  <c r="F250" i="29" s="1"/>
  <c r="G250" i="29" s="1"/>
  <c r="H250" i="29" s="1"/>
  <c r="I250" i="29" s="1"/>
  <c r="J250" i="29" s="1"/>
  <c r="K250" i="29" s="1"/>
  <c r="L250" i="29" s="1"/>
  <c r="M250" i="29" s="1"/>
  <c r="N250" i="29" s="1"/>
  <c r="O250" i="29" s="1"/>
  <c r="P250" i="29" s="1"/>
  <c r="Q250" i="29" s="1"/>
  <c r="R250" i="29" s="1"/>
  <c r="S250" i="29" s="1"/>
  <c r="T250" i="29" s="1"/>
  <c r="U250" i="29" s="1"/>
  <c r="V250" i="29" s="1"/>
  <c r="W250" i="29" s="1"/>
  <c r="X250" i="29" s="1"/>
  <c r="Y250" i="29" s="1"/>
  <c r="Z250" i="29" s="1"/>
  <c r="AA250" i="29" s="1"/>
  <c r="AB250" i="29" s="1"/>
  <c r="AC250" i="29" s="1"/>
  <c r="AD250" i="29" s="1"/>
  <c r="AE250" i="29" s="1"/>
  <c r="AF250" i="29" s="1"/>
  <c r="B250" i="29" s="1"/>
  <c r="D249" i="29"/>
  <c r="E249" i="29" s="1"/>
  <c r="F249" i="29" s="1"/>
  <c r="G249" i="29" s="1"/>
  <c r="H249" i="29" s="1"/>
  <c r="I249" i="29" s="1"/>
  <c r="J249" i="29" s="1"/>
  <c r="K249" i="29" s="1"/>
  <c r="L249" i="29" s="1"/>
  <c r="M249" i="29" s="1"/>
  <c r="N249" i="29" s="1"/>
  <c r="O249" i="29" s="1"/>
  <c r="P249" i="29" s="1"/>
  <c r="Q249" i="29" s="1"/>
  <c r="R249" i="29" s="1"/>
  <c r="S249" i="29" s="1"/>
  <c r="T249" i="29" s="1"/>
  <c r="U249" i="29" s="1"/>
  <c r="V249" i="29" s="1"/>
  <c r="W249" i="29" s="1"/>
  <c r="X249" i="29" s="1"/>
  <c r="Y249" i="29" s="1"/>
  <c r="Z249" i="29" s="1"/>
  <c r="AA249" i="29" s="1"/>
  <c r="AB249" i="29" s="1"/>
  <c r="AC249" i="29" s="1"/>
  <c r="AD249" i="29" s="1"/>
  <c r="AE249" i="29" s="1"/>
  <c r="AF249" i="29" s="1"/>
  <c r="B249" i="29" s="1"/>
  <c r="O248" i="29"/>
  <c r="P248" i="29" s="1"/>
  <c r="Q248" i="29" s="1"/>
  <c r="R248" i="29" s="1"/>
  <c r="S248" i="29" s="1"/>
  <c r="T248" i="29" s="1"/>
  <c r="U248" i="29" s="1"/>
  <c r="V248" i="29" s="1"/>
  <c r="W248" i="29" s="1"/>
  <c r="X248" i="29" s="1"/>
  <c r="Y248" i="29" s="1"/>
  <c r="Z248" i="29" s="1"/>
  <c r="AA248" i="29" s="1"/>
  <c r="AB248" i="29" s="1"/>
  <c r="AC248" i="29" s="1"/>
  <c r="AD248" i="29" s="1"/>
  <c r="AE248" i="29" s="1"/>
  <c r="AF248" i="29" s="1"/>
  <c r="B248" i="29" s="1"/>
  <c r="G248" i="29"/>
  <c r="H248" i="29" s="1"/>
  <c r="I248" i="29" s="1"/>
  <c r="J248" i="29" s="1"/>
  <c r="K248" i="29" s="1"/>
  <c r="L248" i="29" s="1"/>
  <c r="M248" i="29" s="1"/>
  <c r="N248" i="29" s="1"/>
  <c r="D248" i="29"/>
  <c r="E248" i="29" s="1"/>
  <c r="F248" i="29" s="1"/>
  <c r="M247" i="29"/>
  <c r="N247" i="29" s="1"/>
  <c r="O247" i="29" s="1"/>
  <c r="P247" i="29" s="1"/>
  <c r="Q247" i="29" s="1"/>
  <c r="R247" i="29" s="1"/>
  <c r="S247" i="29" s="1"/>
  <c r="T247" i="29" s="1"/>
  <c r="U247" i="29" s="1"/>
  <c r="V247" i="29" s="1"/>
  <c r="W247" i="29" s="1"/>
  <c r="X247" i="29" s="1"/>
  <c r="Y247" i="29" s="1"/>
  <c r="Z247" i="29" s="1"/>
  <c r="AA247" i="29" s="1"/>
  <c r="AB247" i="29" s="1"/>
  <c r="AC247" i="29" s="1"/>
  <c r="AD247" i="29" s="1"/>
  <c r="AE247" i="29" s="1"/>
  <c r="AF247" i="29" s="1"/>
  <c r="B247" i="29" s="1"/>
  <c r="E247" i="29"/>
  <c r="F247" i="29" s="1"/>
  <c r="G247" i="29" s="1"/>
  <c r="H247" i="29" s="1"/>
  <c r="I247" i="29" s="1"/>
  <c r="J247" i="29" s="1"/>
  <c r="K247" i="29" s="1"/>
  <c r="L247" i="29" s="1"/>
  <c r="D247" i="29"/>
  <c r="D246" i="29"/>
  <c r="D252" i="29" s="1"/>
  <c r="AG244" i="29"/>
  <c r="AF244" i="29"/>
  <c r="AE244" i="29"/>
  <c r="AD244" i="29"/>
  <c r="AC244" i="29"/>
  <c r="AB244" i="29"/>
  <c r="AA244" i="29"/>
  <c r="Z244" i="29"/>
  <c r="Y244" i="29"/>
  <c r="X244" i="29"/>
  <c r="W244" i="29"/>
  <c r="V244" i="29"/>
  <c r="U244" i="29"/>
  <c r="T244" i="29"/>
  <c r="S244" i="29"/>
  <c r="R244" i="29"/>
  <c r="Q244" i="29"/>
  <c r="P244" i="29"/>
  <c r="O244" i="29"/>
  <c r="N244" i="29"/>
  <c r="M244" i="29"/>
  <c r="L244" i="29"/>
  <c r="K244" i="29"/>
  <c r="J244" i="29"/>
  <c r="I244" i="29"/>
  <c r="H244" i="29"/>
  <c r="G244" i="29"/>
  <c r="F244" i="29"/>
  <c r="E244" i="29"/>
  <c r="D244" i="29"/>
  <c r="C244" i="29"/>
  <c r="B244" i="29"/>
  <c r="AI130" i="29"/>
  <c r="AH130" i="29"/>
  <c r="AI129" i="29"/>
  <c r="AH129" i="29"/>
  <c r="AI128" i="29"/>
  <c r="AH128" i="29"/>
  <c r="AI127" i="29"/>
  <c r="AH127" i="29"/>
  <c r="AI126" i="29"/>
  <c r="AH126" i="29"/>
  <c r="AI123" i="29"/>
  <c r="AH123" i="29"/>
  <c r="AI122" i="29"/>
  <c r="AH122" i="29"/>
  <c r="AH121" i="29"/>
  <c r="AI120" i="29"/>
  <c r="AH120" i="29"/>
  <c r="AI119" i="29"/>
  <c r="AH119" i="29"/>
  <c r="AI117" i="29"/>
  <c r="AH117" i="29"/>
  <c r="AI116" i="29"/>
  <c r="AH116" i="29"/>
  <c r="AI115" i="29"/>
  <c r="AH115" i="29"/>
  <c r="AI114" i="29"/>
  <c r="AH114" i="29"/>
  <c r="AI113" i="29"/>
  <c r="AH113" i="29"/>
  <c r="AI112" i="29"/>
  <c r="AH112" i="29"/>
  <c r="AI111" i="29"/>
  <c r="AH111" i="29"/>
  <c r="AI110" i="29"/>
  <c r="AH110" i="29"/>
  <c r="AI109" i="29"/>
  <c r="AH109" i="29"/>
  <c r="BF23" i="29"/>
  <c r="AI106" i="29"/>
  <c r="AH106" i="29"/>
  <c r="AF105" i="29"/>
  <c r="AE105" i="29"/>
  <c r="AD105" i="29"/>
  <c r="AC105" i="29"/>
  <c r="AB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AF104" i="29"/>
  <c r="AE104" i="29"/>
  <c r="AD104" i="29"/>
  <c r="AC104" i="29"/>
  <c r="AB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AF103" i="29"/>
  <c r="AE103" i="29"/>
  <c r="AD103" i="29"/>
  <c r="AC103" i="29"/>
  <c r="AB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AF102" i="29"/>
  <c r="AE102" i="29"/>
  <c r="AD102" i="29"/>
  <c r="AC102" i="29"/>
  <c r="AB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AF101" i="29"/>
  <c r="AF107" i="29" s="1"/>
  <c r="BJ23" i="29" s="1"/>
  <c r="AE101" i="29"/>
  <c r="AD101" i="29"/>
  <c r="AC101" i="29"/>
  <c r="AB101" i="29"/>
  <c r="BD23" i="29"/>
  <c r="R101" i="29"/>
  <c r="Q101" i="29"/>
  <c r="Q107" i="29" s="1"/>
  <c r="P101" i="29"/>
  <c r="P107" i="29" s="1"/>
  <c r="AX23" i="29" s="1"/>
  <c r="O101" i="29"/>
  <c r="N101" i="29"/>
  <c r="M101" i="29"/>
  <c r="L101" i="29"/>
  <c r="K101" i="29"/>
  <c r="J101" i="29"/>
  <c r="I101" i="29"/>
  <c r="I107" i="29" s="1"/>
  <c r="AS23" i="29" s="1"/>
  <c r="H101" i="29"/>
  <c r="G101" i="29"/>
  <c r="F101" i="29"/>
  <c r="F107" i="29" s="1"/>
  <c r="AQ23" i="29" s="1"/>
  <c r="E101" i="29"/>
  <c r="AI98" i="29"/>
  <c r="AH98" i="29"/>
  <c r="AI96" i="29"/>
  <c r="AH96" i="29"/>
  <c r="AG96" i="29"/>
  <c r="AI95" i="29"/>
  <c r="AH95" i="29"/>
  <c r="AI94" i="29"/>
  <c r="AH94" i="29"/>
  <c r="AI93" i="29"/>
  <c r="AH93" i="29"/>
  <c r="AG92" i="29"/>
  <c r="AF92" i="29"/>
  <c r="AE5" i="29" s="1"/>
  <c r="AE92" i="29"/>
  <c r="BI19" i="29" s="1"/>
  <c r="AD92" i="29"/>
  <c r="BH19" i="29" s="1"/>
  <c r="AC92" i="29"/>
  <c r="AB5" i="29" s="1"/>
  <c r="AB92" i="29"/>
  <c r="BG19" i="29" s="1"/>
  <c r="R92" i="29"/>
  <c r="AZ19" i="29" s="1"/>
  <c r="Q92" i="29"/>
  <c r="P5" i="29" s="1"/>
  <c r="P92" i="29"/>
  <c r="AX19" i="29" s="1"/>
  <c r="O92" i="29"/>
  <c r="N5" i="29" s="1"/>
  <c r="N92" i="29"/>
  <c r="M5" i="29" s="1"/>
  <c r="M92" i="29"/>
  <c r="AU19" i="29" s="1"/>
  <c r="L92" i="29"/>
  <c r="K5" i="29" s="1"/>
  <c r="K92" i="29"/>
  <c r="J92" i="29"/>
  <c r="I92" i="29"/>
  <c r="AS19" i="29" s="1"/>
  <c r="H92" i="29"/>
  <c r="G92" i="29"/>
  <c r="AR19" i="29" s="1"/>
  <c r="F92" i="29"/>
  <c r="E5" i="29" s="1"/>
  <c r="E92" i="29"/>
  <c r="D5" i="29" s="1"/>
  <c r="AI91" i="29"/>
  <c r="AH91" i="29"/>
  <c r="AI90" i="29"/>
  <c r="AH90" i="29"/>
  <c r="AI89" i="29"/>
  <c r="AH89" i="29"/>
  <c r="AI88" i="29"/>
  <c r="AH88" i="29"/>
  <c r="AI87" i="29"/>
  <c r="AH87" i="29"/>
  <c r="AI86" i="29"/>
  <c r="AH86" i="29"/>
  <c r="AI85" i="29"/>
  <c r="AH85" i="29"/>
  <c r="AI84" i="29"/>
  <c r="AH84" i="29"/>
  <c r="AI83" i="29"/>
  <c r="AH83" i="29"/>
  <c r="AI82" i="29"/>
  <c r="AH82" i="29"/>
  <c r="AI81" i="29"/>
  <c r="AH81" i="29"/>
  <c r="AG80" i="29"/>
  <c r="AF80" i="29"/>
  <c r="BJ20" i="29" s="1"/>
  <c r="AE80" i="29"/>
  <c r="BI20" i="29" s="1"/>
  <c r="AD80" i="29"/>
  <c r="BH20" i="29" s="1"/>
  <c r="AC80" i="29"/>
  <c r="AB80" i="29"/>
  <c r="BG20" i="29" s="1"/>
  <c r="R80" i="29"/>
  <c r="AZ20" i="29" s="1"/>
  <c r="Q80" i="29"/>
  <c r="P80" i="29"/>
  <c r="O80" i="29"/>
  <c r="AW20" i="29" s="1"/>
  <c r="N80" i="29"/>
  <c r="M80" i="29"/>
  <c r="AU20" i="29" s="1"/>
  <c r="L80" i="29"/>
  <c r="K80" i="29"/>
  <c r="J80" i="29"/>
  <c r="I80" i="29"/>
  <c r="AS20" i="29" s="1"/>
  <c r="H80" i="29"/>
  <c r="G80" i="29"/>
  <c r="AR20" i="29" s="1"/>
  <c r="F80" i="29"/>
  <c r="E80" i="29"/>
  <c r="AP20" i="29" s="1"/>
  <c r="AI79" i="29"/>
  <c r="AH79" i="29"/>
  <c r="AI78" i="29"/>
  <c r="AH78" i="29"/>
  <c r="AI77" i="29"/>
  <c r="AH77" i="29"/>
  <c r="BF76" i="29"/>
  <c r="BB76" i="29"/>
  <c r="AG76" i="29"/>
  <c r="AF76" i="29"/>
  <c r="BJ18" i="29" s="1"/>
  <c r="AE76" i="29"/>
  <c r="BI18" i="29" s="1"/>
  <c r="AD76" i="29"/>
  <c r="BH18" i="29" s="1"/>
  <c r="AC76" i="29"/>
  <c r="AB76" i="29"/>
  <c r="BG18" i="29" s="1"/>
  <c r="BD18" i="29"/>
  <c r="BC18" i="29"/>
  <c r="R76" i="29"/>
  <c r="AZ18" i="29" s="1"/>
  <c r="Q76" i="29"/>
  <c r="P76" i="29"/>
  <c r="AX18" i="29" s="1"/>
  <c r="O76" i="29"/>
  <c r="AW18" i="29" s="1"/>
  <c r="N76" i="29"/>
  <c r="AV18" i="29" s="1"/>
  <c r="M76" i="29"/>
  <c r="AU18" i="29" s="1"/>
  <c r="L76" i="29"/>
  <c r="K76" i="29"/>
  <c r="AT18" i="29" s="1"/>
  <c r="J76" i="29"/>
  <c r="I76" i="29"/>
  <c r="H76" i="29"/>
  <c r="G76" i="29"/>
  <c r="AR18" i="29" s="1"/>
  <c r="F76" i="29"/>
  <c r="AQ18" i="29" s="1"/>
  <c r="E76" i="29"/>
  <c r="AP18" i="29" s="1"/>
  <c r="BS75" i="29"/>
  <c r="BL75" i="29"/>
  <c r="BK75" i="29"/>
  <c r="BC75" i="29"/>
  <c r="AI75" i="29"/>
  <c r="AH75" i="29"/>
  <c r="AG75" i="29"/>
  <c r="AI74" i="29"/>
  <c r="AH74" i="29"/>
  <c r="BW73" i="29"/>
  <c r="BW80" i="29" s="1"/>
  <c r="BV73" i="29"/>
  <c r="BV80" i="29" s="1"/>
  <c r="BU73" i="29"/>
  <c r="BU80" i="29" s="1"/>
  <c r="BT73" i="29"/>
  <c r="BT80" i="29" s="1"/>
  <c r="BS73" i="29"/>
  <c r="BS80" i="29" s="1"/>
  <c r="BR73" i="29"/>
  <c r="BR80" i="29" s="1"/>
  <c r="BQ73" i="29"/>
  <c r="BQ80" i="29" s="1"/>
  <c r="BP73" i="29"/>
  <c r="BP80" i="29" s="1"/>
  <c r="BO73" i="29"/>
  <c r="BO80" i="29" s="1"/>
  <c r="BN73" i="29"/>
  <c r="BN80" i="29" s="1"/>
  <c r="BM73" i="29"/>
  <c r="BM80" i="29" s="1"/>
  <c r="BL73" i="29"/>
  <c r="BL80" i="29" s="1"/>
  <c r="BK73" i="29"/>
  <c r="BK80" i="29" s="1"/>
  <c r="BJ73" i="29"/>
  <c r="BJ80" i="29" s="1"/>
  <c r="BI73" i="29"/>
  <c r="BI80" i="29" s="1"/>
  <c r="BH73" i="29"/>
  <c r="BH80" i="29" s="1"/>
  <c r="BG73" i="29"/>
  <c r="BG80" i="29" s="1"/>
  <c r="BF73" i="29"/>
  <c r="BF80" i="29" s="1"/>
  <c r="BE73" i="29"/>
  <c r="BE80" i="29" s="1"/>
  <c r="BD73" i="29"/>
  <c r="BD80" i="29" s="1"/>
  <c r="BC73" i="29"/>
  <c r="BC80" i="29" s="1"/>
  <c r="BB73" i="29"/>
  <c r="BB80" i="29" s="1"/>
  <c r="BA73" i="29"/>
  <c r="BA80" i="29" s="1"/>
  <c r="AZ73" i="29"/>
  <c r="AZ80" i="29" s="1"/>
  <c r="AI73" i="29"/>
  <c r="AH73" i="29"/>
  <c r="BW72" i="29"/>
  <c r="BW79" i="29" s="1"/>
  <c r="BV72" i="29"/>
  <c r="BV79" i="29" s="1"/>
  <c r="BU72" i="29"/>
  <c r="BU79" i="29" s="1"/>
  <c r="BT72" i="29"/>
  <c r="BT79" i="29" s="1"/>
  <c r="BS72" i="29"/>
  <c r="BS79" i="29" s="1"/>
  <c r="BR72" i="29"/>
  <c r="BR79" i="29" s="1"/>
  <c r="BQ72" i="29"/>
  <c r="BQ79" i="29" s="1"/>
  <c r="BP72" i="29"/>
  <c r="BP79" i="29" s="1"/>
  <c r="BO72" i="29"/>
  <c r="BO79" i="29" s="1"/>
  <c r="BN72" i="29"/>
  <c r="BN79" i="29" s="1"/>
  <c r="BM72" i="29"/>
  <c r="BM79" i="29" s="1"/>
  <c r="BL72" i="29"/>
  <c r="BL79" i="29" s="1"/>
  <c r="BK72" i="29"/>
  <c r="BK79" i="29" s="1"/>
  <c r="BJ72" i="29"/>
  <c r="BJ79" i="29" s="1"/>
  <c r="BI72" i="29"/>
  <c r="BI79" i="29" s="1"/>
  <c r="BH72" i="29"/>
  <c r="BH79" i="29" s="1"/>
  <c r="BG72" i="29"/>
  <c r="BG79" i="29" s="1"/>
  <c r="BF72" i="29"/>
  <c r="BF79" i="29" s="1"/>
  <c r="BE72" i="29"/>
  <c r="BE79" i="29" s="1"/>
  <c r="BD72" i="29"/>
  <c r="BD79" i="29" s="1"/>
  <c r="BC72" i="29"/>
  <c r="BC79" i="29" s="1"/>
  <c r="BB72" i="29"/>
  <c r="BB79" i="29" s="1"/>
  <c r="BA72" i="29"/>
  <c r="BA79" i="29" s="1"/>
  <c r="AZ72" i="29"/>
  <c r="AZ79" i="29" s="1"/>
  <c r="AI72" i="29"/>
  <c r="AH72" i="29"/>
  <c r="BW71" i="29"/>
  <c r="BW78" i="29" s="1"/>
  <c r="BV71" i="29"/>
  <c r="BV78" i="29" s="1"/>
  <c r="BU71" i="29"/>
  <c r="BU78" i="29" s="1"/>
  <c r="BT71" i="29"/>
  <c r="BT78" i="29" s="1"/>
  <c r="BS71" i="29"/>
  <c r="BS78" i="29" s="1"/>
  <c r="BR71" i="29"/>
  <c r="BR78" i="29" s="1"/>
  <c r="BQ71" i="29"/>
  <c r="BQ78" i="29" s="1"/>
  <c r="BP71" i="29"/>
  <c r="BP78" i="29" s="1"/>
  <c r="BO71" i="29"/>
  <c r="BO78" i="29" s="1"/>
  <c r="BN71" i="29"/>
  <c r="BN78" i="29" s="1"/>
  <c r="BM71" i="29"/>
  <c r="BM78" i="29" s="1"/>
  <c r="BL71" i="29"/>
  <c r="BL78" i="29" s="1"/>
  <c r="BK71" i="29"/>
  <c r="BK78" i="29" s="1"/>
  <c r="BJ71" i="29"/>
  <c r="BJ78" i="29" s="1"/>
  <c r="BI71" i="29"/>
  <c r="BI78" i="29" s="1"/>
  <c r="BH71" i="29"/>
  <c r="BH78" i="29" s="1"/>
  <c r="BG71" i="29"/>
  <c r="BG78" i="29" s="1"/>
  <c r="BF71" i="29"/>
  <c r="BF78" i="29" s="1"/>
  <c r="BE71" i="29"/>
  <c r="BE78" i="29" s="1"/>
  <c r="BD71" i="29"/>
  <c r="BD78" i="29" s="1"/>
  <c r="BC71" i="29"/>
  <c r="BC78" i="29" s="1"/>
  <c r="BB71" i="29"/>
  <c r="BB78" i="29" s="1"/>
  <c r="BA71" i="29"/>
  <c r="BA78" i="29" s="1"/>
  <c r="AZ71" i="29"/>
  <c r="AZ78" i="29" s="1"/>
  <c r="AI71" i="29"/>
  <c r="AH71" i="29"/>
  <c r="BW70" i="29"/>
  <c r="BW77" i="29" s="1"/>
  <c r="BV70" i="29"/>
  <c r="BV77" i="29" s="1"/>
  <c r="BU70" i="29"/>
  <c r="BU77" i="29" s="1"/>
  <c r="BT70" i="29"/>
  <c r="BT77" i="29" s="1"/>
  <c r="BS70" i="29"/>
  <c r="BS77" i="29" s="1"/>
  <c r="BR70" i="29"/>
  <c r="BR77" i="29" s="1"/>
  <c r="BQ70" i="29"/>
  <c r="BQ77" i="29" s="1"/>
  <c r="BP70" i="29"/>
  <c r="BP77" i="29" s="1"/>
  <c r="BO70" i="29"/>
  <c r="BO77" i="29" s="1"/>
  <c r="BN70" i="29"/>
  <c r="BN77" i="29" s="1"/>
  <c r="BM70" i="29"/>
  <c r="BM77" i="29" s="1"/>
  <c r="BL70" i="29"/>
  <c r="BL77" i="29" s="1"/>
  <c r="BK70" i="29"/>
  <c r="BK77" i="29" s="1"/>
  <c r="BJ70" i="29"/>
  <c r="BJ77" i="29" s="1"/>
  <c r="BI70" i="29"/>
  <c r="BI77" i="29" s="1"/>
  <c r="BH70" i="29"/>
  <c r="BH77" i="29" s="1"/>
  <c r="BG70" i="29"/>
  <c r="BG77" i="29" s="1"/>
  <c r="BF70" i="29"/>
  <c r="BF77" i="29" s="1"/>
  <c r="BE70" i="29"/>
  <c r="BE77" i="29" s="1"/>
  <c r="BD70" i="29"/>
  <c r="BD77" i="29" s="1"/>
  <c r="BC70" i="29"/>
  <c r="BC77" i="29" s="1"/>
  <c r="BB70" i="29"/>
  <c r="BB77" i="29" s="1"/>
  <c r="BA70" i="29"/>
  <c r="BA77" i="29" s="1"/>
  <c r="AZ70" i="29"/>
  <c r="AZ77" i="29" s="1"/>
  <c r="AI70" i="29"/>
  <c r="AH70" i="29"/>
  <c r="BW69" i="29"/>
  <c r="BW76" i="29" s="1"/>
  <c r="BV69" i="29"/>
  <c r="BV76" i="29" s="1"/>
  <c r="BU69" i="29"/>
  <c r="BU76" i="29" s="1"/>
  <c r="BT69" i="29"/>
  <c r="BT76" i="29" s="1"/>
  <c r="BS69" i="29"/>
  <c r="BS76" i="29" s="1"/>
  <c r="BR69" i="29"/>
  <c r="BR76" i="29" s="1"/>
  <c r="BQ69" i="29"/>
  <c r="BQ76" i="29" s="1"/>
  <c r="BP69" i="29"/>
  <c r="BP76" i="29" s="1"/>
  <c r="BO69" i="29"/>
  <c r="BO76" i="29" s="1"/>
  <c r="BN69" i="29"/>
  <c r="BN76" i="29" s="1"/>
  <c r="BM69" i="29"/>
  <c r="BM76" i="29" s="1"/>
  <c r="BL69" i="29"/>
  <c r="BL76" i="29" s="1"/>
  <c r="BK69" i="29"/>
  <c r="BK76" i="29" s="1"/>
  <c r="BJ69" i="29"/>
  <c r="BJ76" i="29" s="1"/>
  <c r="BI69" i="29"/>
  <c r="BI76" i="29" s="1"/>
  <c r="BH69" i="29"/>
  <c r="BH76" i="29" s="1"/>
  <c r="BG69" i="29"/>
  <c r="BG76" i="29" s="1"/>
  <c r="BF69" i="29"/>
  <c r="BE69" i="29"/>
  <c r="BE76" i="29" s="1"/>
  <c r="BD69" i="29"/>
  <c r="BD76" i="29" s="1"/>
  <c r="BC69" i="29"/>
  <c r="BC76" i="29" s="1"/>
  <c r="BB69" i="29"/>
  <c r="BA69" i="29"/>
  <c r="BA76" i="29" s="1"/>
  <c r="AZ69" i="29"/>
  <c r="AZ76" i="29" s="1"/>
  <c r="AI69" i="29"/>
  <c r="AH69" i="29"/>
  <c r="BW68" i="29"/>
  <c r="BW75" i="29" s="1"/>
  <c r="BV68" i="29"/>
  <c r="BV75" i="29" s="1"/>
  <c r="BU68" i="29"/>
  <c r="BU75" i="29" s="1"/>
  <c r="BT68" i="29"/>
  <c r="BT75" i="29" s="1"/>
  <c r="BS68" i="29"/>
  <c r="BR68" i="29"/>
  <c r="BR75" i="29" s="1"/>
  <c r="BQ68" i="29"/>
  <c r="BQ75" i="29" s="1"/>
  <c r="BP68" i="29"/>
  <c r="BP75" i="29" s="1"/>
  <c r="BO68" i="29"/>
  <c r="BO75" i="29" s="1"/>
  <c r="BN68" i="29"/>
  <c r="BN75" i="29" s="1"/>
  <c r="BM68" i="29"/>
  <c r="BM75" i="29" s="1"/>
  <c r="BL68" i="29"/>
  <c r="BK68" i="29"/>
  <c r="BJ68" i="29"/>
  <c r="BJ75" i="29" s="1"/>
  <c r="BI68" i="29"/>
  <c r="BI75" i="29" s="1"/>
  <c r="BH68" i="29"/>
  <c r="BH75" i="29" s="1"/>
  <c r="BG68" i="29"/>
  <c r="BG75" i="29" s="1"/>
  <c r="BF68" i="29"/>
  <c r="BF75" i="29" s="1"/>
  <c r="BE68" i="29"/>
  <c r="BE75" i="29" s="1"/>
  <c r="BD68" i="29"/>
  <c r="BD75" i="29" s="1"/>
  <c r="BC68" i="29"/>
  <c r="BB68" i="29"/>
  <c r="BB75" i="29" s="1"/>
  <c r="BA68" i="29"/>
  <c r="BA75" i="29" s="1"/>
  <c r="AZ68" i="29"/>
  <c r="AZ75" i="29" s="1"/>
  <c r="AI68" i="29"/>
  <c r="AH68" i="29"/>
  <c r="AI67" i="29"/>
  <c r="AH67" i="29"/>
  <c r="AI66" i="29"/>
  <c r="AH66" i="29"/>
  <c r="AI65" i="29"/>
  <c r="AH65" i="29"/>
  <c r="AI64" i="29"/>
  <c r="AH64" i="29"/>
  <c r="AI63" i="29"/>
  <c r="AH63" i="29"/>
  <c r="AG62" i="29"/>
  <c r="AF62" i="29"/>
  <c r="AE62" i="29"/>
  <c r="BI17" i="29" s="1"/>
  <c r="AD62" i="29"/>
  <c r="BH17" i="29" s="1"/>
  <c r="AC62" i="29"/>
  <c r="AB62" i="29"/>
  <c r="BF17" i="29"/>
  <c r="BA17" i="29"/>
  <c r="R62" i="29"/>
  <c r="AZ17" i="29" s="1"/>
  <c r="Q62" i="29"/>
  <c r="AY17" i="29" s="1"/>
  <c r="P62" i="29"/>
  <c r="AX17" i="29" s="1"/>
  <c r="O62" i="29"/>
  <c r="AW17" i="29" s="1"/>
  <c r="N62" i="29"/>
  <c r="M62" i="29"/>
  <c r="L62" i="29"/>
  <c r="K62" i="29"/>
  <c r="AT17" i="29" s="1"/>
  <c r="J62" i="29"/>
  <c r="I62" i="29"/>
  <c r="AS17" i="29" s="1"/>
  <c r="H62" i="29"/>
  <c r="G62" i="29"/>
  <c r="F62" i="29"/>
  <c r="AQ17" i="29" s="1"/>
  <c r="E62" i="29"/>
  <c r="AI61" i="29"/>
  <c r="AH61" i="29"/>
  <c r="AI60" i="29"/>
  <c r="AH60" i="29"/>
  <c r="AI59" i="29"/>
  <c r="AH59" i="29"/>
  <c r="AG58" i="29"/>
  <c r="AG97" i="29" s="1"/>
  <c r="AF58" i="29"/>
  <c r="BJ16" i="29" s="1"/>
  <c r="AE58" i="29"/>
  <c r="AD58" i="29"/>
  <c r="AC58" i="29"/>
  <c r="AB58" i="29"/>
  <c r="BG16" i="29" s="1"/>
  <c r="Z7" i="29"/>
  <c r="Y7" i="29"/>
  <c r="BE16" i="29"/>
  <c r="R58" i="29"/>
  <c r="Q58" i="29"/>
  <c r="P58" i="29"/>
  <c r="O58" i="29"/>
  <c r="N58" i="29"/>
  <c r="M58" i="29"/>
  <c r="AU16" i="29" s="1"/>
  <c r="L58" i="29"/>
  <c r="K58" i="29"/>
  <c r="J58" i="29"/>
  <c r="I58" i="29"/>
  <c r="H58" i="29"/>
  <c r="G58" i="29"/>
  <c r="F58" i="29"/>
  <c r="AQ16" i="29" s="1"/>
  <c r="E58" i="29"/>
  <c r="AP16" i="29" s="1"/>
  <c r="AI57" i="29"/>
  <c r="AH57" i="29"/>
  <c r="AI56" i="29"/>
  <c r="AH56" i="29"/>
  <c r="AI55" i="29"/>
  <c r="AH55" i="29"/>
  <c r="AI54" i="29"/>
  <c r="AH54" i="29"/>
  <c r="AI53" i="29"/>
  <c r="AH53" i="29"/>
  <c r="AI52" i="29"/>
  <c r="AH52" i="29"/>
  <c r="AI51" i="29"/>
  <c r="AH51" i="29"/>
  <c r="AI50" i="29"/>
  <c r="AH50" i="29"/>
  <c r="AI49" i="29"/>
  <c r="AH49" i="29"/>
  <c r="AI48" i="29"/>
  <c r="AH48" i="29"/>
  <c r="AI47" i="29"/>
  <c r="AH47" i="29"/>
  <c r="AI46" i="29"/>
  <c r="AH46" i="29"/>
  <c r="AI45" i="29"/>
  <c r="AH45" i="29"/>
  <c r="AI44" i="29"/>
  <c r="AH44" i="29"/>
  <c r="AI43" i="29"/>
  <c r="AH43" i="29"/>
  <c r="AI42" i="29"/>
  <c r="AH42" i="29"/>
  <c r="AI41" i="29"/>
  <c r="AH41" i="29"/>
  <c r="AI40" i="29"/>
  <c r="AH40" i="29"/>
  <c r="AI39" i="29"/>
  <c r="AH39" i="29"/>
  <c r="AI38" i="29"/>
  <c r="AH38" i="29"/>
  <c r="AI37" i="29"/>
  <c r="AH37" i="29"/>
  <c r="AI36" i="29"/>
  <c r="AH36" i="29"/>
  <c r="AI35" i="29"/>
  <c r="AH35" i="29"/>
  <c r="AI34" i="29"/>
  <c r="AH34" i="29"/>
  <c r="AI33" i="29"/>
  <c r="AH33" i="29"/>
  <c r="AI32" i="29"/>
  <c r="AH32" i="29"/>
  <c r="AI31" i="29"/>
  <c r="AH31" i="29"/>
  <c r="AI30" i="29"/>
  <c r="AH30" i="29"/>
  <c r="AI29" i="29"/>
  <c r="AH29" i="29"/>
  <c r="AI28" i="29"/>
  <c r="AH28" i="29"/>
  <c r="AI27" i="29"/>
  <c r="AH27" i="29"/>
  <c r="AI26" i="29"/>
  <c r="AH26" i="29"/>
  <c r="AI25" i="29"/>
  <c r="AH25" i="29"/>
  <c r="AI24" i="29"/>
  <c r="AH24" i="29"/>
  <c r="BE23" i="29"/>
  <c r="BC23" i="29"/>
  <c r="BB23" i="29"/>
  <c r="BA23" i="29"/>
  <c r="AI23" i="29"/>
  <c r="AH23" i="29"/>
  <c r="AI22" i="29"/>
  <c r="AH22" i="29"/>
  <c r="BJ21" i="29"/>
  <c r="BI21" i="29"/>
  <c r="BH21" i="29"/>
  <c r="BG21" i="29"/>
  <c r="BF21" i="29"/>
  <c r="BE21" i="29"/>
  <c r="BD21" i="29"/>
  <c r="BC21" i="29"/>
  <c r="BB21" i="29"/>
  <c r="BA21" i="29"/>
  <c r="AZ21" i="29"/>
  <c r="AY21" i="29"/>
  <c r="AX21" i="29"/>
  <c r="AW21" i="29"/>
  <c r="AV21" i="29"/>
  <c r="AU21" i="29"/>
  <c r="AT21" i="29"/>
  <c r="AS21" i="29"/>
  <c r="AR21" i="29"/>
  <c r="AQ21" i="29"/>
  <c r="AP21" i="29"/>
  <c r="AO21" i="29"/>
  <c r="AN21" i="29"/>
  <c r="AM21" i="29"/>
  <c r="AI21" i="29"/>
  <c r="AH21" i="29"/>
  <c r="BF20" i="29"/>
  <c r="BE20" i="29"/>
  <c r="BD20" i="29"/>
  <c r="BC20" i="29"/>
  <c r="BB20" i="29"/>
  <c r="BA20" i="29"/>
  <c r="AY20" i="29"/>
  <c r="AX20" i="29"/>
  <c r="AV20" i="29"/>
  <c r="AT20" i="29"/>
  <c r="AQ20" i="29"/>
  <c r="AO20" i="29"/>
  <c r="AN20" i="29"/>
  <c r="AM20" i="29"/>
  <c r="AI20" i="29"/>
  <c r="AH20" i="29"/>
  <c r="BF19" i="29"/>
  <c r="BE19" i="29"/>
  <c r="BD19" i="29"/>
  <c r="BC19" i="29"/>
  <c r="BB19" i="29"/>
  <c r="BA19" i="29"/>
  <c r="AW19" i="29"/>
  <c r="AQ19" i="29"/>
  <c r="AN19" i="29"/>
  <c r="AI19" i="29"/>
  <c r="AH19" i="29"/>
  <c r="BF18" i="29"/>
  <c r="BE18" i="29"/>
  <c r="BB18" i="29"/>
  <c r="BA18" i="29"/>
  <c r="AY18" i="29"/>
  <c r="AS18" i="29"/>
  <c r="AN18" i="29"/>
  <c r="AM18" i="29"/>
  <c r="AI18" i="29"/>
  <c r="AH18" i="29"/>
  <c r="BJ17" i="29"/>
  <c r="BG17" i="29"/>
  <c r="BE17" i="29"/>
  <c r="BD17" i="29"/>
  <c r="BC17" i="29"/>
  <c r="BB17" i="29"/>
  <c r="AV17" i="29"/>
  <c r="AU17" i="29"/>
  <c r="AR17" i="29"/>
  <c r="AP17" i="29"/>
  <c r="AO17" i="29"/>
  <c r="AN17" i="29"/>
  <c r="AI17" i="29"/>
  <c r="AH17" i="29"/>
  <c r="BI16" i="29"/>
  <c r="BH16" i="29"/>
  <c r="BD16" i="29"/>
  <c r="BC16" i="29"/>
  <c r="BB16" i="29"/>
  <c r="AX16" i="29"/>
  <c r="AW16" i="29"/>
  <c r="AV16" i="29"/>
  <c r="AR16" i="29"/>
  <c r="AI16" i="29"/>
  <c r="AH16" i="29"/>
  <c r="AI15" i="29"/>
  <c r="AH15" i="29"/>
  <c r="AI14" i="29"/>
  <c r="AH14" i="29"/>
  <c r="AI13" i="29"/>
  <c r="AH13" i="29"/>
  <c r="AL12" i="29"/>
  <c r="AI12" i="29"/>
  <c r="AH12" i="29"/>
  <c r="AI11" i="29"/>
  <c r="AH11" i="29"/>
  <c r="AA7" i="29"/>
  <c r="S7" i="29"/>
  <c r="Z5" i="29"/>
  <c r="Y5" i="29"/>
  <c r="X5" i="29"/>
  <c r="W5" i="29"/>
  <c r="V5" i="29"/>
  <c r="U5" i="29"/>
  <c r="T5" i="29"/>
  <c r="S5" i="29"/>
  <c r="R5" i="29"/>
  <c r="O5" i="29"/>
  <c r="H5" i="29"/>
  <c r="G5" i="29"/>
  <c r="C5" i="29"/>
  <c r="B5" i="29"/>
  <c r="AG4" i="29"/>
  <c r="K4" i="29"/>
  <c r="E4" i="29"/>
  <c r="H4" i="29" s="1"/>
  <c r="B4" i="29"/>
  <c r="D258" i="29" s="1"/>
  <c r="AG3" i="29"/>
  <c r="AE58" i="28"/>
  <c r="AE62" i="28"/>
  <c r="AE76" i="28"/>
  <c r="AE80" i="28"/>
  <c r="AE92" i="28"/>
  <c r="AE108" i="28" s="1"/>
  <c r="AE101" i="28"/>
  <c r="AE102" i="28"/>
  <c r="AE103" i="28"/>
  <c r="AE104" i="28"/>
  <c r="AE105" i="28"/>
  <c r="AE118" i="28"/>
  <c r="AD58" i="28"/>
  <c r="AD62" i="28"/>
  <c r="AD76" i="28"/>
  <c r="AD80" i="28"/>
  <c r="AD92" i="28"/>
  <c r="AD108" i="28" s="1"/>
  <c r="AD101" i="28"/>
  <c r="AD102" i="28"/>
  <c r="AD103" i="28"/>
  <c r="AD104" i="28"/>
  <c r="AD105" i="28"/>
  <c r="AD118" i="28"/>
  <c r="B252" i="30" l="1"/>
  <c r="B118" i="30"/>
  <c r="AF97" i="29"/>
  <c r="AF99" i="29" s="1"/>
  <c r="AF100" i="29" s="1"/>
  <c r="AF7" i="29" s="1"/>
  <c r="BJ19" i="29"/>
  <c r="BJ22" i="29"/>
  <c r="BJ24" i="29" s="1"/>
  <c r="AF108" i="29"/>
  <c r="AD5" i="29"/>
  <c r="AE97" i="29"/>
  <c r="AE99" i="29" s="1"/>
  <c r="BI22" i="29"/>
  <c r="AC5" i="29"/>
  <c r="AD107" i="29"/>
  <c r="BH23" i="29" s="1"/>
  <c r="BH22" i="29"/>
  <c r="AC107" i="29"/>
  <c r="AB107" i="29"/>
  <c r="BG23" i="29" s="1"/>
  <c r="AA5" i="29"/>
  <c r="BG22" i="29"/>
  <c r="BG24" i="29" s="1"/>
  <c r="BE22" i="29"/>
  <c r="BE24" i="29" s="1"/>
  <c r="X7" i="29"/>
  <c r="BB22" i="29"/>
  <c r="BB24" i="29" s="1"/>
  <c r="AY19" i="29"/>
  <c r="R107" i="29"/>
  <c r="AZ23" i="29" s="1"/>
  <c r="R97" i="29"/>
  <c r="R99" i="29" s="1"/>
  <c r="R100" i="29" s="1"/>
  <c r="R7" i="29" s="1"/>
  <c r="Q5" i="29"/>
  <c r="Q108" i="29"/>
  <c r="R108" i="29"/>
  <c r="AY23" i="29"/>
  <c r="Q97" i="29"/>
  <c r="Q99" i="29" s="1"/>
  <c r="Q100" i="29" s="1"/>
  <c r="Q7" i="29" s="1"/>
  <c r="P108" i="29"/>
  <c r="AX22" i="29"/>
  <c r="AX24" i="29" s="1"/>
  <c r="P97" i="29"/>
  <c r="P99" i="29" s="1"/>
  <c r="P100" i="29" s="1"/>
  <c r="P7" i="29" s="1"/>
  <c r="AW22" i="29"/>
  <c r="O97" i="29"/>
  <c r="O99" i="29" s="1"/>
  <c r="N107" i="29"/>
  <c r="AV23" i="29" s="1"/>
  <c r="AV19" i="29"/>
  <c r="AV22" i="29" s="1"/>
  <c r="L5" i="29"/>
  <c r="M107" i="29"/>
  <c r="AU23" i="29" s="1"/>
  <c r="AU22" i="29"/>
  <c r="L107" i="29"/>
  <c r="L108" i="29" s="1"/>
  <c r="K107" i="29"/>
  <c r="AT23" i="29" s="1"/>
  <c r="J5" i="29"/>
  <c r="AT19" i="29"/>
  <c r="K97" i="29"/>
  <c r="K99" i="29" s="1"/>
  <c r="K100" i="29" s="1"/>
  <c r="K7" i="29" s="1"/>
  <c r="J107" i="29"/>
  <c r="J108" i="29" s="1"/>
  <c r="I5" i="29"/>
  <c r="I108" i="29"/>
  <c r="J97" i="29"/>
  <c r="J99" i="29" s="1"/>
  <c r="J100" i="29" s="1"/>
  <c r="J7" i="29" s="1"/>
  <c r="I97" i="29"/>
  <c r="I99" i="29" s="1"/>
  <c r="I100" i="29" s="1"/>
  <c r="I7" i="29" s="1"/>
  <c r="H107" i="29"/>
  <c r="H108" i="29" s="1"/>
  <c r="H97" i="29"/>
  <c r="H99" i="29" s="1"/>
  <c r="H100" i="29" s="1"/>
  <c r="H7" i="29" s="1"/>
  <c r="F5" i="29"/>
  <c r="G97" i="29"/>
  <c r="G99" i="29" s="1"/>
  <c r="AR22" i="29"/>
  <c r="AP19" i="29"/>
  <c r="E107" i="29"/>
  <c r="AP23" i="29" s="1"/>
  <c r="AI104" i="29"/>
  <c r="AI105" i="29"/>
  <c r="AI76" i="29"/>
  <c r="D97" i="29"/>
  <c r="D99" i="29" s="1"/>
  <c r="D100" i="29" s="1"/>
  <c r="D7" i="29" s="1"/>
  <c r="D108" i="29"/>
  <c r="AO18" i="29"/>
  <c r="AI102" i="29"/>
  <c r="AO16" i="29"/>
  <c r="AO19" i="29"/>
  <c r="AI62" i="29"/>
  <c r="AI101" i="29"/>
  <c r="C100" i="29"/>
  <c r="C7" i="29" s="1"/>
  <c r="C108" i="29"/>
  <c r="AF5" i="29"/>
  <c r="AM19" i="29"/>
  <c r="B97" i="29"/>
  <c r="B99" i="29" s="1"/>
  <c r="B100" i="29" s="1"/>
  <c r="AM17" i="29"/>
  <c r="BG84" i="29" a="1"/>
  <c r="BK106" i="29" s="1"/>
  <c r="AH102" i="29"/>
  <c r="AP22" i="29"/>
  <c r="AP24" i="29" s="1"/>
  <c r="BC22" i="29"/>
  <c r="BC24" i="29" s="1"/>
  <c r="AQ22" i="29"/>
  <c r="AQ24" i="29" s="1"/>
  <c r="BD22" i="29"/>
  <c r="BD24" i="29" s="1"/>
  <c r="AH58" i="29"/>
  <c r="AL13" i="29"/>
  <c r="AN16" i="29"/>
  <c r="AN22" i="29" s="1"/>
  <c r="AN24" i="29" s="1"/>
  <c r="F108" i="29"/>
  <c r="AD108" i="29"/>
  <c r="AH62" i="29"/>
  <c r="G107" i="29"/>
  <c r="AR23" i="29" s="1"/>
  <c r="O107" i="29"/>
  <c r="AW23" i="29" s="1"/>
  <c r="AE107" i="29"/>
  <c r="BI23" i="29" s="1"/>
  <c r="AY16" i="29"/>
  <c r="AY22" i="29" s="1"/>
  <c r="L97" i="29"/>
  <c r="L99" i="29" s="1"/>
  <c r="L100" i="29" s="1"/>
  <c r="L7" i="29" s="1"/>
  <c r="T7" i="29"/>
  <c r="AB97" i="29"/>
  <c r="AB99" i="29" s="1"/>
  <c r="AB100" i="29" s="1"/>
  <c r="AB7" i="29" s="1"/>
  <c r="AH80" i="29"/>
  <c r="AG99" i="29"/>
  <c r="AZ16" i="29"/>
  <c r="AZ22" i="29" s="1"/>
  <c r="E97" i="29"/>
  <c r="E99" i="29" s="1"/>
  <c r="E100" i="29" s="1"/>
  <c r="E7" i="29" s="1"/>
  <c r="M97" i="29"/>
  <c r="M99" i="29" s="1"/>
  <c r="M100" i="29" s="1"/>
  <c r="M7" i="29" s="1"/>
  <c r="U7" i="29"/>
  <c r="AC97" i="29"/>
  <c r="AC99" i="29" s="1"/>
  <c r="AC100" i="29" s="1"/>
  <c r="AC7" i="29" s="1"/>
  <c r="AI92" i="29"/>
  <c r="AH101" i="29"/>
  <c r="AI103" i="29"/>
  <c r="BF16" i="29"/>
  <c r="BF22" i="29" s="1"/>
  <c r="BF24" i="29" s="1"/>
  <c r="AS16" i="29"/>
  <c r="AS22" i="29" s="1"/>
  <c r="AS24" i="29" s="1"/>
  <c r="BA16" i="29"/>
  <c r="BA22" i="29" s="1"/>
  <c r="BA24" i="29" s="1"/>
  <c r="F97" i="29"/>
  <c r="F99" i="29" s="1"/>
  <c r="F100" i="29" s="1"/>
  <c r="F7" i="29" s="1"/>
  <c r="N97" i="29"/>
  <c r="N99" i="29" s="1"/>
  <c r="V7" i="29"/>
  <c r="AD97" i="29"/>
  <c r="AD99" i="29" s="1"/>
  <c r="AD100" i="29" s="1"/>
  <c r="AD7" i="29" s="1"/>
  <c r="AT16" i="29"/>
  <c r="AT22" i="29" s="1"/>
  <c r="AT24" i="29" s="1"/>
  <c r="W7" i="29"/>
  <c r="AH76" i="29"/>
  <c r="AI58" i="29"/>
  <c r="AG2" i="29"/>
  <c r="AG6" i="29" s="1"/>
  <c r="AM16" i="29"/>
  <c r="AM22" i="29" s="1"/>
  <c r="E108" i="29"/>
  <c r="M108" i="29"/>
  <c r="AC108" i="29"/>
  <c r="AI80" i="29"/>
  <c r="AH92" i="29"/>
  <c r="AH103" i="29"/>
  <c r="E246" i="29"/>
  <c r="AH104" i="29"/>
  <c r="AH105" i="29"/>
  <c r="AE97" i="28"/>
  <c r="AE99" i="28" s="1"/>
  <c r="AE100" i="28" s="1"/>
  <c r="AD97" i="28"/>
  <c r="AD99" i="28" s="1"/>
  <c r="AD100" i="28" s="1"/>
  <c r="AI118" i="30" l="1"/>
  <c r="AH118" i="30"/>
  <c r="BI24" i="29"/>
  <c r="AE100" i="29"/>
  <c r="AE7" i="29" s="1"/>
  <c r="AE108" i="29"/>
  <c r="BH24" i="29"/>
  <c r="AB108" i="29"/>
  <c r="AZ24" i="29"/>
  <c r="AY24" i="29"/>
  <c r="AW24" i="29"/>
  <c r="O100" i="29"/>
  <c r="O7" i="29" s="1"/>
  <c r="O108" i="29"/>
  <c r="N100" i="29"/>
  <c r="N7" i="29" s="1"/>
  <c r="N108" i="29"/>
  <c r="AV24" i="29"/>
  <c r="AU24" i="29"/>
  <c r="K108" i="29"/>
  <c r="B256" i="29"/>
  <c r="C256" i="29"/>
  <c r="AR24" i="29"/>
  <c r="AO22" i="29"/>
  <c r="AO24" i="29" s="1"/>
  <c r="BI96" i="29"/>
  <c r="BG107" i="29"/>
  <c r="BL88" i="29"/>
  <c r="BG88" i="29"/>
  <c r="BI91" i="29"/>
  <c r="BJ106" i="29"/>
  <c r="BI102" i="29"/>
  <c r="BH88" i="29"/>
  <c r="BG102" i="29"/>
  <c r="BL90" i="29"/>
  <c r="BL85" i="29"/>
  <c r="BK104" i="29"/>
  <c r="BH96" i="29"/>
  <c r="BH91" i="29"/>
  <c r="BH86" i="29"/>
  <c r="BI89" i="29"/>
  <c r="BK86" i="29"/>
  <c r="BG100" i="29"/>
  <c r="BK91" i="29"/>
  <c r="BK85" i="29"/>
  <c r="BJ104" i="29"/>
  <c r="BJ99" i="29"/>
  <c r="BI85" i="29"/>
  <c r="BL95" i="29"/>
  <c r="BI94" i="29"/>
  <c r="BI88" i="29"/>
  <c r="BH107" i="29"/>
  <c r="BH102" i="29"/>
  <c r="BG92" i="29"/>
  <c r="BL98" i="29"/>
  <c r="BL93" i="29"/>
  <c r="BK90" i="29"/>
  <c r="BK99" i="29"/>
  <c r="BK93" i="29"/>
  <c r="BK88" i="29"/>
  <c r="BJ107" i="29"/>
  <c r="BI98" i="29"/>
  <c r="BL94" i="29"/>
  <c r="BI92" i="29"/>
  <c r="BL89" i="29"/>
  <c r="BI87" i="29"/>
  <c r="BL84" i="29"/>
  <c r="BH106" i="29"/>
  <c r="BH85" i="29"/>
  <c r="BJ102" i="29"/>
  <c r="BG105" i="29"/>
  <c r="BJ101" i="29"/>
  <c r="BG99" i="29"/>
  <c r="BJ96" i="29"/>
  <c r="BG94" i="29"/>
  <c r="BJ91" i="29"/>
  <c r="BI105" i="29"/>
  <c r="BJ98" i="29"/>
  <c r="BL91" i="29"/>
  <c r="BK87" i="29"/>
  <c r="BH84" i="29"/>
  <c r="BJ105" i="29"/>
  <c r="BG103" i="29"/>
  <c r="BJ100" i="29"/>
  <c r="BG98" i="29"/>
  <c r="BJ95" i="29"/>
  <c r="BK94" i="29"/>
  <c r="BH93" i="29"/>
  <c r="BG89" i="29"/>
  <c r="BJ85" i="29"/>
  <c r="BL106" i="29"/>
  <c r="BI104" i="29"/>
  <c r="BL101" i="29"/>
  <c r="BI99" i="29"/>
  <c r="BL96" i="29"/>
  <c r="BG104" i="29"/>
  <c r="BL87" i="29"/>
  <c r="BL107" i="29"/>
  <c r="BI90" i="29"/>
  <c r="BG101" i="29"/>
  <c r="BL86" i="29"/>
  <c r="BJ97" i="29"/>
  <c r="BI84" i="29"/>
  <c r="BG95" i="29"/>
  <c r="BK105" i="29"/>
  <c r="BJ92" i="29"/>
  <c r="BH103" i="29"/>
  <c r="BG90" i="29"/>
  <c r="BK100" i="29"/>
  <c r="BJ87" i="29"/>
  <c r="BH98" i="29"/>
  <c r="BH101" i="29"/>
  <c r="BG84" i="29"/>
  <c r="BH97" i="29"/>
  <c r="BG93" i="29"/>
  <c r="BK103" i="29"/>
  <c r="BJ89" i="29"/>
  <c r="BH100" i="29"/>
  <c r="BG87" i="29"/>
  <c r="BK97" i="29"/>
  <c r="BJ84" i="29"/>
  <c r="BH95" i="29"/>
  <c r="BL105" i="29"/>
  <c r="BK92" i="29"/>
  <c r="BI103" i="29"/>
  <c r="BH90" i="29"/>
  <c r="BL100" i="29"/>
  <c r="BJ90" i="29"/>
  <c r="BH105" i="29"/>
  <c r="BK102" i="29"/>
  <c r="BJ86" i="29"/>
  <c r="BG85" i="29"/>
  <c r="BK95" i="29"/>
  <c r="BI106" i="29"/>
  <c r="BH92" i="29"/>
  <c r="BL102" i="29"/>
  <c r="BK89" i="29"/>
  <c r="BI100" i="29"/>
  <c r="BH87" i="29"/>
  <c r="BL97" i="29"/>
  <c r="BK84" i="29"/>
  <c r="BI95" i="29"/>
  <c r="BG106" i="29"/>
  <c r="BL92" i="29"/>
  <c r="BJ103" i="29"/>
  <c r="BI101" i="29"/>
  <c r="BL99" i="29"/>
  <c r="BK98" i="29"/>
  <c r="BL103" i="29"/>
  <c r="BI97" i="29"/>
  <c r="BI86" i="29"/>
  <c r="BG97" i="29"/>
  <c r="BK107" i="29"/>
  <c r="BJ93" i="29"/>
  <c r="BH104" i="29"/>
  <c r="BG91" i="29"/>
  <c r="BK101" i="29"/>
  <c r="BJ88" i="29"/>
  <c r="BH99" i="29"/>
  <c r="BG86" i="29"/>
  <c r="BK96" i="29"/>
  <c r="BI107" i="29"/>
  <c r="BH94" i="29"/>
  <c r="BL104" i="29"/>
  <c r="BG96" i="29"/>
  <c r="BH89" i="29"/>
  <c r="BJ94" i="29"/>
  <c r="BI93" i="29"/>
  <c r="F246" i="29"/>
  <c r="E252" i="29"/>
  <c r="E118" i="29"/>
  <c r="G100" i="29"/>
  <c r="G7" i="29" s="1"/>
  <c r="G108" i="29"/>
  <c r="AH107" i="29"/>
  <c r="AM24" i="29"/>
  <c r="AT8" i="29"/>
  <c r="AI107" i="29"/>
  <c r="AI97" i="29"/>
  <c r="AH97" i="29"/>
  <c r="AI108" i="29" l="1"/>
  <c r="AT9" i="29"/>
  <c r="K6" i="29"/>
  <c r="AH99" i="29"/>
  <c r="AI99" i="29"/>
  <c r="G246" i="29"/>
  <c r="F118" i="29"/>
  <c r="F252" i="29"/>
  <c r="AH108" i="29"/>
  <c r="H246" i="29" l="1"/>
  <c r="G252" i="29"/>
  <c r="G118" i="29"/>
  <c r="AH100" i="29"/>
  <c r="AI100" i="29"/>
  <c r="B7" i="29"/>
  <c r="A7" i="29" s="1"/>
  <c r="I246" i="29" l="1"/>
  <c r="H252" i="29"/>
  <c r="H118" i="29"/>
  <c r="I252" i="29" l="1"/>
  <c r="I118" i="29"/>
  <c r="J246" i="29"/>
  <c r="J252" i="29" l="1"/>
  <c r="J118" i="29"/>
  <c r="K246" i="29"/>
  <c r="K252" i="29" l="1"/>
  <c r="K118" i="29"/>
  <c r="L246" i="29"/>
  <c r="L252" i="29" l="1"/>
  <c r="L118" i="29"/>
  <c r="M246" i="29"/>
  <c r="N246" i="29" l="1"/>
  <c r="M252" i="29"/>
  <c r="M118" i="29"/>
  <c r="O246" i="29" l="1"/>
  <c r="N118" i="29"/>
  <c r="N252" i="29"/>
  <c r="P246" i="29" l="1"/>
  <c r="O252" i="29"/>
  <c r="O118" i="29"/>
  <c r="Q246" i="29" l="1"/>
  <c r="P252" i="29"/>
  <c r="Q252" i="29" l="1"/>
  <c r="R246" i="29"/>
  <c r="R252" i="29" l="1"/>
  <c r="R118" i="29"/>
  <c r="S246" i="29"/>
  <c r="S252" i="29" l="1"/>
  <c r="S118" i="29"/>
  <c r="T246" i="29"/>
  <c r="T252" i="29" l="1"/>
  <c r="U246" i="29"/>
  <c r="V246" i="29" l="1"/>
  <c r="U252" i="29"/>
  <c r="W246" i="29" l="1"/>
  <c r="V252" i="29"/>
  <c r="X246" i="29" l="1"/>
  <c r="W252" i="29"/>
  <c r="Y246" i="29" l="1"/>
  <c r="X252" i="29"/>
  <c r="Y252" i="29" l="1"/>
  <c r="Z246" i="29"/>
  <c r="Z252" i="29" l="1"/>
  <c r="AA246" i="29"/>
  <c r="AA252" i="29" l="1"/>
  <c r="AB246" i="29"/>
  <c r="AB252" i="29" l="1"/>
  <c r="AB118" i="29"/>
  <c r="AC246" i="29"/>
  <c r="AC118" i="29" l="1"/>
  <c r="AD246" i="29"/>
  <c r="AC252" i="29"/>
  <c r="AE246" i="29" l="1"/>
  <c r="AD118" i="29"/>
  <c r="AD252" i="29"/>
  <c r="AF246" i="29" l="1"/>
  <c r="AE252" i="29"/>
  <c r="AE118" i="29"/>
  <c r="AF252" i="29" l="1"/>
  <c r="AF118" i="29"/>
  <c r="B246" i="29"/>
  <c r="B252" i="29" l="1"/>
  <c r="AI118" i="29" l="1"/>
  <c r="AH118" i="29"/>
  <c r="AC58" i="28" l="1"/>
  <c r="AC62" i="28"/>
  <c r="AC76" i="28"/>
  <c r="AC80" i="28"/>
  <c r="AC92" i="28"/>
  <c r="AC101" i="28"/>
  <c r="AC102" i="28"/>
  <c r="AC103" i="28"/>
  <c r="AC104" i="28"/>
  <c r="AC105" i="28"/>
  <c r="AC118" i="28"/>
  <c r="AB58" i="28"/>
  <c r="AB62" i="28"/>
  <c r="AB76" i="28"/>
  <c r="AB80" i="28"/>
  <c r="AB92" i="28"/>
  <c r="AB108" i="28" s="1"/>
  <c r="AB101" i="28"/>
  <c r="AB102" i="28"/>
  <c r="AB103" i="28"/>
  <c r="AB104" i="28"/>
  <c r="AB105" i="28"/>
  <c r="AB118" i="28"/>
  <c r="V121" i="28"/>
  <c r="AC97" i="28" l="1"/>
  <c r="AC99" i="28" s="1"/>
  <c r="AC100" i="28" s="1"/>
  <c r="AC108" i="28"/>
  <c r="AB97" i="28"/>
  <c r="AB99" i="28" s="1"/>
  <c r="AB100" i="28" s="1"/>
  <c r="U121" i="28"/>
  <c r="L121" i="28" l="1"/>
  <c r="L57" i="28"/>
  <c r="K121" i="28"/>
  <c r="K57" i="28"/>
  <c r="K58" i="28"/>
  <c r="K62" i="28"/>
  <c r="J121" i="28"/>
  <c r="J57" i="28"/>
  <c r="I121" i="28"/>
  <c r="I57" i="28"/>
  <c r="H121" i="28"/>
  <c r="H57" i="28"/>
  <c r="G121" i="28"/>
  <c r="G57" i="28"/>
  <c r="F121" i="28" l="1"/>
  <c r="F91" i="28"/>
  <c r="F57" i="28"/>
  <c r="E121" i="28"/>
  <c r="E91" i="28"/>
  <c r="E57" i="28"/>
  <c r="D58" i="28"/>
  <c r="D62" i="28"/>
  <c r="D76" i="28"/>
  <c r="D80" i="28"/>
  <c r="D121" i="28"/>
  <c r="C121" i="28"/>
  <c r="C118" i="28" s="1"/>
  <c r="C57" i="28"/>
  <c r="AH125" i="28"/>
  <c r="AI125" i="28"/>
  <c r="AH124" i="28"/>
  <c r="AI124" i="28"/>
  <c r="B121" i="28"/>
  <c r="AG252" i="28"/>
  <c r="C252" i="28"/>
  <c r="D251" i="28"/>
  <c r="D250" i="28"/>
  <c r="E250" i="28" s="1"/>
  <c r="F250" i="28" s="1"/>
  <c r="G250" i="28" s="1"/>
  <c r="H250" i="28" s="1"/>
  <c r="I250" i="28" s="1"/>
  <c r="J250" i="28" s="1"/>
  <c r="K250" i="28" s="1"/>
  <c r="L250" i="28" s="1"/>
  <c r="M250" i="28" s="1"/>
  <c r="N250" i="28" s="1"/>
  <c r="O250" i="28" s="1"/>
  <c r="P250" i="28" s="1"/>
  <c r="Q250" i="28" s="1"/>
  <c r="R250" i="28" s="1"/>
  <c r="S250" i="28" s="1"/>
  <c r="T250" i="28" s="1"/>
  <c r="U250" i="28" s="1"/>
  <c r="V250" i="28" s="1"/>
  <c r="W250" i="28" s="1"/>
  <c r="X250" i="28" s="1"/>
  <c r="Y250" i="28" s="1"/>
  <c r="Z250" i="28" s="1"/>
  <c r="AA250" i="28" s="1"/>
  <c r="AB250" i="28" s="1"/>
  <c r="AC250" i="28" s="1"/>
  <c r="AD250" i="28" s="1"/>
  <c r="AE250" i="28" s="1"/>
  <c r="AF250" i="28" s="1"/>
  <c r="B250" i="28" s="1"/>
  <c r="D249" i="28"/>
  <c r="E249" i="28" s="1"/>
  <c r="F249" i="28" s="1"/>
  <c r="G249" i="28" s="1"/>
  <c r="H249" i="28" s="1"/>
  <c r="I249" i="28" s="1"/>
  <c r="J249" i="28" s="1"/>
  <c r="K249" i="28" s="1"/>
  <c r="L249" i="28" s="1"/>
  <c r="M249" i="28" s="1"/>
  <c r="N249" i="28" s="1"/>
  <c r="O249" i="28" s="1"/>
  <c r="P249" i="28" s="1"/>
  <c r="Q249" i="28" s="1"/>
  <c r="R249" i="28" s="1"/>
  <c r="S249" i="28" s="1"/>
  <c r="T249" i="28" s="1"/>
  <c r="U249" i="28" s="1"/>
  <c r="V249" i="28" s="1"/>
  <c r="W249" i="28" s="1"/>
  <c r="X249" i="28" s="1"/>
  <c r="Y249" i="28" s="1"/>
  <c r="Z249" i="28" s="1"/>
  <c r="AA249" i="28" s="1"/>
  <c r="AB249" i="28" s="1"/>
  <c r="AC249" i="28" s="1"/>
  <c r="AD249" i="28" s="1"/>
  <c r="AE249" i="28" s="1"/>
  <c r="AF249" i="28" s="1"/>
  <c r="B249" i="28" s="1"/>
  <c r="D248" i="28"/>
  <c r="E248" i="28" s="1"/>
  <c r="F248" i="28" s="1"/>
  <c r="G248" i="28" s="1"/>
  <c r="H248" i="28" s="1"/>
  <c r="I248" i="28" s="1"/>
  <c r="J248" i="28" s="1"/>
  <c r="K248" i="28" s="1"/>
  <c r="L248" i="28" s="1"/>
  <c r="M248" i="28" s="1"/>
  <c r="N248" i="28" s="1"/>
  <c r="O248" i="28" s="1"/>
  <c r="P248" i="28" s="1"/>
  <c r="Q248" i="28" s="1"/>
  <c r="R248" i="28" s="1"/>
  <c r="S248" i="28" s="1"/>
  <c r="T248" i="28" s="1"/>
  <c r="U248" i="28" s="1"/>
  <c r="V248" i="28" s="1"/>
  <c r="W248" i="28" s="1"/>
  <c r="X248" i="28" s="1"/>
  <c r="Y248" i="28" s="1"/>
  <c r="Z248" i="28" s="1"/>
  <c r="AA248" i="28" s="1"/>
  <c r="AB248" i="28" s="1"/>
  <c r="AC248" i="28" s="1"/>
  <c r="AD248" i="28" s="1"/>
  <c r="AE248" i="28" s="1"/>
  <c r="AF248" i="28" s="1"/>
  <c r="B248" i="28" s="1"/>
  <c r="D247" i="28"/>
  <c r="E247" i="28" s="1"/>
  <c r="F247" i="28" s="1"/>
  <c r="G247" i="28" s="1"/>
  <c r="H247" i="28" s="1"/>
  <c r="I247" i="28" s="1"/>
  <c r="J247" i="28" s="1"/>
  <c r="K247" i="28" s="1"/>
  <c r="L247" i="28" s="1"/>
  <c r="M247" i="28" s="1"/>
  <c r="N247" i="28" s="1"/>
  <c r="O247" i="28" s="1"/>
  <c r="P247" i="28" s="1"/>
  <c r="Q247" i="28" s="1"/>
  <c r="R247" i="28" s="1"/>
  <c r="S247" i="28" s="1"/>
  <c r="T247" i="28" s="1"/>
  <c r="U247" i="28" s="1"/>
  <c r="V247" i="28" s="1"/>
  <c r="W247" i="28" s="1"/>
  <c r="X247" i="28" s="1"/>
  <c r="Y247" i="28" s="1"/>
  <c r="Z247" i="28" s="1"/>
  <c r="AA247" i="28" s="1"/>
  <c r="AB247" i="28" s="1"/>
  <c r="AC247" i="28" s="1"/>
  <c r="AD247" i="28" s="1"/>
  <c r="AE247" i="28" s="1"/>
  <c r="AF247" i="28" s="1"/>
  <c r="B247" i="28" s="1"/>
  <c r="D246" i="28"/>
  <c r="D252" i="28" s="1"/>
  <c r="AG244" i="28"/>
  <c r="AF244" i="28"/>
  <c r="AE244" i="28"/>
  <c r="AD244" i="28"/>
  <c r="AC244" i="28"/>
  <c r="AB244" i="28"/>
  <c r="AA244" i="28"/>
  <c r="Z244" i="28"/>
  <c r="Y244" i="28"/>
  <c r="Y118" i="28" s="1"/>
  <c r="X244" i="28"/>
  <c r="W244" i="28"/>
  <c r="V244" i="28"/>
  <c r="U244" i="28"/>
  <c r="T244" i="28"/>
  <c r="S244" i="28"/>
  <c r="R244" i="28"/>
  <c r="Q244" i="28"/>
  <c r="P244" i="28"/>
  <c r="O244" i="28"/>
  <c r="N244" i="28"/>
  <c r="M244" i="28"/>
  <c r="L244" i="28"/>
  <c r="K244" i="28"/>
  <c r="J244" i="28"/>
  <c r="I244" i="28"/>
  <c r="H244" i="28"/>
  <c r="G244" i="28"/>
  <c r="F244" i="28"/>
  <c r="E244" i="28"/>
  <c r="D244" i="28"/>
  <c r="C244" i="28"/>
  <c r="B244" i="28"/>
  <c r="AI130" i="28"/>
  <c r="AH130" i="28"/>
  <c r="AI129" i="28"/>
  <c r="AH129" i="28"/>
  <c r="AI128" i="28"/>
  <c r="AH128" i="28"/>
  <c r="AI127" i="28"/>
  <c r="AH127" i="28"/>
  <c r="AI126" i="28"/>
  <c r="AH126" i="28"/>
  <c r="AI123" i="28"/>
  <c r="AH123" i="28"/>
  <c r="AI122" i="28"/>
  <c r="AH122" i="28"/>
  <c r="AI120" i="28"/>
  <c r="AH120" i="28"/>
  <c r="AI119" i="28"/>
  <c r="AH119" i="28"/>
  <c r="Z118" i="28"/>
  <c r="AI117" i="28"/>
  <c r="AH117" i="28"/>
  <c r="AI116" i="28"/>
  <c r="AH116" i="28"/>
  <c r="AI115" i="28"/>
  <c r="AH115" i="28"/>
  <c r="AI114" i="28"/>
  <c r="AH114" i="28"/>
  <c r="AI113" i="28"/>
  <c r="AH113" i="28"/>
  <c r="AI112" i="28"/>
  <c r="AH112" i="28"/>
  <c r="AI111" i="28"/>
  <c r="AH111" i="28"/>
  <c r="AI110" i="28"/>
  <c r="AH110" i="28"/>
  <c r="AI109" i="28"/>
  <c r="AH109" i="28"/>
  <c r="AI106" i="28"/>
  <c r="AH106" i="28"/>
  <c r="AF105" i="28"/>
  <c r="AA105" i="28"/>
  <c r="Z105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AF104" i="28"/>
  <c r="AA104" i="28"/>
  <c r="Z104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AF103" i="28"/>
  <c r="AA103" i="28"/>
  <c r="Z103" i="28"/>
  <c r="Y103" i="28"/>
  <c r="X103" i="28"/>
  <c r="W103" i="28"/>
  <c r="V103" i="28"/>
  <c r="U103" i="28"/>
  <c r="T103" i="28"/>
  <c r="S103" i="28"/>
  <c r="R103" i="28"/>
  <c r="Q103" i="28"/>
  <c r="P103" i="28"/>
  <c r="O103" i="28"/>
  <c r="N103" i="28"/>
  <c r="M103" i="28"/>
  <c r="L103" i="28"/>
  <c r="K103" i="28"/>
  <c r="J103" i="28"/>
  <c r="I103" i="28"/>
  <c r="H103" i="28"/>
  <c r="G103" i="28"/>
  <c r="F103" i="28"/>
  <c r="E103" i="28"/>
  <c r="D103" i="28"/>
  <c r="C103" i="28"/>
  <c r="AF102" i="28"/>
  <c r="BI23" i="28"/>
  <c r="AA102" i="28"/>
  <c r="Z102" i="28"/>
  <c r="Y102" i="28"/>
  <c r="Y107" i="28" s="1"/>
  <c r="X102" i="28"/>
  <c r="W102" i="28"/>
  <c r="V102" i="28"/>
  <c r="U102" i="28"/>
  <c r="T102" i="28"/>
  <c r="S102" i="28"/>
  <c r="R102" i="28"/>
  <c r="Q102" i="28"/>
  <c r="Q107" i="28" s="1"/>
  <c r="AY23" i="28" s="1"/>
  <c r="P102" i="28"/>
  <c r="O102" i="28"/>
  <c r="N102" i="28"/>
  <c r="M102" i="28"/>
  <c r="L102" i="28"/>
  <c r="K102" i="28"/>
  <c r="J102" i="28"/>
  <c r="I102" i="28"/>
  <c r="H102" i="28"/>
  <c r="G102" i="28"/>
  <c r="F102" i="28"/>
  <c r="E102" i="28"/>
  <c r="D102" i="28"/>
  <c r="C102" i="28"/>
  <c r="AF101" i="28"/>
  <c r="BH23" i="28"/>
  <c r="AA101" i="28"/>
  <c r="Z101" i="28"/>
  <c r="Z107" i="28" s="1"/>
  <c r="BF23" i="28" s="1"/>
  <c r="Y101" i="28"/>
  <c r="X101" i="28"/>
  <c r="W101" i="28"/>
  <c r="V101" i="28"/>
  <c r="U101" i="28"/>
  <c r="T101" i="28"/>
  <c r="S101" i="28"/>
  <c r="R101" i="28"/>
  <c r="Q101" i="28"/>
  <c r="P101" i="28"/>
  <c r="O101" i="28"/>
  <c r="N101" i="28"/>
  <c r="M101" i="28"/>
  <c r="L101" i="28"/>
  <c r="K101" i="28"/>
  <c r="J101" i="28"/>
  <c r="I101" i="28"/>
  <c r="H101" i="28"/>
  <c r="G101" i="28"/>
  <c r="F101" i="28"/>
  <c r="E101" i="28"/>
  <c r="D101" i="28"/>
  <c r="C101" i="28"/>
  <c r="AI98" i="28"/>
  <c r="AH98" i="28"/>
  <c r="AI96" i="28"/>
  <c r="AH96" i="28"/>
  <c r="AG96" i="28"/>
  <c r="AI95" i="28"/>
  <c r="AH95" i="28"/>
  <c r="AI94" i="28"/>
  <c r="AH94" i="28"/>
  <c r="AI93" i="28"/>
  <c r="AH93" i="28"/>
  <c r="AG92" i="28"/>
  <c r="AF92" i="28"/>
  <c r="BJ19" i="28" s="1"/>
  <c r="AA92" i="28"/>
  <c r="Z92" i="28"/>
  <c r="BF19" i="28" s="1"/>
  <c r="Y92" i="28"/>
  <c r="X5" i="28" s="1"/>
  <c r="X92" i="28"/>
  <c r="BE19" i="28" s="1"/>
  <c r="W92" i="28"/>
  <c r="V5" i="28" s="1"/>
  <c r="V92" i="28"/>
  <c r="U5" i="28" s="1"/>
  <c r="U92" i="28"/>
  <c r="BC19" i="28" s="1"/>
  <c r="T92" i="28"/>
  <c r="S92" i="28"/>
  <c r="R92" i="28"/>
  <c r="Q92" i="28"/>
  <c r="P92" i="28"/>
  <c r="O92" i="28"/>
  <c r="N92" i="28"/>
  <c r="AV19" i="28" s="1"/>
  <c r="M92" i="28"/>
  <c r="AU19" i="28" s="1"/>
  <c r="L92" i="28"/>
  <c r="K92" i="28"/>
  <c r="AT19" i="28" s="1"/>
  <c r="J92" i="28"/>
  <c r="I92" i="28"/>
  <c r="H5" i="28" s="1"/>
  <c r="H92" i="28"/>
  <c r="G92" i="28"/>
  <c r="F5" i="28" s="1"/>
  <c r="F92" i="28"/>
  <c r="E5" i="28" s="1"/>
  <c r="E92" i="28"/>
  <c r="AP19" i="28" s="1"/>
  <c r="D92" i="28"/>
  <c r="C92" i="28"/>
  <c r="AI91" i="28"/>
  <c r="AH91" i="28"/>
  <c r="AI90" i="28"/>
  <c r="AH90" i="28"/>
  <c r="AI89" i="28"/>
  <c r="AH89" i="28"/>
  <c r="AI88" i="28"/>
  <c r="AH88" i="28"/>
  <c r="AI87" i="28"/>
  <c r="AH87" i="28"/>
  <c r="AI86" i="28"/>
  <c r="AH86" i="28"/>
  <c r="AI85" i="28"/>
  <c r="AH85" i="28"/>
  <c r="AI84" i="28"/>
  <c r="AH84" i="28"/>
  <c r="AI83" i="28"/>
  <c r="AH83" i="28"/>
  <c r="AI82" i="28"/>
  <c r="AH82" i="28"/>
  <c r="AI81" i="28"/>
  <c r="AH81" i="28"/>
  <c r="BI80" i="28"/>
  <c r="BA80" i="28"/>
  <c r="AG80" i="28"/>
  <c r="AG99" i="28" s="1"/>
  <c r="AF80" i="28"/>
  <c r="BG20" i="28"/>
  <c r="AA80" i="28"/>
  <c r="Z80" i="28"/>
  <c r="Y80" i="28"/>
  <c r="X80" i="28"/>
  <c r="BE20" i="28" s="1"/>
  <c r="W80" i="28"/>
  <c r="V80" i="28"/>
  <c r="U80" i="28"/>
  <c r="BC20" i="28" s="1"/>
  <c r="T80" i="28"/>
  <c r="BB20" i="28" s="1"/>
  <c r="S80" i="28"/>
  <c r="R80" i="28"/>
  <c r="Q80" i="28"/>
  <c r="AY20" i="28" s="1"/>
  <c r="P80" i="28"/>
  <c r="O80" i="28"/>
  <c r="N80" i="28"/>
  <c r="AV20" i="28" s="1"/>
  <c r="M80" i="28"/>
  <c r="L80" i="28"/>
  <c r="K80" i="28"/>
  <c r="J80" i="28"/>
  <c r="I80" i="28"/>
  <c r="H80" i="28"/>
  <c r="G80" i="28"/>
  <c r="F80" i="28"/>
  <c r="E80" i="28"/>
  <c r="AP20" i="28" s="1"/>
  <c r="AO20" i="28"/>
  <c r="C80" i="28"/>
  <c r="AN20" i="28" s="1"/>
  <c r="BW79" i="28"/>
  <c r="BK79" i="28"/>
  <c r="BC79" i="28"/>
  <c r="BB79" i="28"/>
  <c r="BA79" i="28"/>
  <c r="AI79" i="28"/>
  <c r="AH79" i="28"/>
  <c r="BO78" i="28"/>
  <c r="BE78" i="28"/>
  <c r="BD78" i="28"/>
  <c r="BC78" i="28"/>
  <c r="AI78" i="28"/>
  <c r="AH78" i="28"/>
  <c r="BN77" i="28"/>
  <c r="BE77" i="28"/>
  <c r="AI77" i="28"/>
  <c r="AH77" i="28"/>
  <c r="BQ76" i="28"/>
  <c r="BK76" i="28"/>
  <c r="BI76" i="28"/>
  <c r="BE76" i="28"/>
  <c r="BC76" i="28"/>
  <c r="BA76" i="28"/>
  <c r="AZ76" i="28"/>
  <c r="AG76" i="28"/>
  <c r="AG3" i="28" s="1"/>
  <c r="AG6" i="28" s="1"/>
  <c r="AF76" i="28"/>
  <c r="AA76" i="28"/>
  <c r="Z76" i="28"/>
  <c r="Y76" i="28"/>
  <c r="X76" i="28"/>
  <c r="W76" i="28"/>
  <c r="V76" i="28"/>
  <c r="BD18" i="28" s="1"/>
  <c r="U76" i="28"/>
  <c r="BC18" i="28" s="1"/>
  <c r="T76" i="28"/>
  <c r="BB18" i="28" s="1"/>
  <c r="S76" i="28"/>
  <c r="BA18" i="28" s="1"/>
  <c r="R76" i="28"/>
  <c r="AZ18" i="28" s="1"/>
  <c r="Q76" i="28"/>
  <c r="AY18" i="28" s="1"/>
  <c r="P76" i="28"/>
  <c r="O76" i="28"/>
  <c r="N76" i="28"/>
  <c r="M76" i="28"/>
  <c r="AU18" i="28" s="1"/>
  <c r="L76" i="28"/>
  <c r="K76" i="28"/>
  <c r="AT18" i="28" s="1"/>
  <c r="J76" i="28"/>
  <c r="I76" i="28"/>
  <c r="AS18" i="28" s="1"/>
  <c r="H76" i="28"/>
  <c r="G76" i="28"/>
  <c r="F76" i="28"/>
  <c r="AQ18" i="28" s="1"/>
  <c r="E76" i="28"/>
  <c r="AP18" i="28" s="1"/>
  <c r="AO18" i="28"/>
  <c r="C76" i="28"/>
  <c r="AN18" i="28" s="1"/>
  <c r="AM18" i="28"/>
  <c r="BR75" i="28"/>
  <c r="BP75" i="28"/>
  <c r="BK75" i="28"/>
  <c r="BG75" i="28"/>
  <c r="BE75" i="28"/>
  <c r="AZ75" i="28"/>
  <c r="AI75" i="28"/>
  <c r="AH75" i="28"/>
  <c r="AG75" i="28"/>
  <c r="AI74" i="28"/>
  <c r="AH74" i="28"/>
  <c r="BW73" i="28"/>
  <c r="BW80" i="28" s="1"/>
  <c r="BV73" i="28"/>
  <c r="BV80" i="28" s="1"/>
  <c r="BU73" i="28"/>
  <c r="BU80" i="28" s="1"/>
  <c r="BT73" i="28"/>
  <c r="BT80" i="28" s="1"/>
  <c r="BS73" i="28"/>
  <c r="BS80" i="28" s="1"/>
  <c r="BR73" i="28"/>
  <c r="BR80" i="28" s="1"/>
  <c r="BQ73" i="28"/>
  <c r="BQ80" i="28" s="1"/>
  <c r="BP73" i="28"/>
  <c r="BP80" i="28" s="1"/>
  <c r="BO73" i="28"/>
  <c r="BO80" i="28" s="1"/>
  <c r="BN73" i="28"/>
  <c r="BN80" i="28" s="1"/>
  <c r="BM73" i="28"/>
  <c r="BM80" i="28" s="1"/>
  <c r="BL73" i="28"/>
  <c r="BL80" i="28" s="1"/>
  <c r="BK73" i="28"/>
  <c r="BK80" i="28" s="1"/>
  <c r="BJ73" i="28"/>
  <c r="BJ80" i="28" s="1"/>
  <c r="BI73" i="28"/>
  <c r="BH73" i="28"/>
  <c r="BH80" i="28" s="1"/>
  <c r="BG73" i="28"/>
  <c r="BG80" i="28" s="1"/>
  <c r="BF73" i="28"/>
  <c r="BF80" i="28" s="1"/>
  <c r="BE73" i="28"/>
  <c r="BE80" i="28" s="1"/>
  <c r="BD73" i="28"/>
  <c r="BD80" i="28" s="1"/>
  <c r="BC73" i="28"/>
  <c r="BC80" i="28" s="1"/>
  <c r="BB73" i="28"/>
  <c r="BB80" i="28" s="1"/>
  <c r="BA73" i="28"/>
  <c r="AZ73" i="28"/>
  <c r="AZ80" i="28" s="1"/>
  <c r="AI73" i="28"/>
  <c r="AH73" i="28"/>
  <c r="BW72" i="28"/>
  <c r="BV72" i="28"/>
  <c r="BV79" i="28" s="1"/>
  <c r="BU72" i="28"/>
  <c r="BU79" i="28" s="1"/>
  <c r="BT72" i="28"/>
  <c r="BT79" i="28" s="1"/>
  <c r="BS72" i="28"/>
  <c r="BS79" i="28" s="1"/>
  <c r="BR72" i="28"/>
  <c r="BR79" i="28" s="1"/>
  <c r="BQ72" i="28"/>
  <c r="BQ79" i="28" s="1"/>
  <c r="BP72" i="28"/>
  <c r="BP79" i="28" s="1"/>
  <c r="BO72" i="28"/>
  <c r="BO79" i="28" s="1"/>
  <c r="BN72" i="28"/>
  <c r="BN79" i="28" s="1"/>
  <c r="BM72" i="28"/>
  <c r="BM79" i="28" s="1"/>
  <c r="BL72" i="28"/>
  <c r="BL79" i="28" s="1"/>
  <c r="BK72" i="28"/>
  <c r="BJ72" i="28"/>
  <c r="BJ79" i="28" s="1"/>
  <c r="BI72" i="28"/>
  <c r="BI79" i="28" s="1"/>
  <c r="BH72" i="28"/>
  <c r="BH79" i="28" s="1"/>
  <c r="BG72" i="28"/>
  <c r="BG79" i="28" s="1"/>
  <c r="BF72" i="28"/>
  <c r="BF79" i="28" s="1"/>
  <c r="BE72" i="28"/>
  <c r="BE79" i="28" s="1"/>
  <c r="BD72" i="28"/>
  <c r="BD79" i="28" s="1"/>
  <c r="BC72" i="28"/>
  <c r="BB72" i="28"/>
  <c r="BA72" i="28"/>
  <c r="AZ72" i="28"/>
  <c r="AZ79" i="28" s="1"/>
  <c r="AI72" i="28"/>
  <c r="AH72" i="28"/>
  <c r="BW71" i="28"/>
  <c r="BW78" i="28" s="1"/>
  <c r="BV71" i="28"/>
  <c r="BV78" i="28" s="1"/>
  <c r="BU71" i="28"/>
  <c r="BU78" i="28" s="1"/>
  <c r="BT71" i="28"/>
  <c r="BT78" i="28" s="1"/>
  <c r="BS71" i="28"/>
  <c r="BS78" i="28" s="1"/>
  <c r="BR71" i="28"/>
  <c r="BR78" i="28" s="1"/>
  <c r="BQ71" i="28"/>
  <c r="BQ78" i="28" s="1"/>
  <c r="BP71" i="28"/>
  <c r="BP78" i="28" s="1"/>
  <c r="BO71" i="28"/>
  <c r="BN71" i="28"/>
  <c r="BN78" i="28" s="1"/>
  <c r="BM71" i="28"/>
  <c r="BM78" i="28" s="1"/>
  <c r="BL71" i="28"/>
  <c r="BL78" i="28" s="1"/>
  <c r="BK71" i="28"/>
  <c r="BK78" i="28" s="1"/>
  <c r="BJ71" i="28"/>
  <c r="BJ78" i="28" s="1"/>
  <c r="BI71" i="28"/>
  <c r="BI78" i="28" s="1"/>
  <c r="BH71" i="28"/>
  <c r="BH78" i="28" s="1"/>
  <c r="BG71" i="28"/>
  <c r="BG78" i="28" s="1"/>
  <c r="BF71" i="28"/>
  <c r="BF78" i="28" s="1"/>
  <c r="BE71" i="28"/>
  <c r="BD71" i="28"/>
  <c r="BC71" i="28"/>
  <c r="BB71" i="28"/>
  <c r="BB78" i="28" s="1"/>
  <c r="BA71" i="28"/>
  <c r="BA78" i="28" s="1"/>
  <c r="AZ71" i="28"/>
  <c r="AZ78" i="28" s="1"/>
  <c r="AI71" i="28"/>
  <c r="AH71" i="28"/>
  <c r="BW70" i="28"/>
  <c r="BW77" i="28" s="1"/>
  <c r="BV70" i="28"/>
  <c r="BV77" i="28" s="1"/>
  <c r="BU70" i="28"/>
  <c r="BU77" i="28" s="1"/>
  <c r="BT70" i="28"/>
  <c r="BT77" i="28" s="1"/>
  <c r="BS70" i="28"/>
  <c r="BS77" i="28" s="1"/>
  <c r="BR70" i="28"/>
  <c r="BR77" i="28" s="1"/>
  <c r="BQ70" i="28"/>
  <c r="BQ77" i="28" s="1"/>
  <c r="BP70" i="28"/>
  <c r="BP77" i="28" s="1"/>
  <c r="BO70" i="28"/>
  <c r="BO77" i="28" s="1"/>
  <c r="BN70" i="28"/>
  <c r="BM70" i="28"/>
  <c r="BM77" i="28" s="1"/>
  <c r="BL70" i="28"/>
  <c r="BL77" i="28" s="1"/>
  <c r="BK70" i="28"/>
  <c r="BK77" i="28" s="1"/>
  <c r="BJ70" i="28"/>
  <c r="BJ77" i="28" s="1"/>
  <c r="BI70" i="28"/>
  <c r="BI77" i="28" s="1"/>
  <c r="BH70" i="28"/>
  <c r="BH77" i="28" s="1"/>
  <c r="BG70" i="28"/>
  <c r="BG77" i="28" s="1"/>
  <c r="BF70" i="28"/>
  <c r="BF77" i="28" s="1"/>
  <c r="BE70" i="28"/>
  <c r="BD70" i="28"/>
  <c r="BD77" i="28" s="1"/>
  <c r="BC70" i="28"/>
  <c r="BC77" i="28" s="1"/>
  <c r="BB70" i="28"/>
  <c r="BB77" i="28" s="1"/>
  <c r="BA70" i="28"/>
  <c r="BA77" i="28" s="1"/>
  <c r="AZ70" i="28"/>
  <c r="AZ77" i="28" s="1"/>
  <c r="AI70" i="28"/>
  <c r="AH70" i="28"/>
  <c r="BW69" i="28"/>
  <c r="BW76" i="28" s="1"/>
  <c r="BV69" i="28"/>
  <c r="BV76" i="28" s="1"/>
  <c r="BU69" i="28"/>
  <c r="BU76" i="28" s="1"/>
  <c r="BT69" i="28"/>
  <c r="BT76" i="28" s="1"/>
  <c r="BS69" i="28"/>
  <c r="BS76" i="28" s="1"/>
  <c r="BR69" i="28"/>
  <c r="BR76" i="28" s="1"/>
  <c r="BQ69" i="28"/>
  <c r="BP69" i="28"/>
  <c r="BP76" i="28" s="1"/>
  <c r="BO69" i="28"/>
  <c r="BO76" i="28" s="1"/>
  <c r="BN69" i="28"/>
  <c r="BN76" i="28" s="1"/>
  <c r="BM69" i="28"/>
  <c r="BM76" i="28" s="1"/>
  <c r="BL69" i="28"/>
  <c r="BL76" i="28" s="1"/>
  <c r="BK69" i="28"/>
  <c r="BJ69" i="28"/>
  <c r="BJ76" i="28" s="1"/>
  <c r="BI69" i="28"/>
  <c r="BH69" i="28"/>
  <c r="BH76" i="28" s="1"/>
  <c r="BG69" i="28"/>
  <c r="BG76" i="28" s="1"/>
  <c r="BF69" i="28"/>
  <c r="BF76" i="28" s="1"/>
  <c r="BE69" i="28"/>
  <c r="BD69" i="28"/>
  <c r="BD76" i="28" s="1"/>
  <c r="BC69" i="28"/>
  <c r="BB69" i="28"/>
  <c r="BB76" i="28" s="1"/>
  <c r="BA69" i="28"/>
  <c r="AZ69" i="28"/>
  <c r="AI69" i="28"/>
  <c r="AH69" i="28"/>
  <c r="BW68" i="28"/>
  <c r="BW75" i="28" s="1"/>
  <c r="BV68" i="28"/>
  <c r="BV75" i="28" s="1"/>
  <c r="BU68" i="28"/>
  <c r="BU75" i="28" s="1"/>
  <c r="BT68" i="28"/>
  <c r="BT75" i="28" s="1"/>
  <c r="BS68" i="28"/>
  <c r="BS75" i="28" s="1"/>
  <c r="BR68" i="28"/>
  <c r="BQ68" i="28"/>
  <c r="BQ75" i="28" s="1"/>
  <c r="BP68" i="28"/>
  <c r="BO68" i="28"/>
  <c r="BO75" i="28" s="1"/>
  <c r="BN68" i="28"/>
  <c r="BN75" i="28" s="1"/>
  <c r="BM68" i="28"/>
  <c r="BM75" i="28" s="1"/>
  <c r="BL68" i="28"/>
  <c r="BL75" i="28" s="1"/>
  <c r="BK68" i="28"/>
  <c r="BJ68" i="28"/>
  <c r="BJ75" i="28" s="1"/>
  <c r="BI68" i="28"/>
  <c r="BI75" i="28" s="1"/>
  <c r="BH68" i="28"/>
  <c r="BH75" i="28" s="1"/>
  <c r="BG68" i="28"/>
  <c r="BF68" i="28"/>
  <c r="BF75" i="28" s="1"/>
  <c r="BE68" i="28"/>
  <c r="BD68" i="28"/>
  <c r="BD75" i="28" s="1"/>
  <c r="BC68" i="28"/>
  <c r="BC75" i="28" s="1"/>
  <c r="BB68" i="28"/>
  <c r="BB75" i="28" s="1"/>
  <c r="BA68" i="28"/>
  <c r="BA75" i="28" s="1"/>
  <c r="AZ68" i="28"/>
  <c r="AI68" i="28"/>
  <c r="AH68" i="28"/>
  <c r="AI67" i="28"/>
  <c r="AH67" i="28"/>
  <c r="AI66" i="28"/>
  <c r="AH66" i="28"/>
  <c r="AI65" i="28"/>
  <c r="AH65" i="28"/>
  <c r="AI64" i="28"/>
  <c r="AH64" i="28"/>
  <c r="AI63" i="28"/>
  <c r="AH63" i="28"/>
  <c r="AG62" i="28"/>
  <c r="AF62" i="28"/>
  <c r="BJ17" i="28" s="1"/>
  <c r="BI17" i="28"/>
  <c r="BH17" i="28"/>
  <c r="AA62" i="28"/>
  <c r="Z62" i="28"/>
  <c r="BF17" i="28" s="1"/>
  <c r="Y62" i="28"/>
  <c r="X62" i="28"/>
  <c r="BE17" i="28" s="1"/>
  <c r="W62" i="28"/>
  <c r="V62" i="28"/>
  <c r="BD17" i="28" s="1"/>
  <c r="U62" i="28"/>
  <c r="T62" i="28"/>
  <c r="BB17" i="28" s="1"/>
  <c r="S62" i="28"/>
  <c r="BA17" i="28" s="1"/>
  <c r="R62" i="28"/>
  <c r="Q62" i="28"/>
  <c r="P62" i="28"/>
  <c r="AX17" i="28" s="1"/>
  <c r="O62" i="28"/>
  <c r="AW17" i="28" s="1"/>
  <c r="N62" i="28"/>
  <c r="AV17" i="28" s="1"/>
  <c r="M62" i="28"/>
  <c r="L62" i="28"/>
  <c r="J62" i="28"/>
  <c r="I62" i="28"/>
  <c r="AS17" i="28" s="1"/>
  <c r="H62" i="28"/>
  <c r="G62" i="28"/>
  <c r="AR17" i="28" s="1"/>
  <c r="F62" i="28"/>
  <c r="AQ17" i="28" s="1"/>
  <c r="E62" i="28"/>
  <c r="AP17" i="28" s="1"/>
  <c r="C62" i="28"/>
  <c r="AN17" i="28" s="1"/>
  <c r="AI61" i="28"/>
  <c r="AH61" i="28"/>
  <c r="AI60" i="28"/>
  <c r="AH60" i="28"/>
  <c r="AI59" i="28"/>
  <c r="AH59" i="28"/>
  <c r="AG58" i="28"/>
  <c r="AF58" i="28"/>
  <c r="AE7" i="28"/>
  <c r="AD7" i="28"/>
  <c r="AC7" i="28"/>
  <c r="AA58" i="28"/>
  <c r="Z58" i="28"/>
  <c r="Y58" i="28"/>
  <c r="X58" i="28"/>
  <c r="W58" i="28"/>
  <c r="V58" i="28"/>
  <c r="U58" i="28"/>
  <c r="BC16" i="28" s="1"/>
  <c r="T58" i="28"/>
  <c r="S58" i="28"/>
  <c r="BA16" i="28" s="1"/>
  <c r="R58" i="28"/>
  <c r="Q58" i="28"/>
  <c r="AY16" i="28" s="1"/>
  <c r="P58" i="28"/>
  <c r="O58" i="28"/>
  <c r="O97" i="28" s="1"/>
  <c r="O99" i="28" s="1"/>
  <c r="N58" i="28"/>
  <c r="M58" i="28"/>
  <c r="L58" i="28"/>
  <c r="J58" i="28"/>
  <c r="I58" i="28"/>
  <c r="H58" i="28"/>
  <c r="G58" i="28"/>
  <c r="AR16" i="28" s="1"/>
  <c r="F58" i="28"/>
  <c r="E58" i="28"/>
  <c r="AO16" i="28"/>
  <c r="C58" i="28"/>
  <c r="AI57" i="28"/>
  <c r="AH57" i="28"/>
  <c r="AI56" i="28"/>
  <c r="AH56" i="28"/>
  <c r="AI55" i="28"/>
  <c r="AH55" i="28"/>
  <c r="AI54" i="28"/>
  <c r="AH54" i="28"/>
  <c r="AI53" i="28"/>
  <c r="AH53" i="28"/>
  <c r="AI52" i="28"/>
  <c r="AH52" i="28"/>
  <c r="AI51" i="28"/>
  <c r="AH51" i="28"/>
  <c r="AI50" i="28"/>
  <c r="AH50" i="28"/>
  <c r="AI49" i="28"/>
  <c r="AH49" i="28"/>
  <c r="AI48" i="28"/>
  <c r="AH48" i="28"/>
  <c r="AI47" i="28"/>
  <c r="AH47" i="28"/>
  <c r="AI46" i="28"/>
  <c r="AH46" i="28"/>
  <c r="AI45" i="28"/>
  <c r="AH45" i="28"/>
  <c r="AI44" i="28"/>
  <c r="AH44" i="28"/>
  <c r="AI43" i="28"/>
  <c r="AH43" i="28"/>
  <c r="AI42" i="28"/>
  <c r="AH42" i="28"/>
  <c r="AI41" i="28"/>
  <c r="AH41" i="28"/>
  <c r="AI40" i="28"/>
  <c r="AH40" i="28"/>
  <c r="AI39" i="28"/>
  <c r="AH39" i="28"/>
  <c r="AI38" i="28"/>
  <c r="AH38" i="28"/>
  <c r="AI37" i="28"/>
  <c r="AH37" i="28"/>
  <c r="AI36" i="28"/>
  <c r="AH36" i="28"/>
  <c r="AI35" i="28"/>
  <c r="AH35" i="28"/>
  <c r="AI34" i="28"/>
  <c r="AH34" i="28"/>
  <c r="AI33" i="28"/>
  <c r="AH33" i="28"/>
  <c r="AI32" i="28"/>
  <c r="AH32" i="28"/>
  <c r="AI31" i="28"/>
  <c r="AH31" i="28"/>
  <c r="AI30" i="28"/>
  <c r="AH30" i="28"/>
  <c r="AI29" i="28"/>
  <c r="AH29" i="28"/>
  <c r="AI28" i="28"/>
  <c r="AH28" i="28"/>
  <c r="AI27" i="28"/>
  <c r="AH27" i="28"/>
  <c r="AI26" i="28"/>
  <c r="AH26" i="28"/>
  <c r="AI25" i="28"/>
  <c r="AH25" i="28"/>
  <c r="AI24" i="28"/>
  <c r="AH24" i="28"/>
  <c r="BG23" i="28"/>
  <c r="AI23" i="28"/>
  <c r="AH23" i="28"/>
  <c r="AI22" i="28"/>
  <c r="AH22" i="28"/>
  <c r="BJ21" i="28"/>
  <c r="BI21" i="28"/>
  <c r="BH21" i="28"/>
  <c r="BG21" i="28"/>
  <c r="BF21" i="28"/>
  <c r="BE21" i="28"/>
  <c r="BD21" i="28"/>
  <c r="BC21" i="28"/>
  <c r="BB21" i="28"/>
  <c r="BA21" i="28"/>
  <c r="AZ21" i="28"/>
  <c r="AY21" i="28"/>
  <c r="AX21" i="28"/>
  <c r="AW21" i="28"/>
  <c r="AV21" i="28"/>
  <c r="AU21" i="28"/>
  <c r="AT21" i="28"/>
  <c r="AS21" i="28"/>
  <c r="AR21" i="28"/>
  <c r="AQ21" i="28"/>
  <c r="AP21" i="28"/>
  <c r="AO21" i="28"/>
  <c r="AN21" i="28"/>
  <c r="AM21" i="28"/>
  <c r="AI21" i="28"/>
  <c r="AH21" i="28"/>
  <c r="BJ20" i="28"/>
  <c r="BI20" i="28"/>
  <c r="BH20" i="28"/>
  <c r="BF20" i="28"/>
  <c r="BD20" i="28"/>
  <c r="BA20" i="28"/>
  <c r="AZ20" i="28"/>
  <c r="AX20" i="28"/>
  <c r="AW20" i="28"/>
  <c r="AU20" i="28"/>
  <c r="AT20" i="28"/>
  <c r="AS20" i="28"/>
  <c r="AR20" i="28"/>
  <c r="AQ20" i="28"/>
  <c r="AM20" i="28"/>
  <c r="AI20" i="28"/>
  <c r="AH20" i="28"/>
  <c r="BI19" i="28"/>
  <c r="BD19" i="28"/>
  <c r="AZ19" i="28"/>
  <c r="AY19" i="28"/>
  <c r="AW19" i="28"/>
  <c r="AR19" i="28"/>
  <c r="AM19" i="28"/>
  <c r="AI19" i="28"/>
  <c r="AH19" i="28"/>
  <c r="BJ18" i="28"/>
  <c r="BI18" i="28"/>
  <c r="BH18" i="28"/>
  <c r="BG18" i="28"/>
  <c r="BF18" i="28"/>
  <c r="BE18" i="28"/>
  <c r="AX18" i="28"/>
  <c r="AW18" i="28"/>
  <c r="AV18" i="28"/>
  <c r="AR18" i="28"/>
  <c r="AI18" i="28"/>
  <c r="AH18" i="28"/>
  <c r="BG17" i="28"/>
  <c r="BC17" i="28"/>
  <c r="AZ17" i="28"/>
  <c r="AY17" i="28"/>
  <c r="AU17" i="28"/>
  <c r="AT17" i="28"/>
  <c r="AO17" i="28"/>
  <c r="AM17" i="28"/>
  <c r="AI17" i="28"/>
  <c r="AH17" i="28"/>
  <c r="BJ16" i="28"/>
  <c r="BI16" i="28"/>
  <c r="BG16" i="28"/>
  <c r="BB16" i="28"/>
  <c r="AU16" i="28"/>
  <c r="AT16" i="28"/>
  <c r="AS16" i="28"/>
  <c r="AP16" i="28"/>
  <c r="AN16" i="28"/>
  <c r="AM16" i="28"/>
  <c r="AI16" i="28"/>
  <c r="AH16" i="28"/>
  <c r="AI15" i="28"/>
  <c r="AH15" i="28"/>
  <c r="AI14" i="28"/>
  <c r="AH14" i="28"/>
  <c r="AI13" i="28"/>
  <c r="AH13" i="28"/>
  <c r="AL12" i="28"/>
  <c r="AI12" i="28"/>
  <c r="AH12" i="28"/>
  <c r="AI11" i="28"/>
  <c r="AH11" i="28"/>
  <c r="AF5" i="28"/>
  <c r="AD5" i="28"/>
  <c r="AB5" i="28"/>
  <c r="Z5" i="28"/>
  <c r="Q5" i="28"/>
  <c r="P5" i="28"/>
  <c r="N5" i="28"/>
  <c r="L5" i="28"/>
  <c r="G5" i="28"/>
  <c r="AG4" i="28"/>
  <c r="K4" i="28"/>
  <c r="E4" i="28"/>
  <c r="H4" i="28" s="1"/>
  <c r="B4" i="28"/>
  <c r="D258" i="28" s="1"/>
  <c r="AG2" i="28"/>
  <c r="AF57" i="27"/>
  <c r="AE121" i="27"/>
  <c r="AE57" i="27"/>
  <c r="AD121" i="27"/>
  <c r="AD57" i="27"/>
  <c r="AC121" i="27"/>
  <c r="AC57" i="27"/>
  <c r="AB121" i="27"/>
  <c r="AB57" i="27"/>
  <c r="R57" i="27"/>
  <c r="Q57" i="27"/>
  <c r="P57" i="27"/>
  <c r="O57" i="27"/>
  <c r="N57" i="27"/>
  <c r="L58" i="27"/>
  <c r="L62" i="27"/>
  <c r="L76" i="27"/>
  <c r="L80" i="27"/>
  <c r="L92" i="27"/>
  <c r="L101" i="27"/>
  <c r="L102" i="27"/>
  <c r="L103" i="27"/>
  <c r="L104" i="27"/>
  <c r="L105" i="27"/>
  <c r="AE5" i="28" l="1"/>
  <c r="AF107" i="28"/>
  <c r="BJ23" i="28" s="1"/>
  <c r="AF97" i="28"/>
  <c r="AF99" i="28" s="1"/>
  <c r="BJ22" i="28"/>
  <c r="BI22" i="28"/>
  <c r="BI24" i="28" s="1"/>
  <c r="AA107" i="28"/>
  <c r="AA108" i="28" s="1"/>
  <c r="AA97" i="28"/>
  <c r="AA99" i="28" s="1"/>
  <c r="AA100" i="28" s="1"/>
  <c r="AA7" i="28" s="1"/>
  <c r="Z108" i="28"/>
  <c r="Y5" i="28"/>
  <c r="Y97" i="28"/>
  <c r="Y99" i="28" s="1"/>
  <c r="Y100" i="28" s="1"/>
  <c r="Y7" i="28" s="1"/>
  <c r="X97" i="28"/>
  <c r="X99" i="28" s="1"/>
  <c r="X107" i="28"/>
  <c r="BE23" i="28" s="1"/>
  <c r="X108" i="28"/>
  <c r="W5" i="28"/>
  <c r="X100" i="28"/>
  <c r="X7" i="28" s="1"/>
  <c r="W107" i="28"/>
  <c r="W97" i="28"/>
  <c r="W99" i="28" s="1"/>
  <c r="W100" i="28" s="1"/>
  <c r="W7" i="28" s="1"/>
  <c r="V107" i="28"/>
  <c r="BD23" i="28" s="1"/>
  <c r="U107" i="28"/>
  <c r="BC23" i="28" s="1"/>
  <c r="U97" i="28"/>
  <c r="U99" i="28" s="1"/>
  <c r="U100" i="28" s="1"/>
  <c r="U7" i="28" s="1"/>
  <c r="T5" i="28"/>
  <c r="BC22" i="28"/>
  <c r="BC24" i="28" s="1"/>
  <c r="T107" i="28"/>
  <c r="BB23" i="28" s="1"/>
  <c r="S107" i="28"/>
  <c r="BA23" i="28" s="1"/>
  <c r="S108" i="28"/>
  <c r="R5" i="28"/>
  <c r="BA19" i="28"/>
  <c r="BA22" i="28" s="1"/>
  <c r="BA24" i="28" s="1"/>
  <c r="S97" i="28"/>
  <c r="S99" i="28" s="1"/>
  <c r="S100" i="28" s="1"/>
  <c r="S7" i="28" s="1"/>
  <c r="R107" i="28"/>
  <c r="AZ23" i="28" s="1"/>
  <c r="AX19" i="28"/>
  <c r="O5" i="28"/>
  <c r="P107" i="28"/>
  <c r="AX23" i="28" s="1"/>
  <c r="P97" i="28"/>
  <c r="P99" i="28" s="1"/>
  <c r="P100" i="28" s="1"/>
  <c r="P7" i="28" s="1"/>
  <c r="AI104" i="28"/>
  <c r="O107" i="28"/>
  <c r="AW23" i="28" s="1"/>
  <c r="N107" i="28"/>
  <c r="AV23" i="28" s="1"/>
  <c r="N97" i="28"/>
  <c r="N99" i="28" s="1"/>
  <c r="N100" i="28" s="1"/>
  <c r="N7" i="28" s="1"/>
  <c r="M97" i="28"/>
  <c r="M99" i="28" s="1"/>
  <c r="AU22" i="28"/>
  <c r="M107" i="28"/>
  <c r="AU23" i="28" s="1"/>
  <c r="L107" i="28"/>
  <c r="L108" i="28" s="1"/>
  <c r="K97" i="28"/>
  <c r="K99" i="28" s="1"/>
  <c r="K100" i="28" s="1"/>
  <c r="K7" i="28" s="1"/>
  <c r="J5" i="28"/>
  <c r="AT22" i="28"/>
  <c r="K107" i="28"/>
  <c r="AT23" i="28" s="1"/>
  <c r="AT24" i="28" s="1"/>
  <c r="J107" i="28"/>
  <c r="J108" i="28" s="1"/>
  <c r="I5" i="28"/>
  <c r="AS19" i="28"/>
  <c r="I107" i="28"/>
  <c r="AS23" i="28" s="1"/>
  <c r="I97" i="28"/>
  <c r="I99" i="28" s="1"/>
  <c r="I100" i="28" s="1"/>
  <c r="I7" i="28" s="1"/>
  <c r="H107" i="28"/>
  <c r="H108" i="28" s="1"/>
  <c r="H97" i="28"/>
  <c r="H99" i="28" s="1"/>
  <c r="H100" i="28" s="1"/>
  <c r="H7" i="28" s="1"/>
  <c r="AI105" i="28"/>
  <c r="G107" i="28"/>
  <c r="AR23" i="28" s="1"/>
  <c r="AR22" i="28"/>
  <c r="AR24" i="28" s="1"/>
  <c r="F107" i="28"/>
  <c r="AQ23" i="28" s="1"/>
  <c r="F97" i="28"/>
  <c r="F99" i="28" s="1"/>
  <c r="F100" i="28" s="1"/>
  <c r="F7" i="28" s="1"/>
  <c r="D5" i="28"/>
  <c r="E107" i="28"/>
  <c r="AP23" i="28" s="1"/>
  <c r="E97" i="28"/>
  <c r="E99" i="28" s="1"/>
  <c r="E100" i="28" s="1"/>
  <c r="E7" i="28" s="1"/>
  <c r="AI62" i="28"/>
  <c r="AP22" i="28"/>
  <c r="AP24" i="28" s="1"/>
  <c r="D107" i="28"/>
  <c r="AO23" i="28" s="1"/>
  <c r="AH121" i="28"/>
  <c r="AI121" i="28"/>
  <c r="C107" i="28"/>
  <c r="AN23" i="28" s="1"/>
  <c r="B5" i="28"/>
  <c r="AN19" i="28"/>
  <c r="AI80" i="28"/>
  <c r="AN22" i="28"/>
  <c r="AN24" i="28" s="1"/>
  <c r="C97" i="28"/>
  <c r="C99" i="28" s="1"/>
  <c r="C100" i="28" s="1"/>
  <c r="C7" i="28" s="1"/>
  <c r="AL13" i="28"/>
  <c r="AS22" i="28"/>
  <c r="AS24" i="28" s="1"/>
  <c r="BG22" i="28"/>
  <c r="BG24" i="28" s="1"/>
  <c r="AM22" i="28"/>
  <c r="AO22" i="28"/>
  <c r="AO24" i="28" s="1"/>
  <c r="AY22" i="28"/>
  <c r="AY24" i="28" s="1"/>
  <c r="V97" i="28"/>
  <c r="V99" i="28" s="1"/>
  <c r="V100" i="28" s="1"/>
  <c r="V7" i="28" s="1"/>
  <c r="AG97" i="28"/>
  <c r="AH76" i="28"/>
  <c r="AH80" i="28"/>
  <c r="AA5" i="28"/>
  <c r="BG84" i="28" a="1"/>
  <c r="AI76" i="28"/>
  <c r="U108" i="28"/>
  <c r="Q97" i="28"/>
  <c r="Q99" i="28" s="1"/>
  <c r="Q100" i="28" s="1"/>
  <c r="Q7" i="28" s="1"/>
  <c r="C5" i="28"/>
  <c r="AO19" i="28"/>
  <c r="E108" i="28"/>
  <c r="BD16" i="28"/>
  <c r="BD22" i="28" s="1"/>
  <c r="BD24" i="28" s="1"/>
  <c r="S5" i="28"/>
  <c r="AW16" i="28"/>
  <c r="AW22" i="28" s="1"/>
  <c r="AW24" i="28" s="1"/>
  <c r="AQ19" i="28"/>
  <c r="BG19" i="28"/>
  <c r="Z97" i="28"/>
  <c r="Z99" i="28" s="1"/>
  <c r="Z100" i="28" s="1"/>
  <c r="Z7" i="28" s="1"/>
  <c r="AH62" i="28"/>
  <c r="O108" i="28"/>
  <c r="W108" i="28"/>
  <c r="AI101" i="28"/>
  <c r="AH102" i="28"/>
  <c r="AX16" i="28"/>
  <c r="AX22" i="28" s="1"/>
  <c r="AX24" i="28" s="1"/>
  <c r="BF16" i="28"/>
  <c r="BF22" i="28" s="1"/>
  <c r="BF24" i="28" s="1"/>
  <c r="BH19" i="28"/>
  <c r="AI58" i="28"/>
  <c r="AH101" i="28"/>
  <c r="AI102" i="28"/>
  <c r="AI103" i="28"/>
  <c r="AH104" i="28"/>
  <c r="N108" i="28"/>
  <c r="BE16" i="28"/>
  <c r="BE22" i="28" s="1"/>
  <c r="BE24" i="28" s="1"/>
  <c r="J97" i="28"/>
  <c r="J99" i="28" s="1"/>
  <c r="D97" i="28"/>
  <c r="D99" i="28" s="1"/>
  <c r="D100" i="28" s="1"/>
  <c r="D7" i="28" s="1"/>
  <c r="L97" i="28"/>
  <c r="L99" i="28" s="1"/>
  <c r="L100" i="28" s="1"/>
  <c r="L7" i="28" s="1"/>
  <c r="T97" i="28"/>
  <c r="T99" i="28" s="1"/>
  <c r="T100" i="28" s="1"/>
  <c r="T7" i="28" s="1"/>
  <c r="AB7" i="28"/>
  <c r="I108" i="28"/>
  <c r="Q108" i="28"/>
  <c r="Y108" i="28"/>
  <c r="D118" i="28"/>
  <c r="E251" i="28"/>
  <c r="F251" i="28" s="1"/>
  <c r="G251" i="28" s="1"/>
  <c r="H251" i="28" s="1"/>
  <c r="I251" i="28" s="1"/>
  <c r="J251" i="28" s="1"/>
  <c r="K251" i="28" s="1"/>
  <c r="L251" i="28" s="1"/>
  <c r="M251" i="28" s="1"/>
  <c r="N251" i="28" s="1"/>
  <c r="O251" i="28" s="1"/>
  <c r="P251" i="28" s="1"/>
  <c r="Q251" i="28" s="1"/>
  <c r="R251" i="28" s="1"/>
  <c r="S251" i="28" s="1"/>
  <c r="T251" i="28" s="1"/>
  <c r="U251" i="28" s="1"/>
  <c r="V251" i="28" s="1"/>
  <c r="W251" i="28" s="1"/>
  <c r="X251" i="28" s="1"/>
  <c r="Y251" i="28" s="1"/>
  <c r="Z251" i="28" s="1"/>
  <c r="AA251" i="28" s="1"/>
  <c r="AB251" i="28" s="1"/>
  <c r="AC251" i="28" s="1"/>
  <c r="AD251" i="28" s="1"/>
  <c r="AE251" i="28" s="1"/>
  <c r="AF251" i="28" s="1"/>
  <c r="B251" i="28" s="1"/>
  <c r="K5" i="28"/>
  <c r="AV16" i="28"/>
  <c r="AV22" i="28" s="1"/>
  <c r="AV24" i="28" s="1"/>
  <c r="F108" i="28"/>
  <c r="V108" i="28"/>
  <c r="G97" i="28"/>
  <c r="G99" i="28" s="1"/>
  <c r="AF108" i="28"/>
  <c r="M5" i="28"/>
  <c r="AC5" i="28"/>
  <c r="R97" i="28"/>
  <c r="R99" i="28" s="1"/>
  <c r="R100" i="28" s="1"/>
  <c r="R7" i="28" s="1"/>
  <c r="AH58" i="28"/>
  <c r="AQ16" i="28"/>
  <c r="AQ22" i="28" s="1"/>
  <c r="AQ24" i="28" s="1"/>
  <c r="AZ16" i="28"/>
  <c r="AZ22" i="28" s="1"/>
  <c r="AZ24" i="28" s="1"/>
  <c r="BH16" i="28"/>
  <c r="BB19" i="28"/>
  <c r="BB22" i="28" s="1"/>
  <c r="BB24" i="28" s="1"/>
  <c r="B108" i="28"/>
  <c r="AI92" i="28"/>
  <c r="AH92" i="28"/>
  <c r="AH103" i="28"/>
  <c r="E246" i="28"/>
  <c r="AH105" i="28"/>
  <c r="L107" i="27"/>
  <c r="L108" i="27" s="1"/>
  <c r="L97" i="27"/>
  <c r="L99" i="27" s="1"/>
  <c r="K58" i="27"/>
  <c r="K62" i="27"/>
  <c r="K76" i="27"/>
  <c r="K80" i="27"/>
  <c r="K92" i="27"/>
  <c r="K101" i="27"/>
  <c r="K102" i="27"/>
  <c r="K103" i="27"/>
  <c r="K104" i="27"/>
  <c r="K105" i="27"/>
  <c r="BJ24" i="28" l="1"/>
  <c r="AF100" i="28"/>
  <c r="AF7" i="28" s="1"/>
  <c r="T108" i="28"/>
  <c r="R108" i="28"/>
  <c r="P108" i="28"/>
  <c r="O100" i="28"/>
  <c r="O7" i="28" s="1"/>
  <c r="AU24" i="28"/>
  <c r="M108" i="28"/>
  <c r="M100" i="28"/>
  <c r="M7" i="28" s="1"/>
  <c r="J100" i="28"/>
  <c r="J7" i="28" s="1"/>
  <c r="K108" i="28"/>
  <c r="G108" i="28"/>
  <c r="D108" i="28"/>
  <c r="AH108" i="28" s="1"/>
  <c r="C108" i="28"/>
  <c r="BJ107" i="28"/>
  <c r="BH106" i="28"/>
  <c r="BL104" i="28"/>
  <c r="BJ103" i="28"/>
  <c r="BH102" i="28"/>
  <c r="BL100" i="28"/>
  <c r="BJ99" i="28"/>
  <c r="BH98" i="28"/>
  <c r="BL96" i="28"/>
  <c r="BJ95" i="28"/>
  <c r="BH94" i="28"/>
  <c r="BL92" i="28"/>
  <c r="BJ91" i="28"/>
  <c r="BH90" i="28"/>
  <c r="BL88" i="28"/>
  <c r="BJ87" i="28"/>
  <c r="BH86" i="28"/>
  <c r="BL84" i="28"/>
  <c r="BH107" i="28"/>
  <c r="BL105" i="28"/>
  <c r="BJ104" i="28"/>
  <c r="BH103" i="28"/>
  <c r="BL101" i="28"/>
  <c r="BJ100" i="28"/>
  <c r="BH99" i="28"/>
  <c r="BL97" i="28"/>
  <c r="BJ96" i="28"/>
  <c r="BH95" i="28"/>
  <c r="BL93" i="28"/>
  <c r="BJ92" i="28"/>
  <c r="BH91" i="28"/>
  <c r="BL89" i="28"/>
  <c r="BJ88" i="28"/>
  <c r="BH87" i="28"/>
  <c r="BL85" i="28"/>
  <c r="BJ84" i="28"/>
  <c r="BL106" i="28"/>
  <c r="BJ105" i="28"/>
  <c r="BH104" i="28"/>
  <c r="BL102" i="28"/>
  <c r="BJ101" i="28"/>
  <c r="BH100" i="28"/>
  <c r="BL98" i="28"/>
  <c r="BJ97" i="28"/>
  <c r="BH96" i="28"/>
  <c r="BL94" i="28"/>
  <c r="BJ93" i="28"/>
  <c r="BH92" i="28"/>
  <c r="BL90" i="28"/>
  <c r="BJ89" i="28"/>
  <c r="BH88" i="28"/>
  <c r="BL86" i="28"/>
  <c r="BJ85" i="28"/>
  <c r="BH84" i="28"/>
  <c r="BL107" i="28"/>
  <c r="BJ106" i="28"/>
  <c r="BH105" i="28"/>
  <c r="BL103" i="28"/>
  <c r="BJ102" i="28"/>
  <c r="BH101" i="28"/>
  <c r="BL99" i="28"/>
  <c r="BJ98" i="28"/>
  <c r="BH97" i="28"/>
  <c r="BL95" i="28"/>
  <c r="BJ94" i="28"/>
  <c r="BH93" i="28"/>
  <c r="BL91" i="28"/>
  <c r="BJ90" i="28"/>
  <c r="BH89" i="28"/>
  <c r="BL87" i="28"/>
  <c r="BJ86" i="28"/>
  <c r="BH85" i="28"/>
  <c r="BI107" i="28"/>
  <c r="BK104" i="28"/>
  <c r="BG102" i="28"/>
  <c r="BI99" i="28"/>
  <c r="BK96" i="28"/>
  <c r="BG94" i="28"/>
  <c r="BI91" i="28"/>
  <c r="BK88" i="28"/>
  <c r="BG86" i="28"/>
  <c r="BK100" i="28"/>
  <c r="BI95" i="28"/>
  <c r="BG90" i="28"/>
  <c r="BK84" i="28"/>
  <c r="BK105" i="28"/>
  <c r="BI92" i="28"/>
  <c r="BI84" i="28"/>
  <c r="BG107" i="28"/>
  <c r="BI104" i="28"/>
  <c r="BK101" i="28"/>
  <c r="BG99" i="28"/>
  <c r="BI96" i="28"/>
  <c r="BK93" i="28"/>
  <c r="BG91" i="28"/>
  <c r="BI88" i="28"/>
  <c r="BK85" i="28"/>
  <c r="BG95" i="28"/>
  <c r="BK106" i="28"/>
  <c r="BG104" i="28"/>
  <c r="BI101" i="28"/>
  <c r="BK98" i="28"/>
  <c r="BG96" i="28"/>
  <c r="BI93" i="28"/>
  <c r="BK90" i="28"/>
  <c r="BG88" i="28"/>
  <c r="BI85" i="28"/>
  <c r="BI106" i="28"/>
  <c r="BK103" i="28"/>
  <c r="BG101" i="28"/>
  <c r="BI98" i="28"/>
  <c r="BK95" i="28"/>
  <c r="BG93" i="28"/>
  <c r="BI90" i="28"/>
  <c r="BK87" i="28"/>
  <c r="BG85" i="28"/>
  <c r="BG106" i="28"/>
  <c r="BI103" i="28"/>
  <c r="BG98" i="28"/>
  <c r="BK92" i="28"/>
  <c r="BI87" i="28"/>
  <c r="BG103" i="28"/>
  <c r="BK89" i="28"/>
  <c r="BK97" i="28"/>
  <c r="BK107" i="28"/>
  <c r="BK99" i="28"/>
  <c r="BI94" i="28"/>
  <c r="BG89" i="28"/>
  <c r="BI100" i="28"/>
  <c r="BG87" i="28"/>
  <c r="BI105" i="28"/>
  <c r="BK102" i="28"/>
  <c r="BG100" i="28"/>
  <c r="BI97" i="28"/>
  <c r="BK94" i="28"/>
  <c r="BG92" i="28"/>
  <c r="BI89" i="28"/>
  <c r="BK86" i="28"/>
  <c r="BG84" i="28"/>
  <c r="BG105" i="28"/>
  <c r="BI102" i="28"/>
  <c r="BG97" i="28"/>
  <c r="BK91" i="28"/>
  <c r="BI86" i="28"/>
  <c r="F246" i="28"/>
  <c r="E118" i="28"/>
  <c r="E252" i="28"/>
  <c r="AH97" i="28"/>
  <c r="AI97" i="28"/>
  <c r="AM24" i="28"/>
  <c r="AI108" i="28"/>
  <c r="BH22" i="28"/>
  <c r="BH24" i="28" s="1"/>
  <c r="C256" i="28"/>
  <c r="B256" i="28"/>
  <c r="G100" i="28"/>
  <c r="G7" i="28" s="1"/>
  <c r="AI107" i="28"/>
  <c r="AH107" i="28"/>
  <c r="AM23" i="28"/>
  <c r="L100" i="27"/>
  <c r="K107" i="27"/>
  <c r="K108" i="27" s="1"/>
  <c r="K97" i="27"/>
  <c r="K99" i="27" s="1"/>
  <c r="J57" i="27"/>
  <c r="J58" i="27"/>
  <c r="J62" i="27"/>
  <c r="J76" i="27"/>
  <c r="J80" i="27"/>
  <c r="J92" i="27"/>
  <c r="I5" i="27" s="1"/>
  <c r="J101" i="27"/>
  <c r="J102" i="27"/>
  <c r="J103" i="27"/>
  <c r="J104" i="27"/>
  <c r="J105" i="27"/>
  <c r="I57" i="27"/>
  <c r="I58" i="27"/>
  <c r="I62" i="27"/>
  <c r="I76" i="27"/>
  <c r="I80" i="27"/>
  <c r="I92" i="27"/>
  <c r="H5" i="27" s="1"/>
  <c r="I101" i="27"/>
  <c r="I102" i="27"/>
  <c r="I103" i="27"/>
  <c r="I104" i="27"/>
  <c r="I105" i="27"/>
  <c r="H57" i="27"/>
  <c r="H58" i="27"/>
  <c r="H62" i="27"/>
  <c r="H76" i="27"/>
  <c r="H80" i="27"/>
  <c r="H92" i="27"/>
  <c r="G5" i="27" s="1"/>
  <c r="H101" i="27"/>
  <c r="H102" i="27"/>
  <c r="H103" i="27"/>
  <c r="H104" i="27"/>
  <c r="H105" i="27"/>
  <c r="G57" i="27"/>
  <c r="G58" i="27"/>
  <c r="G62" i="27"/>
  <c r="G76" i="27"/>
  <c r="AR18" i="27" s="1"/>
  <c r="G80" i="27"/>
  <c r="AR20" i="27" s="1"/>
  <c r="G92" i="27"/>
  <c r="AR19" i="27" s="1"/>
  <c r="G101" i="27"/>
  <c r="G102" i="27"/>
  <c r="G103" i="27"/>
  <c r="G104" i="27"/>
  <c r="G105" i="27"/>
  <c r="F57" i="27"/>
  <c r="F58" i="27"/>
  <c r="F62" i="27"/>
  <c r="F76" i="27"/>
  <c r="AQ18" i="27" s="1"/>
  <c r="F80" i="27"/>
  <c r="AQ20" i="27" s="1"/>
  <c r="F92" i="27"/>
  <c r="F101" i="27"/>
  <c r="F102" i="27"/>
  <c r="F103" i="27"/>
  <c r="F107" i="27" s="1"/>
  <c r="AQ23" i="27" s="1"/>
  <c r="F104" i="27"/>
  <c r="F105" i="27"/>
  <c r="E57" i="27"/>
  <c r="E58" i="27"/>
  <c r="E62" i="27"/>
  <c r="E76" i="27"/>
  <c r="E80" i="27"/>
  <c r="AP20" i="27" s="1"/>
  <c r="E92" i="27"/>
  <c r="AP19" i="27" s="1"/>
  <c r="E101" i="27"/>
  <c r="E102" i="27"/>
  <c r="E103" i="27"/>
  <c r="E104" i="27"/>
  <c r="E105" i="27"/>
  <c r="AH125" i="27"/>
  <c r="AI125" i="27"/>
  <c r="D121" i="27"/>
  <c r="D57" i="27"/>
  <c r="D58" i="27"/>
  <c r="D62" i="27"/>
  <c r="D76" i="27"/>
  <c r="AH124" i="27"/>
  <c r="AI124" i="27"/>
  <c r="C121" i="27"/>
  <c r="C118" i="27" s="1"/>
  <c r="C57" i="27"/>
  <c r="C58" i="27"/>
  <c r="C62" i="27"/>
  <c r="C76" i="27"/>
  <c r="C80" i="27"/>
  <c r="C92" i="27"/>
  <c r="C101" i="27"/>
  <c r="C107" i="27" s="1"/>
  <c r="C102" i="27"/>
  <c r="C103" i="27"/>
  <c r="C104" i="27"/>
  <c r="C105" i="27"/>
  <c r="B121" i="27"/>
  <c r="B57" i="27"/>
  <c r="B105" i="27"/>
  <c r="B104" i="27"/>
  <c r="B103" i="27"/>
  <c r="B102" i="27"/>
  <c r="B101" i="27"/>
  <c r="B92" i="27"/>
  <c r="AF5" i="27" s="1"/>
  <c r="B80" i="27"/>
  <c r="B76" i="27"/>
  <c r="AM18" i="27" s="1"/>
  <c r="B62" i="27"/>
  <c r="B58" i="27"/>
  <c r="AG252" i="27"/>
  <c r="C252" i="27"/>
  <c r="D251" i="27"/>
  <c r="D250" i="27"/>
  <c r="E250" i="27" s="1"/>
  <c r="F250" i="27" s="1"/>
  <c r="G250" i="27" s="1"/>
  <c r="H250" i="27" s="1"/>
  <c r="I250" i="27" s="1"/>
  <c r="J250" i="27" s="1"/>
  <c r="K250" i="27" s="1"/>
  <c r="L250" i="27" s="1"/>
  <c r="M250" i="27" s="1"/>
  <c r="N250" i="27" s="1"/>
  <c r="O250" i="27" s="1"/>
  <c r="P250" i="27" s="1"/>
  <c r="Q250" i="27" s="1"/>
  <c r="R250" i="27" s="1"/>
  <c r="S250" i="27" s="1"/>
  <c r="T250" i="27" s="1"/>
  <c r="U250" i="27" s="1"/>
  <c r="V250" i="27" s="1"/>
  <c r="W250" i="27" s="1"/>
  <c r="X250" i="27" s="1"/>
  <c r="Y250" i="27" s="1"/>
  <c r="Z250" i="27" s="1"/>
  <c r="AA250" i="27" s="1"/>
  <c r="AB250" i="27" s="1"/>
  <c r="AC250" i="27" s="1"/>
  <c r="AD250" i="27" s="1"/>
  <c r="AE250" i="27" s="1"/>
  <c r="AF250" i="27" s="1"/>
  <c r="B250" i="27" s="1"/>
  <c r="D249" i="27"/>
  <c r="E249" i="27" s="1"/>
  <c r="F249" i="27" s="1"/>
  <c r="G249" i="27" s="1"/>
  <c r="H249" i="27" s="1"/>
  <c r="I249" i="27" s="1"/>
  <c r="J249" i="27" s="1"/>
  <c r="K249" i="27" s="1"/>
  <c r="L249" i="27" s="1"/>
  <c r="M249" i="27" s="1"/>
  <c r="N249" i="27" s="1"/>
  <c r="O249" i="27" s="1"/>
  <c r="P249" i="27" s="1"/>
  <c r="Q249" i="27" s="1"/>
  <c r="R249" i="27" s="1"/>
  <c r="S249" i="27" s="1"/>
  <c r="T249" i="27" s="1"/>
  <c r="U249" i="27" s="1"/>
  <c r="V249" i="27" s="1"/>
  <c r="W249" i="27" s="1"/>
  <c r="X249" i="27" s="1"/>
  <c r="Y249" i="27" s="1"/>
  <c r="Z249" i="27" s="1"/>
  <c r="AA249" i="27" s="1"/>
  <c r="AB249" i="27" s="1"/>
  <c r="AC249" i="27" s="1"/>
  <c r="AD249" i="27" s="1"/>
  <c r="AE249" i="27" s="1"/>
  <c r="AF249" i="27" s="1"/>
  <c r="B249" i="27" s="1"/>
  <c r="D248" i="27"/>
  <c r="E248" i="27" s="1"/>
  <c r="F248" i="27" s="1"/>
  <c r="G248" i="27" s="1"/>
  <c r="H248" i="27" s="1"/>
  <c r="I248" i="27" s="1"/>
  <c r="J248" i="27" s="1"/>
  <c r="K248" i="27" s="1"/>
  <c r="L248" i="27" s="1"/>
  <c r="M248" i="27" s="1"/>
  <c r="N248" i="27" s="1"/>
  <c r="O248" i="27" s="1"/>
  <c r="P248" i="27" s="1"/>
  <c r="Q248" i="27" s="1"/>
  <c r="R248" i="27" s="1"/>
  <c r="S248" i="27" s="1"/>
  <c r="T248" i="27" s="1"/>
  <c r="U248" i="27" s="1"/>
  <c r="V248" i="27" s="1"/>
  <c r="W248" i="27" s="1"/>
  <c r="X248" i="27" s="1"/>
  <c r="Y248" i="27" s="1"/>
  <c r="Z248" i="27" s="1"/>
  <c r="AA248" i="27" s="1"/>
  <c r="AB248" i="27" s="1"/>
  <c r="AC248" i="27" s="1"/>
  <c r="AD248" i="27" s="1"/>
  <c r="AE248" i="27" s="1"/>
  <c r="AF248" i="27" s="1"/>
  <c r="B248" i="27" s="1"/>
  <c r="D247" i="27"/>
  <c r="D246" i="27"/>
  <c r="E246" i="27" s="1"/>
  <c r="AG244" i="27"/>
  <c r="AF244" i="27"/>
  <c r="AE244" i="27"/>
  <c r="AD244" i="27"/>
  <c r="AC244" i="27"/>
  <c r="AB244" i="27"/>
  <c r="AA244" i="27"/>
  <c r="Z244" i="27"/>
  <c r="Z118" i="27" s="1"/>
  <c r="Y244" i="27"/>
  <c r="Y118" i="27" s="1"/>
  <c r="X244" i="27"/>
  <c r="W244" i="27"/>
  <c r="V244" i="27"/>
  <c r="U244" i="27"/>
  <c r="T244" i="27"/>
  <c r="S244" i="27"/>
  <c r="R244" i="27"/>
  <c r="Q244" i="27"/>
  <c r="P244" i="27"/>
  <c r="O244" i="27"/>
  <c r="N244" i="27"/>
  <c r="M244" i="27"/>
  <c r="L244" i="27"/>
  <c r="K244" i="27"/>
  <c r="J244" i="27"/>
  <c r="I244" i="27"/>
  <c r="H244" i="27"/>
  <c r="G244" i="27"/>
  <c r="F244" i="27"/>
  <c r="E244" i="27"/>
  <c r="D244" i="27"/>
  <c r="C244" i="27"/>
  <c r="B244" i="27"/>
  <c r="AI130" i="27"/>
  <c r="AH130" i="27"/>
  <c r="AI129" i="27"/>
  <c r="AH129" i="27"/>
  <c r="AI128" i="27"/>
  <c r="AH128" i="27"/>
  <c r="AI127" i="27"/>
  <c r="AH127" i="27"/>
  <c r="AI126" i="27"/>
  <c r="AH126" i="27"/>
  <c r="AI123" i="27"/>
  <c r="AH123" i="27"/>
  <c r="AI122" i="27"/>
  <c r="AH122" i="27"/>
  <c r="AI120" i="27"/>
  <c r="AH120" i="27"/>
  <c r="AI119" i="27"/>
  <c r="AH119" i="27"/>
  <c r="AI117" i="27"/>
  <c r="AH117" i="27"/>
  <c r="AI116" i="27"/>
  <c r="AH116" i="27"/>
  <c r="AI115" i="27"/>
  <c r="AH115" i="27"/>
  <c r="AI114" i="27"/>
  <c r="AH114" i="27"/>
  <c r="AI113" i="27"/>
  <c r="AH113" i="27"/>
  <c r="AI112" i="27"/>
  <c r="AH112" i="27"/>
  <c r="AI111" i="27"/>
  <c r="AH111" i="27"/>
  <c r="AI110" i="27"/>
  <c r="AH110" i="27"/>
  <c r="AI109" i="27"/>
  <c r="AH109" i="27"/>
  <c r="AI106" i="27"/>
  <c r="AH106" i="27"/>
  <c r="AF105" i="27"/>
  <c r="AE105" i="27"/>
  <c r="AD105" i="27"/>
  <c r="AC105" i="27"/>
  <c r="AB105" i="27"/>
  <c r="AA105" i="27"/>
  <c r="Z105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D105" i="27"/>
  <c r="AF104" i="27"/>
  <c r="AE104" i="27"/>
  <c r="AD104" i="27"/>
  <c r="AC104" i="27"/>
  <c r="AB104" i="27"/>
  <c r="AA104" i="27"/>
  <c r="Z104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D104" i="27"/>
  <c r="AF103" i="27"/>
  <c r="AE103" i="27"/>
  <c r="AD103" i="27"/>
  <c r="AC103" i="27"/>
  <c r="AB103" i="27"/>
  <c r="AA103" i="27"/>
  <c r="Z103" i="27"/>
  <c r="Y103" i="27"/>
  <c r="X103" i="27"/>
  <c r="W103" i="27"/>
  <c r="V103" i="27"/>
  <c r="U103" i="27"/>
  <c r="T103" i="27"/>
  <c r="S103" i="27"/>
  <c r="R103" i="27"/>
  <c r="Q103" i="27"/>
  <c r="P103" i="27"/>
  <c r="O103" i="27"/>
  <c r="N103" i="27"/>
  <c r="M103" i="27"/>
  <c r="D103" i="27"/>
  <c r="AF102" i="27"/>
  <c r="AE102" i="27"/>
  <c r="AD102" i="27"/>
  <c r="AC102" i="27"/>
  <c r="AB102" i="27"/>
  <c r="AA102" i="27"/>
  <c r="Z102" i="27"/>
  <c r="Y102" i="27"/>
  <c r="X102" i="27"/>
  <c r="W102" i="27"/>
  <c r="V102" i="27"/>
  <c r="U102" i="27"/>
  <c r="T102" i="27"/>
  <c r="S102" i="27"/>
  <c r="R102" i="27"/>
  <c r="Q102" i="27"/>
  <c r="P102" i="27"/>
  <c r="O102" i="27"/>
  <c r="N102" i="27"/>
  <c r="M102" i="27"/>
  <c r="D102" i="27"/>
  <c r="AF101" i="27"/>
  <c r="AE101" i="27"/>
  <c r="AD101" i="27"/>
  <c r="AC101" i="27"/>
  <c r="AB101" i="27"/>
  <c r="AA101" i="27"/>
  <c r="Z101" i="27"/>
  <c r="Y101" i="27"/>
  <c r="X101" i="27"/>
  <c r="W101" i="27"/>
  <c r="V101" i="27"/>
  <c r="U101" i="27"/>
  <c r="T101" i="27"/>
  <c r="S101" i="27"/>
  <c r="R101" i="27"/>
  <c r="Q101" i="27"/>
  <c r="P101" i="27"/>
  <c r="O101" i="27"/>
  <c r="N101" i="27"/>
  <c r="M101" i="27"/>
  <c r="D101" i="27"/>
  <c r="AI98" i="27"/>
  <c r="AH98" i="27"/>
  <c r="AI96" i="27"/>
  <c r="AH96" i="27"/>
  <c r="AG96" i="27"/>
  <c r="AI95" i="27"/>
  <c r="AH95" i="27"/>
  <c r="AI94" i="27"/>
  <c r="AH94" i="27"/>
  <c r="AI93" i="27"/>
  <c r="AH93" i="27"/>
  <c r="AG92" i="27"/>
  <c r="AF92" i="27"/>
  <c r="AE5" i="27" s="1"/>
  <c r="AE92" i="27"/>
  <c r="AD5" i="27" s="1"/>
  <c r="AD92" i="27"/>
  <c r="BH19" i="27" s="1"/>
  <c r="AC92" i="27"/>
  <c r="AB92" i="27"/>
  <c r="BG19" i="27" s="1"/>
  <c r="AA92" i="27"/>
  <c r="Z5" i="27" s="1"/>
  <c r="Z92" i="27"/>
  <c r="Y92" i="27"/>
  <c r="X5" i="27" s="1"/>
  <c r="X92" i="27"/>
  <c r="W5" i="27" s="1"/>
  <c r="W92" i="27"/>
  <c r="V5" i="27" s="1"/>
  <c r="V92" i="27"/>
  <c r="U5" i="27" s="1"/>
  <c r="U92" i="27"/>
  <c r="BC19" i="27" s="1"/>
  <c r="T92" i="27"/>
  <c r="BB19" i="27" s="1"/>
  <c r="S92" i="27"/>
  <c r="R5" i="27" s="1"/>
  <c r="R92" i="27"/>
  <c r="Q5" i="27" s="1"/>
  <c r="Q92" i="27"/>
  <c r="AY19" i="27" s="1"/>
  <c r="P92" i="27"/>
  <c r="O5" i="27" s="1"/>
  <c r="O92" i="27"/>
  <c r="AW19" i="27" s="1"/>
  <c r="N92" i="27"/>
  <c r="AV19" i="27" s="1"/>
  <c r="M92" i="27"/>
  <c r="AU19" i="27" s="1"/>
  <c r="D92" i="27"/>
  <c r="AO19" i="27" s="1"/>
  <c r="AI91" i="27"/>
  <c r="AH91" i="27"/>
  <c r="AI90" i="27"/>
  <c r="AH90" i="27"/>
  <c r="AI89" i="27"/>
  <c r="AH89" i="27"/>
  <c r="AI88" i="27"/>
  <c r="AH88" i="27"/>
  <c r="AI87" i="27"/>
  <c r="AH87" i="27"/>
  <c r="AI86" i="27"/>
  <c r="AH86" i="27"/>
  <c r="AI85" i="27"/>
  <c r="AH85" i="27"/>
  <c r="AI84" i="27"/>
  <c r="AH84" i="27"/>
  <c r="AI83" i="27"/>
  <c r="AH83" i="27"/>
  <c r="AI82" i="27"/>
  <c r="AH82" i="27"/>
  <c r="AI81" i="27"/>
  <c r="AH81" i="27"/>
  <c r="BW80" i="27"/>
  <c r="AG80" i="27"/>
  <c r="AF80" i="27"/>
  <c r="BJ20" i="27" s="1"/>
  <c r="AE80" i="27"/>
  <c r="BI20" i="27" s="1"/>
  <c r="AD80" i="27"/>
  <c r="AC80" i="27"/>
  <c r="AB80" i="27"/>
  <c r="BG20" i="27" s="1"/>
  <c r="AA80" i="27"/>
  <c r="Y80" i="27"/>
  <c r="X80" i="27"/>
  <c r="BE20" i="27" s="1"/>
  <c r="W80" i="27"/>
  <c r="V80" i="27"/>
  <c r="U80" i="27"/>
  <c r="T80" i="27"/>
  <c r="S80" i="27"/>
  <c r="BA20" i="27" s="1"/>
  <c r="R80" i="27"/>
  <c r="Q80" i="27"/>
  <c r="AY20" i="27" s="1"/>
  <c r="P80" i="27"/>
  <c r="O80" i="27"/>
  <c r="AW20" i="27" s="1"/>
  <c r="N80" i="27"/>
  <c r="AV20" i="27" s="1"/>
  <c r="M80" i="27"/>
  <c r="AU20" i="27" s="1"/>
  <c r="AT20" i="27"/>
  <c r="D80" i="27"/>
  <c r="AO20" i="27" s="1"/>
  <c r="AN20" i="27"/>
  <c r="AM20" i="27"/>
  <c r="BT79" i="27"/>
  <c r="BL79" i="27"/>
  <c r="AI79" i="27"/>
  <c r="AH79" i="27"/>
  <c r="BW78" i="27"/>
  <c r="BV78" i="27"/>
  <c r="AI78" i="27"/>
  <c r="AH78" i="27"/>
  <c r="AI77" i="27"/>
  <c r="AH77" i="27"/>
  <c r="BV76" i="27"/>
  <c r="BJ76" i="27"/>
  <c r="BB76" i="27"/>
  <c r="AG76" i="27"/>
  <c r="AG3" i="27" s="1"/>
  <c r="AF76" i="27"/>
  <c r="AE76" i="27"/>
  <c r="BI18" i="27" s="1"/>
  <c r="AD76" i="27"/>
  <c r="BH18" i="27" s="1"/>
  <c r="AC76" i="27"/>
  <c r="AB76" i="27"/>
  <c r="BG18" i="27" s="1"/>
  <c r="AA76" i="27"/>
  <c r="Y76" i="27"/>
  <c r="X76" i="27"/>
  <c r="BE18" i="27" s="1"/>
  <c r="W76" i="27"/>
  <c r="V76" i="27"/>
  <c r="BD18" i="27" s="1"/>
  <c r="U76" i="27"/>
  <c r="BC18" i="27" s="1"/>
  <c r="T76" i="27"/>
  <c r="S76" i="27"/>
  <c r="R76" i="27"/>
  <c r="AZ18" i="27" s="1"/>
  <c r="Q76" i="27"/>
  <c r="AY18" i="27" s="1"/>
  <c r="P76" i="27"/>
  <c r="AX18" i="27" s="1"/>
  <c r="O76" i="27"/>
  <c r="N76" i="27"/>
  <c r="AV18" i="27" s="1"/>
  <c r="M76" i="27"/>
  <c r="AU18" i="27" s="1"/>
  <c r="AP18" i="27"/>
  <c r="AI75" i="27"/>
  <c r="AH75" i="27"/>
  <c r="AG75" i="27"/>
  <c r="AI74" i="27"/>
  <c r="AH74" i="27"/>
  <c r="BW73" i="27"/>
  <c r="BV73" i="27"/>
  <c r="BV80" i="27" s="1"/>
  <c r="BU73" i="27"/>
  <c r="BU80" i="27" s="1"/>
  <c r="BT73" i="27"/>
  <c r="BT80" i="27" s="1"/>
  <c r="BS73" i="27"/>
  <c r="BS80" i="27" s="1"/>
  <c r="BR73" i="27"/>
  <c r="BR80" i="27" s="1"/>
  <c r="BQ73" i="27"/>
  <c r="BQ80" i="27" s="1"/>
  <c r="BP73" i="27"/>
  <c r="BP80" i="27" s="1"/>
  <c r="BO73" i="27"/>
  <c r="BO80" i="27" s="1"/>
  <c r="BN73" i="27"/>
  <c r="BN80" i="27" s="1"/>
  <c r="BM73" i="27"/>
  <c r="BM80" i="27" s="1"/>
  <c r="BL73" i="27"/>
  <c r="BL80" i="27" s="1"/>
  <c r="BK73" i="27"/>
  <c r="BK80" i="27" s="1"/>
  <c r="BJ73" i="27"/>
  <c r="BJ80" i="27" s="1"/>
  <c r="BI73" i="27"/>
  <c r="BI80" i="27" s="1"/>
  <c r="BH73" i="27"/>
  <c r="BH80" i="27" s="1"/>
  <c r="BG73" i="27"/>
  <c r="BG80" i="27" s="1"/>
  <c r="BF73" i="27"/>
  <c r="BF80" i="27" s="1"/>
  <c r="BE73" i="27"/>
  <c r="BE80" i="27" s="1"/>
  <c r="BD73" i="27"/>
  <c r="BD80" i="27" s="1"/>
  <c r="BC73" i="27"/>
  <c r="BC80" i="27" s="1"/>
  <c r="BB73" i="27"/>
  <c r="BB80" i="27" s="1"/>
  <c r="BA73" i="27"/>
  <c r="BA80" i="27" s="1"/>
  <c r="AZ73" i="27"/>
  <c r="AZ80" i="27" s="1"/>
  <c r="AI73" i="27"/>
  <c r="AH73" i="27"/>
  <c r="BW72" i="27"/>
  <c r="BW79" i="27" s="1"/>
  <c r="BV72" i="27"/>
  <c r="BV79" i="27" s="1"/>
  <c r="BU72" i="27"/>
  <c r="BU79" i="27" s="1"/>
  <c r="BT72" i="27"/>
  <c r="BS72" i="27"/>
  <c r="BS79" i="27" s="1"/>
  <c r="BR72" i="27"/>
  <c r="BR79" i="27" s="1"/>
  <c r="BQ72" i="27"/>
  <c r="BQ79" i="27" s="1"/>
  <c r="BP72" i="27"/>
  <c r="BP79" i="27" s="1"/>
  <c r="BO72" i="27"/>
  <c r="BO79" i="27" s="1"/>
  <c r="BN72" i="27"/>
  <c r="BN79" i="27" s="1"/>
  <c r="BM72" i="27"/>
  <c r="BM79" i="27" s="1"/>
  <c r="BL72" i="27"/>
  <c r="BK72" i="27"/>
  <c r="BK79" i="27" s="1"/>
  <c r="BJ72" i="27"/>
  <c r="BJ79" i="27" s="1"/>
  <c r="BI72" i="27"/>
  <c r="BI79" i="27" s="1"/>
  <c r="BH72" i="27"/>
  <c r="BH79" i="27" s="1"/>
  <c r="BG72" i="27"/>
  <c r="BG79" i="27" s="1"/>
  <c r="BF72" i="27"/>
  <c r="BF79" i="27" s="1"/>
  <c r="BE72" i="27"/>
  <c r="BE79" i="27" s="1"/>
  <c r="BD72" i="27"/>
  <c r="BD79" i="27" s="1"/>
  <c r="BC72" i="27"/>
  <c r="BC79" i="27" s="1"/>
  <c r="BB72" i="27"/>
  <c r="BB79" i="27" s="1"/>
  <c r="BA72" i="27"/>
  <c r="BA79" i="27" s="1"/>
  <c r="AZ72" i="27"/>
  <c r="AZ79" i="27" s="1"/>
  <c r="AI72" i="27"/>
  <c r="AH72" i="27"/>
  <c r="BW71" i="27"/>
  <c r="BV71" i="27"/>
  <c r="BU71" i="27"/>
  <c r="BU78" i="27" s="1"/>
  <c r="BT71" i="27"/>
  <c r="BT78" i="27" s="1"/>
  <c r="BS71" i="27"/>
  <c r="BS78" i="27" s="1"/>
  <c r="BR71" i="27"/>
  <c r="BR78" i="27" s="1"/>
  <c r="BQ71" i="27"/>
  <c r="BQ78" i="27" s="1"/>
  <c r="BP71" i="27"/>
  <c r="BP78" i="27" s="1"/>
  <c r="BO71" i="27"/>
  <c r="BO78" i="27" s="1"/>
  <c r="BN71" i="27"/>
  <c r="BN78" i="27" s="1"/>
  <c r="BM71" i="27"/>
  <c r="BM78" i="27" s="1"/>
  <c r="BL71" i="27"/>
  <c r="BL78" i="27" s="1"/>
  <c r="BK71" i="27"/>
  <c r="BK78" i="27" s="1"/>
  <c r="BJ71" i="27"/>
  <c r="BJ78" i="27" s="1"/>
  <c r="BI71" i="27"/>
  <c r="BI78" i="27" s="1"/>
  <c r="BH71" i="27"/>
  <c r="BH78" i="27" s="1"/>
  <c r="BG71" i="27"/>
  <c r="BG78" i="27" s="1"/>
  <c r="BF71" i="27"/>
  <c r="BF78" i="27" s="1"/>
  <c r="BE71" i="27"/>
  <c r="BE78" i="27" s="1"/>
  <c r="BD71" i="27"/>
  <c r="BD78" i="27" s="1"/>
  <c r="BC71" i="27"/>
  <c r="BC78" i="27" s="1"/>
  <c r="BB71" i="27"/>
  <c r="BB78" i="27" s="1"/>
  <c r="BA71" i="27"/>
  <c r="BA78" i="27" s="1"/>
  <c r="AZ71" i="27"/>
  <c r="AZ78" i="27" s="1"/>
  <c r="AI71" i="27"/>
  <c r="AH71" i="27"/>
  <c r="BW70" i="27"/>
  <c r="BW77" i="27" s="1"/>
  <c r="BV70" i="27"/>
  <c r="BV77" i="27" s="1"/>
  <c r="BU70" i="27"/>
  <c r="BU77" i="27" s="1"/>
  <c r="BT70" i="27"/>
  <c r="BT77" i="27" s="1"/>
  <c r="BS70" i="27"/>
  <c r="BS77" i="27" s="1"/>
  <c r="BR70" i="27"/>
  <c r="BR77" i="27" s="1"/>
  <c r="BQ70" i="27"/>
  <c r="BQ77" i="27" s="1"/>
  <c r="BP70" i="27"/>
  <c r="BP77" i="27" s="1"/>
  <c r="BO70" i="27"/>
  <c r="BO77" i="27" s="1"/>
  <c r="BN70" i="27"/>
  <c r="BN77" i="27" s="1"/>
  <c r="BM70" i="27"/>
  <c r="BM77" i="27" s="1"/>
  <c r="BL70" i="27"/>
  <c r="BL77" i="27" s="1"/>
  <c r="BK70" i="27"/>
  <c r="BK77" i="27" s="1"/>
  <c r="BJ70" i="27"/>
  <c r="BJ77" i="27" s="1"/>
  <c r="BI70" i="27"/>
  <c r="BI77" i="27" s="1"/>
  <c r="BH70" i="27"/>
  <c r="BH77" i="27" s="1"/>
  <c r="BG70" i="27"/>
  <c r="BG77" i="27" s="1"/>
  <c r="BF70" i="27"/>
  <c r="BF77" i="27" s="1"/>
  <c r="BE70" i="27"/>
  <c r="BE77" i="27" s="1"/>
  <c r="BD70" i="27"/>
  <c r="BD77" i="27" s="1"/>
  <c r="BC70" i="27"/>
  <c r="BC77" i="27" s="1"/>
  <c r="BB70" i="27"/>
  <c r="BB77" i="27" s="1"/>
  <c r="BA70" i="27"/>
  <c r="BA77" i="27" s="1"/>
  <c r="AZ70" i="27"/>
  <c r="AZ77" i="27" s="1"/>
  <c r="AI70" i="27"/>
  <c r="AH70" i="27"/>
  <c r="BW69" i="27"/>
  <c r="BW76" i="27" s="1"/>
  <c r="BV69" i="27"/>
  <c r="BU69" i="27"/>
  <c r="BU76" i="27" s="1"/>
  <c r="BT69" i="27"/>
  <c r="BT76" i="27" s="1"/>
  <c r="BS69" i="27"/>
  <c r="BS76" i="27" s="1"/>
  <c r="BR69" i="27"/>
  <c r="BR76" i="27" s="1"/>
  <c r="BQ69" i="27"/>
  <c r="BQ76" i="27" s="1"/>
  <c r="BP69" i="27"/>
  <c r="BP76" i="27" s="1"/>
  <c r="BO69" i="27"/>
  <c r="BO76" i="27" s="1"/>
  <c r="BN69" i="27"/>
  <c r="BN76" i="27" s="1"/>
  <c r="BM69" i="27"/>
  <c r="BM76" i="27" s="1"/>
  <c r="BL69" i="27"/>
  <c r="BL76" i="27" s="1"/>
  <c r="BK69" i="27"/>
  <c r="BK76" i="27" s="1"/>
  <c r="BJ69" i="27"/>
  <c r="BI69" i="27"/>
  <c r="BI76" i="27" s="1"/>
  <c r="BH69" i="27"/>
  <c r="BH76" i="27" s="1"/>
  <c r="BG69" i="27"/>
  <c r="BG76" i="27" s="1"/>
  <c r="BF69" i="27"/>
  <c r="BF76" i="27" s="1"/>
  <c r="BE69" i="27"/>
  <c r="BE76" i="27" s="1"/>
  <c r="BD69" i="27"/>
  <c r="BD76" i="27" s="1"/>
  <c r="BC69" i="27"/>
  <c r="BC76" i="27" s="1"/>
  <c r="BB69" i="27"/>
  <c r="BA69" i="27"/>
  <c r="BA76" i="27" s="1"/>
  <c r="AZ69" i="27"/>
  <c r="AZ76" i="27" s="1"/>
  <c r="AI69" i="27"/>
  <c r="AH69" i="27"/>
  <c r="BW68" i="27"/>
  <c r="BW75" i="27" s="1"/>
  <c r="BV68" i="27"/>
  <c r="BV75" i="27" s="1"/>
  <c r="BU68" i="27"/>
  <c r="BU75" i="27" s="1"/>
  <c r="BT68" i="27"/>
  <c r="BT75" i="27" s="1"/>
  <c r="BS68" i="27"/>
  <c r="BS75" i="27" s="1"/>
  <c r="BR68" i="27"/>
  <c r="BR75" i="27" s="1"/>
  <c r="BQ68" i="27"/>
  <c r="BQ75" i="27" s="1"/>
  <c r="BP68" i="27"/>
  <c r="BP75" i="27" s="1"/>
  <c r="BO68" i="27"/>
  <c r="BO75" i="27" s="1"/>
  <c r="BN68" i="27"/>
  <c r="BN75" i="27" s="1"/>
  <c r="BM68" i="27"/>
  <c r="BM75" i="27" s="1"/>
  <c r="BL68" i="27"/>
  <c r="BL75" i="27" s="1"/>
  <c r="BK68" i="27"/>
  <c r="BK75" i="27" s="1"/>
  <c r="BJ68" i="27"/>
  <c r="BJ75" i="27" s="1"/>
  <c r="BI68" i="27"/>
  <c r="BI75" i="27" s="1"/>
  <c r="BH68" i="27"/>
  <c r="BH75" i="27" s="1"/>
  <c r="BG68" i="27"/>
  <c r="BG75" i="27" s="1"/>
  <c r="BF68" i="27"/>
  <c r="BF75" i="27" s="1"/>
  <c r="BE68" i="27"/>
  <c r="BE75" i="27" s="1"/>
  <c r="BD68" i="27"/>
  <c r="BD75" i="27" s="1"/>
  <c r="BC68" i="27"/>
  <c r="BC75" i="27" s="1"/>
  <c r="BB68" i="27"/>
  <c r="BB75" i="27" s="1"/>
  <c r="BA68" i="27"/>
  <c r="BA75" i="27" s="1"/>
  <c r="AZ68" i="27"/>
  <c r="AZ75" i="27" s="1"/>
  <c r="AI68" i="27"/>
  <c r="AH68" i="27"/>
  <c r="AI67" i="27"/>
  <c r="AH67" i="27"/>
  <c r="AI66" i="27"/>
  <c r="AH66" i="27"/>
  <c r="AI65" i="27"/>
  <c r="AH65" i="27"/>
  <c r="AI64" i="27"/>
  <c r="AH64" i="27"/>
  <c r="AI63" i="27"/>
  <c r="AH63" i="27"/>
  <c r="AG62" i="27"/>
  <c r="AF62" i="27"/>
  <c r="BJ17" i="27" s="1"/>
  <c r="AE62" i="27"/>
  <c r="BI17" i="27" s="1"/>
  <c r="AD62" i="27"/>
  <c r="BH17" i="27" s="1"/>
  <c r="AC62" i="27"/>
  <c r="AB62" i="27"/>
  <c r="BG17" i="27" s="1"/>
  <c r="AA62" i="27"/>
  <c r="Y62" i="27"/>
  <c r="X62" i="27"/>
  <c r="BE17" i="27" s="1"/>
  <c r="W62" i="27"/>
  <c r="V62" i="27"/>
  <c r="U62" i="27"/>
  <c r="T62" i="27"/>
  <c r="BB17" i="27" s="1"/>
  <c r="S62" i="27"/>
  <c r="BA17" i="27" s="1"/>
  <c r="R62" i="27"/>
  <c r="AZ17" i="27" s="1"/>
  <c r="Q62" i="27"/>
  <c r="P62" i="27"/>
  <c r="O62" i="27"/>
  <c r="N62" i="27"/>
  <c r="AV17" i="27" s="1"/>
  <c r="M62" i="27"/>
  <c r="AU17" i="27" s="1"/>
  <c r="AT17" i="27"/>
  <c r="AI61" i="27"/>
  <c r="AH61" i="27"/>
  <c r="AI60" i="27"/>
  <c r="AH60" i="27"/>
  <c r="AI59" i="27"/>
  <c r="AH59" i="27"/>
  <c r="AG58" i="27"/>
  <c r="AF58" i="27"/>
  <c r="BJ16" i="27" s="1"/>
  <c r="AE58" i="27"/>
  <c r="BI16" i="27" s="1"/>
  <c r="AD58" i="27"/>
  <c r="BH16" i="27" s="1"/>
  <c r="AC58" i="27"/>
  <c r="AB58" i="27"/>
  <c r="BG16" i="27" s="1"/>
  <c r="AA58" i="27"/>
  <c r="Z97" i="27"/>
  <c r="Z99" i="27" s="1"/>
  <c r="Y58" i="27"/>
  <c r="X58" i="27"/>
  <c r="W58" i="27"/>
  <c r="V58" i="27"/>
  <c r="BD16" i="27" s="1"/>
  <c r="U58" i="27"/>
  <c r="T58" i="27"/>
  <c r="S58" i="27"/>
  <c r="BA16" i="27" s="1"/>
  <c r="R58" i="27"/>
  <c r="Q58" i="27"/>
  <c r="AY16" i="27" s="1"/>
  <c r="P58" i="27"/>
  <c r="O58" i="27"/>
  <c r="AW16" i="27" s="1"/>
  <c r="N58" i="27"/>
  <c r="AV16" i="27" s="1"/>
  <c r="M58" i="27"/>
  <c r="L7" i="27"/>
  <c r="AT16" i="27"/>
  <c r="AN16" i="27"/>
  <c r="AI56" i="27"/>
  <c r="AH56" i="27"/>
  <c r="AI55" i="27"/>
  <c r="AH55" i="27"/>
  <c r="AI54" i="27"/>
  <c r="AH54" i="27"/>
  <c r="AI53" i="27"/>
  <c r="AH53" i="27"/>
  <c r="AI52" i="27"/>
  <c r="AH52" i="27"/>
  <c r="AI51" i="27"/>
  <c r="AH51" i="27"/>
  <c r="AI50" i="27"/>
  <c r="AH50" i="27"/>
  <c r="AI49" i="27"/>
  <c r="AH49" i="27"/>
  <c r="AI48" i="27"/>
  <c r="AH48" i="27"/>
  <c r="AI47" i="27"/>
  <c r="AH47" i="27"/>
  <c r="AI46" i="27"/>
  <c r="AH46" i="27"/>
  <c r="AI45" i="27"/>
  <c r="AH45" i="27"/>
  <c r="AI44" i="27"/>
  <c r="AH44" i="27"/>
  <c r="AI43" i="27"/>
  <c r="AH43" i="27"/>
  <c r="AI42" i="27"/>
  <c r="AH42" i="27"/>
  <c r="AI41" i="27"/>
  <c r="AH41" i="27"/>
  <c r="AI40" i="27"/>
  <c r="AH40" i="27"/>
  <c r="AI39" i="27"/>
  <c r="AH39" i="27"/>
  <c r="AI38" i="27"/>
  <c r="AH38" i="27"/>
  <c r="AI37" i="27"/>
  <c r="AH37" i="27"/>
  <c r="AI36" i="27"/>
  <c r="AH36" i="27"/>
  <c r="AI35" i="27"/>
  <c r="AH35" i="27"/>
  <c r="AI34" i="27"/>
  <c r="AH34" i="27"/>
  <c r="AI33" i="27"/>
  <c r="AH33" i="27"/>
  <c r="AI32" i="27"/>
  <c r="AH32" i="27"/>
  <c r="AI31" i="27"/>
  <c r="AH31" i="27"/>
  <c r="AI30" i="27"/>
  <c r="AH30" i="27"/>
  <c r="AI29" i="27"/>
  <c r="AH29" i="27"/>
  <c r="AI28" i="27"/>
  <c r="AH28" i="27"/>
  <c r="AI27" i="27"/>
  <c r="AH27" i="27"/>
  <c r="AI26" i="27"/>
  <c r="AH26" i="27"/>
  <c r="AI25" i="27"/>
  <c r="AH25" i="27"/>
  <c r="AI24" i="27"/>
  <c r="AH24" i="27"/>
  <c r="AI23" i="27"/>
  <c r="AH23" i="27"/>
  <c r="AI22" i="27"/>
  <c r="AH22" i="27"/>
  <c r="BJ21" i="27"/>
  <c r="BI21" i="27"/>
  <c r="BH21" i="27"/>
  <c r="BG21" i="27"/>
  <c r="BF21" i="27"/>
  <c r="BE21" i="27"/>
  <c r="BD21" i="27"/>
  <c r="BC21" i="27"/>
  <c r="BB21" i="27"/>
  <c r="BA21" i="27"/>
  <c r="AZ21" i="27"/>
  <c r="AY21" i="27"/>
  <c r="AX21" i="27"/>
  <c r="AW21" i="27"/>
  <c r="AV21" i="27"/>
  <c r="AU21" i="27"/>
  <c r="AT21" i="27"/>
  <c r="AS21" i="27"/>
  <c r="AR21" i="27"/>
  <c r="AQ21" i="27"/>
  <c r="AP21" i="27"/>
  <c r="AO21" i="27"/>
  <c r="AN21" i="27"/>
  <c r="AM21" i="27"/>
  <c r="AI21" i="27"/>
  <c r="AH21" i="27"/>
  <c r="BH20" i="27"/>
  <c r="BF20" i="27"/>
  <c r="BD20" i="27"/>
  <c r="BC20" i="27"/>
  <c r="BB20" i="27"/>
  <c r="AZ20" i="27"/>
  <c r="AX20" i="27"/>
  <c r="AS20" i="27"/>
  <c r="AI20" i="27"/>
  <c r="AH20" i="27"/>
  <c r="BF19" i="27"/>
  <c r="AX19" i="27"/>
  <c r="AT19" i="27"/>
  <c r="AN19" i="27"/>
  <c r="AI19" i="27"/>
  <c r="AH19" i="27"/>
  <c r="BJ18" i="27"/>
  <c r="BF18" i="27"/>
  <c r="BB18" i="27"/>
  <c r="BA18" i="27"/>
  <c r="AW18" i="27"/>
  <c r="AT18" i="27"/>
  <c r="AS18" i="27"/>
  <c r="AO18" i="27"/>
  <c r="AN18" i="27"/>
  <c r="AI18" i="27"/>
  <c r="AH18" i="27"/>
  <c r="BF17" i="27"/>
  <c r="BD17" i="27"/>
  <c r="BC17" i="27"/>
  <c r="AY17" i="27"/>
  <c r="AX17" i="27"/>
  <c r="AW17" i="27"/>
  <c r="AS17" i="27"/>
  <c r="AR17" i="27"/>
  <c r="AQ17" i="27"/>
  <c r="AP17" i="27"/>
  <c r="AO17" i="27"/>
  <c r="AN17" i="27"/>
  <c r="AM17" i="27"/>
  <c r="AI17" i="27"/>
  <c r="AH17" i="27"/>
  <c r="BF16" i="27"/>
  <c r="BE16" i="27"/>
  <c r="AX16" i="27"/>
  <c r="AS16" i="27"/>
  <c r="AR16" i="27"/>
  <c r="AP16" i="27"/>
  <c r="AI16" i="27"/>
  <c r="AH16" i="27"/>
  <c r="AI15" i="27"/>
  <c r="AH15" i="27"/>
  <c r="AI14" i="27"/>
  <c r="AH14" i="27"/>
  <c r="AI13" i="27"/>
  <c r="AH13" i="27"/>
  <c r="AL12" i="27"/>
  <c r="AI12" i="27"/>
  <c r="AH12" i="27"/>
  <c r="AI11" i="27"/>
  <c r="AH11" i="27"/>
  <c r="AB5" i="27"/>
  <c r="Y5" i="27"/>
  <c r="K5" i="27"/>
  <c r="J5" i="27"/>
  <c r="D5" i="27"/>
  <c r="B5" i="27"/>
  <c r="AG4" i="27"/>
  <c r="K4" i="27"/>
  <c r="E4" i="27"/>
  <c r="H4" i="27" s="1"/>
  <c r="B4" i="27"/>
  <c r="D258" i="27" s="1"/>
  <c r="AG2" i="27"/>
  <c r="AG6" i="27" s="1"/>
  <c r="AF121" i="25"/>
  <c r="AF57" i="25"/>
  <c r="AF58" i="25"/>
  <c r="AF62" i="25"/>
  <c r="AF76" i="25"/>
  <c r="AF80" i="25"/>
  <c r="AF92" i="25"/>
  <c r="AF101" i="25"/>
  <c r="AF102" i="25"/>
  <c r="AF103" i="25"/>
  <c r="AF104" i="25"/>
  <c r="AF105" i="25"/>
  <c r="AE121" i="25"/>
  <c r="AE58" i="25"/>
  <c r="AE62" i="25"/>
  <c r="AD58" i="25"/>
  <c r="AD62" i="25"/>
  <c r="AD76" i="25"/>
  <c r="AD80" i="25"/>
  <c r="AD92" i="25"/>
  <c r="AD101" i="25"/>
  <c r="AD102" i="25"/>
  <c r="AD103" i="25"/>
  <c r="AD104" i="25"/>
  <c r="AD105" i="25"/>
  <c r="AD107" i="25"/>
  <c r="AD108" i="25" s="1"/>
  <c r="AC58" i="25"/>
  <c r="AC62" i="25"/>
  <c r="AC76" i="25"/>
  <c r="AC80" i="25"/>
  <c r="AC92" i="25"/>
  <c r="AC101" i="25"/>
  <c r="AC102" i="25"/>
  <c r="AC103" i="25"/>
  <c r="AC104" i="25"/>
  <c r="AC105" i="25"/>
  <c r="AC118" i="25"/>
  <c r="AB58" i="25"/>
  <c r="AB62" i="25"/>
  <c r="AB76" i="25"/>
  <c r="AB80" i="25"/>
  <c r="AB92" i="25"/>
  <c r="AB101" i="25"/>
  <c r="AB107" i="25" s="1"/>
  <c r="AB102" i="25"/>
  <c r="AB103" i="25"/>
  <c r="AB104" i="25"/>
  <c r="AB105" i="25"/>
  <c r="AB118" i="25"/>
  <c r="AT8" i="28" l="1"/>
  <c r="AT9" i="28"/>
  <c r="K6" i="28"/>
  <c r="AH99" i="28"/>
  <c r="AI99" i="28"/>
  <c r="G246" i="28"/>
  <c r="F252" i="28"/>
  <c r="F118" i="28"/>
  <c r="BJ19" i="27"/>
  <c r="AC5" i="27"/>
  <c r="AB107" i="27"/>
  <c r="BG23" i="27" s="1"/>
  <c r="F246" i="27"/>
  <c r="BF22" i="27"/>
  <c r="T5" i="27"/>
  <c r="C108" i="27"/>
  <c r="J107" i="27"/>
  <c r="K100" i="27"/>
  <c r="AE97" i="27"/>
  <c r="AE99" i="27" s="1"/>
  <c r="V107" i="27"/>
  <c r="BD23" i="27" s="1"/>
  <c r="AD107" i="27"/>
  <c r="BH23" i="27" s="1"/>
  <c r="Y107" i="27"/>
  <c r="AC107" i="27"/>
  <c r="G107" i="27"/>
  <c r="E107" i="27"/>
  <c r="AP23" i="27" s="1"/>
  <c r="BI19" i="27"/>
  <c r="BI22" i="27" s="1"/>
  <c r="BD19" i="27"/>
  <c r="BD22" i="27" s="1"/>
  <c r="AF107" i="27"/>
  <c r="AF108" i="27" s="1"/>
  <c r="AA5" i="27"/>
  <c r="AC97" i="27"/>
  <c r="AC99" i="27" s="1"/>
  <c r="BJ22" i="27"/>
  <c r="AD97" i="27"/>
  <c r="AD99" i="27" s="1"/>
  <c r="AD100" i="27" s="1"/>
  <c r="AD7" i="27" s="1"/>
  <c r="BG22" i="27"/>
  <c r="BG24" i="27" s="1"/>
  <c r="AB97" i="27"/>
  <c r="AB99" i="27" s="1"/>
  <c r="AB100" i="27" s="1"/>
  <c r="AB7" i="27" s="1"/>
  <c r="AA97" i="27"/>
  <c r="AA99" i="27" s="1"/>
  <c r="Y108" i="27"/>
  <c r="X107" i="27"/>
  <c r="BE19" i="27"/>
  <c r="BE22" i="27" s="1"/>
  <c r="W97" i="27"/>
  <c r="W99" i="27" s="1"/>
  <c r="V108" i="27"/>
  <c r="U107" i="27"/>
  <c r="BC23" i="27" s="1"/>
  <c r="U97" i="27"/>
  <c r="U99" i="27" s="1"/>
  <c r="S5" i="27"/>
  <c r="T107" i="27"/>
  <c r="BB23" i="27" s="1"/>
  <c r="T97" i="27"/>
  <c r="T99" i="27" s="1"/>
  <c r="T100" i="27" s="1"/>
  <c r="T7" i="27" s="1"/>
  <c r="BA19" i="27"/>
  <c r="BA22" i="27" s="1"/>
  <c r="AZ19" i="27"/>
  <c r="R97" i="27"/>
  <c r="R99" i="27" s="1"/>
  <c r="AZ16" i="27"/>
  <c r="Q107" i="27"/>
  <c r="AY23" i="27" s="1"/>
  <c r="P5" i="27"/>
  <c r="AY22" i="27"/>
  <c r="AY24" i="27" s="1"/>
  <c r="P107" i="27"/>
  <c r="AX23" i="27" s="1"/>
  <c r="AX22" i="27"/>
  <c r="N5" i="27"/>
  <c r="AW22" i="27"/>
  <c r="O97" i="27"/>
  <c r="O99" i="27" s="1"/>
  <c r="M5" i="27"/>
  <c r="N107" i="27"/>
  <c r="AV23" i="27" s="1"/>
  <c r="AI62" i="27"/>
  <c r="AV22" i="27"/>
  <c r="L5" i="27"/>
  <c r="M107" i="27"/>
  <c r="AU23" i="27" s="1"/>
  <c r="M97" i="27"/>
  <c r="M99" i="27" s="1"/>
  <c r="M100" i="27" s="1"/>
  <c r="M7" i="27" s="1"/>
  <c r="AT22" i="27"/>
  <c r="J108" i="27"/>
  <c r="J97" i="27"/>
  <c r="J99" i="27" s="1"/>
  <c r="J100" i="27" s="1"/>
  <c r="AH102" i="27"/>
  <c r="I97" i="27"/>
  <c r="I99" i="27" s="1"/>
  <c r="I107" i="27"/>
  <c r="AS23" i="27" s="1"/>
  <c r="I108" i="27"/>
  <c r="H107" i="27"/>
  <c r="H108" i="27" s="1"/>
  <c r="H97" i="27"/>
  <c r="H99" i="27" s="1"/>
  <c r="G97" i="27"/>
  <c r="G99" i="27" s="1"/>
  <c r="G100" i="27" s="1"/>
  <c r="F5" i="27"/>
  <c r="AR22" i="27"/>
  <c r="G108" i="27"/>
  <c r="AH62" i="27"/>
  <c r="F108" i="27"/>
  <c r="E5" i="27"/>
  <c r="AQ19" i="27"/>
  <c r="AI103" i="27"/>
  <c r="F97" i="27"/>
  <c r="F99" i="27" s="1"/>
  <c r="F100" i="27" s="1"/>
  <c r="F7" i="27" s="1"/>
  <c r="AI104" i="27"/>
  <c r="AI57" i="27"/>
  <c r="E97" i="27"/>
  <c r="E99" i="27" s="1"/>
  <c r="E100" i="27" s="1"/>
  <c r="E7" i="27" s="1"/>
  <c r="E108" i="27"/>
  <c r="AI121" i="27"/>
  <c r="AH57" i="27"/>
  <c r="D107" i="27"/>
  <c r="AO23" i="27" s="1"/>
  <c r="C5" i="27"/>
  <c r="D97" i="27"/>
  <c r="D99" i="27" s="1"/>
  <c r="AO16" i="27"/>
  <c r="AO22" i="27" s="1"/>
  <c r="AN22" i="27"/>
  <c r="C97" i="27"/>
  <c r="C99" i="27" s="1"/>
  <c r="C100" i="27" s="1"/>
  <c r="C7" i="27" s="1"/>
  <c r="AH121" i="27"/>
  <c r="B107" i="27"/>
  <c r="B108" i="27" s="1"/>
  <c r="AM19" i="27"/>
  <c r="AI76" i="27"/>
  <c r="B97" i="27"/>
  <c r="B99" i="27" s="1"/>
  <c r="AM16" i="27"/>
  <c r="BE23" i="27"/>
  <c r="X108" i="27"/>
  <c r="AP22" i="27"/>
  <c r="AP24" i="27" s="1"/>
  <c r="BH22" i="27"/>
  <c r="AH58" i="27"/>
  <c r="AI102" i="27"/>
  <c r="AH103" i="27"/>
  <c r="AI105" i="27"/>
  <c r="Q108" i="27"/>
  <c r="AG99" i="27"/>
  <c r="AQ16" i="27"/>
  <c r="AS19" i="27"/>
  <c r="AS22" i="27" s="1"/>
  <c r="AI92" i="27"/>
  <c r="AH92" i="27"/>
  <c r="N97" i="27"/>
  <c r="N99" i="27" s="1"/>
  <c r="N100" i="27" s="1"/>
  <c r="N7" i="27" s="1"/>
  <c r="AI101" i="27"/>
  <c r="R107" i="27"/>
  <c r="AZ23" i="27" s="1"/>
  <c r="Z107" i="27"/>
  <c r="BF23" i="27" s="1"/>
  <c r="BF24" i="27" s="1"/>
  <c r="D252" i="27"/>
  <c r="E247" i="27"/>
  <c r="AH80" i="27"/>
  <c r="AH101" i="27"/>
  <c r="S107" i="27"/>
  <c r="AA107" i="27"/>
  <c r="AA108" i="27" s="1"/>
  <c r="AH104" i="27"/>
  <c r="AI80" i="27"/>
  <c r="AB108" i="27"/>
  <c r="BB16" i="27"/>
  <c r="BB22" i="27" s="1"/>
  <c r="BB24" i="27" s="1"/>
  <c r="AH76" i="27"/>
  <c r="AC108" i="27"/>
  <c r="S97" i="27"/>
  <c r="S99" i="27" s="1"/>
  <c r="AI58" i="27"/>
  <c r="AU16" i="27"/>
  <c r="AU22" i="27" s="1"/>
  <c r="BC16" i="27"/>
  <c r="BC22" i="27" s="1"/>
  <c r="P97" i="27"/>
  <c r="P99" i="27" s="1"/>
  <c r="X97" i="27"/>
  <c r="X99" i="27" s="1"/>
  <c r="AF97" i="27"/>
  <c r="AF99" i="27" s="1"/>
  <c r="AF100" i="27" s="1"/>
  <c r="AF7" i="27" s="1"/>
  <c r="BG84" i="27" a="1"/>
  <c r="V97" i="27"/>
  <c r="V99" i="27" s="1"/>
  <c r="V100" i="27" s="1"/>
  <c r="V7" i="27" s="1"/>
  <c r="G246" i="27"/>
  <c r="D118" i="27"/>
  <c r="E251" i="27"/>
  <c r="E118" i="27" s="1"/>
  <c r="AL13" i="27"/>
  <c r="Q97" i="27"/>
  <c r="Q99" i="27" s="1"/>
  <c r="Q100" i="27" s="1"/>
  <c r="Q7" i="27" s="1"/>
  <c r="Y97" i="27"/>
  <c r="Y99" i="27" s="1"/>
  <c r="Y100" i="27" s="1"/>
  <c r="Y7" i="27" s="1"/>
  <c r="AG97" i="27"/>
  <c r="O107" i="27"/>
  <c r="W107" i="27"/>
  <c r="W108" i="27" s="1"/>
  <c r="AE107" i="27"/>
  <c r="AH105" i="27"/>
  <c r="AF97" i="25"/>
  <c r="AF99" i="25" s="1"/>
  <c r="AD97" i="25"/>
  <c r="AD99" i="25" s="1"/>
  <c r="AD100" i="25" s="1"/>
  <c r="AC107" i="25"/>
  <c r="AC108" i="25" s="1"/>
  <c r="AC97" i="25"/>
  <c r="AC99" i="25" s="1"/>
  <c r="AB108" i="25"/>
  <c r="AB97" i="25"/>
  <c r="AB99" i="25" s="1"/>
  <c r="AB100" i="25" s="1"/>
  <c r="H246" i="28" l="1"/>
  <c r="G252" i="28"/>
  <c r="G118" i="28"/>
  <c r="AI100" i="28"/>
  <c r="AH100" i="28"/>
  <c r="B7" i="28"/>
  <c r="A7" i="28" s="1"/>
  <c r="AE100" i="27"/>
  <c r="AE7" i="27" s="1"/>
  <c r="BH24" i="27"/>
  <c r="AD108" i="27"/>
  <c r="AU24" i="27"/>
  <c r="H100" i="27"/>
  <c r="H7" i="27" s="1"/>
  <c r="T108" i="27"/>
  <c r="AQ22" i="27"/>
  <c r="AQ24" i="27" s="1"/>
  <c r="AC100" i="27"/>
  <c r="AC7" i="27" s="1"/>
  <c r="U108" i="27"/>
  <c r="AM22" i="27"/>
  <c r="AT8" i="27" s="1"/>
  <c r="X100" i="27"/>
  <c r="X7" i="27" s="1"/>
  <c r="M108" i="27"/>
  <c r="B100" i="27"/>
  <c r="BD24" i="27"/>
  <c r="AO24" i="27"/>
  <c r="D108" i="27"/>
  <c r="D100" i="27"/>
  <c r="D7" i="27" s="1"/>
  <c r="BJ23" i="27"/>
  <c r="BJ24" i="27" s="1"/>
  <c r="BC24" i="27"/>
  <c r="AZ22" i="27"/>
  <c r="AZ24" i="27" s="1"/>
  <c r="U100" i="27"/>
  <c r="U7" i="27" s="1"/>
  <c r="Z108" i="27"/>
  <c r="BE24" i="27"/>
  <c r="S100" i="27"/>
  <c r="S7" i="27" s="1"/>
  <c r="R108" i="27"/>
  <c r="R100" i="27"/>
  <c r="R7" i="27" s="1"/>
  <c r="AX24" i="27"/>
  <c r="P108" i="27"/>
  <c r="P100" i="27"/>
  <c r="P7" i="27" s="1"/>
  <c r="O100" i="27"/>
  <c r="O7" i="27" s="1"/>
  <c r="N108" i="27"/>
  <c r="AV24" i="27"/>
  <c r="I100" i="27"/>
  <c r="I7" i="27" s="1"/>
  <c r="AS24" i="27"/>
  <c r="H246" i="27"/>
  <c r="J7" i="27"/>
  <c r="C256" i="27"/>
  <c r="BI107" i="27"/>
  <c r="BG106" i="27"/>
  <c r="BK104" i="27"/>
  <c r="BI103" i="27"/>
  <c r="BG102" i="27"/>
  <c r="BK100" i="27"/>
  <c r="BI99" i="27"/>
  <c r="BG98" i="27"/>
  <c r="BK96" i="27"/>
  <c r="BI95" i="27"/>
  <c r="BG94" i="27"/>
  <c r="BK92" i="27"/>
  <c r="BI91" i="27"/>
  <c r="BG90" i="27"/>
  <c r="BK88" i="27"/>
  <c r="BI87" i="27"/>
  <c r="BG86" i="27"/>
  <c r="BK84" i="27"/>
  <c r="BH107" i="27"/>
  <c r="BL105" i="27"/>
  <c r="BJ104" i="27"/>
  <c r="BH103" i="27"/>
  <c r="BL101" i="27"/>
  <c r="BJ100" i="27"/>
  <c r="BH99" i="27"/>
  <c r="BL97" i="27"/>
  <c r="BJ96" i="27"/>
  <c r="BH95" i="27"/>
  <c r="BL93" i="27"/>
  <c r="BJ92" i="27"/>
  <c r="BH91" i="27"/>
  <c r="BL89" i="27"/>
  <c r="BJ88" i="27"/>
  <c r="BH87" i="27"/>
  <c r="BL85" i="27"/>
  <c r="BJ84" i="27"/>
  <c r="BK106" i="27"/>
  <c r="BI105" i="27"/>
  <c r="BG104" i="27"/>
  <c r="BK102" i="27"/>
  <c r="BI101" i="27"/>
  <c r="BG100" i="27"/>
  <c r="BK98" i="27"/>
  <c r="BI97" i="27"/>
  <c r="BG96" i="27"/>
  <c r="BK94" i="27"/>
  <c r="BI93" i="27"/>
  <c r="BG92" i="27"/>
  <c r="BK90" i="27"/>
  <c r="BI89" i="27"/>
  <c r="BG88" i="27"/>
  <c r="BK86" i="27"/>
  <c r="BI85" i="27"/>
  <c r="BG84" i="27"/>
  <c r="BL107" i="27"/>
  <c r="BJ106" i="27"/>
  <c r="BH105" i="27"/>
  <c r="BL103" i="27"/>
  <c r="BJ102" i="27"/>
  <c r="BH101" i="27"/>
  <c r="BL99" i="27"/>
  <c r="BJ98" i="27"/>
  <c r="BH97" i="27"/>
  <c r="BL95" i="27"/>
  <c r="BJ94" i="27"/>
  <c r="BH93" i="27"/>
  <c r="BL91" i="27"/>
  <c r="BJ90" i="27"/>
  <c r="BH89" i="27"/>
  <c r="BL87" i="27"/>
  <c r="BJ86" i="27"/>
  <c r="BH85" i="27"/>
  <c r="BI106" i="27"/>
  <c r="BK103" i="27"/>
  <c r="BG101" i="27"/>
  <c r="BI98" i="27"/>
  <c r="BK95" i="27"/>
  <c r="BG93" i="27"/>
  <c r="BI90" i="27"/>
  <c r="BK87" i="27"/>
  <c r="BG85" i="27"/>
  <c r="BH106" i="27"/>
  <c r="BJ103" i="27"/>
  <c r="BL100" i="27"/>
  <c r="BH98" i="27"/>
  <c r="BJ95" i="27"/>
  <c r="BL92" i="27"/>
  <c r="BH90" i="27"/>
  <c r="BJ87" i="27"/>
  <c r="BL84" i="27"/>
  <c r="BK105" i="27"/>
  <c r="BG103" i="27"/>
  <c r="BI100" i="27"/>
  <c r="BK97" i="27"/>
  <c r="BG95" i="27"/>
  <c r="BI92" i="27"/>
  <c r="BK89" i="27"/>
  <c r="BG87" i="27"/>
  <c r="BI84" i="27"/>
  <c r="BJ105" i="27"/>
  <c r="BL102" i="27"/>
  <c r="BH100" i="27"/>
  <c r="BJ97" i="27"/>
  <c r="BL94" i="27"/>
  <c r="BH92" i="27"/>
  <c r="BJ89" i="27"/>
  <c r="BL86" i="27"/>
  <c r="BH84" i="27"/>
  <c r="BK107" i="27"/>
  <c r="BG105" i="27"/>
  <c r="BI102" i="27"/>
  <c r="BK99" i="27"/>
  <c r="BG97" i="27"/>
  <c r="BI94" i="27"/>
  <c r="BK91" i="27"/>
  <c r="BG89" i="27"/>
  <c r="BI86" i="27"/>
  <c r="BJ107" i="27"/>
  <c r="BL104" i="27"/>
  <c r="BH102" i="27"/>
  <c r="BJ99" i="27"/>
  <c r="BL96" i="27"/>
  <c r="BH94" i="27"/>
  <c r="BJ91" i="27"/>
  <c r="BL88" i="27"/>
  <c r="BH86" i="27"/>
  <c r="BG107" i="27"/>
  <c r="BI104" i="27"/>
  <c r="BK101" i="27"/>
  <c r="BG99" i="27"/>
  <c r="BI96" i="27"/>
  <c r="BK93" i="27"/>
  <c r="BG91" i="27"/>
  <c r="BI88" i="27"/>
  <c r="BK85" i="27"/>
  <c r="BL106" i="27"/>
  <c r="BH104" i="27"/>
  <c r="BJ101" i="27"/>
  <c r="BL98" i="27"/>
  <c r="BH96" i="27"/>
  <c r="BJ93" i="27"/>
  <c r="BL90" i="27"/>
  <c r="BH88" i="27"/>
  <c r="BJ85" i="27"/>
  <c r="AI97" i="27"/>
  <c r="AH97" i="27"/>
  <c r="S108" i="27"/>
  <c r="BA23" i="27"/>
  <c r="BA24" i="27" s="1"/>
  <c r="AT23" i="27"/>
  <c r="AT24" i="27" s="1"/>
  <c r="AI107" i="27"/>
  <c r="AM23" i="27"/>
  <c r="AM24" i="27" s="1"/>
  <c r="AH107" i="27"/>
  <c r="AE108" i="27"/>
  <c r="BI23" i="27"/>
  <c r="BI24" i="27" s="1"/>
  <c r="F251" i="27"/>
  <c r="F118" i="27" s="1"/>
  <c r="AW23" i="27"/>
  <c r="AW24" i="27" s="1"/>
  <c r="O108" i="27"/>
  <c r="AN23" i="27"/>
  <c r="AN24" i="27" s="1"/>
  <c r="W100" i="27"/>
  <c r="W7" i="27" s="1"/>
  <c r="AA100" i="27"/>
  <c r="AA7" i="27" s="1"/>
  <c r="AR23" i="27"/>
  <c r="AR24" i="27" s="1"/>
  <c r="K7" i="27"/>
  <c r="Z100" i="27"/>
  <c r="Z7" i="27" s="1"/>
  <c r="B256" i="27"/>
  <c r="F247" i="27"/>
  <c r="E252" i="27"/>
  <c r="G7" i="27"/>
  <c r="AC100" i="25"/>
  <c r="I246" i="28" l="1"/>
  <c r="H252" i="28"/>
  <c r="H118" i="28"/>
  <c r="AI108" i="27"/>
  <c r="AH108" i="27"/>
  <c r="G251" i="27"/>
  <c r="G118" i="27" s="1"/>
  <c r="I246" i="27"/>
  <c r="AI99" i="27"/>
  <c r="AH99" i="27"/>
  <c r="G247" i="27"/>
  <c r="F252" i="27"/>
  <c r="K6" i="27"/>
  <c r="AT9" i="27"/>
  <c r="I252" i="28" l="1"/>
  <c r="I118" i="28"/>
  <c r="J246" i="28"/>
  <c r="AI100" i="27"/>
  <c r="B7" i="27"/>
  <c r="A7" i="27" s="1"/>
  <c r="AH100" i="27"/>
  <c r="J246" i="27"/>
  <c r="H247" i="27"/>
  <c r="G252" i="27"/>
  <c r="H251" i="27"/>
  <c r="H118" i="27" s="1"/>
  <c r="J252" i="28" l="1"/>
  <c r="J118" i="28"/>
  <c r="K246" i="28"/>
  <c r="I251" i="27"/>
  <c r="I118" i="27" s="1"/>
  <c r="I247" i="27"/>
  <c r="H252" i="27"/>
  <c r="K246" i="27"/>
  <c r="K252" i="28" l="1"/>
  <c r="K118" i="28"/>
  <c r="L246" i="28"/>
  <c r="J247" i="27"/>
  <c r="I252" i="27"/>
  <c r="J251" i="27"/>
  <c r="J118" i="27" s="1"/>
  <c r="L246" i="27"/>
  <c r="L252" i="28" l="1"/>
  <c r="L118" i="28"/>
  <c r="M246" i="28"/>
  <c r="M246" i="27"/>
  <c r="K251" i="27"/>
  <c r="K118" i="27" s="1"/>
  <c r="K247" i="27"/>
  <c r="J252" i="27"/>
  <c r="N246" i="28" l="1"/>
  <c r="M252" i="28"/>
  <c r="M118" i="28"/>
  <c r="L251" i="27"/>
  <c r="L118" i="27" s="1"/>
  <c r="N246" i="27"/>
  <c r="L247" i="27"/>
  <c r="K252" i="27"/>
  <c r="O246" i="28" l="1"/>
  <c r="N252" i="28"/>
  <c r="N118" i="28"/>
  <c r="O246" i="27"/>
  <c r="M247" i="27"/>
  <c r="L252" i="27"/>
  <c r="M251" i="27"/>
  <c r="P246" i="28" l="1"/>
  <c r="O252" i="28"/>
  <c r="O118" i="28"/>
  <c r="N251" i="27"/>
  <c r="M118" i="27"/>
  <c r="N247" i="27"/>
  <c r="M252" i="27"/>
  <c r="P246" i="27"/>
  <c r="Q246" i="28" l="1"/>
  <c r="P252" i="28"/>
  <c r="Q246" i="27"/>
  <c r="O247" i="27"/>
  <c r="N252" i="27"/>
  <c r="O251" i="27"/>
  <c r="N118" i="27"/>
  <c r="Q252" i="28" l="1"/>
  <c r="Q118" i="28"/>
  <c r="R246" i="28"/>
  <c r="P251" i="27"/>
  <c r="Q251" i="27" s="1"/>
  <c r="R251" i="27" s="1"/>
  <c r="S251" i="27" s="1"/>
  <c r="T251" i="27" s="1"/>
  <c r="U251" i="27" s="1"/>
  <c r="V251" i="27" s="1"/>
  <c r="W251" i="27" s="1"/>
  <c r="X251" i="27" s="1"/>
  <c r="Y251" i="27" s="1"/>
  <c r="Z251" i="27" s="1"/>
  <c r="AA251" i="27" s="1"/>
  <c r="AB251" i="27" s="1"/>
  <c r="AC251" i="27" s="1"/>
  <c r="AD251" i="27" s="1"/>
  <c r="AE251" i="27" s="1"/>
  <c r="AF251" i="27" s="1"/>
  <c r="B251" i="27" s="1"/>
  <c r="O118" i="27"/>
  <c r="P247" i="27"/>
  <c r="O252" i="27"/>
  <c r="R246" i="27"/>
  <c r="R252" i="28" l="1"/>
  <c r="R118" i="28"/>
  <c r="S246" i="28"/>
  <c r="Q118" i="27"/>
  <c r="Q247" i="27"/>
  <c r="P252" i="27"/>
  <c r="R118" i="27"/>
  <c r="S246" i="27"/>
  <c r="S252" i="28" l="1"/>
  <c r="S118" i="28"/>
  <c r="T246" i="28"/>
  <c r="R247" i="27"/>
  <c r="Q252" i="27"/>
  <c r="S118" i="27"/>
  <c r="T246" i="27"/>
  <c r="T252" i="28" l="1"/>
  <c r="T118" i="28"/>
  <c r="U246" i="28"/>
  <c r="S247" i="27"/>
  <c r="R252" i="27"/>
  <c r="T118" i="27"/>
  <c r="U246" i="27"/>
  <c r="U118" i="28" l="1"/>
  <c r="V246" i="28"/>
  <c r="U252" i="28"/>
  <c r="T247" i="27"/>
  <c r="S252" i="27"/>
  <c r="U118" i="27"/>
  <c r="V246" i="27"/>
  <c r="W246" i="28" l="1"/>
  <c r="V252" i="28"/>
  <c r="V118" i="28"/>
  <c r="U247" i="27"/>
  <c r="T252" i="27"/>
  <c r="W246" i="27"/>
  <c r="V118" i="27"/>
  <c r="X246" i="28" l="1"/>
  <c r="W252" i="28"/>
  <c r="W118" i="28"/>
  <c r="V247" i="27"/>
  <c r="U252" i="27"/>
  <c r="X246" i="27"/>
  <c r="W118" i="27"/>
  <c r="Y246" i="28" l="1"/>
  <c r="X252" i="28"/>
  <c r="X118" i="28"/>
  <c r="Y246" i="27"/>
  <c r="X118" i="27"/>
  <c r="W247" i="27"/>
  <c r="V252" i="27"/>
  <c r="Y252" i="28" l="1"/>
  <c r="Z246" i="28"/>
  <c r="Z246" i="27"/>
  <c r="X247" i="27"/>
  <c r="W252" i="27"/>
  <c r="Z252" i="28" l="1"/>
  <c r="AA246" i="28"/>
  <c r="Y247" i="27"/>
  <c r="X252" i="27"/>
  <c r="AA246" i="27"/>
  <c r="AA252" i="28" l="1"/>
  <c r="AA118" i="28"/>
  <c r="AB246" i="28"/>
  <c r="Z247" i="27"/>
  <c r="Y252" i="27"/>
  <c r="AA118" i="27"/>
  <c r="AB246" i="27"/>
  <c r="AB252" i="28" l="1"/>
  <c r="AC246" i="28"/>
  <c r="AA247" i="27"/>
  <c r="Z252" i="27"/>
  <c r="AB118" i="27"/>
  <c r="AC246" i="27"/>
  <c r="AD246" i="28" l="1"/>
  <c r="AC252" i="28"/>
  <c r="AB247" i="27"/>
  <c r="AA252" i="27"/>
  <c r="AC118" i="27"/>
  <c r="AD246" i="27"/>
  <c r="AE246" i="28" l="1"/>
  <c r="AD252" i="28"/>
  <c r="AE246" i="27"/>
  <c r="AD118" i="27"/>
  <c r="AC247" i="27"/>
  <c r="AB252" i="27"/>
  <c r="AF246" i="28" l="1"/>
  <c r="AE252" i="28"/>
  <c r="AD247" i="27"/>
  <c r="AC252" i="27"/>
  <c r="AF246" i="27"/>
  <c r="AE118" i="27"/>
  <c r="AF252" i="28" l="1"/>
  <c r="AF118" i="28"/>
  <c r="B246" i="28"/>
  <c r="AF118" i="27"/>
  <c r="B246" i="27"/>
  <c r="B118" i="27" s="1"/>
  <c r="AE247" i="27"/>
  <c r="AD252" i="27"/>
  <c r="B252" i="28" l="1"/>
  <c r="B118" i="28"/>
  <c r="AF247" i="27"/>
  <c r="AE252" i="27"/>
  <c r="AI118" i="28" l="1"/>
  <c r="AH118" i="28"/>
  <c r="B247" i="27"/>
  <c r="B252" i="27" s="1"/>
  <c r="AF252" i="27"/>
  <c r="AI118" i="27"/>
  <c r="AH118" i="27"/>
  <c r="S57" i="25" l="1"/>
  <c r="R57" i="25"/>
  <c r="Q57" i="25"/>
  <c r="P57" i="25"/>
  <c r="O57" i="25"/>
  <c r="N57" i="25"/>
  <c r="AH11" i="24"/>
  <c r="AH12" i="24"/>
  <c r="AH13" i="24"/>
  <c r="AH14" i="24"/>
  <c r="AH15" i="24"/>
  <c r="AH16" i="24"/>
  <c r="AH17" i="24"/>
  <c r="AH18" i="24"/>
  <c r="AH19" i="24"/>
  <c r="AH20" i="24"/>
  <c r="AH21" i="24"/>
  <c r="AH22" i="24"/>
  <c r="AH23" i="24"/>
  <c r="AH24" i="24"/>
  <c r="AH25" i="24"/>
  <c r="AH26" i="24"/>
  <c r="AH27" i="24"/>
  <c r="AH28" i="24"/>
  <c r="AH29" i="24"/>
  <c r="AH30" i="24"/>
  <c r="AH31" i="24"/>
  <c r="AH32" i="24"/>
  <c r="AH33" i="24"/>
  <c r="AH34" i="24"/>
  <c r="AH35" i="24"/>
  <c r="AH36" i="24"/>
  <c r="AH37" i="24"/>
  <c r="AH38" i="24"/>
  <c r="AH39" i="24"/>
  <c r="AH40" i="24"/>
  <c r="AH41" i="24"/>
  <c r="AH42" i="24"/>
  <c r="AH43" i="24"/>
  <c r="AH44" i="24"/>
  <c r="AH45" i="24"/>
  <c r="AH46" i="24"/>
  <c r="AH47" i="24"/>
  <c r="AH48" i="24"/>
  <c r="AH49" i="24"/>
  <c r="AH50" i="24"/>
  <c r="AH51" i="24"/>
  <c r="AH52" i="24"/>
  <c r="AH53" i="24"/>
  <c r="AH54" i="24"/>
  <c r="AH55" i="24"/>
  <c r="AH56" i="24"/>
  <c r="AH57" i="24"/>
  <c r="AH58" i="24"/>
  <c r="AH59" i="24"/>
  <c r="AH60" i="24"/>
  <c r="AH61" i="24"/>
  <c r="AH62" i="24"/>
  <c r="AH63" i="24"/>
  <c r="AH64" i="24"/>
  <c r="AH65" i="24"/>
  <c r="AH66" i="24"/>
  <c r="AH67" i="24"/>
  <c r="AH68" i="24"/>
  <c r="AH69" i="24"/>
  <c r="AH70" i="24"/>
  <c r="AH71" i="24"/>
  <c r="AH72" i="24"/>
  <c r="AH73" i="24"/>
  <c r="AH74" i="24"/>
  <c r="AH75" i="24"/>
  <c r="AH76" i="24"/>
  <c r="AH77" i="24"/>
  <c r="AH78" i="24"/>
  <c r="AH79" i="24"/>
  <c r="AH80" i="24"/>
  <c r="AH81" i="24"/>
  <c r="AH82" i="24"/>
  <c r="AH83" i="24"/>
  <c r="AH84" i="24"/>
  <c r="AH85" i="24"/>
  <c r="AH86" i="24"/>
  <c r="AH87" i="24"/>
  <c r="AH88" i="24"/>
  <c r="AH89" i="24"/>
  <c r="AH90" i="24"/>
  <c r="AH91" i="24"/>
  <c r="AH92" i="24"/>
  <c r="AH93" i="24"/>
  <c r="AH94" i="24"/>
  <c r="AH95" i="24"/>
  <c r="AH96" i="24"/>
  <c r="AH97" i="24"/>
  <c r="AH98" i="24"/>
  <c r="AH99" i="24"/>
  <c r="AH100" i="24"/>
  <c r="AH101" i="24"/>
  <c r="AH102" i="24"/>
  <c r="AH103" i="24"/>
  <c r="AH104" i="24"/>
  <c r="AH105" i="24"/>
  <c r="AH106" i="24"/>
  <c r="AH107" i="24"/>
  <c r="AH108" i="24"/>
  <c r="AH109" i="24"/>
  <c r="AH110" i="24"/>
  <c r="AH111" i="24"/>
  <c r="AH112" i="24"/>
  <c r="AH113" i="24"/>
  <c r="AH114" i="24"/>
  <c r="AH115" i="24"/>
  <c r="AH116" i="24"/>
  <c r="AH117" i="24"/>
  <c r="AH118" i="24"/>
  <c r="AH119" i="24"/>
  <c r="AH120" i="24"/>
  <c r="AH121" i="24"/>
  <c r="AH122" i="24"/>
  <c r="AH123" i="24"/>
  <c r="AH124" i="24"/>
  <c r="AH125" i="24"/>
  <c r="AH126" i="24"/>
  <c r="AH127" i="24"/>
  <c r="AH128" i="24"/>
  <c r="AH129" i="24"/>
  <c r="AH130" i="24"/>
  <c r="M57" i="25"/>
  <c r="F62" i="25" l="1"/>
  <c r="G62" i="25"/>
  <c r="F76" i="25"/>
  <c r="G76" i="25"/>
  <c r="F80" i="25"/>
  <c r="G80" i="25"/>
  <c r="AH125" i="25"/>
  <c r="AI125" i="25"/>
  <c r="AH124" i="25"/>
  <c r="AI124" i="25"/>
  <c r="AG252" i="25"/>
  <c r="C252" i="25"/>
  <c r="L251" i="25"/>
  <c r="M251" i="25" s="1"/>
  <c r="N251" i="25" s="1"/>
  <c r="O251" i="25" s="1"/>
  <c r="P251" i="25" s="1"/>
  <c r="Q251" i="25" s="1"/>
  <c r="R251" i="25" s="1"/>
  <c r="S251" i="25" s="1"/>
  <c r="T251" i="25" s="1"/>
  <c r="U251" i="25" s="1"/>
  <c r="V251" i="25" s="1"/>
  <c r="W251" i="25" s="1"/>
  <c r="X251" i="25" s="1"/>
  <c r="Y251" i="25" s="1"/>
  <c r="Z251" i="25" s="1"/>
  <c r="AA251" i="25" s="1"/>
  <c r="AB251" i="25" s="1"/>
  <c r="AC251" i="25" s="1"/>
  <c r="AD251" i="25" s="1"/>
  <c r="AE251" i="25" s="1"/>
  <c r="AF251" i="25" s="1"/>
  <c r="B251" i="25" s="1"/>
  <c r="E251" i="25"/>
  <c r="F251" i="25" s="1"/>
  <c r="G251" i="25" s="1"/>
  <c r="H251" i="25" s="1"/>
  <c r="I251" i="25" s="1"/>
  <c r="J251" i="25" s="1"/>
  <c r="K251" i="25" s="1"/>
  <c r="D251" i="25"/>
  <c r="J250" i="25"/>
  <c r="K250" i="25" s="1"/>
  <c r="L250" i="25" s="1"/>
  <c r="M250" i="25" s="1"/>
  <c r="N250" i="25" s="1"/>
  <c r="O250" i="25" s="1"/>
  <c r="P250" i="25" s="1"/>
  <c r="Q250" i="25" s="1"/>
  <c r="R250" i="25" s="1"/>
  <c r="S250" i="25" s="1"/>
  <c r="T250" i="25" s="1"/>
  <c r="U250" i="25" s="1"/>
  <c r="V250" i="25" s="1"/>
  <c r="W250" i="25" s="1"/>
  <c r="X250" i="25" s="1"/>
  <c r="Y250" i="25" s="1"/>
  <c r="Z250" i="25" s="1"/>
  <c r="AA250" i="25" s="1"/>
  <c r="AB250" i="25" s="1"/>
  <c r="AC250" i="25" s="1"/>
  <c r="AD250" i="25" s="1"/>
  <c r="AE250" i="25" s="1"/>
  <c r="AF250" i="25" s="1"/>
  <c r="B250" i="25" s="1"/>
  <c r="E250" i="25"/>
  <c r="F250" i="25" s="1"/>
  <c r="G250" i="25" s="1"/>
  <c r="H250" i="25" s="1"/>
  <c r="I250" i="25" s="1"/>
  <c r="D250" i="25"/>
  <c r="D249" i="25"/>
  <c r="E249" i="25" s="1"/>
  <c r="F249" i="25" s="1"/>
  <c r="G249" i="25" s="1"/>
  <c r="H249" i="25" s="1"/>
  <c r="I249" i="25" s="1"/>
  <c r="J249" i="25" s="1"/>
  <c r="K249" i="25" s="1"/>
  <c r="L249" i="25" s="1"/>
  <c r="M249" i="25" s="1"/>
  <c r="N249" i="25" s="1"/>
  <c r="O249" i="25" s="1"/>
  <c r="P249" i="25" s="1"/>
  <c r="Q249" i="25" s="1"/>
  <c r="R249" i="25" s="1"/>
  <c r="S249" i="25" s="1"/>
  <c r="T249" i="25" s="1"/>
  <c r="U249" i="25" s="1"/>
  <c r="V249" i="25" s="1"/>
  <c r="W249" i="25" s="1"/>
  <c r="X249" i="25" s="1"/>
  <c r="Y249" i="25" s="1"/>
  <c r="Z249" i="25" s="1"/>
  <c r="AA249" i="25" s="1"/>
  <c r="AB249" i="25" s="1"/>
  <c r="AC249" i="25" s="1"/>
  <c r="AD249" i="25" s="1"/>
  <c r="AE249" i="25" s="1"/>
  <c r="AF249" i="25" s="1"/>
  <c r="B249" i="25" s="1"/>
  <c r="F248" i="25"/>
  <c r="G248" i="25" s="1"/>
  <c r="H248" i="25" s="1"/>
  <c r="I248" i="25" s="1"/>
  <c r="J248" i="25" s="1"/>
  <c r="K248" i="25" s="1"/>
  <c r="L248" i="25" s="1"/>
  <c r="M248" i="25" s="1"/>
  <c r="N248" i="25" s="1"/>
  <c r="O248" i="25" s="1"/>
  <c r="P248" i="25" s="1"/>
  <c r="Q248" i="25" s="1"/>
  <c r="R248" i="25" s="1"/>
  <c r="S248" i="25" s="1"/>
  <c r="T248" i="25" s="1"/>
  <c r="U248" i="25" s="1"/>
  <c r="V248" i="25" s="1"/>
  <c r="W248" i="25" s="1"/>
  <c r="X248" i="25" s="1"/>
  <c r="Y248" i="25" s="1"/>
  <c r="Z248" i="25" s="1"/>
  <c r="AA248" i="25" s="1"/>
  <c r="AB248" i="25" s="1"/>
  <c r="AC248" i="25" s="1"/>
  <c r="AD248" i="25" s="1"/>
  <c r="AE248" i="25" s="1"/>
  <c r="AF248" i="25" s="1"/>
  <c r="B248" i="25" s="1"/>
  <c r="E248" i="25"/>
  <c r="D248" i="25"/>
  <c r="D247" i="25"/>
  <c r="E247" i="25" s="1"/>
  <c r="E246" i="25"/>
  <c r="F246" i="25" s="1"/>
  <c r="G246" i="25" s="1"/>
  <c r="D246" i="25"/>
  <c r="D252" i="25" s="1"/>
  <c r="AG244" i="25"/>
  <c r="AF244" i="25"/>
  <c r="AE244" i="25"/>
  <c r="AD244" i="25"/>
  <c r="AC244" i="25"/>
  <c r="AB244" i="25"/>
  <c r="AA244" i="25"/>
  <c r="Z244" i="25"/>
  <c r="Z118" i="25" s="1"/>
  <c r="Y244" i="25"/>
  <c r="Y118" i="25" s="1"/>
  <c r="X244" i="25"/>
  <c r="W244" i="25"/>
  <c r="V244" i="25"/>
  <c r="U244" i="25"/>
  <c r="T244" i="25"/>
  <c r="S244" i="25"/>
  <c r="R244" i="25"/>
  <c r="Q244" i="25"/>
  <c r="P244" i="25"/>
  <c r="O244" i="25"/>
  <c r="N244" i="25"/>
  <c r="M244" i="25"/>
  <c r="L244" i="25"/>
  <c r="K244" i="25"/>
  <c r="J244" i="25"/>
  <c r="I244" i="25"/>
  <c r="H244" i="25"/>
  <c r="G244" i="25"/>
  <c r="F244" i="25"/>
  <c r="E244" i="25"/>
  <c r="D244" i="25"/>
  <c r="C244" i="25"/>
  <c r="B244" i="25"/>
  <c r="AI130" i="25"/>
  <c r="AH130" i="25"/>
  <c r="AI129" i="25"/>
  <c r="AH129" i="25"/>
  <c r="AI128" i="25"/>
  <c r="AH128" i="25"/>
  <c r="AI127" i="25"/>
  <c r="AH127" i="25"/>
  <c r="AI126" i="25"/>
  <c r="AH126" i="25"/>
  <c r="AI123" i="25"/>
  <c r="AH123" i="25"/>
  <c r="AI122" i="25"/>
  <c r="AH122" i="25"/>
  <c r="AI121" i="25"/>
  <c r="AH121" i="25"/>
  <c r="AI120" i="25"/>
  <c r="AH120" i="25"/>
  <c r="AI119" i="25"/>
  <c r="AH119" i="25"/>
  <c r="F118" i="25"/>
  <c r="E118" i="25"/>
  <c r="C118" i="25"/>
  <c r="AI117" i="25"/>
  <c r="AH117" i="25"/>
  <c r="AI116" i="25"/>
  <c r="AH116" i="25"/>
  <c r="AI115" i="25"/>
  <c r="AH115" i="25"/>
  <c r="AI114" i="25"/>
  <c r="AH114" i="25"/>
  <c r="AI113" i="25"/>
  <c r="AH113" i="25"/>
  <c r="AI112" i="25"/>
  <c r="AH112" i="25"/>
  <c r="AI111" i="25"/>
  <c r="AH111" i="25"/>
  <c r="AI110" i="25"/>
  <c r="AH110" i="25"/>
  <c r="AI109" i="25"/>
  <c r="AH109" i="25"/>
  <c r="AI106" i="25"/>
  <c r="AH106" i="25"/>
  <c r="AE105" i="25"/>
  <c r="BG23" i="25"/>
  <c r="AA105" i="25"/>
  <c r="Z105" i="25"/>
  <c r="Y105" i="25"/>
  <c r="Y107" i="25" s="1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AE104" i="25"/>
  <c r="AA104" i="25"/>
  <c r="Z104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AE103" i="25"/>
  <c r="AA103" i="25"/>
  <c r="Z103" i="25"/>
  <c r="Y103" i="25"/>
  <c r="X103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AE102" i="25"/>
  <c r="AA102" i="25"/>
  <c r="Z102" i="25"/>
  <c r="Y102" i="25"/>
  <c r="X102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AF107" i="25"/>
  <c r="AF100" i="25" s="1"/>
  <c r="AE101" i="25"/>
  <c r="AA101" i="25"/>
  <c r="Z101" i="25"/>
  <c r="Y101" i="25"/>
  <c r="X101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G107" i="25" s="1"/>
  <c r="F101" i="25"/>
  <c r="F107" i="25" s="1"/>
  <c r="AQ23" i="25" s="1"/>
  <c r="E101" i="25"/>
  <c r="D101" i="25"/>
  <c r="C101" i="25"/>
  <c r="C107" i="25" s="1"/>
  <c r="AN23" i="25" s="1"/>
  <c r="B101" i="25"/>
  <c r="AI98" i="25"/>
  <c r="AH98" i="25"/>
  <c r="AI96" i="25"/>
  <c r="AH96" i="25"/>
  <c r="AG96" i="25"/>
  <c r="AI95" i="25"/>
  <c r="AH95" i="25"/>
  <c r="AI94" i="25"/>
  <c r="AH94" i="25"/>
  <c r="AI93" i="25"/>
  <c r="AH93" i="25"/>
  <c r="AG92" i="25"/>
  <c r="AE92" i="25"/>
  <c r="AA92" i="25"/>
  <c r="Z92" i="25"/>
  <c r="Y92" i="25"/>
  <c r="X5" i="25" s="1"/>
  <c r="X92" i="25"/>
  <c r="BE19" i="25" s="1"/>
  <c r="W92" i="25"/>
  <c r="V5" i="25" s="1"/>
  <c r="V92" i="25"/>
  <c r="BD19" i="25" s="1"/>
  <c r="U92" i="25"/>
  <c r="T5" i="25" s="1"/>
  <c r="T92" i="25"/>
  <c r="BB19" i="25" s="1"/>
  <c r="S92" i="25"/>
  <c r="R5" i="25" s="1"/>
  <c r="R92" i="25"/>
  <c r="Q92" i="25"/>
  <c r="AY19" i="25" s="1"/>
  <c r="P92" i="25"/>
  <c r="O5" i="25" s="1"/>
  <c r="O92" i="25"/>
  <c r="N5" i="25" s="1"/>
  <c r="N92" i="25"/>
  <c r="M5" i="25" s="1"/>
  <c r="M92" i="25"/>
  <c r="L92" i="25"/>
  <c r="K5" i="25" s="1"/>
  <c r="K92" i="25"/>
  <c r="J5" i="25" s="1"/>
  <c r="J92" i="25"/>
  <c r="I92" i="25"/>
  <c r="AS19" i="25" s="1"/>
  <c r="H92" i="25"/>
  <c r="G5" i="25" s="1"/>
  <c r="G92" i="25"/>
  <c r="G108" i="25" s="1"/>
  <c r="F92" i="25"/>
  <c r="E92" i="25"/>
  <c r="D5" i="25" s="1"/>
  <c r="D92" i="25"/>
  <c r="AO19" i="25" s="1"/>
  <c r="C92" i="25"/>
  <c r="B92" i="25"/>
  <c r="AI91" i="25"/>
  <c r="AH91" i="25"/>
  <c r="AI90" i="25"/>
  <c r="AH90" i="25"/>
  <c r="AI89" i="25"/>
  <c r="AH89" i="25"/>
  <c r="AI88" i="25"/>
  <c r="AH88" i="25"/>
  <c r="AI87" i="25"/>
  <c r="AH87" i="25"/>
  <c r="AI86" i="25"/>
  <c r="AH86" i="25"/>
  <c r="AI85" i="25"/>
  <c r="AH85" i="25"/>
  <c r="AI84" i="25"/>
  <c r="AH84" i="25"/>
  <c r="AI83" i="25"/>
  <c r="AH83" i="25"/>
  <c r="AI82" i="25"/>
  <c r="AH82" i="25"/>
  <c r="AI81" i="25"/>
  <c r="AH81" i="25"/>
  <c r="BG80" i="25"/>
  <c r="AG80" i="25"/>
  <c r="AE80" i="25"/>
  <c r="BH20" i="25"/>
  <c r="AA80" i="25"/>
  <c r="Z80" i="25"/>
  <c r="Y80" i="25"/>
  <c r="X80" i="25"/>
  <c r="BE20" i="25" s="1"/>
  <c r="W80" i="25"/>
  <c r="V80" i="25"/>
  <c r="BD20" i="25" s="1"/>
  <c r="U80" i="25"/>
  <c r="T80" i="25"/>
  <c r="S80" i="25"/>
  <c r="R80" i="25"/>
  <c r="Q80" i="25"/>
  <c r="AY20" i="25" s="1"/>
  <c r="P80" i="25"/>
  <c r="O80" i="25"/>
  <c r="AW20" i="25" s="1"/>
  <c r="N80" i="25"/>
  <c r="AV20" i="25" s="1"/>
  <c r="M80" i="25"/>
  <c r="L80" i="25"/>
  <c r="K80" i="25"/>
  <c r="J80" i="25"/>
  <c r="I80" i="25"/>
  <c r="AS20" i="25" s="1"/>
  <c r="H80" i="25"/>
  <c r="AQ20" i="25"/>
  <c r="E80" i="25"/>
  <c r="AP20" i="25" s="1"/>
  <c r="D80" i="25"/>
  <c r="C80" i="25"/>
  <c r="B80" i="25"/>
  <c r="BW79" i="25"/>
  <c r="BM79" i="25"/>
  <c r="BD79" i="25"/>
  <c r="BB79" i="25"/>
  <c r="BA79" i="25"/>
  <c r="AI79" i="25"/>
  <c r="AH79" i="25"/>
  <c r="AI78" i="25"/>
  <c r="AH78" i="25"/>
  <c r="BK77" i="25"/>
  <c r="AI77" i="25"/>
  <c r="AH77" i="25"/>
  <c r="BB76" i="25"/>
  <c r="AZ76" i="25"/>
  <c r="AE76" i="25"/>
  <c r="BH18" i="25"/>
  <c r="AA76" i="25"/>
  <c r="Z76" i="25"/>
  <c r="BF18" i="25" s="1"/>
  <c r="Y76" i="25"/>
  <c r="X76" i="25"/>
  <c r="BE18" i="25" s="1"/>
  <c r="W76" i="25"/>
  <c r="V76" i="25"/>
  <c r="BD18" i="25" s="1"/>
  <c r="U76" i="25"/>
  <c r="T76" i="25"/>
  <c r="S76" i="25"/>
  <c r="BA18" i="25" s="1"/>
  <c r="R76" i="25"/>
  <c r="Q76" i="25"/>
  <c r="AY18" i="25" s="1"/>
  <c r="P76" i="25"/>
  <c r="O76" i="25"/>
  <c r="AW18" i="25" s="1"/>
  <c r="N76" i="25"/>
  <c r="AV18" i="25" s="1"/>
  <c r="M76" i="25"/>
  <c r="L76" i="25"/>
  <c r="K76" i="25"/>
  <c r="AT18" i="25" s="1"/>
  <c r="J76" i="25"/>
  <c r="I76" i="25"/>
  <c r="H76" i="25"/>
  <c r="E76" i="25"/>
  <c r="D76" i="25"/>
  <c r="AO18" i="25" s="1"/>
  <c r="C76" i="25"/>
  <c r="AN18" i="25" s="1"/>
  <c r="B76" i="25"/>
  <c r="BI75" i="25"/>
  <c r="BB75" i="25"/>
  <c r="AI75" i="25"/>
  <c r="AH75" i="25"/>
  <c r="AG75" i="25"/>
  <c r="AG76" i="25" s="1"/>
  <c r="AG3" i="25" s="1"/>
  <c r="AI74" i="25"/>
  <c r="AH74" i="25"/>
  <c r="BW73" i="25"/>
  <c r="BW80" i="25" s="1"/>
  <c r="BV73" i="25"/>
  <c r="BV80" i="25" s="1"/>
  <c r="BU73" i="25"/>
  <c r="BU80" i="25" s="1"/>
  <c r="BT73" i="25"/>
  <c r="BT80" i="25" s="1"/>
  <c r="BS73" i="25"/>
  <c r="BS80" i="25" s="1"/>
  <c r="BR73" i="25"/>
  <c r="BR80" i="25" s="1"/>
  <c r="BQ73" i="25"/>
  <c r="BQ80" i="25" s="1"/>
  <c r="BP73" i="25"/>
  <c r="BP80" i="25" s="1"/>
  <c r="BO73" i="25"/>
  <c r="BO80" i="25" s="1"/>
  <c r="BN73" i="25"/>
  <c r="BN80" i="25" s="1"/>
  <c r="BM73" i="25"/>
  <c r="BM80" i="25" s="1"/>
  <c r="BL73" i="25"/>
  <c r="BL80" i="25" s="1"/>
  <c r="BK73" i="25"/>
  <c r="BK80" i="25" s="1"/>
  <c r="BJ73" i="25"/>
  <c r="BJ80" i="25" s="1"/>
  <c r="BI73" i="25"/>
  <c r="BI80" i="25" s="1"/>
  <c r="BH73" i="25"/>
  <c r="BH80" i="25" s="1"/>
  <c r="BG73" i="25"/>
  <c r="BF73" i="25"/>
  <c r="BF80" i="25" s="1"/>
  <c r="BE73" i="25"/>
  <c r="BE80" i="25" s="1"/>
  <c r="BD73" i="25"/>
  <c r="BD80" i="25" s="1"/>
  <c r="BC73" i="25"/>
  <c r="BC80" i="25" s="1"/>
  <c r="BB73" i="25"/>
  <c r="BB80" i="25" s="1"/>
  <c r="BA73" i="25"/>
  <c r="BA80" i="25" s="1"/>
  <c r="AZ73" i="25"/>
  <c r="AZ80" i="25" s="1"/>
  <c r="AI73" i="25"/>
  <c r="AH73" i="25"/>
  <c r="BW72" i="25"/>
  <c r="BV72" i="25"/>
  <c r="BV79" i="25" s="1"/>
  <c r="BU72" i="25"/>
  <c r="BU79" i="25" s="1"/>
  <c r="BT72" i="25"/>
  <c r="BT79" i="25" s="1"/>
  <c r="BS72" i="25"/>
  <c r="BS79" i="25" s="1"/>
  <c r="BR72" i="25"/>
  <c r="BR79" i="25" s="1"/>
  <c r="BQ72" i="25"/>
  <c r="BQ79" i="25" s="1"/>
  <c r="BP72" i="25"/>
  <c r="BP79" i="25" s="1"/>
  <c r="BO72" i="25"/>
  <c r="BO79" i="25" s="1"/>
  <c r="BN72" i="25"/>
  <c r="BN79" i="25" s="1"/>
  <c r="BM72" i="25"/>
  <c r="BL72" i="25"/>
  <c r="BL79" i="25" s="1"/>
  <c r="BK72" i="25"/>
  <c r="BK79" i="25" s="1"/>
  <c r="BJ72" i="25"/>
  <c r="BJ79" i="25" s="1"/>
  <c r="BI72" i="25"/>
  <c r="BI79" i="25" s="1"/>
  <c r="BH72" i="25"/>
  <c r="BH79" i="25" s="1"/>
  <c r="BG72" i="25"/>
  <c r="BG79" i="25" s="1"/>
  <c r="BF72" i="25"/>
  <c r="BF79" i="25" s="1"/>
  <c r="BE72" i="25"/>
  <c r="BE79" i="25" s="1"/>
  <c r="BD72" i="25"/>
  <c r="BC72" i="25"/>
  <c r="BC79" i="25" s="1"/>
  <c r="BB72" i="25"/>
  <c r="BA72" i="25"/>
  <c r="AZ72" i="25"/>
  <c r="AZ79" i="25" s="1"/>
  <c r="AI72" i="25"/>
  <c r="AH72" i="25"/>
  <c r="BW71" i="25"/>
  <c r="BW78" i="25" s="1"/>
  <c r="BV71" i="25"/>
  <c r="BV78" i="25" s="1"/>
  <c r="BU71" i="25"/>
  <c r="BU78" i="25" s="1"/>
  <c r="BT71" i="25"/>
  <c r="BT78" i="25" s="1"/>
  <c r="BS71" i="25"/>
  <c r="BS78" i="25" s="1"/>
  <c r="BR71" i="25"/>
  <c r="BR78" i="25" s="1"/>
  <c r="BQ71" i="25"/>
  <c r="BQ78" i="25" s="1"/>
  <c r="BP71" i="25"/>
  <c r="BP78" i="25" s="1"/>
  <c r="BO71" i="25"/>
  <c r="BO78" i="25" s="1"/>
  <c r="BN71" i="25"/>
  <c r="BN78" i="25" s="1"/>
  <c r="BM71" i="25"/>
  <c r="BM78" i="25" s="1"/>
  <c r="BL71" i="25"/>
  <c r="BL78" i="25" s="1"/>
  <c r="BK71" i="25"/>
  <c r="BK78" i="25" s="1"/>
  <c r="BJ71" i="25"/>
  <c r="BJ78" i="25" s="1"/>
  <c r="BI71" i="25"/>
  <c r="BI78" i="25" s="1"/>
  <c r="BH71" i="25"/>
  <c r="BH78" i="25" s="1"/>
  <c r="BG71" i="25"/>
  <c r="BG78" i="25" s="1"/>
  <c r="BF71" i="25"/>
  <c r="BF78" i="25" s="1"/>
  <c r="BE71" i="25"/>
  <c r="BE78" i="25" s="1"/>
  <c r="BD71" i="25"/>
  <c r="BD78" i="25" s="1"/>
  <c r="BC71" i="25"/>
  <c r="BC78" i="25" s="1"/>
  <c r="BB71" i="25"/>
  <c r="BB78" i="25" s="1"/>
  <c r="BA71" i="25"/>
  <c r="BA78" i="25" s="1"/>
  <c r="AZ71" i="25"/>
  <c r="AZ78" i="25" s="1"/>
  <c r="AI71" i="25"/>
  <c r="AH71" i="25"/>
  <c r="BW70" i="25"/>
  <c r="BW77" i="25" s="1"/>
  <c r="BV70" i="25"/>
  <c r="BV77" i="25" s="1"/>
  <c r="BU70" i="25"/>
  <c r="BU77" i="25" s="1"/>
  <c r="BT70" i="25"/>
  <c r="BT77" i="25" s="1"/>
  <c r="BS70" i="25"/>
  <c r="BS77" i="25" s="1"/>
  <c r="BR70" i="25"/>
  <c r="BR77" i="25" s="1"/>
  <c r="BQ70" i="25"/>
  <c r="BQ77" i="25" s="1"/>
  <c r="BP70" i="25"/>
  <c r="BP77" i="25" s="1"/>
  <c r="BO70" i="25"/>
  <c r="BO77" i="25" s="1"/>
  <c r="BN70" i="25"/>
  <c r="BN77" i="25" s="1"/>
  <c r="BM70" i="25"/>
  <c r="BM77" i="25" s="1"/>
  <c r="BL70" i="25"/>
  <c r="BL77" i="25" s="1"/>
  <c r="BK70" i="25"/>
  <c r="BJ70" i="25"/>
  <c r="BJ77" i="25" s="1"/>
  <c r="BI70" i="25"/>
  <c r="BI77" i="25" s="1"/>
  <c r="BH70" i="25"/>
  <c r="BH77" i="25" s="1"/>
  <c r="BG70" i="25"/>
  <c r="BG77" i="25" s="1"/>
  <c r="BF70" i="25"/>
  <c r="BF77" i="25" s="1"/>
  <c r="BE70" i="25"/>
  <c r="BE77" i="25" s="1"/>
  <c r="BD70" i="25"/>
  <c r="BD77" i="25" s="1"/>
  <c r="BC70" i="25"/>
  <c r="BC77" i="25" s="1"/>
  <c r="BB70" i="25"/>
  <c r="BB77" i="25" s="1"/>
  <c r="BA70" i="25"/>
  <c r="BA77" i="25" s="1"/>
  <c r="AZ70" i="25"/>
  <c r="AZ77" i="25" s="1"/>
  <c r="AI70" i="25"/>
  <c r="AH70" i="25"/>
  <c r="BW69" i="25"/>
  <c r="BW76" i="25" s="1"/>
  <c r="BV69" i="25"/>
  <c r="BV76" i="25" s="1"/>
  <c r="BU69" i="25"/>
  <c r="BU76" i="25" s="1"/>
  <c r="BT69" i="25"/>
  <c r="BT76" i="25" s="1"/>
  <c r="BS69" i="25"/>
  <c r="BS76" i="25" s="1"/>
  <c r="BR69" i="25"/>
  <c r="BR76" i="25" s="1"/>
  <c r="BQ69" i="25"/>
  <c r="BQ76" i="25" s="1"/>
  <c r="BP69" i="25"/>
  <c r="BP76" i="25" s="1"/>
  <c r="BO69" i="25"/>
  <c r="BO76" i="25" s="1"/>
  <c r="BN69" i="25"/>
  <c r="BN76" i="25" s="1"/>
  <c r="BM69" i="25"/>
  <c r="BM76" i="25" s="1"/>
  <c r="BL69" i="25"/>
  <c r="BL76" i="25" s="1"/>
  <c r="BK69" i="25"/>
  <c r="BK76" i="25" s="1"/>
  <c r="BJ69" i="25"/>
  <c r="BJ76" i="25" s="1"/>
  <c r="BI69" i="25"/>
  <c r="BI76" i="25" s="1"/>
  <c r="BH69" i="25"/>
  <c r="BH76" i="25" s="1"/>
  <c r="BG69" i="25"/>
  <c r="BG76" i="25" s="1"/>
  <c r="BF69" i="25"/>
  <c r="BF76" i="25" s="1"/>
  <c r="BE69" i="25"/>
  <c r="BE76" i="25" s="1"/>
  <c r="BD69" i="25"/>
  <c r="BD76" i="25" s="1"/>
  <c r="BC69" i="25"/>
  <c r="BC76" i="25" s="1"/>
  <c r="BB69" i="25"/>
  <c r="BA69" i="25"/>
  <c r="BA76" i="25" s="1"/>
  <c r="AZ69" i="25"/>
  <c r="AI69" i="25"/>
  <c r="AH69" i="25"/>
  <c r="BW68" i="25"/>
  <c r="BW75" i="25" s="1"/>
  <c r="BV68" i="25"/>
  <c r="BV75" i="25" s="1"/>
  <c r="BU68" i="25"/>
  <c r="BU75" i="25" s="1"/>
  <c r="BT68" i="25"/>
  <c r="BT75" i="25" s="1"/>
  <c r="BS68" i="25"/>
  <c r="BS75" i="25" s="1"/>
  <c r="BR68" i="25"/>
  <c r="BR75" i="25" s="1"/>
  <c r="BQ68" i="25"/>
  <c r="BQ75" i="25" s="1"/>
  <c r="BP68" i="25"/>
  <c r="BP75" i="25" s="1"/>
  <c r="BO68" i="25"/>
  <c r="BO75" i="25" s="1"/>
  <c r="BN68" i="25"/>
  <c r="BN75" i="25" s="1"/>
  <c r="BM68" i="25"/>
  <c r="BM75" i="25" s="1"/>
  <c r="BL68" i="25"/>
  <c r="BL75" i="25" s="1"/>
  <c r="BK68" i="25"/>
  <c r="BK75" i="25" s="1"/>
  <c r="BJ68" i="25"/>
  <c r="BJ75" i="25" s="1"/>
  <c r="BI68" i="25"/>
  <c r="BH68" i="25"/>
  <c r="BH75" i="25" s="1"/>
  <c r="BG68" i="25"/>
  <c r="BG75" i="25" s="1"/>
  <c r="BF68" i="25"/>
  <c r="BF75" i="25" s="1"/>
  <c r="BE68" i="25"/>
  <c r="BE75" i="25" s="1"/>
  <c r="BD68" i="25"/>
  <c r="BD75" i="25" s="1"/>
  <c r="BC68" i="25"/>
  <c r="BC75" i="25" s="1"/>
  <c r="BB68" i="25"/>
  <c r="BA68" i="25"/>
  <c r="BA75" i="25" s="1"/>
  <c r="AZ68" i="25"/>
  <c r="AZ75" i="25" s="1"/>
  <c r="AI68" i="25"/>
  <c r="AH68" i="25"/>
  <c r="AI67" i="25"/>
  <c r="AH67" i="25"/>
  <c r="AI66" i="25"/>
  <c r="AH66" i="25"/>
  <c r="AI65" i="25"/>
  <c r="AH65" i="25"/>
  <c r="AI64" i="25"/>
  <c r="AH64" i="25"/>
  <c r="AI63" i="25"/>
  <c r="AH63" i="25"/>
  <c r="AG62" i="25"/>
  <c r="BJ17" i="25"/>
  <c r="AA62" i="25"/>
  <c r="Z62" i="25"/>
  <c r="Y62" i="25"/>
  <c r="X62" i="25"/>
  <c r="BE17" i="25" s="1"/>
  <c r="W62" i="25"/>
  <c r="V62" i="25"/>
  <c r="U62" i="25"/>
  <c r="T62" i="25"/>
  <c r="S62" i="25"/>
  <c r="R62" i="25"/>
  <c r="Q62" i="25"/>
  <c r="AY17" i="25" s="1"/>
  <c r="P62" i="25"/>
  <c r="AX17" i="25" s="1"/>
  <c r="O62" i="25"/>
  <c r="N62" i="25"/>
  <c r="AV17" i="25" s="1"/>
  <c r="M62" i="25"/>
  <c r="L62" i="25"/>
  <c r="K62" i="25"/>
  <c r="AT17" i="25" s="1"/>
  <c r="J62" i="25"/>
  <c r="I62" i="25"/>
  <c r="H62" i="25"/>
  <c r="E62" i="25"/>
  <c r="D62" i="25"/>
  <c r="C62" i="25"/>
  <c r="B62" i="25"/>
  <c r="AI61" i="25"/>
  <c r="AH61" i="25"/>
  <c r="AI60" i="25"/>
  <c r="AH60" i="25"/>
  <c r="AI59" i="25"/>
  <c r="AH59" i="25"/>
  <c r="AG58" i="25"/>
  <c r="AG97" i="25" s="1"/>
  <c r="BJ16" i="25"/>
  <c r="AA58" i="25"/>
  <c r="Z58" i="25"/>
  <c r="Y58" i="25"/>
  <c r="X58" i="25"/>
  <c r="W58" i="25"/>
  <c r="V58" i="25"/>
  <c r="U58" i="25"/>
  <c r="T58" i="25"/>
  <c r="S58" i="25"/>
  <c r="R58" i="25"/>
  <c r="Q58" i="25"/>
  <c r="AY16" i="25" s="1"/>
  <c r="P58" i="25"/>
  <c r="AX16" i="25" s="1"/>
  <c r="O58" i="25"/>
  <c r="N58" i="25"/>
  <c r="AV16" i="25" s="1"/>
  <c r="M58" i="25"/>
  <c r="L58" i="25"/>
  <c r="K58" i="25"/>
  <c r="J58" i="25"/>
  <c r="I58" i="25"/>
  <c r="H58" i="25"/>
  <c r="G58" i="25"/>
  <c r="F58" i="25"/>
  <c r="E58" i="25"/>
  <c r="AP16" i="25" s="1"/>
  <c r="D58" i="25"/>
  <c r="C58" i="25"/>
  <c r="AN16" i="25" s="1"/>
  <c r="B58" i="25"/>
  <c r="AI57" i="25"/>
  <c r="AH57" i="25"/>
  <c r="AI56" i="25"/>
  <c r="AH56" i="25"/>
  <c r="AI55" i="25"/>
  <c r="AH55" i="25"/>
  <c r="AI54" i="25"/>
  <c r="AH54" i="25"/>
  <c r="AI53" i="25"/>
  <c r="AH53" i="25"/>
  <c r="AI52" i="25"/>
  <c r="AH52" i="25"/>
  <c r="AI51" i="25"/>
  <c r="AH51" i="25"/>
  <c r="AI50" i="25"/>
  <c r="AH50" i="25"/>
  <c r="AI49" i="25"/>
  <c r="AH49" i="25"/>
  <c r="AI48" i="25"/>
  <c r="AH48" i="25"/>
  <c r="AI47" i="25"/>
  <c r="AH47" i="25"/>
  <c r="AI46" i="25"/>
  <c r="AH46" i="25"/>
  <c r="AI45" i="25"/>
  <c r="AH45" i="25"/>
  <c r="AI44" i="25"/>
  <c r="AH44" i="25"/>
  <c r="AI43" i="25"/>
  <c r="AH43" i="25"/>
  <c r="AI42" i="25"/>
  <c r="AH42" i="25"/>
  <c r="AI41" i="25"/>
  <c r="AH41" i="25"/>
  <c r="AI40" i="25"/>
  <c r="AH40" i="25"/>
  <c r="AI39" i="25"/>
  <c r="AH39" i="25"/>
  <c r="AI38" i="25"/>
  <c r="AH38" i="25"/>
  <c r="AI37" i="25"/>
  <c r="AH37" i="25"/>
  <c r="AI36" i="25"/>
  <c r="AH36" i="25"/>
  <c r="AI35" i="25"/>
  <c r="AH35" i="25"/>
  <c r="AI34" i="25"/>
  <c r="AH34" i="25"/>
  <c r="AI33" i="25"/>
  <c r="AH33" i="25"/>
  <c r="AI32" i="25"/>
  <c r="AH32" i="25"/>
  <c r="AI31" i="25"/>
  <c r="AH31" i="25"/>
  <c r="AI30" i="25"/>
  <c r="AH30" i="25"/>
  <c r="AI29" i="25"/>
  <c r="AH29" i="25"/>
  <c r="AI28" i="25"/>
  <c r="AH28" i="25"/>
  <c r="AI27" i="25"/>
  <c r="AH27" i="25"/>
  <c r="AI26" i="25"/>
  <c r="AH26" i="25"/>
  <c r="AI25" i="25"/>
  <c r="AH25" i="25"/>
  <c r="AI24" i="25"/>
  <c r="AH24" i="25"/>
  <c r="BJ23" i="25"/>
  <c r="BH23" i="25"/>
  <c r="AR23" i="25"/>
  <c r="AI23" i="25"/>
  <c r="AH23" i="25"/>
  <c r="AI22" i="25"/>
  <c r="AH22" i="25"/>
  <c r="BJ21" i="25"/>
  <c r="BI21" i="25"/>
  <c r="BH21" i="25"/>
  <c r="BG21" i="25"/>
  <c r="BF21" i="25"/>
  <c r="BE21" i="25"/>
  <c r="BD21" i="25"/>
  <c r="BC21" i="25"/>
  <c r="BB21" i="25"/>
  <c r="BA21" i="25"/>
  <c r="AZ21" i="25"/>
  <c r="AY21" i="25"/>
  <c r="AX21" i="25"/>
  <c r="AW21" i="25"/>
  <c r="AV21" i="25"/>
  <c r="AU21" i="25"/>
  <c r="AT21" i="25"/>
  <c r="AS21" i="25"/>
  <c r="AR21" i="25"/>
  <c r="AQ21" i="25"/>
  <c r="AP21" i="25"/>
  <c r="AO21" i="25"/>
  <c r="AN21" i="25"/>
  <c r="AM21" i="25"/>
  <c r="AI21" i="25"/>
  <c r="AH21" i="25"/>
  <c r="BJ20" i="25"/>
  <c r="BI20" i="25"/>
  <c r="BG20" i="25"/>
  <c r="BF20" i="25"/>
  <c r="BC20" i="25"/>
  <c r="BB20" i="25"/>
  <c r="BA20" i="25"/>
  <c r="AZ20" i="25"/>
  <c r="AX20" i="25"/>
  <c r="AU20" i="25"/>
  <c r="AT20" i="25"/>
  <c r="AR20" i="25"/>
  <c r="AO20" i="25"/>
  <c r="AN20" i="25"/>
  <c r="AM20" i="25"/>
  <c r="AI20" i="25"/>
  <c r="AH20" i="25"/>
  <c r="BJ19" i="25"/>
  <c r="BH19" i="25"/>
  <c r="BG19" i="25"/>
  <c r="AP19" i="25"/>
  <c r="AN19" i="25"/>
  <c r="AI19" i="25"/>
  <c r="AH19" i="25"/>
  <c r="BJ18" i="25"/>
  <c r="BG18" i="25"/>
  <c r="BC18" i="25"/>
  <c r="BB18" i="25"/>
  <c r="AZ18" i="25"/>
  <c r="AX18" i="25"/>
  <c r="AU18" i="25"/>
  <c r="AS18" i="25"/>
  <c r="AR18" i="25"/>
  <c r="AQ18" i="25"/>
  <c r="AP18" i="25"/>
  <c r="AM18" i="25"/>
  <c r="AI18" i="25"/>
  <c r="AH18" i="25"/>
  <c r="BI17" i="25"/>
  <c r="BH17" i="25"/>
  <c r="BG17" i="25"/>
  <c r="BF17" i="25"/>
  <c r="BD17" i="25"/>
  <c r="BC17" i="25"/>
  <c r="BB17" i="25"/>
  <c r="BA17" i="25"/>
  <c r="AZ17" i="25"/>
  <c r="AW17" i="25"/>
  <c r="AU17" i="25"/>
  <c r="AS17" i="25"/>
  <c r="AR17" i="25"/>
  <c r="AQ17" i="25"/>
  <c r="AP17" i="25"/>
  <c r="AO17" i="25"/>
  <c r="AN17" i="25"/>
  <c r="AI17" i="25"/>
  <c r="AH17" i="25"/>
  <c r="BI16" i="25"/>
  <c r="BH16" i="25"/>
  <c r="BG16" i="25"/>
  <c r="BF16" i="25"/>
  <c r="BD16" i="25"/>
  <c r="BC16" i="25"/>
  <c r="BB16" i="25"/>
  <c r="AZ16" i="25"/>
  <c r="AW16" i="25"/>
  <c r="AU16" i="25"/>
  <c r="AR16" i="25"/>
  <c r="AQ16" i="25"/>
  <c r="AO16" i="25"/>
  <c r="AI16" i="25"/>
  <c r="AH16" i="25"/>
  <c r="AI15" i="25"/>
  <c r="AH15" i="25"/>
  <c r="AI14" i="25"/>
  <c r="AH14" i="25"/>
  <c r="AI13" i="25"/>
  <c r="AH13" i="25"/>
  <c r="AL12" i="25"/>
  <c r="AI12" i="25"/>
  <c r="AH12" i="25"/>
  <c r="AI11" i="25"/>
  <c r="AH11" i="25"/>
  <c r="AE5" i="25"/>
  <c r="AC5" i="25"/>
  <c r="AB5" i="25"/>
  <c r="AA5" i="25"/>
  <c r="S5" i="25"/>
  <c r="B5" i="25"/>
  <c r="AG4" i="25"/>
  <c r="K4" i="25"/>
  <c r="E4" i="25"/>
  <c r="H4" i="25" s="1"/>
  <c r="B4" i="25"/>
  <c r="D258" i="25" s="1"/>
  <c r="AG2" i="25"/>
  <c r="AG6" i="25" s="1"/>
  <c r="AI138" i="24"/>
  <c r="AI137" i="24"/>
  <c r="AI133" i="24"/>
  <c r="AI132" i="24"/>
  <c r="AA58" i="24"/>
  <c r="AA62" i="24"/>
  <c r="AA76" i="24"/>
  <c r="AA80" i="24"/>
  <c r="AA92" i="24"/>
  <c r="AA101" i="24"/>
  <c r="AA102" i="24"/>
  <c r="AA103" i="24"/>
  <c r="AA107" i="24" s="1"/>
  <c r="AA104" i="24"/>
  <c r="AA105" i="24"/>
  <c r="AA118" i="24"/>
  <c r="Z118" i="24"/>
  <c r="Z105" i="24"/>
  <c r="Z104" i="24"/>
  <c r="Z103" i="24"/>
  <c r="Z102" i="24"/>
  <c r="Z101" i="24"/>
  <c r="Z107" i="24" s="1"/>
  <c r="Z92" i="24"/>
  <c r="Z108" i="24" s="1"/>
  <c r="Z80" i="24"/>
  <c r="Z76" i="24"/>
  <c r="Z62" i="24"/>
  <c r="Z58" i="24"/>
  <c r="Z97" i="24" s="1"/>
  <c r="Z99" i="24" s="1"/>
  <c r="Z100" i="24" s="1"/>
  <c r="AF108" i="25" l="1"/>
  <c r="BJ22" i="25"/>
  <c r="BJ24" i="25" s="1"/>
  <c r="AE107" i="25"/>
  <c r="BI23" i="25" s="1"/>
  <c r="BI19" i="25"/>
  <c r="AD5" i="25"/>
  <c r="AE97" i="25"/>
  <c r="AE99" i="25" s="1"/>
  <c r="AE100" i="25" s="1"/>
  <c r="AE7" i="25" s="1"/>
  <c r="BI18" i="25"/>
  <c r="BI22" i="25"/>
  <c r="BI24" i="25" s="1"/>
  <c r="BG22" i="25"/>
  <c r="BG24" i="25" s="1"/>
  <c r="AA107" i="25"/>
  <c r="AA108" i="25" s="1"/>
  <c r="Z5" i="25"/>
  <c r="Z107" i="25"/>
  <c r="BF23" i="25" s="1"/>
  <c r="Z97" i="25"/>
  <c r="Z99" i="25" s="1"/>
  <c r="Z100" i="25" s="1"/>
  <c r="Z7" i="25" s="1"/>
  <c r="Y108" i="25"/>
  <c r="Y97" i="25"/>
  <c r="Y99" i="25" s="1"/>
  <c r="Y100" i="25" s="1"/>
  <c r="Y7" i="25" s="1"/>
  <c r="W5" i="25"/>
  <c r="X107" i="25"/>
  <c r="BE23" i="25" s="1"/>
  <c r="X97" i="25"/>
  <c r="X99" i="25" s="1"/>
  <c r="X100" i="25" s="1"/>
  <c r="X7" i="25" s="1"/>
  <c r="W107" i="25"/>
  <c r="W108" i="25" s="1"/>
  <c r="W97" i="25"/>
  <c r="W99" i="25" s="1"/>
  <c r="W100" i="25" s="1"/>
  <c r="W7" i="25" s="1"/>
  <c r="V107" i="25"/>
  <c r="BD23" i="25" s="1"/>
  <c r="U5" i="25"/>
  <c r="BD22" i="25"/>
  <c r="BD24" i="25" s="1"/>
  <c r="U107" i="25"/>
  <c r="BC23" i="25" s="1"/>
  <c r="T107" i="25"/>
  <c r="BB23" i="25" s="1"/>
  <c r="BB22" i="25"/>
  <c r="BA19" i="25"/>
  <c r="S107" i="25"/>
  <c r="BA23" i="25" s="1"/>
  <c r="R107" i="25"/>
  <c r="AZ23" i="25" s="1"/>
  <c r="R97" i="25"/>
  <c r="R99" i="25" s="1"/>
  <c r="R100" i="25" s="1"/>
  <c r="R7" i="25" s="1"/>
  <c r="P5" i="25"/>
  <c r="Q107" i="25"/>
  <c r="P107" i="25"/>
  <c r="AX23" i="25" s="1"/>
  <c r="AX19" i="25"/>
  <c r="AX22" i="25" s="1"/>
  <c r="O107" i="25"/>
  <c r="AW23" i="25" s="1"/>
  <c r="AW19" i="25"/>
  <c r="AW22" i="25" s="1"/>
  <c r="O97" i="25"/>
  <c r="O99" i="25" s="1"/>
  <c r="AH102" i="25"/>
  <c r="N107" i="25"/>
  <c r="AV23" i="25" s="1"/>
  <c r="AV19" i="25"/>
  <c r="AV22" i="25" s="1"/>
  <c r="L5" i="25"/>
  <c r="M107" i="25"/>
  <c r="AU23" i="25" s="1"/>
  <c r="H5" i="25"/>
  <c r="AI103" i="25"/>
  <c r="L107" i="25"/>
  <c r="L108" i="25" s="1"/>
  <c r="J97" i="25"/>
  <c r="J99" i="25" s="1"/>
  <c r="I107" i="25"/>
  <c r="I108" i="25" s="1"/>
  <c r="AT19" i="25"/>
  <c r="AH103" i="25"/>
  <c r="K107" i="25"/>
  <c r="AT23" i="25" s="1"/>
  <c r="J107" i="25"/>
  <c r="I97" i="25"/>
  <c r="I99" i="25" s="1"/>
  <c r="H107" i="25"/>
  <c r="H108" i="25" s="1"/>
  <c r="H97" i="25"/>
  <c r="H99" i="25" s="1"/>
  <c r="H100" i="25" s="1"/>
  <c r="H7" i="25" s="1"/>
  <c r="F108" i="25"/>
  <c r="AQ19" i="25"/>
  <c r="AQ22" i="25" s="1"/>
  <c r="AQ24" i="25" s="1"/>
  <c r="E5" i="25"/>
  <c r="AI101" i="25"/>
  <c r="AR19" i="25"/>
  <c r="G97" i="25"/>
  <c r="G99" i="25" s="1"/>
  <c r="F5" i="25"/>
  <c r="AR22" i="25"/>
  <c r="AR24" i="25" s="1"/>
  <c r="E107" i="25"/>
  <c r="AP23" i="25" s="1"/>
  <c r="AP22" i="25"/>
  <c r="AP24" i="25" s="1"/>
  <c r="AH62" i="25"/>
  <c r="AH76" i="25"/>
  <c r="C5" i="25"/>
  <c r="AI104" i="25"/>
  <c r="D107" i="25"/>
  <c r="AO23" i="25" s="1"/>
  <c r="AO22" i="25"/>
  <c r="C108" i="25"/>
  <c r="AN22" i="25"/>
  <c r="AN24" i="25" s="1"/>
  <c r="AM17" i="25"/>
  <c r="AI62" i="25"/>
  <c r="B97" i="25"/>
  <c r="B99" i="25" s="1"/>
  <c r="AM16" i="25"/>
  <c r="F247" i="25"/>
  <c r="E252" i="25"/>
  <c r="G100" i="25"/>
  <c r="G7" i="25" s="1"/>
  <c r="Q108" i="25"/>
  <c r="AY23" i="25"/>
  <c r="AY22" i="25"/>
  <c r="BH22" i="25"/>
  <c r="BH24" i="25" s="1"/>
  <c r="AI76" i="25"/>
  <c r="Z108" i="25"/>
  <c r="AH92" i="25"/>
  <c r="AG99" i="25"/>
  <c r="B107" i="25"/>
  <c r="AL13" i="25"/>
  <c r="BF19" i="25"/>
  <c r="BF22" i="25" s="1"/>
  <c r="BF24" i="25" s="1"/>
  <c r="BG84" i="25" a="1"/>
  <c r="AI92" i="25"/>
  <c r="P97" i="25"/>
  <c r="P99" i="25" s="1"/>
  <c r="P100" i="25" s="1"/>
  <c r="P7" i="25" s="1"/>
  <c r="AF7" i="25"/>
  <c r="BE16" i="25"/>
  <c r="BE22" i="25" s="1"/>
  <c r="BE24" i="25" s="1"/>
  <c r="AH58" i="25"/>
  <c r="T108" i="25"/>
  <c r="Q97" i="25"/>
  <c r="Q99" i="25" s="1"/>
  <c r="Q100" i="25" s="1"/>
  <c r="Q7" i="25" s="1"/>
  <c r="AH104" i="25"/>
  <c r="S97" i="25"/>
  <c r="S99" i="25" s="1"/>
  <c r="S100" i="25" s="1"/>
  <c r="S7" i="25" s="1"/>
  <c r="D97" i="25"/>
  <c r="D99" i="25" s="1"/>
  <c r="L97" i="25"/>
  <c r="L99" i="25" s="1"/>
  <c r="L100" i="25" s="1"/>
  <c r="L7" i="25" s="1"/>
  <c r="T97" i="25"/>
  <c r="T99" i="25" s="1"/>
  <c r="T100" i="25" s="1"/>
  <c r="T7" i="25" s="1"/>
  <c r="AB7" i="25"/>
  <c r="AH80" i="25"/>
  <c r="AI80" i="25"/>
  <c r="H246" i="25"/>
  <c r="G118" i="25"/>
  <c r="C97" i="25"/>
  <c r="C99" i="25" s="1"/>
  <c r="C100" i="25" s="1"/>
  <c r="C7" i="25" s="1"/>
  <c r="AF5" i="25"/>
  <c r="E97" i="25"/>
  <c r="E99" i="25" s="1"/>
  <c r="E100" i="25" s="1"/>
  <c r="E7" i="25" s="1"/>
  <c r="M97" i="25"/>
  <c r="M99" i="25" s="1"/>
  <c r="M100" i="25" s="1"/>
  <c r="M7" i="25" s="1"/>
  <c r="U97" i="25"/>
  <c r="U99" i="25" s="1"/>
  <c r="U100" i="25" s="1"/>
  <c r="U7" i="25" s="1"/>
  <c r="AC7" i="25"/>
  <c r="R108" i="25"/>
  <c r="K97" i="25"/>
  <c r="K99" i="25" s="1"/>
  <c r="K100" i="25" s="1"/>
  <c r="K7" i="25" s="1"/>
  <c r="AI58" i="25"/>
  <c r="I5" i="25"/>
  <c r="Q5" i="25"/>
  <c r="Y5" i="25"/>
  <c r="AS16" i="25"/>
  <c r="AS22" i="25" s="1"/>
  <c r="BA16" i="25"/>
  <c r="BA22" i="25" s="1"/>
  <c r="BA24" i="25" s="1"/>
  <c r="AM19" i="25"/>
  <c r="AM22" i="25" s="1"/>
  <c r="AU19" i="25"/>
  <c r="AU22" i="25" s="1"/>
  <c r="AU24" i="25" s="1"/>
  <c r="BC19" i="25"/>
  <c r="BC22" i="25" s="1"/>
  <c r="BC24" i="25" s="1"/>
  <c r="F97" i="25"/>
  <c r="F99" i="25" s="1"/>
  <c r="F100" i="25" s="1"/>
  <c r="F7" i="25" s="1"/>
  <c r="N97" i="25"/>
  <c r="N99" i="25" s="1"/>
  <c r="N100" i="25" s="1"/>
  <c r="N7" i="25" s="1"/>
  <c r="V97" i="25"/>
  <c r="V99" i="25" s="1"/>
  <c r="V100" i="25" s="1"/>
  <c r="V7" i="25" s="1"/>
  <c r="AD7" i="25"/>
  <c r="AZ19" i="25"/>
  <c r="AZ22" i="25" s="1"/>
  <c r="AZ24" i="25" s="1"/>
  <c r="AA97" i="25"/>
  <c r="AA99" i="25" s="1"/>
  <c r="AA100" i="25" s="1"/>
  <c r="AA7" i="25" s="1"/>
  <c r="AT16" i="25"/>
  <c r="AT22" i="25" s="1"/>
  <c r="AT24" i="25" s="1"/>
  <c r="AH101" i="25"/>
  <c r="AI102" i="25"/>
  <c r="AI105" i="25"/>
  <c r="AH105" i="25"/>
  <c r="D118" i="25"/>
  <c r="AA97" i="24"/>
  <c r="AA99" i="24" s="1"/>
  <c r="AA100" i="24" s="1"/>
  <c r="AA108" i="24"/>
  <c r="AE108" i="25" l="1"/>
  <c r="X108" i="25"/>
  <c r="V108" i="25"/>
  <c r="U108" i="25"/>
  <c r="BB24" i="25"/>
  <c r="S108" i="25"/>
  <c r="AX24" i="25"/>
  <c r="P108" i="25"/>
  <c r="O100" i="25"/>
  <c r="O7" i="25" s="1"/>
  <c r="AW24" i="25"/>
  <c r="O108" i="25"/>
  <c r="AV24" i="25"/>
  <c r="N108" i="25"/>
  <c r="M108" i="25"/>
  <c r="J100" i="25"/>
  <c r="J7" i="25" s="1"/>
  <c r="AS23" i="25"/>
  <c r="AS24" i="25"/>
  <c r="I100" i="25"/>
  <c r="I7" i="25" s="1"/>
  <c r="J108" i="25"/>
  <c r="K108" i="25"/>
  <c r="E108" i="25"/>
  <c r="AO24" i="25"/>
  <c r="D100" i="25"/>
  <c r="D7" i="25" s="1"/>
  <c r="D108" i="25"/>
  <c r="AT8" i="25"/>
  <c r="AM23" i="25"/>
  <c r="AM24" i="25" s="1"/>
  <c r="AI107" i="25"/>
  <c r="AH107" i="25"/>
  <c r="B256" i="25"/>
  <c r="AH97" i="25"/>
  <c r="I246" i="25"/>
  <c r="H118" i="25"/>
  <c r="AI97" i="25"/>
  <c r="AH99" i="25"/>
  <c r="B100" i="25"/>
  <c r="AI99" i="25"/>
  <c r="C256" i="25"/>
  <c r="B108" i="25"/>
  <c r="AY24" i="25"/>
  <c r="G247" i="25"/>
  <c r="F252" i="25"/>
  <c r="BJ107" i="25"/>
  <c r="BH106" i="25"/>
  <c r="BL104" i="25"/>
  <c r="BJ103" i="25"/>
  <c r="BH102" i="25"/>
  <c r="BL100" i="25"/>
  <c r="BJ99" i="25"/>
  <c r="BH98" i="25"/>
  <c r="BL96" i="25"/>
  <c r="BJ95" i="25"/>
  <c r="BH94" i="25"/>
  <c r="BL92" i="25"/>
  <c r="BJ91" i="25"/>
  <c r="BH90" i="25"/>
  <c r="BL88" i="25"/>
  <c r="BJ87" i="25"/>
  <c r="BH86" i="25"/>
  <c r="BL84" i="25"/>
  <c r="BI107" i="25"/>
  <c r="BG106" i="25"/>
  <c r="BK104" i="25"/>
  <c r="BI103" i="25"/>
  <c r="BG102" i="25"/>
  <c r="BK100" i="25"/>
  <c r="BI99" i="25"/>
  <c r="BG98" i="25"/>
  <c r="BK96" i="25"/>
  <c r="BI95" i="25"/>
  <c r="BG94" i="25"/>
  <c r="BK92" i="25"/>
  <c r="BI91" i="25"/>
  <c r="BG90" i="25"/>
  <c r="BK88" i="25"/>
  <c r="BI87" i="25"/>
  <c r="BG86" i="25"/>
  <c r="BK84" i="25"/>
  <c r="BH107" i="25"/>
  <c r="BL105" i="25"/>
  <c r="BJ104" i="25"/>
  <c r="BH103" i="25"/>
  <c r="BL101" i="25"/>
  <c r="BJ100" i="25"/>
  <c r="BH99" i="25"/>
  <c r="BL97" i="25"/>
  <c r="BJ96" i="25"/>
  <c r="BH95" i="25"/>
  <c r="BL93" i="25"/>
  <c r="BJ92" i="25"/>
  <c r="BH91" i="25"/>
  <c r="BL89" i="25"/>
  <c r="BJ88" i="25"/>
  <c r="BH87" i="25"/>
  <c r="BL85" i="25"/>
  <c r="BJ84" i="25"/>
  <c r="BG107" i="25"/>
  <c r="BK105" i="25"/>
  <c r="BI104" i="25"/>
  <c r="BG103" i="25"/>
  <c r="BK101" i="25"/>
  <c r="BI100" i="25"/>
  <c r="BG99" i="25"/>
  <c r="BK97" i="25"/>
  <c r="BI96" i="25"/>
  <c r="BG95" i="25"/>
  <c r="BK93" i="25"/>
  <c r="BI92" i="25"/>
  <c r="BG91" i="25"/>
  <c r="BK89" i="25"/>
  <c r="BI88" i="25"/>
  <c r="BG87" i="25"/>
  <c r="BK85" i="25"/>
  <c r="BI84" i="25"/>
  <c r="BL106" i="25"/>
  <c r="BH104" i="25"/>
  <c r="BJ101" i="25"/>
  <c r="BL98" i="25"/>
  <c r="BH96" i="25"/>
  <c r="BJ93" i="25"/>
  <c r="BL90" i="25"/>
  <c r="BH88" i="25"/>
  <c r="BJ85" i="25"/>
  <c r="BK106" i="25"/>
  <c r="BG104" i="25"/>
  <c r="BI101" i="25"/>
  <c r="BK98" i="25"/>
  <c r="BG96" i="25"/>
  <c r="BI93" i="25"/>
  <c r="BK90" i="25"/>
  <c r="BG88" i="25"/>
  <c r="BI85" i="25"/>
  <c r="BJ106" i="25"/>
  <c r="BL103" i="25"/>
  <c r="BH101" i="25"/>
  <c r="BJ98" i="25"/>
  <c r="BL95" i="25"/>
  <c r="BH93" i="25"/>
  <c r="BJ90" i="25"/>
  <c r="BL87" i="25"/>
  <c r="BH85" i="25"/>
  <c r="BI106" i="25"/>
  <c r="BK103" i="25"/>
  <c r="BG101" i="25"/>
  <c r="BI98" i="25"/>
  <c r="BK95" i="25"/>
  <c r="BG93" i="25"/>
  <c r="BI90" i="25"/>
  <c r="BK87" i="25"/>
  <c r="BG85" i="25"/>
  <c r="BJ105" i="25"/>
  <c r="BL102" i="25"/>
  <c r="BH100" i="25"/>
  <c r="BJ97" i="25"/>
  <c r="BL94" i="25"/>
  <c r="BH92" i="25"/>
  <c r="BJ89" i="25"/>
  <c r="BL86" i="25"/>
  <c r="BH84" i="25"/>
  <c r="BI105" i="25"/>
  <c r="BK102" i="25"/>
  <c r="BG100" i="25"/>
  <c r="BI97" i="25"/>
  <c r="BK94" i="25"/>
  <c r="BG92" i="25"/>
  <c r="BI89" i="25"/>
  <c r="BK86" i="25"/>
  <c r="BG84" i="25"/>
  <c r="BK99" i="25"/>
  <c r="BL107" i="25"/>
  <c r="BH105" i="25"/>
  <c r="BJ102" i="25"/>
  <c r="BL99" i="25"/>
  <c r="BH97" i="25"/>
  <c r="BJ94" i="25"/>
  <c r="BL91" i="25"/>
  <c r="BH89" i="25"/>
  <c r="BJ86" i="25"/>
  <c r="BK107" i="25"/>
  <c r="BG105" i="25"/>
  <c r="BI102" i="25"/>
  <c r="BG97" i="25"/>
  <c r="BI94" i="25"/>
  <c r="BK91" i="25"/>
  <c r="BG89" i="25"/>
  <c r="BI86" i="25"/>
  <c r="AT9" i="25" l="1"/>
  <c r="AI108" i="25"/>
  <c r="AH108" i="25"/>
  <c r="K6" i="25"/>
  <c r="AI100" i="25"/>
  <c r="AH100" i="25"/>
  <c r="B7" i="25"/>
  <c r="A7" i="25" s="1"/>
  <c r="I118" i="25"/>
  <c r="J246" i="25"/>
  <c r="H247" i="25"/>
  <c r="G252" i="25"/>
  <c r="I247" i="25" l="1"/>
  <c r="H252" i="25"/>
  <c r="J118" i="25"/>
  <c r="K246" i="25"/>
  <c r="K118" i="25" l="1"/>
  <c r="L246" i="25"/>
  <c r="J247" i="25"/>
  <c r="I252" i="25"/>
  <c r="K247" i="25" l="1"/>
  <c r="J252" i="25"/>
  <c r="L118" i="25"/>
  <c r="M246" i="25"/>
  <c r="N246" i="25" l="1"/>
  <c r="M118" i="25"/>
  <c r="L247" i="25"/>
  <c r="K252" i="25"/>
  <c r="M247" i="25" l="1"/>
  <c r="L252" i="25"/>
  <c r="O246" i="25"/>
  <c r="N118" i="25"/>
  <c r="N247" i="25" l="1"/>
  <c r="M252" i="25"/>
  <c r="P246" i="25"/>
  <c r="O118" i="25"/>
  <c r="Q246" i="25" l="1"/>
  <c r="O247" i="25"/>
  <c r="N252" i="25"/>
  <c r="P247" i="25" l="1"/>
  <c r="O252" i="25"/>
  <c r="R246" i="25"/>
  <c r="Q118" i="25"/>
  <c r="R118" i="25" l="1"/>
  <c r="S246" i="25"/>
  <c r="Q247" i="25"/>
  <c r="P252" i="25"/>
  <c r="R247" i="25" l="1"/>
  <c r="Q252" i="25"/>
  <c r="S118" i="25"/>
  <c r="T246" i="25"/>
  <c r="T118" i="25" l="1"/>
  <c r="U246" i="25"/>
  <c r="S247" i="25"/>
  <c r="R252" i="25"/>
  <c r="T247" i="25" l="1"/>
  <c r="S252" i="25"/>
  <c r="U118" i="25"/>
  <c r="V246" i="25"/>
  <c r="U247" i="25" l="1"/>
  <c r="T252" i="25"/>
  <c r="W246" i="25"/>
  <c r="V118" i="25"/>
  <c r="X246" i="25" l="1"/>
  <c r="W118" i="25"/>
  <c r="V247" i="25"/>
  <c r="U252" i="25"/>
  <c r="W247" i="25" l="1"/>
  <c r="V252" i="25"/>
  <c r="Y246" i="25"/>
  <c r="X118" i="25"/>
  <c r="Z246" i="25" l="1"/>
  <c r="X247" i="25"/>
  <c r="W252" i="25"/>
  <c r="Y247" i="25" l="1"/>
  <c r="X252" i="25"/>
  <c r="AA246" i="25"/>
  <c r="AA118" i="25" l="1"/>
  <c r="AB246" i="25"/>
  <c r="Z247" i="25"/>
  <c r="Y252" i="25"/>
  <c r="AA247" i="25" l="1"/>
  <c r="Z252" i="25"/>
  <c r="AC246" i="25"/>
  <c r="AD246" i="25" l="1"/>
  <c r="AB247" i="25"/>
  <c r="AA252" i="25"/>
  <c r="AC247" i="25" l="1"/>
  <c r="AB252" i="25"/>
  <c r="AE246" i="25"/>
  <c r="AD118" i="25"/>
  <c r="AF246" i="25" l="1"/>
  <c r="AE118" i="25"/>
  <c r="AD247" i="25"/>
  <c r="AC252" i="25"/>
  <c r="AE247" i="25" l="1"/>
  <c r="AD252" i="25"/>
  <c r="AF118" i="25"/>
  <c r="B246" i="25"/>
  <c r="B118" i="25" l="1"/>
  <c r="AF247" i="25"/>
  <c r="AE252" i="25"/>
  <c r="B247" i="25" l="1"/>
  <c r="B252" i="25" s="1"/>
  <c r="AF252" i="25"/>
  <c r="AI118" i="25"/>
  <c r="AH118" i="25"/>
  <c r="Y58" i="24" l="1"/>
  <c r="Y62" i="24"/>
  <c r="Y76" i="24"/>
  <c r="Y80" i="24"/>
  <c r="Y92" i="24"/>
  <c r="Y101" i="24"/>
  <c r="Y102" i="24"/>
  <c r="Y103" i="24"/>
  <c r="Y104" i="24"/>
  <c r="Y105" i="24"/>
  <c r="Y118" i="24"/>
  <c r="X58" i="24"/>
  <c r="X62" i="24"/>
  <c r="X76" i="24"/>
  <c r="X80" i="24"/>
  <c r="X92" i="24"/>
  <c r="X101" i="24"/>
  <c r="X102" i="24"/>
  <c r="X107" i="24" s="1"/>
  <c r="X103" i="24"/>
  <c r="X104" i="24"/>
  <c r="X105" i="24"/>
  <c r="X118" i="24"/>
  <c r="K100" i="24"/>
  <c r="W58" i="24"/>
  <c r="W62" i="24"/>
  <c r="W76" i="24"/>
  <c r="W80" i="24"/>
  <c r="W92" i="24"/>
  <c r="W101" i="24"/>
  <c r="W102" i="24"/>
  <c r="W103" i="24"/>
  <c r="W104" i="24"/>
  <c r="W105" i="24"/>
  <c r="W118" i="24"/>
  <c r="U118" i="24"/>
  <c r="V118" i="24"/>
  <c r="R57" i="24"/>
  <c r="Q57" i="24"/>
  <c r="P57" i="24"/>
  <c r="O57" i="24"/>
  <c r="Y107" i="24" l="1"/>
  <c r="Y108" i="24"/>
  <c r="Y97" i="24"/>
  <c r="Y99" i="24" s="1"/>
  <c r="Y100" i="24" s="1"/>
  <c r="X108" i="24"/>
  <c r="X97" i="24"/>
  <c r="X99" i="24" s="1"/>
  <c r="X100" i="24" s="1"/>
  <c r="W107" i="24"/>
  <c r="W97" i="24"/>
  <c r="W99" i="24" s="1"/>
  <c r="W100" i="24" s="1"/>
  <c r="W108" i="24"/>
  <c r="N57" i="24" l="1"/>
  <c r="M121" i="24"/>
  <c r="AI121" i="24" s="1"/>
  <c r="M57" i="24"/>
  <c r="M58" i="24"/>
  <c r="AU16" i="24" s="1"/>
  <c r="M62" i="24"/>
  <c r="M76" i="24"/>
  <c r="AU18" i="24" s="1"/>
  <c r="M80" i="24"/>
  <c r="L57" i="24"/>
  <c r="I62" i="24"/>
  <c r="AI125" i="24"/>
  <c r="AI124" i="24"/>
  <c r="AG252" i="24"/>
  <c r="E252" i="24"/>
  <c r="C252" i="24"/>
  <c r="G251" i="24"/>
  <c r="H251" i="24" s="1"/>
  <c r="I251" i="24" s="1"/>
  <c r="J251" i="24" s="1"/>
  <c r="K251" i="24" s="1"/>
  <c r="L251" i="24" s="1"/>
  <c r="M251" i="24" s="1"/>
  <c r="N251" i="24" s="1"/>
  <c r="O251" i="24" s="1"/>
  <c r="P251" i="24" s="1"/>
  <c r="Q251" i="24" s="1"/>
  <c r="R251" i="24" s="1"/>
  <c r="S251" i="24" s="1"/>
  <c r="T251" i="24" s="1"/>
  <c r="U251" i="24" s="1"/>
  <c r="V251" i="24" s="1"/>
  <c r="W251" i="24" s="1"/>
  <c r="X251" i="24" s="1"/>
  <c r="Y251" i="24" s="1"/>
  <c r="Z251" i="24" s="1"/>
  <c r="AA251" i="24" s="1"/>
  <c r="AB251" i="24" s="1"/>
  <c r="AC251" i="24" s="1"/>
  <c r="AD251" i="24" s="1"/>
  <c r="AE251" i="24" s="1"/>
  <c r="AF251" i="24" s="1"/>
  <c r="B251" i="24" s="1"/>
  <c r="E251" i="24"/>
  <c r="F251" i="24" s="1"/>
  <c r="D251" i="24"/>
  <c r="D118" i="24" s="1"/>
  <c r="R250" i="24"/>
  <c r="S250" i="24" s="1"/>
  <c r="T250" i="24" s="1"/>
  <c r="U250" i="24" s="1"/>
  <c r="V250" i="24" s="1"/>
  <c r="W250" i="24" s="1"/>
  <c r="X250" i="24" s="1"/>
  <c r="Y250" i="24" s="1"/>
  <c r="Z250" i="24" s="1"/>
  <c r="AA250" i="24" s="1"/>
  <c r="AB250" i="24" s="1"/>
  <c r="AC250" i="24" s="1"/>
  <c r="AD250" i="24" s="1"/>
  <c r="AE250" i="24" s="1"/>
  <c r="AF250" i="24" s="1"/>
  <c r="B250" i="24" s="1"/>
  <c r="J250" i="24"/>
  <c r="K250" i="24" s="1"/>
  <c r="L250" i="24" s="1"/>
  <c r="M250" i="24" s="1"/>
  <c r="N250" i="24" s="1"/>
  <c r="O250" i="24" s="1"/>
  <c r="P250" i="24" s="1"/>
  <c r="Q250" i="24" s="1"/>
  <c r="E250" i="24"/>
  <c r="F250" i="24" s="1"/>
  <c r="G250" i="24" s="1"/>
  <c r="H250" i="24" s="1"/>
  <c r="I250" i="24" s="1"/>
  <c r="D250" i="24"/>
  <c r="H249" i="24"/>
  <c r="I249" i="24" s="1"/>
  <c r="J249" i="24" s="1"/>
  <c r="K249" i="24" s="1"/>
  <c r="L249" i="24" s="1"/>
  <c r="M249" i="24" s="1"/>
  <c r="N249" i="24" s="1"/>
  <c r="O249" i="24" s="1"/>
  <c r="P249" i="24" s="1"/>
  <c r="Q249" i="24" s="1"/>
  <c r="R249" i="24" s="1"/>
  <c r="S249" i="24" s="1"/>
  <c r="T249" i="24" s="1"/>
  <c r="U249" i="24" s="1"/>
  <c r="V249" i="24" s="1"/>
  <c r="W249" i="24" s="1"/>
  <c r="X249" i="24" s="1"/>
  <c r="Y249" i="24" s="1"/>
  <c r="Z249" i="24" s="1"/>
  <c r="AA249" i="24" s="1"/>
  <c r="AB249" i="24" s="1"/>
  <c r="AC249" i="24" s="1"/>
  <c r="AD249" i="24" s="1"/>
  <c r="AE249" i="24" s="1"/>
  <c r="AF249" i="24" s="1"/>
  <c r="B249" i="24" s="1"/>
  <c r="D249" i="24"/>
  <c r="E249" i="24" s="1"/>
  <c r="F249" i="24" s="1"/>
  <c r="G249" i="24" s="1"/>
  <c r="F248" i="24"/>
  <c r="G248" i="24" s="1"/>
  <c r="H248" i="24" s="1"/>
  <c r="I248" i="24" s="1"/>
  <c r="J248" i="24" s="1"/>
  <c r="K248" i="24" s="1"/>
  <c r="L248" i="24" s="1"/>
  <c r="M248" i="24" s="1"/>
  <c r="N248" i="24" s="1"/>
  <c r="O248" i="24" s="1"/>
  <c r="P248" i="24" s="1"/>
  <c r="Q248" i="24" s="1"/>
  <c r="R248" i="24" s="1"/>
  <c r="S248" i="24" s="1"/>
  <c r="T248" i="24" s="1"/>
  <c r="U248" i="24" s="1"/>
  <c r="V248" i="24" s="1"/>
  <c r="W248" i="24" s="1"/>
  <c r="X248" i="24" s="1"/>
  <c r="Y248" i="24" s="1"/>
  <c r="Z248" i="24" s="1"/>
  <c r="AA248" i="24" s="1"/>
  <c r="AB248" i="24" s="1"/>
  <c r="AC248" i="24" s="1"/>
  <c r="AD248" i="24" s="1"/>
  <c r="AE248" i="24" s="1"/>
  <c r="AF248" i="24" s="1"/>
  <c r="B248" i="24" s="1"/>
  <c r="D248" i="24"/>
  <c r="E248" i="24" s="1"/>
  <c r="G247" i="24"/>
  <c r="H247" i="24" s="1"/>
  <c r="I247" i="24" s="1"/>
  <c r="J247" i="24" s="1"/>
  <c r="K247" i="24" s="1"/>
  <c r="L247" i="24" s="1"/>
  <c r="M247" i="24" s="1"/>
  <c r="N247" i="24" s="1"/>
  <c r="O247" i="24" s="1"/>
  <c r="P247" i="24" s="1"/>
  <c r="Q247" i="24" s="1"/>
  <c r="R247" i="24" s="1"/>
  <c r="S247" i="24" s="1"/>
  <c r="T247" i="24" s="1"/>
  <c r="U247" i="24" s="1"/>
  <c r="V247" i="24" s="1"/>
  <c r="W247" i="24" s="1"/>
  <c r="X247" i="24" s="1"/>
  <c r="Y247" i="24" s="1"/>
  <c r="Z247" i="24" s="1"/>
  <c r="AA247" i="24" s="1"/>
  <c r="AB247" i="24" s="1"/>
  <c r="AC247" i="24" s="1"/>
  <c r="AD247" i="24" s="1"/>
  <c r="AE247" i="24" s="1"/>
  <c r="AF247" i="24" s="1"/>
  <c r="B247" i="24" s="1"/>
  <c r="E247" i="24"/>
  <c r="F247" i="24" s="1"/>
  <c r="D247" i="24"/>
  <c r="E246" i="24"/>
  <c r="F246" i="24" s="1"/>
  <c r="G246" i="24" s="1"/>
  <c r="D246" i="24"/>
  <c r="D252" i="24" s="1"/>
  <c r="AG244" i="24"/>
  <c r="AF244" i="24"/>
  <c r="AE244" i="24"/>
  <c r="AD244" i="24"/>
  <c r="AC244" i="24"/>
  <c r="AB244" i="24"/>
  <c r="AA244" i="24"/>
  <c r="Z244" i="24"/>
  <c r="Y244" i="24"/>
  <c r="X244" i="24"/>
  <c r="W244" i="24"/>
  <c r="V244" i="24"/>
  <c r="U244" i="24"/>
  <c r="T244" i="24"/>
  <c r="S244" i="24"/>
  <c r="R244" i="24"/>
  <c r="Q244" i="24"/>
  <c r="P244" i="24"/>
  <c r="O244" i="24"/>
  <c r="N244" i="24"/>
  <c r="M244" i="24"/>
  <c r="L244" i="24"/>
  <c r="K244" i="24"/>
  <c r="J244" i="24"/>
  <c r="I244" i="24"/>
  <c r="H244" i="24"/>
  <c r="G244" i="24"/>
  <c r="F244" i="24"/>
  <c r="E244" i="24"/>
  <c r="D244" i="24"/>
  <c r="C244" i="24"/>
  <c r="B244" i="24"/>
  <c r="AI130" i="24"/>
  <c r="AI129" i="24"/>
  <c r="AI128" i="24"/>
  <c r="AI127" i="24"/>
  <c r="AI126" i="24"/>
  <c r="AI123" i="24"/>
  <c r="AI122" i="24"/>
  <c r="AI120" i="24"/>
  <c r="AI119" i="24"/>
  <c r="F118" i="24"/>
  <c r="E118" i="24"/>
  <c r="C118" i="24"/>
  <c r="AI117" i="24"/>
  <c r="AI116" i="24"/>
  <c r="AI115" i="24"/>
  <c r="AI114" i="24"/>
  <c r="AI113" i="24"/>
  <c r="AI112" i="24"/>
  <c r="AI111" i="24"/>
  <c r="AI110" i="24"/>
  <c r="AI109" i="24"/>
  <c r="AI106" i="24"/>
  <c r="AF105" i="24"/>
  <c r="AE105" i="24"/>
  <c r="AD105" i="24"/>
  <c r="AC105" i="24"/>
  <c r="AB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AF104" i="24"/>
  <c r="AE104" i="24"/>
  <c r="AD104" i="24"/>
  <c r="AC104" i="24"/>
  <c r="AB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AF103" i="24"/>
  <c r="AE103" i="24"/>
  <c r="AD103" i="24"/>
  <c r="AC103" i="24"/>
  <c r="AB103" i="24"/>
  <c r="V103" i="24"/>
  <c r="U103" i="24"/>
  <c r="T103" i="24"/>
  <c r="S103" i="24"/>
  <c r="R103" i="24"/>
  <c r="Q103" i="24"/>
  <c r="P103" i="24"/>
  <c r="O103" i="24"/>
  <c r="N103" i="24"/>
  <c r="M103" i="24"/>
  <c r="L103" i="24"/>
  <c r="K103" i="24"/>
  <c r="J103" i="24"/>
  <c r="I103" i="24"/>
  <c r="I107" i="24" s="1"/>
  <c r="I108" i="24" s="1"/>
  <c r="H103" i="24"/>
  <c r="G103" i="24"/>
  <c r="F103" i="24"/>
  <c r="E103" i="24"/>
  <c r="D103" i="24"/>
  <c r="C103" i="24"/>
  <c r="B103" i="24"/>
  <c r="AF102" i="24"/>
  <c r="AE102" i="24"/>
  <c r="AD102" i="24"/>
  <c r="AC102" i="24"/>
  <c r="AB102" i="24"/>
  <c r="BF23" i="24"/>
  <c r="V102" i="24"/>
  <c r="U102" i="24"/>
  <c r="T102" i="24"/>
  <c r="S102" i="24"/>
  <c r="R102" i="24"/>
  <c r="Q102" i="24"/>
  <c r="P102" i="24"/>
  <c r="O102" i="24"/>
  <c r="N102" i="24"/>
  <c r="M102" i="24"/>
  <c r="L102" i="24"/>
  <c r="K102" i="24"/>
  <c r="J102" i="24"/>
  <c r="I102" i="24"/>
  <c r="H102" i="24"/>
  <c r="G102" i="24"/>
  <c r="G107" i="24" s="1"/>
  <c r="AR23" i="24" s="1"/>
  <c r="F102" i="24"/>
  <c r="E102" i="24"/>
  <c r="D102" i="24"/>
  <c r="C102" i="24"/>
  <c r="B102" i="24"/>
  <c r="AF101" i="24"/>
  <c r="AE101" i="24"/>
  <c r="AD101" i="24"/>
  <c r="AC101" i="24"/>
  <c r="AB101" i="24"/>
  <c r="V101" i="24"/>
  <c r="U101" i="24"/>
  <c r="T101" i="24"/>
  <c r="T107" i="24" s="1"/>
  <c r="BB23" i="24" s="1"/>
  <c r="S101" i="24"/>
  <c r="R101" i="24"/>
  <c r="Q101" i="24"/>
  <c r="P101" i="24"/>
  <c r="O101" i="24"/>
  <c r="N101" i="24"/>
  <c r="M101" i="24"/>
  <c r="L101" i="24"/>
  <c r="K101" i="24"/>
  <c r="K107" i="24" s="1"/>
  <c r="J101" i="24"/>
  <c r="I101" i="24"/>
  <c r="H101" i="24"/>
  <c r="G101" i="24"/>
  <c r="F101" i="24"/>
  <c r="E101" i="24"/>
  <c r="D101" i="24"/>
  <c r="C101" i="24"/>
  <c r="B101" i="24"/>
  <c r="AI98" i="24"/>
  <c r="AI96" i="24"/>
  <c r="AG96" i="24"/>
  <c r="AI95" i="24"/>
  <c r="AI94" i="24"/>
  <c r="AI93" i="24"/>
  <c r="AG92" i="24"/>
  <c r="AF92" i="24"/>
  <c r="AE5" i="24" s="1"/>
  <c r="AE92" i="24"/>
  <c r="AD5" i="24" s="1"/>
  <c r="AD92" i="24"/>
  <c r="AC92" i="24"/>
  <c r="AB5" i="24" s="1"/>
  <c r="AB92" i="24"/>
  <c r="BG19" i="24" s="1"/>
  <c r="V92" i="24"/>
  <c r="U92" i="24"/>
  <c r="BC19" i="24" s="1"/>
  <c r="T92" i="24"/>
  <c r="BB19" i="24" s="1"/>
  <c r="S92" i="24"/>
  <c r="R5" i="24" s="1"/>
  <c r="R92" i="24"/>
  <c r="AZ19" i="24" s="1"/>
  <c r="Q92" i="24"/>
  <c r="AY19" i="24" s="1"/>
  <c r="P92" i="24"/>
  <c r="AX19" i="24" s="1"/>
  <c r="O92" i="24"/>
  <c r="N92" i="24"/>
  <c r="M92" i="24"/>
  <c r="L92" i="24"/>
  <c r="K5" i="24" s="1"/>
  <c r="K92" i="24"/>
  <c r="K108" i="24" s="1"/>
  <c r="J92" i="24"/>
  <c r="I5" i="24" s="1"/>
  <c r="I92" i="24"/>
  <c r="AS19" i="24" s="1"/>
  <c r="H92" i="24"/>
  <c r="G5" i="24" s="1"/>
  <c r="G92" i="24"/>
  <c r="F92" i="24"/>
  <c r="E92" i="24"/>
  <c r="D5" i="24" s="1"/>
  <c r="D92" i="24"/>
  <c r="AO19" i="24" s="1"/>
  <c r="C92" i="24"/>
  <c r="B92" i="24"/>
  <c r="AM19" i="24" s="1"/>
  <c r="AI91" i="24"/>
  <c r="AI90" i="24"/>
  <c r="AI89" i="24"/>
  <c r="AI88" i="24"/>
  <c r="AI87" i="24"/>
  <c r="AI86" i="24"/>
  <c r="AI85" i="24"/>
  <c r="AI84" i="24"/>
  <c r="AI83" i="24"/>
  <c r="AI82" i="24"/>
  <c r="AI81" i="24"/>
  <c r="BL80" i="24"/>
  <c r="BC80" i="24"/>
  <c r="AG80" i="24"/>
  <c r="AF80" i="24"/>
  <c r="AE80" i="24"/>
  <c r="BI20" i="24" s="1"/>
  <c r="AD80" i="24"/>
  <c r="BH20" i="24" s="1"/>
  <c r="AC80" i="24"/>
  <c r="AB80" i="24"/>
  <c r="BG20" i="24" s="1"/>
  <c r="W7" i="24"/>
  <c r="V80" i="24"/>
  <c r="BD20" i="24" s="1"/>
  <c r="U80" i="24"/>
  <c r="T80" i="24"/>
  <c r="BB20" i="24" s="1"/>
  <c r="S80" i="24"/>
  <c r="R80" i="24"/>
  <c r="AZ20" i="24" s="1"/>
  <c r="Q80" i="24"/>
  <c r="P80" i="24"/>
  <c r="O80" i="24"/>
  <c r="AW20" i="24" s="1"/>
  <c r="N80" i="24"/>
  <c r="L80" i="24"/>
  <c r="K80" i="24"/>
  <c r="AT20" i="24" s="1"/>
  <c r="J80" i="24"/>
  <c r="I80" i="24"/>
  <c r="H80" i="24"/>
  <c r="G80" i="24"/>
  <c r="AR20" i="24" s="1"/>
  <c r="F80" i="24"/>
  <c r="E80" i="24"/>
  <c r="AP20" i="24" s="1"/>
  <c r="D80" i="24"/>
  <c r="C80" i="24"/>
  <c r="AN20" i="24" s="1"/>
  <c r="B80" i="24"/>
  <c r="BO79" i="24"/>
  <c r="BM79" i="24"/>
  <c r="AI79" i="24"/>
  <c r="BW78" i="24"/>
  <c r="BE78" i="24"/>
  <c r="AI78" i="24"/>
  <c r="AI77" i="24"/>
  <c r="BS76" i="24"/>
  <c r="AF76" i="24"/>
  <c r="AE76" i="24"/>
  <c r="AD76" i="24"/>
  <c r="AC76" i="24"/>
  <c r="AB76" i="24"/>
  <c r="V76" i="24"/>
  <c r="BD18" i="24" s="1"/>
  <c r="U76" i="24"/>
  <c r="T76" i="24"/>
  <c r="S76" i="24"/>
  <c r="BA18" i="24" s="1"/>
  <c r="R76" i="24"/>
  <c r="AZ18" i="24" s="1"/>
  <c r="Q76" i="24"/>
  <c r="P76" i="24"/>
  <c r="AX18" i="24" s="1"/>
  <c r="O76" i="24"/>
  <c r="N76" i="24"/>
  <c r="AV18" i="24" s="1"/>
  <c r="L76" i="24"/>
  <c r="K76" i="24"/>
  <c r="J76" i="24"/>
  <c r="I76" i="24"/>
  <c r="AS18" i="24" s="1"/>
  <c r="H76" i="24"/>
  <c r="G76" i="24"/>
  <c r="F76" i="24"/>
  <c r="E76" i="24"/>
  <c r="AP18" i="24" s="1"/>
  <c r="D76" i="24"/>
  <c r="AO18" i="24" s="1"/>
  <c r="C76" i="24"/>
  <c r="B76" i="24"/>
  <c r="BE75" i="24"/>
  <c r="AI75" i="24"/>
  <c r="AG75" i="24"/>
  <c r="AG76" i="24" s="1"/>
  <c r="AG3" i="24" s="1"/>
  <c r="AI74" i="24"/>
  <c r="BW73" i="24"/>
  <c r="BW80" i="24" s="1"/>
  <c r="BV73" i="24"/>
  <c r="BV80" i="24" s="1"/>
  <c r="BU73" i="24"/>
  <c r="BU80" i="24" s="1"/>
  <c r="BT73" i="24"/>
  <c r="BT80" i="24" s="1"/>
  <c r="BS73" i="24"/>
  <c r="BS80" i="24" s="1"/>
  <c r="BR73" i="24"/>
  <c r="BR80" i="24" s="1"/>
  <c r="BQ73" i="24"/>
  <c r="BQ80" i="24" s="1"/>
  <c r="BP73" i="24"/>
  <c r="BP80" i="24" s="1"/>
  <c r="BO73" i="24"/>
  <c r="BO80" i="24" s="1"/>
  <c r="BN73" i="24"/>
  <c r="BN80" i="24" s="1"/>
  <c r="BM73" i="24"/>
  <c r="BM80" i="24" s="1"/>
  <c r="BL73" i="24"/>
  <c r="BK73" i="24"/>
  <c r="BK80" i="24" s="1"/>
  <c r="BJ73" i="24"/>
  <c r="BJ80" i="24" s="1"/>
  <c r="BI73" i="24"/>
  <c r="BI80" i="24" s="1"/>
  <c r="BH73" i="24"/>
  <c r="BH80" i="24" s="1"/>
  <c r="BG73" i="24"/>
  <c r="BG80" i="24" s="1"/>
  <c r="BF73" i="24"/>
  <c r="BF80" i="24" s="1"/>
  <c r="BE73" i="24"/>
  <c r="BE80" i="24" s="1"/>
  <c r="BD73" i="24"/>
  <c r="BD80" i="24" s="1"/>
  <c r="BC73" i="24"/>
  <c r="BB73" i="24"/>
  <c r="BB80" i="24" s="1"/>
  <c r="BA73" i="24"/>
  <c r="BA80" i="24" s="1"/>
  <c r="AZ73" i="24"/>
  <c r="AZ80" i="24" s="1"/>
  <c r="AI73" i="24"/>
  <c r="BW72" i="24"/>
  <c r="BW79" i="24" s="1"/>
  <c r="BV72" i="24"/>
  <c r="BV79" i="24" s="1"/>
  <c r="BU72" i="24"/>
  <c r="BU79" i="24" s="1"/>
  <c r="BT72" i="24"/>
  <c r="BT79" i="24" s="1"/>
  <c r="BS72" i="24"/>
  <c r="BS79" i="24" s="1"/>
  <c r="BR72" i="24"/>
  <c r="BR79" i="24" s="1"/>
  <c r="BQ72" i="24"/>
  <c r="BQ79" i="24" s="1"/>
  <c r="BP72" i="24"/>
  <c r="BP79" i="24" s="1"/>
  <c r="BO72" i="24"/>
  <c r="BN72" i="24"/>
  <c r="BN79" i="24" s="1"/>
  <c r="BM72" i="24"/>
  <c r="BL72" i="24"/>
  <c r="BL79" i="24" s="1"/>
  <c r="BK72" i="24"/>
  <c r="BK79" i="24" s="1"/>
  <c r="BJ72" i="24"/>
  <c r="BJ79" i="24" s="1"/>
  <c r="BI72" i="24"/>
  <c r="BI79" i="24" s="1"/>
  <c r="BH72" i="24"/>
  <c r="BH79" i="24" s="1"/>
  <c r="BG72" i="24"/>
  <c r="BG79" i="24" s="1"/>
  <c r="BF72" i="24"/>
  <c r="BF79" i="24" s="1"/>
  <c r="BE72" i="24"/>
  <c r="BE79" i="24" s="1"/>
  <c r="BD72" i="24"/>
  <c r="BD79" i="24" s="1"/>
  <c r="BC72" i="24"/>
  <c r="BC79" i="24" s="1"/>
  <c r="BB72" i="24"/>
  <c r="BB79" i="24" s="1"/>
  <c r="BA72" i="24"/>
  <c r="BA79" i="24" s="1"/>
  <c r="AZ72" i="24"/>
  <c r="AZ79" i="24" s="1"/>
  <c r="AI72" i="24"/>
  <c r="BW71" i="24"/>
  <c r="BV71" i="24"/>
  <c r="BV78" i="24" s="1"/>
  <c r="BU71" i="24"/>
  <c r="BU78" i="24" s="1"/>
  <c r="BT71" i="24"/>
  <c r="BT78" i="24" s="1"/>
  <c r="BS71" i="24"/>
  <c r="BS78" i="24" s="1"/>
  <c r="BR71" i="24"/>
  <c r="BR78" i="24" s="1"/>
  <c r="BQ71" i="24"/>
  <c r="BQ78" i="24" s="1"/>
  <c r="BP71" i="24"/>
  <c r="BP78" i="24" s="1"/>
  <c r="BO71" i="24"/>
  <c r="BO78" i="24" s="1"/>
  <c r="BN71" i="24"/>
  <c r="BN78" i="24" s="1"/>
  <c r="BM71" i="24"/>
  <c r="BM78" i="24" s="1"/>
  <c r="BL71" i="24"/>
  <c r="BL78" i="24" s="1"/>
  <c r="BK71" i="24"/>
  <c r="BK78" i="24" s="1"/>
  <c r="BJ71" i="24"/>
  <c r="BJ78" i="24" s="1"/>
  <c r="BI71" i="24"/>
  <c r="BI78" i="24" s="1"/>
  <c r="BH71" i="24"/>
  <c r="BH78" i="24" s="1"/>
  <c r="BG71" i="24"/>
  <c r="BG78" i="24" s="1"/>
  <c r="BF71" i="24"/>
  <c r="BF78" i="24" s="1"/>
  <c r="BE71" i="24"/>
  <c r="BD71" i="24"/>
  <c r="BD78" i="24" s="1"/>
  <c r="BC71" i="24"/>
  <c r="BC78" i="24" s="1"/>
  <c r="BB71" i="24"/>
  <c r="BB78" i="24" s="1"/>
  <c r="BA71" i="24"/>
  <c r="BA78" i="24" s="1"/>
  <c r="AZ71" i="24"/>
  <c r="AZ78" i="24" s="1"/>
  <c r="AI71" i="24"/>
  <c r="BW70" i="24"/>
  <c r="BW77" i="24" s="1"/>
  <c r="BV70" i="24"/>
  <c r="BV77" i="24" s="1"/>
  <c r="BU70" i="24"/>
  <c r="BU77" i="24" s="1"/>
  <c r="BT70" i="24"/>
  <c r="BT77" i="24" s="1"/>
  <c r="BS70" i="24"/>
  <c r="BS77" i="24" s="1"/>
  <c r="BR70" i="24"/>
  <c r="BR77" i="24" s="1"/>
  <c r="BQ70" i="24"/>
  <c r="BQ77" i="24" s="1"/>
  <c r="BP70" i="24"/>
  <c r="BP77" i="24" s="1"/>
  <c r="BO70" i="24"/>
  <c r="BO77" i="24" s="1"/>
  <c r="BN70" i="24"/>
  <c r="BN77" i="24" s="1"/>
  <c r="BM70" i="24"/>
  <c r="BM77" i="24" s="1"/>
  <c r="BL70" i="24"/>
  <c r="BL77" i="24" s="1"/>
  <c r="BK70" i="24"/>
  <c r="BK77" i="24" s="1"/>
  <c r="BJ70" i="24"/>
  <c r="BJ77" i="24" s="1"/>
  <c r="BI70" i="24"/>
  <c r="BI77" i="24" s="1"/>
  <c r="BH70" i="24"/>
  <c r="BH77" i="24" s="1"/>
  <c r="BG70" i="24"/>
  <c r="BG77" i="24" s="1"/>
  <c r="BF70" i="24"/>
  <c r="BF77" i="24" s="1"/>
  <c r="BE70" i="24"/>
  <c r="BE77" i="24" s="1"/>
  <c r="BD70" i="24"/>
  <c r="BD77" i="24" s="1"/>
  <c r="BC70" i="24"/>
  <c r="BC77" i="24" s="1"/>
  <c r="BB70" i="24"/>
  <c r="BB77" i="24" s="1"/>
  <c r="BA70" i="24"/>
  <c r="BA77" i="24" s="1"/>
  <c r="AZ70" i="24"/>
  <c r="AZ77" i="24" s="1"/>
  <c r="AI70" i="24"/>
  <c r="BW69" i="24"/>
  <c r="BW76" i="24" s="1"/>
  <c r="BV69" i="24"/>
  <c r="BV76" i="24" s="1"/>
  <c r="BU69" i="24"/>
  <c r="BU76" i="24" s="1"/>
  <c r="BT69" i="24"/>
  <c r="BT76" i="24" s="1"/>
  <c r="BS69" i="24"/>
  <c r="BR69" i="24"/>
  <c r="BR76" i="24" s="1"/>
  <c r="BQ69" i="24"/>
  <c r="BQ76" i="24" s="1"/>
  <c r="BP69" i="24"/>
  <c r="BP76" i="24" s="1"/>
  <c r="BO69" i="24"/>
  <c r="BO76" i="24" s="1"/>
  <c r="BN69" i="24"/>
  <c r="BN76" i="24" s="1"/>
  <c r="BM69" i="24"/>
  <c r="BM76" i="24" s="1"/>
  <c r="BL69" i="24"/>
  <c r="BL76" i="24" s="1"/>
  <c r="BK69" i="24"/>
  <c r="BK76" i="24" s="1"/>
  <c r="BJ69" i="24"/>
  <c r="BJ76" i="24" s="1"/>
  <c r="BI69" i="24"/>
  <c r="BI76" i="24" s="1"/>
  <c r="BH69" i="24"/>
  <c r="BH76" i="24" s="1"/>
  <c r="BG69" i="24"/>
  <c r="BG76" i="24" s="1"/>
  <c r="BF69" i="24"/>
  <c r="BF76" i="24" s="1"/>
  <c r="BE69" i="24"/>
  <c r="BE76" i="24" s="1"/>
  <c r="BD69" i="24"/>
  <c r="BD76" i="24" s="1"/>
  <c r="BC69" i="24"/>
  <c r="BC76" i="24" s="1"/>
  <c r="BB69" i="24"/>
  <c r="BB76" i="24" s="1"/>
  <c r="BA69" i="24"/>
  <c r="BA76" i="24" s="1"/>
  <c r="AZ69" i="24"/>
  <c r="AZ76" i="24" s="1"/>
  <c r="AI69" i="24"/>
  <c r="BW68" i="24"/>
  <c r="BW75" i="24" s="1"/>
  <c r="BV68" i="24"/>
  <c r="BV75" i="24" s="1"/>
  <c r="BU68" i="24"/>
  <c r="BU75" i="24" s="1"/>
  <c r="BT68" i="24"/>
  <c r="BT75" i="24" s="1"/>
  <c r="BS68" i="24"/>
  <c r="BS75" i="24" s="1"/>
  <c r="BR68" i="24"/>
  <c r="BR75" i="24" s="1"/>
  <c r="BQ68" i="24"/>
  <c r="BQ75" i="24" s="1"/>
  <c r="BP68" i="24"/>
  <c r="BP75" i="24" s="1"/>
  <c r="BO68" i="24"/>
  <c r="BO75" i="24" s="1"/>
  <c r="BN68" i="24"/>
  <c r="BN75" i="24" s="1"/>
  <c r="BM68" i="24"/>
  <c r="BM75" i="24" s="1"/>
  <c r="BL68" i="24"/>
  <c r="BL75" i="24" s="1"/>
  <c r="BK68" i="24"/>
  <c r="BK75" i="24" s="1"/>
  <c r="BJ68" i="24"/>
  <c r="BJ75" i="24" s="1"/>
  <c r="BI68" i="24"/>
  <c r="BI75" i="24" s="1"/>
  <c r="BH68" i="24"/>
  <c r="BH75" i="24" s="1"/>
  <c r="BG68" i="24"/>
  <c r="BG75" i="24" s="1"/>
  <c r="BF68" i="24"/>
  <c r="BF75" i="24" s="1"/>
  <c r="BE68" i="24"/>
  <c r="BD68" i="24"/>
  <c r="BD75" i="24" s="1"/>
  <c r="BC68" i="24"/>
  <c r="BC75" i="24" s="1"/>
  <c r="BB68" i="24"/>
  <c r="BB75" i="24" s="1"/>
  <c r="BA68" i="24"/>
  <c r="BA75" i="24" s="1"/>
  <c r="AZ68" i="24"/>
  <c r="AZ75" i="24" s="1"/>
  <c r="AI68" i="24"/>
  <c r="AI67" i="24"/>
  <c r="AI66" i="24"/>
  <c r="AI65" i="24"/>
  <c r="AI64" i="24"/>
  <c r="AI63" i="24"/>
  <c r="AG62" i="24"/>
  <c r="AF62" i="24"/>
  <c r="BJ17" i="24" s="1"/>
  <c r="AE62" i="24"/>
  <c r="BI17" i="24" s="1"/>
  <c r="AD62" i="24"/>
  <c r="BH17" i="24" s="1"/>
  <c r="AC62" i="24"/>
  <c r="AB62" i="24"/>
  <c r="BF17" i="24"/>
  <c r="V62" i="24"/>
  <c r="BD17" i="24" s="1"/>
  <c r="U62" i="24"/>
  <c r="T62" i="24"/>
  <c r="BB17" i="24" s="1"/>
  <c r="S62" i="24"/>
  <c r="BA17" i="24" s="1"/>
  <c r="R62" i="24"/>
  <c r="AZ17" i="24" s="1"/>
  <c r="Q62" i="24"/>
  <c r="AY17" i="24" s="1"/>
  <c r="P62" i="24"/>
  <c r="AX17" i="24" s="1"/>
  <c r="O62" i="24"/>
  <c r="AW17" i="24" s="1"/>
  <c r="N62" i="24"/>
  <c r="AV17" i="24" s="1"/>
  <c r="L62" i="24"/>
  <c r="K62" i="24"/>
  <c r="AT17" i="24" s="1"/>
  <c r="J62" i="24"/>
  <c r="AS17" i="24"/>
  <c r="H62" i="24"/>
  <c r="G62" i="24"/>
  <c r="AR17" i="24" s="1"/>
  <c r="F62" i="24"/>
  <c r="E62" i="24"/>
  <c r="AP17" i="24" s="1"/>
  <c r="D62" i="24"/>
  <c r="AO17" i="24" s="1"/>
  <c r="C62" i="24"/>
  <c r="B62" i="24"/>
  <c r="AM17" i="24" s="1"/>
  <c r="AI61" i="24"/>
  <c r="AI60" i="24"/>
  <c r="AI59" i="24"/>
  <c r="AG58" i="24"/>
  <c r="AG97" i="24" s="1"/>
  <c r="AF58" i="24"/>
  <c r="AE58" i="24"/>
  <c r="AD58" i="24"/>
  <c r="AC58" i="24"/>
  <c r="AB58" i="24"/>
  <c r="AA7" i="24"/>
  <c r="BF16" i="24"/>
  <c r="Y7" i="24"/>
  <c r="V58" i="24"/>
  <c r="U58" i="24"/>
  <c r="T58" i="24"/>
  <c r="S58" i="24"/>
  <c r="BA16" i="24" s="1"/>
  <c r="R58" i="24"/>
  <c r="Q58" i="24"/>
  <c r="AY16" i="24" s="1"/>
  <c r="P58" i="24"/>
  <c r="O58" i="24"/>
  <c r="AW16" i="24" s="1"/>
  <c r="N58" i="24"/>
  <c r="AV16" i="24" s="1"/>
  <c r="L58" i="24"/>
  <c r="K58" i="24"/>
  <c r="J58" i="24"/>
  <c r="I58" i="24"/>
  <c r="H58" i="24"/>
  <c r="G58" i="24"/>
  <c r="AR16" i="24" s="1"/>
  <c r="F58" i="24"/>
  <c r="AQ16" i="24" s="1"/>
  <c r="E58" i="24"/>
  <c r="AP16" i="24" s="1"/>
  <c r="D58" i="24"/>
  <c r="C58" i="24"/>
  <c r="B58" i="24"/>
  <c r="AI57" i="24"/>
  <c r="AI56" i="24"/>
  <c r="AI55" i="24"/>
  <c r="AI54" i="24"/>
  <c r="AI53" i="24"/>
  <c r="AI52" i="24"/>
  <c r="AI51" i="24"/>
  <c r="AI50" i="24"/>
  <c r="AI49" i="24"/>
  <c r="AI48" i="24"/>
  <c r="AI47" i="24"/>
  <c r="AI46" i="24"/>
  <c r="AI45" i="24"/>
  <c r="AI44" i="24"/>
  <c r="AI43" i="24"/>
  <c r="AI42" i="24"/>
  <c r="AI41" i="24"/>
  <c r="AI40" i="24"/>
  <c r="AI39" i="24"/>
  <c r="AI38" i="24"/>
  <c r="AI37" i="24"/>
  <c r="AI36" i="24"/>
  <c r="AI35" i="24"/>
  <c r="AI34" i="24"/>
  <c r="AI33" i="24"/>
  <c r="AI32" i="24"/>
  <c r="AI31" i="24"/>
  <c r="AI30" i="24"/>
  <c r="AI29" i="24"/>
  <c r="AI28" i="24"/>
  <c r="AI27" i="24"/>
  <c r="AI26" i="24"/>
  <c r="AI25" i="24"/>
  <c r="AI24" i="24"/>
  <c r="AT23" i="24"/>
  <c r="AI23" i="24"/>
  <c r="AI22" i="24"/>
  <c r="BJ21" i="24"/>
  <c r="BI21" i="24"/>
  <c r="BH21" i="24"/>
  <c r="BG21" i="24"/>
  <c r="BF21" i="24"/>
  <c r="BE21" i="24"/>
  <c r="BD21" i="24"/>
  <c r="BC21" i="24"/>
  <c r="BB21" i="24"/>
  <c r="BA21" i="24"/>
  <c r="AZ21" i="24"/>
  <c r="AY21" i="24"/>
  <c r="AX21" i="24"/>
  <c r="AW21" i="24"/>
  <c r="AV21" i="24"/>
  <c r="AU21" i="24"/>
  <c r="AT21" i="24"/>
  <c r="AS21" i="24"/>
  <c r="AR21" i="24"/>
  <c r="AQ21" i="24"/>
  <c r="AP21" i="24"/>
  <c r="AO21" i="24"/>
  <c r="AN21" i="24"/>
  <c r="AM21" i="24"/>
  <c r="AI21" i="24"/>
  <c r="BJ20" i="24"/>
  <c r="BF20" i="24"/>
  <c r="BE20" i="24"/>
  <c r="BC20" i="24"/>
  <c r="BA20" i="24"/>
  <c r="AY20" i="24"/>
  <c r="AX20" i="24"/>
  <c r="AV20" i="24"/>
  <c r="AU20" i="24"/>
  <c r="AS20" i="24"/>
  <c r="AQ20" i="24"/>
  <c r="AO20" i="24"/>
  <c r="AM20" i="24"/>
  <c r="AI20" i="24"/>
  <c r="BI19" i="24"/>
  <c r="BF19" i="24"/>
  <c r="BE19" i="24"/>
  <c r="AU19" i="24"/>
  <c r="AR19" i="24"/>
  <c r="AN19" i="24"/>
  <c r="AI19" i="24"/>
  <c r="BJ18" i="24"/>
  <c r="BI18" i="24"/>
  <c r="BH18" i="24"/>
  <c r="BG18" i="24"/>
  <c r="BF18" i="24"/>
  <c r="BE18" i="24"/>
  <c r="BC18" i="24"/>
  <c r="BB18" i="24"/>
  <c r="AY18" i="24"/>
  <c r="AW18" i="24"/>
  <c r="AT18" i="24"/>
  <c r="AR18" i="24"/>
  <c r="AQ18" i="24"/>
  <c r="AI18" i="24"/>
  <c r="BG17" i="24"/>
  <c r="BE17" i="24"/>
  <c r="BC17" i="24"/>
  <c r="AU17" i="24"/>
  <c r="AQ17" i="24"/>
  <c r="AN17" i="24"/>
  <c r="AI17" i="24"/>
  <c r="BI16" i="24"/>
  <c r="BG16" i="24"/>
  <c r="BE16" i="24"/>
  <c r="BD16" i="24"/>
  <c r="BC16" i="24"/>
  <c r="AI16" i="24"/>
  <c r="AI15" i="24"/>
  <c r="AI14" i="24"/>
  <c r="AI13" i="24"/>
  <c r="AL12" i="24"/>
  <c r="AI12" i="24"/>
  <c r="AI11" i="24"/>
  <c r="AF5" i="24"/>
  <c r="Z5" i="24"/>
  <c r="Y5" i="24"/>
  <c r="X5" i="24"/>
  <c r="W5" i="24"/>
  <c r="Q5" i="24"/>
  <c r="L5" i="24"/>
  <c r="H5" i="24"/>
  <c r="B5" i="24"/>
  <c r="AG4" i="24"/>
  <c r="K4" i="24"/>
  <c r="E4" i="24"/>
  <c r="H4" i="24" s="1"/>
  <c r="B4" i="24"/>
  <c r="D258" i="24" s="1"/>
  <c r="AF57" i="23"/>
  <c r="AE57" i="23"/>
  <c r="AD57" i="23"/>
  <c r="AC57" i="23"/>
  <c r="AA58" i="23"/>
  <c r="AA62" i="23"/>
  <c r="AA76" i="23"/>
  <c r="AA80" i="23"/>
  <c r="AA92" i="23"/>
  <c r="AA101" i="23"/>
  <c r="AA102" i="23"/>
  <c r="AA103" i="23"/>
  <c r="AA104" i="23"/>
  <c r="AA107" i="23" s="1"/>
  <c r="AA105" i="23"/>
  <c r="AA118" i="23"/>
  <c r="Z118" i="23"/>
  <c r="Z105" i="23"/>
  <c r="Z104" i="23"/>
  <c r="Z103" i="23"/>
  <c r="Z102" i="23"/>
  <c r="Z101" i="23"/>
  <c r="Z107" i="23" s="1"/>
  <c r="Z92" i="23"/>
  <c r="Z108" i="23" s="1"/>
  <c r="Z80" i="23"/>
  <c r="Z76" i="23"/>
  <c r="Z62" i="23"/>
  <c r="Z58" i="23"/>
  <c r="Z97" i="23" s="1"/>
  <c r="Z99" i="23" s="1"/>
  <c r="Y58" i="23"/>
  <c r="Y62" i="23"/>
  <c r="Y76" i="23"/>
  <c r="Y80" i="23"/>
  <c r="Y92" i="23"/>
  <c r="Y101" i="23"/>
  <c r="Y102" i="23"/>
  <c r="Y103" i="23"/>
  <c r="Y104" i="23"/>
  <c r="Y105" i="23"/>
  <c r="Y118" i="23"/>
  <c r="X58" i="23"/>
  <c r="X62" i="23"/>
  <c r="X76" i="23"/>
  <c r="X80" i="23"/>
  <c r="X92" i="23"/>
  <c r="X101" i="23"/>
  <c r="X102" i="23"/>
  <c r="X103" i="23"/>
  <c r="X104" i="23"/>
  <c r="X105" i="23"/>
  <c r="X118" i="23"/>
  <c r="BJ19" i="24" l="1"/>
  <c r="AE107" i="24"/>
  <c r="BI23" i="24" s="1"/>
  <c r="BI22" i="24"/>
  <c r="BI24" i="24" s="1"/>
  <c r="AB107" i="24"/>
  <c r="BG23" i="24" s="1"/>
  <c r="AA5" i="24"/>
  <c r="AB97" i="24"/>
  <c r="AB99" i="24" s="1"/>
  <c r="AB100" i="24" s="1"/>
  <c r="AB7" i="24" s="1"/>
  <c r="BG22" i="24"/>
  <c r="BG24" i="24" s="1"/>
  <c r="BF22" i="24"/>
  <c r="BF24" i="24" s="1"/>
  <c r="BE22" i="24"/>
  <c r="T5" i="24"/>
  <c r="BC22" i="24"/>
  <c r="S5" i="24"/>
  <c r="BA19" i="24"/>
  <c r="BA22" i="24" s="1"/>
  <c r="S107" i="24"/>
  <c r="S97" i="24"/>
  <c r="S99" i="24" s="1"/>
  <c r="S100" i="24" s="1"/>
  <c r="S7" i="24" s="1"/>
  <c r="R107" i="24"/>
  <c r="AZ23" i="24" s="1"/>
  <c r="Q107" i="24"/>
  <c r="Q108" i="24" s="1"/>
  <c r="AY23" i="24"/>
  <c r="P5" i="24"/>
  <c r="O5" i="24"/>
  <c r="P97" i="24"/>
  <c r="P99" i="24" s="1"/>
  <c r="O107" i="24"/>
  <c r="AW23" i="24" s="1"/>
  <c r="AU22" i="24"/>
  <c r="L107" i="24"/>
  <c r="L97" i="24"/>
  <c r="L99" i="24" s="1"/>
  <c r="L100" i="24" s="1"/>
  <c r="L7" i="24" s="1"/>
  <c r="J5" i="24"/>
  <c r="AT19" i="24"/>
  <c r="J107" i="24"/>
  <c r="J97" i="24"/>
  <c r="J99" i="24" s="1"/>
  <c r="J100" i="24" s="1"/>
  <c r="J7" i="24" s="1"/>
  <c r="G108" i="24"/>
  <c r="AP19" i="24"/>
  <c r="AP22" i="24" s="1"/>
  <c r="I97" i="24"/>
  <c r="I99" i="24" s="1"/>
  <c r="I100" i="24" s="1"/>
  <c r="I7" i="24" s="1"/>
  <c r="H97" i="24"/>
  <c r="H99" i="24" s="1"/>
  <c r="AR22" i="24"/>
  <c r="AR24" i="24" s="1"/>
  <c r="AI103" i="24"/>
  <c r="D107" i="24"/>
  <c r="AO23" i="24" s="1"/>
  <c r="C5" i="24"/>
  <c r="D97" i="24"/>
  <c r="D99" i="24" s="1"/>
  <c r="D100" i="24" s="1"/>
  <c r="D7" i="24" s="1"/>
  <c r="C107" i="24"/>
  <c r="AN23" i="24" s="1"/>
  <c r="C97" i="24"/>
  <c r="C99" i="24" s="1"/>
  <c r="C100" i="24" s="1"/>
  <c r="C7" i="24" s="1"/>
  <c r="AM18" i="24"/>
  <c r="B97" i="24"/>
  <c r="AY22" i="24"/>
  <c r="AY24" i="24" s="1"/>
  <c r="T97" i="24"/>
  <c r="T99" i="24" s="1"/>
  <c r="T100" i="24" s="1"/>
  <c r="T7" i="24" s="1"/>
  <c r="BB16" i="24"/>
  <c r="BB22" i="24" s="1"/>
  <c r="BB24" i="24" s="1"/>
  <c r="BD19" i="24"/>
  <c r="BD22" i="24" s="1"/>
  <c r="BE23" i="24"/>
  <c r="BE24" i="24" s="1"/>
  <c r="AI62" i="24"/>
  <c r="Z7" i="24"/>
  <c r="AG2" i="24"/>
  <c r="AG6" i="24" s="1"/>
  <c r="AL13" i="24"/>
  <c r="AN16" i="24"/>
  <c r="AI76" i="24"/>
  <c r="AO16" i="24"/>
  <c r="AO22" i="24" s="1"/>
  <c r="AO24" i="24" s="1"/>
  <c r="AX16" i="24"/>
  <c r="AX22" i="24" s="1"/>
  <c r="AW19" i="24"/>
  <c r="AW22" i="24" s="1"/>
  <c r="AW24" i="24" s="1"/>
  <c r="AI80" i="24"/>
  <c r="BG84" i="24" a="1"/>
  <c r="AI92" i="24"/>
  <c r="AC5" i="24"/>
  <c r="AD97" i="24"/>
  <c r="AD99" i="24" s="1"/>
  <c r="BH16" i="24"/>
  <c r="F5" i="24"/>
  <c r="N5" i="24"/>
  <c r="V5" i="24"/>
  <c r="BH19" i="24"/>
  <c r="O97" i="24"/>
  <c r="O99" i="24" s="1"/>
  <c r="O100" i="24" s="1"/>
  <c r="O7" i="24" s="1"/>
  <c r="AE97" i="24"/>
  <c r="AE99" i="24" s="1"/>
  <c r="AE100" i="24" s="1"/>
  <c r="AE7" i="24" s="1"/>
  <c r="G97" i="24"/>
  <c r="G99" i="24" s="1"/>
  <c r="E107" i="24"/>
  <c r="AP23" i="24" s="1"/>
  <c r="M107" i="24"/>
  <c r="AU23" i="24" s="1"/>
  <c r="AU24" i="24" s="1"/>
  <c r="U107" i="24"/>
  <c r="BC23" i="24" s="1"/>
  <c r="BC24" i="24" s="1"/>
  <c r="AC107" i="24"/>
  <c r="AC108" i="24" s="1"/>
  <c r="AS16" i="24"/>
  <c r="AS22" i="24" s="1"/>
  <c r="Q97" i="24"/>
  <c r="Q99" i="24" s="1"/>
  <c r="Q100" i="24" s="1"/>
  <c r="Q7" i="24" s="1"/>
  <c r="F108" i="24"/>
  <c r="AV19" i="24"/>
  <c r="AV22" i="24" s="1"/>
  <c r="B99" i="24"/>
  <c r="R97" i="24"/>
  <c r="R99" i="24" s="1"/>
  <c r="R100" i="24" s="1"/>
  <c r="R7" i="24" s="1"/>
  <c r="AZ16" i="24"/>
  <c r="AZ22" i="24" s="1"/>
  <c r="AZ24" i="24" s="1"/>
  <c r="H107" i="24"/>
  <c r="H108" i="24" s="1"/>
  <c r="P107" i="24"/>
  <c r="AX23" i="24" s="1"/>
  <c r="AF107" i="24"/>
  <c r="AM16" i="24"/>
  <c r="AM22" i="24" s="1"/>
  <c r="AT16" i="24"/>
  <c r="K97" i="24"/>
  <c r="K99" i="24" s="1"/>
  <c r="K7" i="24" s="1"/>
  <c r="AI58" i="24"/>
  <c r="AI102" i="24"/>
  <c r="E5" i="24"/>
  <c r="M5" i="24"/>
  <c r="U5" i="24"/>
  <c r="AS23" i="24"/>
  <c r="F97" i="24"/>
  <c r="F99" i="24" s="1"/>
  <c r="N97" i="24"/>
  <c r="N99" i="24" s="1"/>
  <c r="V97" i="24"/>
  <c r="V99" i="24" s="1"/>
  <c r="AQ19" i="24"/>
  <c r="AQ22" i="24" s="1"/>
  <c r="AQ24" i="24" s="1"/>
  <c r="AF97" i="24"/>
  <c r="AF99" i="24" s="1"/>
  <c r="BJ16" i="24"/>
  <c r="BJ22" i="24" s="1"/>
  <c r="F107" i="24"/>
  <c r="AQ23" i="24" s="1"/>
  <c r="N107" i="24"/>
  <c r="AV23" i="24" s="1"/>
  <c r="V107" i="24"/>
  <c r="BD23" i="24" s="1"/>
  <c r="AD107" i="24"/>
  <c r="BH23" i="24" s="1"/>
  <c r="AN18" i="24"/>
  <c r="E97" i="24"/>
  <c r="E99" i="24" s="1"/>
  <c r="M97" i="24"/>
  <c r="M99" i="24" s="1"/>
  <c r="M100" i="24" s="1"/>
  <c r="M7" i="24" s="1"/>
  <c r="U97" i="24"/>
  <c r="U99" i="24" s="1"/>
  <c r="AC97" i="24"/>
  <c r="AC99" i="24" s="1"/>
  <c r="J108" i="24"/>
  <c r="R108" i="24"/>
  <c r="AG99" i="24"/>
  <c r="H246" i="24"/>
  <c r="G252" i="24"/>
  <c r="G118" i="24"/>
  <c r="F252" i="24"/>
  <c r="AI101" i="24"/>
  <c r="AI105" i="24"/>
  <c r="D108" i="24"/>
  <c r="L108" i="24"/>
  <c r="T108" i="24"/>
  <c r="AB108" i="24"/>
  <c r="AI104" i="24"/>
  <c r="B107" i="24"/>
  <c r="B108" i="24" s="1"/>
  <c r="M108" i="24"/>
  <c r="AA108" i="23"/>
  <c r="AA97" i="23"/>
  <c r="AA99" i="23" s="1"/>
  <c r="AA100" i="23" s="1"/>
  <c r="Z100" i="23"/>
  <c r="Y107" i="23"/>
  <c r="Y108" i="23" s="1"/>
  <c r="Y97" i="23"/>
  <c r="Y99" i="23" s="1"/>
  <c r="Y100" i="23" s="1"/>
  <c r="X97" i="23"/>
  <c r="X99" i="23" s="1"/>
  <c r="X107" i="23"/>
  <c r="X108" i="23"/>
  <c r="AF100" i="24" l="1"/>
  <c r="AF7" i="24" s="1"/>
  <c r="AE108" i="24"/>
  <c r="AD100" i="24"/>
  <c r="AD7" i="24" s="1"/>
  <c r="AD108" i="24"/>
  <c r="AC100" i="24"/>
  <c r="AC7" i="24" s="1"/>
  <c r="BD24" i="24"/>
  <c r="U108" i="24"/>
  <c r="U100" i="24"/>
  <c r="U7" i="24" s="1"/>
  <c r="S108" i="24"/>
  <c r="BA23" i="24"/>
  <c r="BA24" i="24" s="1"/>
  <c r="P100" i="24"/>
  <c r="P7" i="24" s="1"/>
  <c r="P108" i="24"/>
  <c r="O108" i="24"/>
  <c r="N108" i="24"/>
  <c r="AT22" i="24"/>
  <c r="AT24" i="24" s="1"/>
  <c r="AS24" i="24"/>
  <c r="E108" i="24"/>
  <c r="E100" i="24"/>
  <c r="E7" i="24" s="1"/>
  <c r="AP24" i="24"/>
  <c r="AN22" i="24"/>
  <c r="AN24" i="24" s="1"/>
  <c r="C108" i="24"/>
  <c r="V100" i="24"/>
  <c r="V7" i="24" s="1"/>
  <c r="N100" i="24"/>
  <c r="N7" i="24" s="1"/>
  <c r="AI97" i="24"/>
  <c r="BJ107" i="24"/>
  <c r="BH106" i="24"/>
  <c r="BL104" i="24"/>
  <c r="BJ103" i="24"/>
  <c r="BH102" i="24"/>
  <c r="BL100" i="24"/>
  <c r="BJ99" i="24"/>
  <c r="BH98" i="24"/>
  <c r="BL96" i="24"/>
  <c r="BJ95" i="24"/>
  <c r="BH94" i="24"/>
  <c r="BL92" i="24"/>
  <c r="BJ91" i="24"/>
  <c r="BH90" i="24"/>
  <c r="BL88" i="24"/>
  <c r="BJ87" i="24"/>
  <c r="BH86" i="24"/>
  <c r="BL84" i="24"/>
  <c r="BK106" i="24"/>
  <c r="BI105" i="24"/>
  <c r="BG104" i="24"/>
  <c r="BK102" i="24"/>
  <c r="BI101" i="24"/>
  <c r="BG100" i="24"/>
  <c r="BK98" i="24"/>
  <c r="BI97" i="24"/>
  <c r="BG96" i="24"/>
  <c r="BK94" i="24"/>
  <c r="BI93" i="24"/>
  <c r="BG92" i="24"/>
  <c r="BK90" i="24"/>
  <c r="BI89" i="24"/>
  <c r="BG88" i="24"/>
  <c r="BK86" i="24"/>
  <c r="BI85" i="24"/>
  <c r="BG84" i="24"/>
  <c r="BJ106" i="24"/>
  <c r="BK104" i="24"/>
  <c r="BG103" i="24"/>
  <c r="BH101" i="24"/>
  <c r="BI99" i="24"/>
  <c r="BK97" i="24"/>
  <c r="BL95" i="24"/>
  <c r="BG94" i="24"/>
  <c r="BI92" i="24"/>
  <c r="BJ90" i="24"/>
  <c r="BK88" i="24"/>
  <c r="BG87" i="24"/>
  <c r="BH85" i="24"/>
  <c r="BI106" i="24"/>
  <c r="BJ104" i="24"/>
  <c r="BL102" i="24"/>
  <c r="BG101" i="24"/>
  <c r="BH99" i="24"/>
  <c r="BJ97" i="24"/>
  <c r="BK95" i="24"/>
  <c r="BL93" i="24"/>
  <c r="BH92" i="24"/>
  <c r="BI90" i="24"/>
  <c r="BJ88" i="24"/>
  <c r="BL86" i="24"/>
  <c r="BG85" i="24"/>
  <c r="BL107" i="24"/>
  <c r="BG106" i="24"/>
  <c r="BI104" i="24"/>
  <c r="BJ102" i="24"/>
  <c r="BK100" i="24"/>
  <c r="BG99" i="24"/>
  <c r="BH97" i="24"/>
  <c r="BI95" i="24"/>
  <c r="BK93" i="24"/>
  <c r="BL91" i="24"/>
  <c r="BG90" i="24"/>
  <c r="BI88" i="24"/>
  <c r="BJ86" i="24"/>
  <c r="BK84" i="24"/>
  <c r="BK107" i="24"/>
  <c r="BL105" i="24"/>
  <c r="BH104" i="24"/>
  <c r="BI102" i="24"/>
  <c r="BJ100" i="24"/>
  <c r="BL98" i="24"/>
  <c r="BG97" i="24"/>
  <c r="BH95" i="24"/>
  <c r="BJ93" i="24"/>
  <c r="BK91" i="24"/>
  <c r="BL89" i="24"/>
  <c r="BH88" i="24"/>
  <c r="BI86" i="24"/>
  <c r="BJ84" i="24"/>
  <c r="BH107" i="24"/>
  <c r="BJ105" i="24"/>
  <c r="BK103" i="24"/>
  <c r="BL101" i="24"/>
  <c r="BH100" i="24"/>
  <c r="BI98" i="24"/>
  <c r="BJ96" i="24"/>
  <c r="BL94" i="24"/>
  <c r="BG93" i="24"/>
  <c r="BH91" i="24"/>
  <c r="BJ89" i="24"/>
  <c r="BK87" i="24"/>
  <c r="BL85" i="24"/>
  <c r="BH84" i="24"/>
  <c r="BL103" i="24"/>
  <c r="BK99" i="24"/>
  <c r="BJ94" i="24"/>
  <c r="BK89" i="24"/>
  <c r="BJ85" i="24"/>
  <c r="BK105" i="24"/>
  <c r="BI96" i="24"/>
  <c r="BI91" i="24"/>
  <c r="BG91" i="24"/>
  <c r="BL99" i="24"/>
  <c r="BK85" i="24"/>
  <c r="BI103" i="24"/>
  <c r="BJ98" i="24"/>
  <c r="BI94" i="24"/>
  <c r="BH89" i="24"/>
  <c r="BI84" i="24"/>
  <c r="BI107" i="24"/>
  <c r="BH103" i="24"/>
  <c r="BG98" i="24"/>
  <c r="BH93" i="24"/>
  <c r="BG89" i="24"/>
  <c r="BH105" i="24"/>
  <c r="BG107" i="24"/>
  <c r="BG102" i="24"/>
  <c r="BL97" i="24"/>
  <c r="BK92" i="24"/>
  <c r="BL87" i="24"/>
  <c r="BJ101" i="24"/>
  <c r="BH87" i="24"/>
  <c r="BI100" i="24"/>
  <c r="BH96" i="24"/>
  <c r="BG86" i="24"/>
  <c r="BG105" i="24"/>
  <c r="BG95" i="24"/>
  <c r="BL90" i="24"/>
  <c r="BL106" i="24"/>
  <c r="BK101" i="24"/>
  <c r="BK96" i="24"/>
  <c r="BJ92" i="24"/>
  <c r="BI87" i="24"/>
  <c r="V108" i="24"/>
  <c r="I246" i="24"/>
  <c r="H252" i="24"/>
  <c r="H118" i="24"/>
  <c r="AF108" i="24"/>
  <c r="BJ23" i="24"/>
  <c r="BJ24" i="24" s="1"/>
  <c r="B100" i="24"/>
  <c r="AI99" i="24"/>
  <c r="C256" i="24"/>
  <c r="G100" i="24"/>
  <c r="G7" i="24" s="1"/>
  <c r="B256" i="24"/>
  <c r="AV24" i="24"/>
  <c r="F100" i="24"/>
  <c r="F7" i="24" s="1"/>
  <c r="AI107" i="24"/>
  <c r="AM23" i="24"/>
  <c r="AM24" i="24" s="1"/>
  <c r="X7" i="24"/>
  <c r="H100" i="24"/>
  <c r="H7" i="24" s="1"/>
  <c r="BH22" i="24"/>
  <c r="BH24" i="24" s="1"/>
  <c r="AX24" i="24"/>
  <c r="X100" i="23"/>
  <c r="AI108" i="24" l="1"/>
  <c r="AT9" i="24"/>
  <c r="I252" i="24"/>
  <c r="I118" i="24"/>
  <c r="J246" i="24"/>
  <c r="AI100" i="24"/>
  <c r="B7" i="24"/>
  <c r="A7" i="24" s="1"/>
  <c r="K6" i="24"/>
  <c r="AT8" i="24"/>
  <c r="J252" i="24" l="1"/>
  <c r="J118" i="24"/>
  <c r="K246" i="24"/>
  <c r="W58" i="23"/>
  <c r="W62" i="23"/>
  <c r="W76" i="23"/>
  <c r="W80" i="23"/>
  <c r="W92" i="23"/>
  <c r="W101" i="23"/>
  <c r="W102" i="23"/>
  <c r="W103" i="23"/>
  <c r="W104" i="23"/>
  <c r="W105" i="23"/>
  <c r="W118" i="23"/>
  <c r="V58" i="23"/>
  <c r="V62" i="23"/>
  <c r="V76" i="23"/>
  <c r="V80" i="23"/>
  <c r="V92" i="23"/>
  <c r="V101" i="23"/>
  <c r="V102" i="23"/>
  <c r="V103" i="23"/>
  <c r="V104" i="23"/>
  <c r="V105" i="23"/>
  <c r="V118" i="23"/>
  <c r="U58" i="23"/>
  <c r="U62" i="23"/>
  <c r="U76" i="23"/>
  <c r="U80" i="23"/>
  <c r="U92" i="23"/>
  <c r="U101" i="23"/>
  <c r="U102" i="23"/>
  <c r="U103" i="23"/>
  <c r="U104" i="23"/>
  <c r="U105" i="23"/>
  <c r="U118" i="23"/>
  <c r="K252" i="24" l="1"/>
  <c r="K118" i="24"/>
  <c r="L246" i="24"/>
  <c r="W107" i="23"/>
  <c r="W108" i="23" s="1"/>
  <c r="W97" i="23"/>
  <c r="W99" i="23" s="1"/>
  <c r="W100" i="23" s="1"/>
  <c r="V97" i="23"/>
  <c r="V99" i="23" s="1"/>
  <c r="V107" i="23"/>
  <c r="V108" i="23" s="1"/>
  <c r="U107" i="23"/>
  <c r="U108" i="23" s="1"/>
  <c r="U97" i="23"/>
  <c r="U99" i="23" s="1"/>
  <c r="L252" i="24" l="1"/>
  <c r="L118" i="24"/>
  <c r="M246" i="24"/>
  <c r="V100" i="23"/>
  <c r="U100" i="23"/>
  <c r="T58" i="23"/>
  <c r="T62" i="23"/>
  <c r="T76" i="23"/>
  <c r="T80" i="23"/>
  <c r="T92" i="23"/>
  <c r="T101" i="23"/>
  <c r="T102" i="23"/>
  <c r="T103" i="23"/>
  <c r="T104" i="23"/>
  <c r="T105" i="23"/>
  <c r="T118" i="23"/>
  <c r="S62" i="23"/>
  <c r="S76" i="23"/>
  <c r="S80" i="23"/>
  <c r="S92" i="23"/>
  <c r="S101" i="23"/>
  <c r="S102" i="23"/>
  <c r="S103" i="23"/>
  <c r="S104" i="23"/>
  <c r="S105" i="23"/>
  <c r="S118" i="23"/>
  <c r="N246" i="24" l="1"/>
  <c r="M252" i="24"/>
  <c r="M118" i="24"/>
  <c r="T97" i="23"/>
  <c r="T99" i="23" s="1"/>
  <c r="T107" i="23"/>
  <c r="S97" i="23"/>
  <c r="S99" i="23" s="1"/>
  <c r="S107" i="23"/>
  <c r="Q58" i="23"/>
  <c r="Q76" i="23"/>
  <c r="Q80" i="23"/>
  <c r="O246" i="24" l="1"/>
  <c r="N252" i="24"/>
  <c r="N118" i="24"/>
  <c r="T100" i="23"/>
  <c r="T108" i="23"/>
  <c r="S100" i="23"/>
  <c r="S108" i="23"/>
  <c r="P246" i="24" l="1"/>
  <c r="O252" i="24"/>
  <c r="O118" i="24"/>
  <c r="AH125" i="23"/>
  <c r="AI125" i="23"/>
  <c r="AH124" i="23"/>
  <c r="AI124" i="23"/>
  <c r="D58" i="23"/>
  <c r="D62" i="23"/>
  <c r="D76" i="23"/>
  <c r="D80" i="23"/>
  <c r="D92" i="23"/>
  <c r="D108" i="23" s="1"/>
  <c r="D101" i="23"/>
  <c r="D102" i="23"/>
  <c r="D103" i="23"/>
  <c r="D104" i="23"/>
  <c r="D105" i="23"/>
  <c r="D118" i="23"/>
  <c r="C58" i="23"/>
  <c r="C62" i="23"/>
  <c r="C76" i="23"/>
  <c r="C80" i="23"/>
  <c r="C92" i="23"/>
  <c r="C108" i="23" s="1"/>
  <c r="C101" i="23"/>
  <c r="C102" i="23"/>
  <c r="C103" i="23"/>
  <c r="C104" i="23"/>
  <c r="C105" i="23"/>
  <c r="C118" i="23"/>
  <c r="AA244" i="23"/>
  <c r="B118" i="23"/>
  <c r="B105" i="23"/>
  <c r="B104" i="23"/>
  <c r="B103" i="23"/>
  <c r="B102" i="23"/>
  <c r="B101" i="23"/>
  <c r="B92" i="23"/>
  <c r="B108" i="23" s="1"/>
  <c r="B80" i="23"/>
  <c r="B76" i="23"/>
  <c r="AM18" i="23" s="1"/>
  <c r="B62" i="23"/>
  <c r="B58" i="23"/>
  <c r="AG252" i="23"/>
  <c r="C252" i="23"/>
  <c r="D251" i="23"/>
  <c r="J250" i="23"/>
  <c r="K250" i="23" s="1"/>
  <c r="L250" i="23" s="1"/>
  <c r="M250" i="23" s="1"/>
  <c r="N250" i="23" s="1"/>
  <c r="O250" i="23" s="1"/>
  <c r="P250" i="23" s="1"/>
  <c r="Q250" i="23" s="1"/>
  <c r="R250" i="23" s="1"/>
  <c r="S250" i="23" s="1"/>
  <c r="T250" i="23" s="1"/>
  <c r="U250" i="23" s="1"/>
  <c r="V250" i="23" s="1"/>
  <c r="W250" i="23" s="1"/>
  <c r="X250" i="23" s="1"/>
  <c r="Y250" i="23" s="1"/>
  <c r="Z250" i="23" s="1"/>
  <c r="AA250" i="23" s="1"/>
  <c r="AB250" i="23" s="1"/>
  <c r="AC250" i="23" s="1"/>
  <c r="AD250" i="23" s="1"/>
  <c r="AE250" i="23" s="1"/>
  <c r="AF250" i="23" s="1"/>
  <c r="B250" i="23" s="1"/>
  <c r="D250" i="23"/>
  <c r="E250" i="23" s="1"/>
  <c r="F250" i="23" s="1"/>
  <c r="G250" i="23" s="1"/>
  <c r="H250" i="23" s="1"/>
  <c r="I250" i="23" s="1"/>
  <c r="H249" i="23"/>
  <c r="I249" i="23" s="1"/>
  <c r="J249" i="23" s="1"/>
  <c r="K249" i="23" s="1"/>
  <c r="L249" i="23" s="1"/>
  <c r="M249" i="23" s="1"/>
  <c r="N249" i="23" s="1"/>
  <c r="O249" i="23" s="1"/>
  <c r="P249" i="23" s="1"/>
  <c r="Q249" i="23" s="1"/>
  <c r="R249" i="23" s="1"/>
  <c r="S249" i="23" s="1"/>
  <c r="T249" i="23" s="1"/>
  <c r="U249" i="23" s="1"/>
  <c r="V249" i="23" s="1"/>
  <c r="W249" i="23" s="1"/>
  <c r="X249" i="23" s="1"/>
  <c r="Y249" i="23" s="1"/>
  <c r="Z249" i="23" s="1"/>
  <c r="AA249" i="23" s="1"/>
  <c r="AB249" i="23" s="1"/>
  <c r="AC249" i="23" s="1"/>
  <c r="AD249" i="23" s="1"/>
  <c r="AE249" i="23" s="1"/>
  <c r="AF249" i="23" s="1"/>
  <c r="B249" i="23" s="1"/>
  <c r="D249" i="23"/>
  <c r="E249" i="23" s="1"/>
  <c r="F249" i="23" s="1"/>
  <c r="G249" i="23" s="1"/>
  <c r="F248" i="23"/>
  <c r="G248" i="23" s="1"/>
  <c r="H248" i="23" s="1"/>
  <c r="I248" i="23" s="1"/>
  <c r="J248" i="23" s="1"/>
  <c r="K248" i="23" s="1"/>
  <c r="L248" i="23" s="1"/>
  <c r="M248" i="23" s="1"/>
  <c r="N248" i="23" s="1"/>
  <c r="O248" i="23" s="1"/>
  <c r="P248" i="23" s="1"/>
  <c r="Q248" i="23" s="1"/>
  <c r="R248" i="23" s="1"/>
  <c r="S248" i="23" s="1"/>
  <c r="T248" i="23" s="1"/>
  <c r="U248" i="23" s="1"/>
  <c r="V248" i="23" s="1"/>
  <c r="W248" i="23" s="1"/>
  <c r="X248" i="23" s="1"/>
  <c r="Y248" i="23" s="1"/>
  <c r="Z248" i="23" s="1"/>
  <c r="AA248" i="23" s="1"/>
  <c r="AB248" i="23" s="1"/>
  <c r="AC248" i="23" s="1"/>
  <c r="AD248" i="23" s="1"/>
  <c r="AE248" i="23" s="1"/>
  <c r="AF248" i="23" s="1"/>
  <c r="B248" i="23" s="1"/>
  <c r="D248" i="23"/>
  <c r="E248" i="23" s="1"/>
  <c r="D247" i="23"/>
  <c r="E247" i="23" s="1"/>
  <c r="F247" i="23" s="1"/>
  <c r="G247" i="23" s="1"/>
  <c r="H247" i="23" s="1"/>
  <c r="I247" i="23" s="1"/>
  <c r="J247" i="23" s="1"/>
  <c r="K247" i="23" s="1"/>
  <c r="L247" i="23" s="1"/>
  <c r="M247" i="23" s="1"/>
  <c r="N247" i="23" s="1"/>
  <c r="O247" i="23" s="1"/>
  <c r="P247" i="23" s="1"/>
  <c r="Q247" i="23" s="1"/>
  <c r="R247" i="23" s="1"/>
  <c r="S247" i="23" s="1"/>
  <c r="T247" i="23" s="1"/>
  <c r="U247" i="23" s="1"/>
  <c r="V247" i="23" s="1"/>
  <c r="W247" i="23" s="1"/>
  <c r="X247" i="23" s="1"/>
  <c r="Y247" i="23" s="1"/>
  <c r="Z247" i="23" s="1"/>
  <c r="AA247" i="23" s="1"/>
  <c r="AB247" i="23" s="1"/>
  <c r="AC247" i="23" s="1"/>
  <c r="AD247" i="23" s="1"/>
  <c r="AE247" i="23" s="1"/>
  <c r="AF247" i="23" s="1"/>
  <c r="B247" i="23" s="1"/>
  <c r="D246" i="23"/>
  <c r="D252" i="23" s="1"/>
  <c r="AG244" i="23"/>
  <c r="AF244" i="23"/>
  <c r="AE244" i="23"/>
  <c r="AD244" i="23"/>
  <c r="AC244" i="23"/>
  <c r="AB244" i="23"/>
  <c r="Z244" i="23"/>
  <c r="Y244" i="23"/>
  <c r="X244" i="23"/>
  <c r="W244" i="23"/>
  <c r="V244" i="23"/>
  <c r="U244" i="23"/>
  <c r="T244" i="23"/>
  <c r="S244" i="23"/>
  <c r="R244" i="23"/>
  <c r="Q244" i="23"/>
  <c r="P244" i="23"/>
  <c r="O244" i="23"/>
  <c r="N244" i="23"/>
  <c r="M244" i="23"/>
  <c r="L244" i="23"/>
  <c r="K244" i="23"/>
  <c r="J244" i="23"/>
  <c r="I244" i="23"/>
  <c r="H244" i="23"/>
  <c r="G244" i="23"/>
  <c r="F244" i="23"/>
  <c r="E244" i="23"/>
  <c r="D244" i="23"/>
  <c r="C244" i="23"/>
  <c r="B244" i="23"/>
  <c r="AI130" i="23"/>
  <c r="AH130" i="23"/>
  <c r="AI129" i="23"/>
  <c r="AH129" i="23"/>
  <c r="AI128" i="23"/>
  <c r="AH128" i="23"/>
  <c r="AI127" i="23"/>
  <c r="AH127" i="23"/>
  <c r="AI126" i="23"/>
  <c r="AH126" i="23"/>
  <c r="AI123" i="23"/>
  <c r="AH123" i="23"/>
  <c r="AI122" i="23"/>
  <c r="AH122" i="23"/>
  <c r="AI121" i="23"/>
  <c r="AH121" i="23"/>
  <c r="AI120" i="23"/>
  <c r="AH120" i="23"/>
  <c r="AI119" i="23"/>
  <c r="AH119" i="23"/>
  <c r="AI117" i="23"/>
  <c r="AH117" i="23"/>
  <c r="AI116" i="23"/>
  <c r="AH116" i="23"/>
  <c r="AI115" i="23"/>
  <c r="AH115" i="23"/>
  <c r="AI114" i="23"/>
  <c r="AH114" i="23"/>
  <c r="AI113" i="23"/>
  <c r="AH113" i="23"/>
  <c r="AI112" i="23"/>
  <c r="AH112" i="23"/>
  <c r="AI111" i="23"/>
  <c r="AH111" i="23"/>
  <c r="AI110" i="23"/>
  <c r="AH110" i="23"/>
  <c r="AI109" i="23"/>
  <c r="AH109" i="23"/>
  <c r="AI106" i="23"/>
  <c r="AH106" i="23"/>
  <c r="AF105" i="23"/>
  <c r="AE105" i="23"/>
  <c r="AD105" i="23"/>
  <c r="AC105" i="23"/>
  <c r="AB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AF104" i="23"/>
  <c r="AE104" i="23"/>
  <c r="AD104" i="23"/>
  <c r="AC104" i="23"/>
  <c r="AB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AF103" i="23"/>
  <c r="AE103" i="23"/>
  <c r="AD103" i="23"/>
  <c r="AC103" i="23"/>
  <c r="AB103" i="23"/>
  <c r="BF23" i="23"/>
  <c r="R103" i="23"/>
  <c r="Q103" i="23"/>
  <c r="P103" i="23"/>
  <c r="O103" i="23"/>
  <c r="N103" i="23"/>
  <c r="M103" i="23"/>
  <c r="L103" i="23"/>
  <c r="K103" i="23"/>
  <c r="J103" i="23"/>
  <c r="I103" i="23"/>
  <c r="H103" i="23"/>
  <c r="G103" i="23"/>
  <c r="F103" i="23"/>
  <c r="E103" i="23"/>
  <c r="AF102" i="23"/>
  <c r="AE102" i="23"/>
  <c r="AE107" i="23" s="1"/>
  <c r="BI23" i="23" s="1"/>
  <c r="AD102" i="23"/>
  <c r="AC102" i="23"/>
  <c r="AB102" i="23"/>
  <c r="R102" i="23"/>
  <c r="Q102" i="23"/>
  <c r="P102" i="23"/>
  <c r="O102" i="23"/>
  <c r="N102" i="23"/>
  <c r="M102" i="23"/>
  <c r="L102" i="23"/>
  <c r="K102" i="23"/>
  <c r="J102" i="23"/>
  <c r="I102" i="23"/>
  <c r="H102" i="23"/>
  <c r="G102" i="23"/>
  <c r="G107" i="23" s="1"/>
  <c r="AR23" i="23" s="1"/>
  <c r="F102" i="23"/>
  <c r="E102" i="23"/>
  <c r="AF101" i="23"/>
  <c r="AE101" i="23"/>
  <c r="AD101" i="23"/>
  <c r="AC101" i="23"/>
  <c r="AB101" i="23"/>
  <c r="BD23" i="23"/>
  <c r="R101" i="23"/>
  <c r="Q101" i="23"/>
  <c r="Q107" i="23" s="1"/>
  <c r="AY23" i="23" s="1"/>
  <c r="P101" i="23"/>
  <c r="O101" i="23"/>
  <c r="N101" i="23"/>
  <c r="N107" i="23" s="1"/>
  <c r="M101" i="23"/>
  <c r="L101" i="23"/>
  <c r="K101" i="23"/>
  <c r="J101" i="23"/>
  <c r="I101" i="23"/>
  <c r="H101" i="23"/>
  <c r="G101" i="23"/>
  <c r="F101" i="23"/>
  <c r="E101" i="23"/>
  <c r="AI98" i="23"/>
  <c r="AH98" i="23"/>
  <c r="AI96" i="23"/>
  <c r="AH96" i="23"/>
  <c r="AG96" i="23"/>
  <c r="AI95" i="23"/>
  <c r="AH95" i="23"/>
  <c r="AI94" i="23"/>
  <c r="AH94" i="23"/>
  <c r="AI93" i="23"/>
  <c r="AH93" i="23"/>
  <c r="AG92" i="23"/>
  <c r="AF92" i="23"/>
  <c r="BJ19" i="23" s="1"/>
  <c r="AE92" i="23"/>
  <c r="BI19" i="23" s="1"/>
  <c r="AD92" i="23"/>
  <c r="AC5" i="23" s="1"/>
  <c r="AC92" i="23"/>
  <c r="AB5" i="23" s="1"/>
  <c r="AB92" i="23"/>
  <c r="BG19" i="23" s="1"/>
  <c r="BF19" i="23"/>
  <c r="W5" i="23"/>
  <c r="R92" i="23"/>
  <c r="Q5" i="23" s="1"/>
  <c r="Q92" i="23"/>
  <c r="AY19" i="23" s="1"/>
  <c r="P92" i="23"/>
  <c r="O5" i="23" s="1"/>
  <c r="O92" i="23"/>
  <c r="N5" i="23" s="1"/>
  <c r="N92" i="23"/>
  <c r="N108" i="23" s="1"/>
  <c r="M92" i="23"/>
  <c r="AU19" i="23" s="1"/>
  <c r="L92" i="23"/>
  <c r="K5" i="23" s="1"/>
  <c r="K92" i="23"/>
  <c r="J5" i="23" s="1"/>
  <c r="J92" i="23"/>
  <c r="I5" i="23" s="1"/>
  <c r="I92" i="23"/>
  <c r="AS19" i="23" s="1"/>
  <c r="H92" i="23"/>
  <c r="G5" i="23" s="1"/>
  <c r="G92" i="23"/>
  <c r="F5" i="23" s="1"/>
  <c r="F92" i="23"/>
  <c r="E5" i="23" s="1"/>
  <c r="E92" i="23"/>
  <c r="D5" i="23" s="1"/>
  <c r="AI91" i="23"/>
  <c r="AH91" i="23"/>
  <c r="AI90" i="23"/>
  <c r="AH90" i="23"/>
  <c r="AI89" i="23"/>
  <c r="AH89" i="23"/>
  <c r="AI88" i="23"/>
  <c r="AH88" i="23"/>
  <c r="AI87" i="23"/>
  <c r="AH87" i="23"/>
  <c r="AI86" i="23"/>
  <c r="AH86" i="23"/>
  <c r="AI85" i="23"/>
  <c r="AH85" i="23"/>
  <c r="AI84" i="23"/>
  <c r="AH84" i="23"/>
  <c r="AI83" i="23"/>
  <c r="AH83" i="23"/>
  <c r="AI82" i="23"/>
  <c r="AH82" i="23"/>
  <c r="AI81" i="23"/>
  <c r="AH81" i="23"/>
  <c r="BO80" i="23"/>
  <c r="BG80" i="23"/>
  <c r="BC80" i="23"/>
  <c r="AG80" i="23"/>
  <c r="AF80" i="23"/>
  <c r="AE80" i="23"/>
  <c r="AD80" i="23"/>
  <c r="AC80" i="23"/>
  <c r="AB80" i="23"/>
  <c r="BG20" i="23" s="1"/>
  <c r="BB20" i="23"/>
  <c r="R80" i="23"/>
  <c r="P80" i="23"/>
  <c r="AX20" i="23" s="1"/>
  <c r="O80" i="23"/>
  <c r="AW20" i="23" s="1"/>
  <c r="N80" i="23"/>
  <c r="AV20" i="23" s="1"/>
  <c r="M80" i="23"/>
  <c r="L80" i="23"/>
  <c r="K80" i="23"/>
  <c r="J80" i="23"/>
  <c r="I80" i="23"/>
  <c r="AS20" i="23" s="1"/>
  <c r="H80" i="23"/>
  <c r="G80" i="23"/>
  <c r="F80" i="23"/>
  <c r="E80" i="23"/>
  <c r="AN20" i="23"/>
  <c r="BM79" i="23"/>
  <c r="BA79" i="23"/>
  <c r="AI79" i="23"/>
  <c r="AH79" i="23"/>
  <c r="BQ78" i="23"/>
  <c r="AI78" i="23"/>
  <c r="AH78" i="23"/>
  <c r="BS77" i="23"/>
  <c r="AI77" i="23"/>
  <c r="AH77" i="23"/>
  <c r="BU76" i="23"/>
  <c r="BO76" i="23"/>
  <c r="AG76" i="23"/>
  <c r="AG3" i="23" s="1"/>
  <c r="AF76" i="23"/>
  <c r="AE76" i="23"/>
  <c r="AD76" i="23"/>
  <c r="BH18" i="23" s="1"/>
  <c r="AC76" i="23"/>
  <c r="AB76" i="23"/>
  <c r="BC18" i="23"/>
  <c r="BA18" i="23"/>
  <c r="R76" i="23"/>
  <c r="AZ18" i="23" s="1"/>
  <c r="P76" i="23"/>
  <c r="AX18" i="23" s="1"/>
  <c r="O76" i="23"/>
  <c r="AW18" i="23" s="1"/>
  <c r="N76" i="23"/>
  <c r="AV18" i="23" s="1"/>
  <c r="M76" i="23"/>
  <c r="AU18" i="23" s="1"/>
  <c r="L76" i="23"/>
  <c r="K76" i="23"/>
  <c r="AT18" i="23" s="1"/>
  <c r="J76" i="23"/>
  <c r="I76" i="23"/>
  <c r="H76" i="23"/>
  <c r="G76" i="23"/>
  <c r="AR18" i="23" s="1"/>
  <c r="F76" i="23"/>
  <c r="E76" i="23"/>
  <c r="AP18" i="23" s="1"/>
  <c r="AN18" i="23"/>
  <c r="BT75" i="23"/>
  <c r="BS75" i="23"/>
  <c r="BC75" i="23"/>
  <c r="AI75" i="23"/>
  <c r="AH75" i="23"/>
  <c r="AG75" i="23"/>
  <c r="AI74" i="23"/>
  <c r="AH74" i="23"/>
  <c r="BW73" i="23"/>
  <c r="BW80" i="23" s="1"/>
  <c r="BV73" i="23"/>
  <c r="BV80" i="23" s="1"/>
  <c r="BU73" i="23"/>
  <c r="BU80" i="23" s="1"/>
  <c r="BT73" i="23"/>
  <c r="BT80" i="23" s="1"/>
  <c r="BS73" i="23"/>
  <c r="BS80" i="23" s="1"/>
  <c r="BR73" i="23"/>
  <c r="BR80" i="23" s="1"/>
  <c r="BQ73" i="23"/>
  <c r="BQ80" i="23" s="1"/>
  <c r="BP73" i="23"/>
  <c r="BP80" i="23" s="1"/>
  <c r="BO73" i="23"/>
  <c r="BN73" i="23"/>
  <c r="BN80" i="23" s="1"/>
  <c r="BM73" i="23"/>
  <c r="BM80" i="23" s="1"/>
  <c r="BL73" i="23"/>
  <c r="BL80" i="23" s="1"/>
  <c r="BK73" i="23"/>
  <c r="BK80" i="23" s="1"/>
  <c r="BJ73" i="23"/>
  <c r="BJ80" i="23" s="1"/>
  <c r="BI73" i="23"/>
  <c r="BI80" i="23" s="1"/>
  <c r="BH73" i="23"/>
  <c r="BH80" i="23" s="1"/>
  <c r="BG73" i="23"/>
  <c r="BF73" i="23"/>
  <c r="BF80" i="23" s="1"/>
  <c r="BE73" i="23"/>
  <c r="BE80" i="23" s="1"/>
  <c r="BD73" i="23"/>
  <c r="BD80" i="23" s="1"/>
  <c r="BC73" i="23"/>
  <c r="BB73" i="23"/>
  <c r="BB80" i="23" s="1"/>
  <c r="BA73" i="23"/>
  <c r="BA80" i="23" s="1"/>
  <c r="AZ73" i="23"/>
  <c r="AZ80" i="23" s="1"/>
  <c r="AI73" i="23"/>
  <c r="AH73" i="23"/>
  <c r="BW72" i="23"/>
  <c r="BW79" i="23" s="1"/>
  <c r="BV72" i="23"/>
  <c r="BV79" i="23" s="1"/>
  <c r="BU72" i="23"/>
  <c r="BU79" i="23" s="1"/>
  <c r="BT72" i="23"/>
  <c r="BT79" i="23" s="1"/>
  <c r="BS72" i="23"/>
  <c r="BS79" i="23" s="1"/>
  <c r="BR72" i="23"/>
  <c r="BR79" i="23" s="1"/>
  <c r="BQ72" i="23"/>
  <c r="BQ79" i="23" s="1"/>
  <c r="BP72" i="23"/>
  <c r="BP79" i="23" s="1"/>
  <c r="BO72" i="23"/>
  <c r="BO79" i="23" s="1"/>
  <c r="BN72" i="23"/>
  <c r="BN79" i="23" s="1"/>
  <c r="BM72" i="23"/>
  <c r="BL72" i="23"/>
  <c r="BL79" i="23" s="1"/>
  <c r="BK72" i="23"/>
  <c r="BK79" i="23" s="1"/>
  <c r="BJ72" i="23"/>
  <c r="BJ79" i="23" s="1"/>
  <c r="BI72" i="23"/>
  <c r="BI79" i="23" s="1"/>
  <c r="BH72" i="23"/>
  <c r="BH79" i="23" s="1"/>
  <c r="BG72" i="23"/>
  <c r="BG79" i="23" s="1"/>
  <c r="BF72" i="23"/>
  <c r="BF79" i="23" s="1"/>
  <c r="BE72" i="23"/>
  <c r="BE79" i="23" s="1"/>
  <c r="BD72" i="23"/>
  <c r="BD79" i="23" s="1"/>
  <c r="BC72" i="23"/>
  <c r="BC79" i="23" s="1"/>
  <c r="BB72" i="23"/>
  <c r="BB79" i="23" s="1"/>
  <c r="BA72" i="23"/>
  <c r="AZ72" i="23"/>
  <c r="AZ79" i="23" s="1"/>
  <c r="AI72" i="23"/>
  <c r="AH72" i="23"/>
  <c r="BW71" i="23"/>
  <c r="BW78" i="23" s="1"/>
  <c r="BV71" i="23"/>
  <c r="BV78" i="23" s="1"/>
  <c r="BU71" i="23"/>
  <c r="BU78" i="23" s="1"/>
  <c r="BT71" i="23"/>
  <c r="BT78" i="23" s="1"/>
  <c r="BS71" i="23"/>
  <c r="BS78" i="23" s="1"/>
  <c r="BR71" i="23"/>
  <c r="BR78" i="23" s="1"/>
  <c r="BQ71" i="23"/>
  <c r="BP71" i="23"/>
  <c r="BP78" i="23" s="1"/>
  <c r="BO71" i="23"/>
  <c r="BO78" i="23" s="1"/>
  <c r="BN71" i="23"/>
  <c r="BN78" i="23" s="1"/>
  <c r="BM71" i="23"/>
  <c r="BM78" i="23" s="1"/>
  <c r="BL71" i="23"/>
  <c r="BL78" i="23" s="1"/>
  <c r="BK71" i="23"/>
  <c r="BK78" i="23" s="1"/>
  <c r="BJ71" i="23"/>
  <c r="BJ78" i="23" s="1"/>
  <c r="BI71" i="23"/>
  <c r="BI78" i="23" s="1"/>
  <c r="BH71" i="23"/>
  <c r="BH78" i="23" s="1"/>
  <c r="BG71" i="23"/>
  <c r="BG78" i="23" s="1"/>
  <c r="BF71" i="23"/>
  <c r="BF78" i="23" s="1"/>
  <c r="BE71" i="23"/>
  <c r="BE78" i="23" s="1"/>
  <c r="BD71" i="23"/>
  <c r="BD78" i="23" s="1"/>
  <c r="BC71" i="23"/>
  <c r="BC78" i="23" s="1"/>
  <c r="BB71" i="23"/>
  <c r="BB78" i="23" s="1"/>
  <c r="BA71" i="23"/>
  <c r="BA78" i="23" s="1"/>
  <c r="AZ71" i="23"/>
  <c r="AZ78" i="23" s="1"/>
  <c r="AI71" i="23"/>
  <c r="AH71" i="23"/>
  <c r="BW70" i="23"/>
  <c r="BW77" i="23" s="1"/>
  <c r="BV70" i="23"/>
  <c r="BV77" i="23" s="1"/>
  <c r="BU70" i="23"/>
  <c r="BU77" i="23" s="1"/>
  <c r="BT70" i="23"/>
  <c r="BT77" i="23" s="1"/>
  <c r="BS70" i="23"/>
  <c r="BR70" i="23"/>
  <c r="BR77" i="23" s="1"/>
  <c r="BQ70" i="23"/>
  <c r="BQ77" i="23" s="1"/>
  <c r="BP70" i="23"/>
  <c r="BP77" i="23" s="1"/>
  <c r="BO70" i="23"/>
  <c r="BO77" i="23" s="1"/>
  <c r="BN70" i="23"/>
  <c r="BN77" i="23" s="1"/>
  <c r="BM70" i="23"/>
  <c r="BM77" i="23" s="1"/>
  <c r="BL70" i="23"/>
  <c r="BL77" i="23" s="1"/>
  <c r="BK70" i="23"/>
  <c r="BK77" i="23" s="1"/>
  <c r="BJ70" i="23"/>
  <c r="BJ77" i="23" s="1"/>
  <c r="BI70" i="23"/>
  <c r="BI77" i="23" s="1"/>
  <c r="BH70" i="23"/>
  <c r="BH77" i="23" s="1"/>
  <c r="BG70" i="23"/>
  <c r="BG77" i="23" s="1"/>
  <c r="BF70" i="23"/>
  <c r="BF77" i="23" s="1"/>
  <c r="BE70" i="23"/>
  <c r="BE77" i="23" s="1"/>
  <c r="BD70" i="23"/>
  <c r="BD77" i="23" s="1"/>
  <c r="BC70" i="23"/>
  <c r="BC77" i="23" s="1"/>
  <c r="BB70" i="23"/>
  <c r="BB77" i="23" s="1"/>
  <c r="BA70" i="23"/>
  <c r="BA77" i="23" s="1"/>
  <c r="AZ70" i="23"/>
  <c r="AZ77" i="23" s="1"/>
  <c r="AI70" i="23"/>
  <c r="AH70" i="23"/>
  <c r="BW69" i="23"/>
  <c r="BW76" i="23" s="1"/>
  <c r="BV69" i="23"/>
  <c r="BV76" i="23" s="1"/>
  <c r="BU69" i="23"/>
  <c r="BT69" i="23"/>
  <c r="BT76" i="23" s="1"/>
  <c r="BS69" i="23"/>
  <c r="BS76" i="23" s="1"/>
  <c r="BR69" i="23"/>
  <c r="BR76" i="23" s="1"/>
  <c r="BQ69" i="23"/>
  <c r="BQ76" i="23" s="1"/>
  <c r="BP69" i="23"/>
  <c r="BP76" i="23" s="1"/>
  <c r="BO69" i="23"/>
  <c r="BN69" i="23"/>
  <c r="BN76" i="23" s="1"/>
  <c r="BM69" i="23"/>
  <c r="BM76" i="23" s="1"/>
  <c r="BL69" i="23"/>
  <c r="BL76" i="23" s="1"/>
  <c r="BK69" i="23"/>
  <c r="BK76" i="23" s="1"/>
  <c r="BJ69" i="23"/>
  <c r="BJ76" i="23" s="1"/>
  <c r="BI69" i="23"/>
  <c r="BI76" i="23" s="1"/>
  <c r="BH69" i="23"/>
  <c r="BH76" i="23" s="1"/>
  <c r="BG69" i="23"/>
  <c r="BG76" i="23" s="1"/>
  <c r="BF69" i="23"/>
  <c r="BF76" i="23" s="1"/>
  <c r="BE69" i="23"/>
  <c r="BE76" i="23" s="1"/>
  <c r="BD69" i="23"/>
  <c r="BD76" i="23" s="1"/>
  <c r="BC69" i="23"/>
  <c r="BC76" i="23" s="1"/>
  <c r="BB69" i="23"/>
  <c r="BB76" i="23" s="1"/>
  <c r="BA69" i="23"/>
  <c r="BA76" i="23" s="1"/>
  <c r="AZ69" i="23"/>
  <c r="AZ76" i="23" s="1"/>
  <c r="AI69" i="23"/>
  <c r="AH69" i="23"/>
  <c r="BW68" i="23"/>
  <c r="BW75" i="23" s="1"/>
  <c r="BV68" i="23"/>
  <c r="BV75" i="23" s="1"/>
  <c r="BU68" i="23"/>
  <c r="BU75" i="23" s="1"/>
  <c r="BT68" i="23"/>
  <c r="BS68" i="23"/>
  <c r="BR68" i="23"/>
  <c r="BR75" i="23" s="1"/>
  <c r="BQ68" i="23"/>
  <c r="BQ75" i="23" s="1"/>
  <c r="BP68" i="23"/>
  <c r="BP75" i="23" s="1"/>
  <c r="BO68" i="23"/>
  <c r="BO75" i="23" s="1"/>
  <c r="BN68" i="23"/>
  <c r="BN75" i="23" s="1"/>
  <c r="BM68" i="23"/>
  <c r="BM75" i="23" s="1"/>
  <c r="BL68" i="23"/>
  <c r="BL75" i="23" s="1"/>
  <c r="BK68" i="23"/>
  <c r="BK75" i="23" s="1"/>
  <c r="BJ68" i="23"/>
  <c r="BJ75" i="23" s="1"/>
  <c r="BI68" i="23"/>
  <c r="BI75" i="23" s="1"/>
  <c r="BH68" i="23"/>
  <c r="BH75" i="23" s="1"/>
  <c r="BG68" i="23"/>
  <c r="BG75" i="23" s="1"/>
  <c r="BF68" i="23"/>
  <c r="BF75" i="23" s="1"/>
  <c r="BE68" i="23"/>
  <c r="BE75" i="23" s="1"/>
  <c r="BD68" i="23"/>
  <c r="BD75" i="23" s="1"/>
  <c r="BC68" i="23"/>
  <c r="BB68" i="23"/>
  <c r="BB75" i="23" s="1"/>
  <c r="BA68" i="23"/>
  <c r="BA75" i="23" s="1"/>
  <c r="AZ68" i="23"/>
  <c r="AI68" i="23"/>
  <c r="AH68" i="23"/>
  <c r="AI67" i="23"/>
  <c r="AH67" i="23"/>
  <c r="AI66" i="23"/>
  <c r="AH66" i="23"/>
  <c r="AI65" i="23"/>
  <c r="AH65" i="23"/>
  <c r="AI64" i="23"/>
  <c r="AH64" i="23"/>
  <c r="AI63" i="23"/>
  <c r="AH63" i="23"/>
  <c r="AG62" i="23"/>
  <c r="AF62" i="23"/>
  <c r="BJ17" i="23" s="1"/>
  <c r="AE62" i="23"/>
  <c r="BI17" i="23" s="1"/>
  <c r="AD62" i="23"/>
  <c r="BH17" i="23" s="1"/>
  <c r="AC62" i="23"/>
  <c r="AB62" i="23"/>
  <c r="BG17" i="23" s="1"/>
  <c r="BF17" i="23"/>
  <c r="BE17" i="23"/>
  <c r="BD17" i="23"/>
  <c r="R62" i="23"/>
  <c r="P62" i="23"/>
  <c r="AX17" i="23" s="1"/>
  <c r="O62" i="23"/>
  <c r="AW17" i="23" s="1"/>
  <c r="N62" i="23"/>
  <c r="AV17" i="23" s="1"/>
  <c r="M62" i="23"/>
  <c r="AU17" i="23" s="1"/>
  <c r="L62" i="23"/>
  <c r="K62" i="23"/>
  <c r="AT17" i="23" s="1"/>
  <c r="J62" i="23"/>
  <c r="I62" i="23"/>
  <c r="AS17" i="23" s="1"/>
  <c r="H62" i="23"/>
  <c r="G62" i="23"/>
  <c r="F62" i="23"/>
  <c r="AQ17" i="23" s="1"/>
  <c r="E62" i="23"/>
  <c r="AI61" i="23"/>
  <c r="AH61" i="23"/>
  <c r="AI60" i="23"/>
  <c r="AH60" i="23"/>
  <c r="AI59" i="23"/>
  <c r="AH59" i="23"/>
  <c r="AG58" i="23"/>
  <c r="AF58" i="23"/>
  <c r="AE58" i="23"/>
  <c r="AD58" i="23"/>
  <c r="AC58" i="23"/>
  <c r="AB58" i="23"/>
  <c r="AA7" i="23"/>
  <c r="Z7" i="23"/>
  <c r="BE16" i="23"/>
  <c r="W7" i="23"/>
  <c r="U7" i="23"/>
  <c r="S58" i="23"/>
  <c r="S7" i="23" s="1"/>
  <c r="R58" i="23"/>
  <c r="R97" i="23" s="1"/>
  <c r="R99" i="23" s="1"/>
  <c r="P58" i="23"/>
  <c r="O58" i="23"/>
  <c r="N58" i="23"/>
  <c r="M58" i="23"/>
  <c r="L58" i="23"/>
  <c r="K58" i="23"/>
  <c r="J58" i="23"/>
  <c r="I58" i="23"/>
  <c r="AS16" i="23" s="1"/>
  <c r="H58" i="23"/>
  <c r="G58" i="23"/>
  <c r="AR16" i="23" s="1"/>
  <c r="F58" i="23"/>
  <c r="E58" i="23"/>
  <c r="AP16" i="23" s="1"/>
  <c r="AI57" i="23"/>
  <c r="AH57" i="23"/>
  <c r="AI56" i="23"/>
  <c r="AH56" i="23"/>
  <c r="AI55" i="23"/>
  <c r="AH55" i="23"/>
  <c r="AI54" i="23"/>
  <c r="AH54" i="23"/>
  <c r="AI53" i="23"/>
  <c r="AH53" i="23"/>
  <c r="AI52" i="23"/>
  <c r="AH52" i="23"/>
  <c r="AI51" i="23"/>
  <c r="AH51" i="23"/>
  <c r="AI50" i="23"/>
  <c r="AH50" i="23"/>
  <c r="AI49" i="23"/>
  <c r="AH49" i="23"/>
  <c r="AI48" i="23"/>
  <c r="AH48" i="23"/>
  <c r="AI47" i="23"/>
  <c r="AH47" i="23"/>
  <c r="AI46" i="23"/>
  <c r="AH46" i="23"/>
  <c r="AI45" i="23"/>
  <c r="AH45" i="23"/>
  <c r="AI44" i="23"/>
  <c r="AH44" i="23"/>
  <c r="AI43" i="23"/>
  <c r="AH43" i="23"/>
  <c r="AI42" i="23"/>
  <c r="AH42" i="23"/>
  <c r="AI41" i="23"/>
  <c r="AH41" i="23"/>
  <c r="AI40" i="23"/>
  <c r="AH40" i="23"/>
  <c r="AI39" i="23"/>
  <c r="AH39" i="23"/>
  <c r="AI38" i="23"/>
  <c r="AH38" i="23"/>
  <c r="AI37" i="23"/>
  <c r="AH37" i="23"/>
  <c r="AI36" i="23"/>
  <c r="AH36" i="23"/>
  <c r="AI35" i="23"/>
  <c r="AH35" i="23"/>
  <c r="AI34" i="23"/>
  <c r="AH34" i="23"/>
  <c r="AI33" i="23"/>
  <c r="AH33" i="23"/>
  <c r="AI32" i="23"/>
  <c r="AH32" i="23"/>
  <c r="AI31" i="23"/>
  <c r="AH31" i="23"/>
  <c r="AI30" i="23"/>
  <c r="AH30" i="23"/>
  <c r="AI29" i="23"/>
  <c r="AH29" i="23"/>
  <c r="AI28" i="23"/>
  <c r="AH28" i="23"/>
  <c r="AI27" i="23"/>
  <c r="AH27" i="23"/>
  <c r="AI26" i="23"/>
  <c r="AH26" i="23"/>
  <c r="AI25" i="23"/>
  <c r="AH25" i="23"/>
  <c r="AI24" i="23"/>
  <c r="AH24" i="23"/>
  <c r="BE23" i="23"/>
  <c r="BC23" i="23"/>
  <c r="BA23" i="23"/>
  <c r="AV23" i="23"/>
  <c r="AI23" i="23"/>
  <c r="AH23" i="23"/>
  <c r="AI22" i="23"/>
  <c r="AH22" i="23"/>
  <c r="BJ21" i="23"/>
  <c r="BI21" i="23"/>
  <c r="BH21" i="23"/>
  <c r="BG21" i="23"/>
  <c r="BF21" i="23"/>
  <c r="BE21" i="23"/>
  <c r="BD21" i="23"/>
  <c r="BC21" i="23"/>
  <c r="BB21" i="23"/>
  <c r="BA21" i="23"/>
  <c r="AZ21" i="23"/>
  <c r="AY21" i="23"/>
  <c r="AX21" i="23"/>
  <c r="AW21" i="23"/>
  <c r="AV21" i="23"/>
  <c r="AU21" i="23"/>
  <c r="AT21" i="23"/>
  <c r="AS21" i="23"/>
  <c r="AR21" i="23"/>
  <c r="AQ21" i="23"/>
  <c r="AP21" i="23"/>
  <c r="AO21" i="23"/>
  <c r="AN21" i="23"/>
  <c r="AM21" i="23"/>
  <c r="AI21" i="23"/>
  <c r="AH21" i="23"/>
  <c r="BJ20" i="23"/>
  <c r="BI20" i="23"/>
  <c r="BH20" i="23"/>
  <c r="BF20" i="23"/>
  <c r="BE20" i="23"/>
  <c r="BD20" i="23"/>
  <c r="BC20" i="23"/>
  <c r="BA20" i="23"/>
  <c r="AZ20" i="23"/>
  <c r="AY20" i="23"/>
  <c r="AU20" i="23"/>
  <c r="AT20" i="23"/>
  <c r="AR20" i="23"/>
  <c r="AQ20" i="23"/>
  <c r="AP20" i="23"/>
  <c r="AO20" i="23"/>
  <c r="AM20" i="23"/>
  <c r="AI20" i="23"/>
  <c r="AH20" i="23"/>
  <c r="BE19" i="23"/>
  <c r="BD19" i="23"/>
  <c r="BC19" i="23"/>
  <c r="BB19" i="23"/>
  <c r="BA19" i="23"/>
  <c r="AV19" i="23"/>
  <c r="AR19" i="23"/>
  <c r="AN19" i="23"/>
  <c r="AI19" i="23"/>
  <c r="AH19" i="23"/>
  <c r="BJ18" i="23"/>
  <c r="BI18" i="23"/>
  <c r="BG18" i="23"/>
  <c r="BF18" i="23"/>
  <c r="BE18" i="23"/>
  <c r="BD18" i="23"/>
  <c r="BB18" i="23"/>
  <c r="AY18" i="23"/>
  <c r="AS18" i="23"/>
  <c r="AQ18" i="23"/>
  <c r="AO18" i="23"/>
  <c r="AI18" i="23"/>
  <c r="AH18" i="23"/>
  <c r="BC17" i="23"/>
  <c r="BB17" i="23"/>
  <c r="BA17" i="23"/>
  <c r="AZ17" i="23"/>
  <c r="AY17" i="23"/>
  <c r="AR17" i="23"/>
  <c r="AP17" i="23"/>
  <c r="AO17" i="23"/>
  <c r="AN17" i="23"/>
  <c r="AM17" i="23"/>
  <c r="AI17" i="23"/>
  <c r="AH17" i="23"/>
  <c r="BI16" i="23"/>
  <c r="BG16" i="23"/>
  <c r="BC16" i="23"/>
  <c r="BB16" i="23"/>
  <c r="BA16" i="23"/>
  <c r="AY16" i="23"/>
  <c r="AW16" i="23"/>
  <c r="AU16" i="23"/>
  <c r="AO16" i="23"/>
  <c r="AI16" i="23"/>
  <c r="AH16" i="23"/>
  <c r="AI15" i="23"/>
  <c r="AH15" i="23"/>
  <c r="AI14" i="23"/>
  <c r="AH14" i="23"/>
  <c r="AI13" i="23"/>
  <c r="AH13" i="23"/>
  <c r="AL12" i="23"/>
  <c r="AI12" i="23"/>
  <c r="AH12" i="23"/>
  <c r="AI11" i="23"/>
  <c r="AH11" i="23"/>
  <c r="AD5" i="23"/>
  <c r="AA5" i="23"/>
  <c r="Z5" i="23"/>
  <c r="Y5" i="23"/>
  <c r="X5" i="23"/>
  <c r="V5" i="23"/>
  <c r="T5" i="23"/>
  <c r="S5" i="23"/>
  <c r="R5" i="23"/>
  <c r="M5" i="23"/>
  <c r="C5" i="23"/>
  <c r="B5" i="23"/>
  <c r="AG4" i="23"/>
  <c r="K4" i="23"/>
  <c r="E4" i="23"/>
  <c r="H4" i="23" s="1"/>
  <c r="B4" i="23"/>
  <c r="D258" i="23" s="1"/>
  <c r="AG2" i="23"/>
  <c r="AG6" i="23" s="1"/>
  <c r="AF58" i="22"/>
  <c r="AF62" i="22"/>
  <c r="AF76" i="22"/>
  <c r="AF80" i="22"/>
  <c r="AF92" i="22"/>
  <c r="AF108" i="22" s="1"/>
  <c r="AF101" i="22"/>
  <c r="AF102" i="22"/>
  <c r="AF103" i="22"/>
  <c r="AF104" i="22"/>
  <c r="AF105" i="22"/>
  <c r="AF118" i="22"/>
  <c r="AE58" i="22"/>
  <c r="AE62" i="22"/>
  <c r="AE76" i="22"/>
  <c r="AE80" i="22"/>
  <c r="AE92" i="22"/>
  <c r="AE101" i="22"/>
  <c r="AE102" i="22"/>
  <c r="AE103" i="22"/>
  <c r="AE104" i="22"/>
  <c r="AE105" i="22"/>
  <c r="AE118" i="22"/>
  <c r="AD58" i="22"/>
  <c r="AD62" i="22"/>
  <c r="AD76" i="22"/>
  <c r="AD80" i="22"/>
  <c r="AD92" i="22"/>
  <c r="AD101" i="22"/>
  <c r="AD107" i="22" s="1"/>
  <c r="AD102" i="22"/>
  <c r="AD103" i="22"/>
  <c r="AD104" i="22"/>
  <c r="AD105" i="22"/>
  <c r="AD118" i="22"/>
  <c r="AC58" i="22"/>
  <c r="AC62" i="22"/>
  <c r="AC76" i="22"/>
  <c r="AC80" i="22"/>
  <c r="AC92" i="22"/>
  <c r="AC101" i="22"/>
  <c r="AC102" i="22"/>
  <c r="AC103" i="22"/>
  <c r="AC104" i="22"/>
  <c r="AC105" i="22"/>
  <c r="AC118" i="22"/>
  <c r="AB58" i="22"/>
  <c r="AB62" i="22"/>
  <c r="AB76" i="22"/>
  <c r="AB80" i="22"/>
  <c r="AB92" i="22"/>
  <c r="AB101" i="22"/>
  <c r="AB102" i="22"/>
  <c r="AB103" i="22"/>
  <c r="AB104" i="22"/>
  <c r="AB105" i="22"/>
  <c r="AB118" i="22"/>
  <c r="Q246" i="24" l="1"/>
  <c r="P252" i="24"/>
  <c r="AF97" i="23"/>
  <c r="AF99" i="23" s="1"/>
  <c r="AF107" i="23"/>
  <c r="BJ23" i="23" s="1"/>
  <c r="AE97" i="23"/>
  <c r="AE99" i="23" s="1"/>
  <c r="AE100" i="23" s="1"/>
  <c r="AE7" i="23" s="1"/>
  <c r="AE108" i="23"/>
  <c r="BI22" i="23"/>
  <c r="BI24" i="23" s="1"/>
  <c r="BH19" i="23"/>
  <c r="AD107" i="23"/>
  <c r="BH23" i="23" s="1"/>
  <c r="AD97" i="23"/>
  <c r="AD99" i="23" s="1"/>
  <c r="AC97" i="23"/>
  <c r="AC99" i="23" s="1"/>
  <c r="AC107" i="23"/>
  <c r="AC108" i="23" s="1"/>
  <c r="BG22" i="23"/>
  <c r="BE22" i="23"/>
  <c r="BE24" i="23" s="1"/>
  <c r="BC22" i="23"/>
  <c r="BC24" i="23" s="1"/>
  <c r="V7" i="23"/>
  <c r="U5" i="23"/>
  <c r="BB22" i="23"/>
  <c r="BA22" i="23"/>
  <c r="BA24" i="23" s="1"/>
  <c r="R107" i="23"/>
  <c r="AZ23" i="23" s="1"/>
  <c r="P5" i="23"/>
  <c r="AY22" i="23"/>
  <c r="AY24" i="23" s="1"/>
  <c r="AW19" i="23"/>
  <c r="O107" i="23"/>
  <c r="AW23" i="23" s="1"/>
  <c r="O97" i="23"/>
  <c r="O99" i="23" s="1"/>
  <c r="O100" i="23" s="1"/>
  <c r="O7" i="23" s="1"/>
  <c r="AW22" i="23"/>
  <c r="AW24" i="23" s="1"/>
  <c r="P107" i="23"/>
  <c r="AX23" i="23" s="1"/>
  <c r="P97" i="23"/>
  <c r="P99" i="23" s="1"/>
  <c r="P100" i="23" s="1"/>
  <c r="P7" i="23" s="1"/>
  <c r="N97" i="23"/>
  <c r="N99" i="23" s="1"/>
  <c r="N100" i="23" s="1"/>
  <c r="N7" i="23" s="1"/>
  <c r="M107" i="23"/>
  <c r="AU23" i="23" s="1"/>
  <c r="M108" i="23"/>
  <c r="L5" i="23"/>
  <c r="AU22" i="23"/>
  <c r="AU24" i="23" s="1"/>
  <c r="M97" i="23"/>
  <c r="M99" i="23" s="1"/>
  <c r="M100" i="23" s="1"/>
  <c r="M7" i="23" s="1"/>
  <c r="K107" i="23"/>
  <c r="AT23" i="23" s="1"/>
  <c r="AT19" i="23"/>
  <c r="AT22" i="23" s="1"/>
  <c r="K97" i="23"/>
  <c r="K99" i="23" s="1"/>
  <c r="AT16" i="23"/>
  <c r="J107" i="23"/>
  <c r="J97" i="23"/>
  <c r="J99" i="23" s="1"/>
  <c r="AI103" i="23"/>
  <c r="H5" i="23"/>
  <c r="I107" i="23"/>
  <c r="AS23" i="23" s="1"/>
  <c r="AI80" i="23"/>
  <c r="AS22" i="23"/>
  <c r="H107" i="23"/>
  <c r="H97" i="23"/>
  <c r="H99" i="23" s="1"/>
  <c r="H100" i="23" s="1"/>
  <c r="H7" i="23" s="1"/>
  <c r="F107" i="23"/>
  <c r="AQ23" i="23" s="1"/>
  <c r="AQ19" i="23"/>
  <c r="F97" i="23"/>
  <c r="F99" i="23" s="1"/>
  <c r="AI104" i="23"/>
  <c r="E107" i="23"/>
  <c r="AP23" i="23" s="1"/>
  <c r="AP19" i="23"/>
  <c r="AR22" i="23"/>
  <c r="AR24" i="23" s="1"/>
  <c r="AH62" i="23"/>
  <c r="E97" i="23"/>
  <c r="E99" i="23" s="1"/>
  <c r="E100" i="23" s="1"/>
  <c r="E7" i="23" s="1"/>
  <c r="AP22" i="23"/>
  <c r="AP24" i="23" s="1"/>
  <c r="AO19" i="23"/>
  <c r="AO22" i="23" s="1"/>
  <c r="D97" i="23"/>
  <c r="D99" i="23" s="1"/>
  <c r="D100" i="23" s="1"/>
  <c r="AH105" i="23"/>
  <c r="C97" i="23"/>
  <c r="C99" i="23" s="1"/>
  <c r="C100" i="23" s="1"/>
  <c r="BG84" i="23" a="1"/>
  <c r="BH102" i="23" s="1"/>
  <c r="AF5" i="23"/>
  <c r="AM19" i="23"/>
  <c r="B97" i="23"/>
  <c r="B99" i="23" s="1"/>
  <c r="B100" i="23" s="1"/>
  <c r="AM16" i="23"/>
  <c r="AM22" i="23" s="1"/>
  <c r="BJ16" i="23"/>
  <c r="BJ22" i="23" s="1"/>
  <c r="AZ75" i="23"/>
  <c r="AH76" i="23"/>
  <c r="G108" i="23"/>
  <c r="O108" i="23"/>
  <c r="G97" i="23"/>
  <c r="G99" i="23" s="1"/>
  <c r="AG99" i="23"/>
  <c r="H108" i="23"/>
  <c r="AI76" i="23"/>
  <c r="X7" i="23"/>
  <c r="AH103" i="23"/>
  <c r="P108" i="23"/>
  <c r="AL13" i="23"/>
  <c r="AN16" i="23"/>
  <c r="AN22" i="23" s="1"/>
  <c r="AV16" i="23"/>
  <c r="AV22" i="23" s="1"/>
  <c r="AV24" i="23" s="1"/>
  <c r="BD16" i="23"/>
  <c r="BD22" i="23" s="1"/>
  <c r="BD24" i="23" s="1"/>
  <c r="AX19" i="23"/>
  <c r="I97" i="23"/>
  <c r="I99" i="23" s="1"/>
  <c r="Q97" i="23"/>
  <c r="Q99" i="23" s="1"/>
  <c r="Q100" i="23" s="1"/>
  <c r="Q7" i="23" s="1"/>
  <c r="Y7" i="23"/>
  <c r="AG97" i="23"/>
  <c r="Q108" i="23"/>
  <c r="AI102" i="23"/>
  <c r="AH104" i="23"/>
  <c r="J108" i="23"/>
  <c r="AH92" i="23"/>
  <c r="AI101" i="23"/>
  <c r="AN23" i="23"/>
  <c r="AH102" i="23"/>
  <c r="AX16" i="23"/>
  <c r="AX22" i="23" s="1"/>
  <c r="AX24" i="23" s="1"/>
  <c r="BF16" i="23"/>
  <c r="BF22" i="23" s="1"/>
  <c r="BF24" i="23" s="1"/>
  <c r="AZ19" i="23"/>
  <c r="AI58" i="23"/>
  <c r="AI62" i="23"/>
  <c r="AI92" i="23"/>
  <c r="AH58" i="23"/>
  <c r="AE5" i="23"/>
  <c r="AQ16" i="23"/>
  <c r="AQ22" i="23" s="1"/>
  <c r="L97" i="23"/>
  <c r="L99" i="23" s="1"/>
  <c r="T7" i="23"/>
  <c r="AB97" i="23"/>
  <c r="AB99" i="23" s="1"/>
  <c r="AH101" i="23"/>
  <c r="L107" i="23"/>
  <c r="L108" i="23" s="1"/>
  <c r="AB107" i="23"/>
  <c r="AZ16" i="23"/>
  <c r="BH16" i="23"/>
  <c r="BH22" i="23" s="1"/>
  <c r="BH24" i="23" s="1"/>
  <c r="E251" i="23"/>
  <c r="F251" i="23" s="1"/>
  <c r="G251" i="23" s="1"/>
  <c r="H251" i="23" s="1"/>
  <c r="I251" i="23" s="1"/>
  <c r="J251" i="23" s="1"/>
  <c r="K251" i="23" s="1"/>
  <c r="L251" i="23" s="1"/>
  <c r="M251" i="23" s="1"/>
  <c r="N251" i="23" s="1"/>
  <c r="O251" i="23" s="1"/>
  <c r="P251" i="23" s="1"/>
  <c r="Q251" i="23" s="1"/>
  <c r="R251" i="23" s="1"/>
  <c r="S251" i="23" s="1"/>
  <c r="T251" i="23" s="1"/>
  <c r="U251" i="23" s="1"/>
  <c r="V251" i="23" s="1"/>
  <c r="W251" i="23" s="1"/>
  <c r="X251" i="23" s="1"/>
  <c r="Y251" i="23" s="1"/>
  <c r="Z251" i="23" s="1"/>
  <c r="AA251" i="23" s="1"/>
  <c r="AB251" i="23" s="1"/>
  <c r="AC251" i="23" s="1"/>
  <c r="AD251" i="23" s="1"/>
  <c r="AE251" i="23" s="1"/>
  <c r="AF251" i="23" s="1"/>
  <c r="B251" i="23" s="1"/>
  <c r="AH80" i="23"/>
  <c r="AI105" i="23"/>
  <c r="E246" i="23"/>
  <c r="AF97" i="22"/>
  <c r="AF99" i="22" s="1"/>
  <c r="AF100" i="22" s="1"/>
  <c r="AE108" i="22"/>
  <c r="AE97" i="22"/>
  <c r="AE99" i="22" s="1"/>
  <c r="AE100" i="22" s="1"/>
  <c r="AD97" i="22"/>
  <c r="AD99" i="22" s="1"/>
  <c r="AD108" i="22"/>
  <c r="AD100" i="22"/>
  <c r="AC107" i="22"/>
  <c r="AC108" i="22" s="1"/>
  <c r="AC97" i="22"/>
  <c r="AC99" i="22" s="1"/>
  <c r="AC100" i="22" s="1"/>
  <c r="AB107" i="22"/>
  <c r="AB108" i="22" s="1"/>
  <c r="AB97" i="22"/>
  <c r="AB99" i="22" s="1"/>
  <c r="Q252" i="24" l="1"/>
  <c r="Q118" i="24"/>
  <c r="R246" i="24"/>
  <c r="BJ24" i="23"/>
  <c r="AF108" i="23"/>
  <c r="AF100" i="23"/>
  <c r="AF7" i="23" s="1"/>
  <c r="AD100" i="23"/>
  <c r="AD7" i="23" s="1"/>
  <c r="AD108" i="23"/>
  <c r="AC100" i="23"/>
  <c r="AC7" i="23" s="1"/>
  <c r="AB100" i="23"/>
  <c r="AB7" i="23" s="1"/>
  <c r="AZ22" i="23"/>
  <c r="AZ24" i="23" s="1"/>
  <c r="R108" i="23"/>
  <c r="R100" i="23"/>
  <c r="R7" i="23" s="1"/>
  <c r="K108" i="23"/>
  <c r="K100" i="23"/>
  <c r="K7" i="23" s="1"/>
  <c r="AT24" i="23"/>
  <c r="J100" i="23"/>
  <c r="J7" i="23" s="1"/>
  <c r="I108" i="23"/>
  <c r="I100" i="23"/>
  <c r="I7" i="23" s="1"/>
  <c r="AS24" i="23"/>
  <c r="AQ24" i="23"/>
  <c r="F100" i="23"/>
  <c r="F7" i="23" s="1"/>
  <c r="F108" i="23"/>
  <c r="E108" i="23"/>
  <c r="BL95" i="23"/>
  <c r="BK93" i="23"/>
  <c r="BI91" i="23"/>
  <c r="BG89" i="23"/>
  <c r="BJ86" i="23"/>
  <c r="BL107" i="23"/>
  <c r="BG103" i="23"/>
  <c r="BK100" i="23"/>
  <c r="BI98" i="23"/>
  <c r="BI89" i="23"/>
  <c r="BG100" i="23"/>
  <c r="BL86" i="23"/>
  <c r="BJ97" i="23"/>
  <c r="BJ84" i="23"/>
  <c r="BH95" i="23"/>
  <c r="BL105" i="23"/>
  <c r="BL92" i="23"/>
  <c r="BJ103" i="23"/>
  <c r="BJ98" i="23"/>
  <c r="BI96" i="23"/>
  <c r="BG94" i="23"/>
  <c r="BK91" i="23"/>
  <c r="BH89" i="23"/>
  <c r="BI84" i="23"/>
  <c r="BK105" i="23"/>
  <c r="BI103" i="23"/>
  <c r="BG101" i="23"/>
  <c r="BK90" i="23"/>
  <c r="BI101" i="23"/>
  <c r="BH88" i="23"/>
  <c r="BL98" i="23"/>
  <c r="BL85" i="23"/>
  <c r="BJ96" i="23"/>
  <c r="BH107" i="23"/>
  <c r="BH94" i="23"/>
  <c r="BL104" i="23"/>
  <c r="BH101" i="23"/>
  <c r="BG99" i="23"/>
  <c r="BK96" i="23"/>
  <c r="BI94" i="23"/>
  <c r="BL91" i="23"/>
  <c r="BG87" i="23"/>
  <c r="BK84" i="23"/>
  <c r="BG106" i="23"/>
  <c r="BK103" i="23"/>
  <c r="BG92" i="23"/>
  <c r="BK102" i="23"/>
  <c r="BJ89" i="23"/>
  <c r="BH100" i="23"/>
  <c r="BH87" i="23"/>
  <c r="BL97" i="23"/>
  <c r="BL84" i="23"/>
  <c r="BJ95" i="23"/>
  <c r="BH106" i="23"/>
  <c r="BL103" i="23"/>
  <c r="BK101" i="23"/>
  <c r="BI99" i="23"/>
  <c r="BG97" i="23"/>
  <c r="BJ94" i="23"/>
  <c r="BK89" i="23"/>
  <c r="BI87" i="23"/>
  <c r="BG85" i="23"/>
  <c r="BI106" i="23"/>
  <c r="BI93" i="23"/>
  <c r="BG104" i="23"/>
  <c r="BL90" i="23"/>
  <c r="BJ101" i="23"/>
  <c r="BJ88" i="23"/>
  <c r="BH99" i="23"/>
  <c r="BH86" i="23"/>
  <c r="BL96" i="23"/>
  <c r="BJ107" i="23"/>
  <c r="BL87" i="23"/>
  <c r="BI102" i="23"/>
  <c r="BK92" i="23"/>
  <c r="BI85" i="23"/>
  <c r="BG96" i="23"/>
  <c r="BK106" i="23"/>
  <c r="BH104" i="23"/>
  <c r="BH91" i="23"/>
  <c r="BL101" i="23"/>
  <c r="BL88" i="23"/>
  <c r="BJ99" i="23"/>
  <c r="BJ90" i="23"/>
  <c r="BI88" i="23"/>
  <c r="BG86" i="23"/>
  <c r="BI107" i="23"/>
  <c r="BJ102" i="23"/>
  <c r="BK97" i="23"/>
  <c r="BI95" i="23"/>
  <c r="BG93" i="23"/>
  <c r="BK86" i="23"/>
  <c r="BI97" i="23"/>
  <c r="BH84" i="23"/>
  <c r="BL94" i="23"/>
  <c r="BJ105" i="23"/>
  <c r="BJ92" i="23"/>
  <c r="BH103" i="23"/>
  <c r="BH90" i="23"/>
  <c r="BL100" i="23"/>
  <c r="BH85" i="23"/>
  <c r="BJ106" i="23"/>
  <c r="BI104" i="23"/>
  <c r="BG102" i="23"/>
  <c r="BK99" i="23"/>
  <c r="BH97" i="23"/>
  <c r="BI92" i="23"/>
  <c r="BG90" i="23"/>
  <c r="BK87" i="23"/>
  <c r="BG84" i="23"/>
  <c r="BK94" i="23"/>
  <c r="BI105" i="23"/>
  <c r="BH92" i="23"/>
  <c r="BL102" i="23"/>
  <c r="BL89" i="23"/>
  <c r="BJ100" i="23"/>
  <c r="BJ87" i="23"/>
  <c r="BH98" i="23"/>
  <c r="BK85" i="23"/>
  <c r="BG107" i="23"/>
  <c r="BK104" i="23"/>
  <c r="BL99" i="23"/>
  <c r="BG95" i="23"/>
  <c r="BI90" i="23"/>
  <c r="BJ93" i="23"/>
  <c r="BG105" i="23"/>
  <c r="BH93" i="23"/>
  <c r="BG91" i="23"/>
  <c r="BK88" i="23"/>
  <c r="BI86" i="23"/>
  <c r="BK107" i="23"/>
  <c r="BH105" i="23"/>
  <c r="BI100" i="23"/>
  <c r="BG98" i="23"/>
  <c r="BK95" i="23"/>
  <c r="BG88" i="23"/>
  <c r="BK98" i="23"/>
  <c r="BJ85" i="23"/>
  <c r="BH96" i="23"/>
  <c r="BL106" i="23"/>
  <c r="BL93" i="23"/>
  <c r="BJ104" i="23"/>
  <c r="BJ91" i="23"/>
  <c r="AI97" i="23"/>
  <c r="AN24" i="23"/>
  <c r="AO23" i="23"/>
  <c r="AO24" i="23" s="1"/>
  <c r="AH99" i="23"/>
  <c r="AI99" i="23"/>
  <c r="C256" i="23"/>
  <c r="B256" i="23"/>
  <c r="G100" i="23"/>
  <c r="G7" i="23" s="1"/>
  <c r="F246" i="23"/>
  <c r="E118" i="23"/>
  <c r="E252" i="23"/>
  <c r="AB108" i="23"/>
  <c r="AI108" i="23" s="1"/>
  <c r="BG23" i="23"/>
  <c r="BG24" i="23" s="1"/>
  <c r="D7" i="23"/>
  <c r="AH97" i="23"/>
  <c r="L100" i="23"/>
  <c r="L7" i="23" s="1"/>
  <c r="BB23" i="23"/>
  <c r="BB24" i="23" s="1"/>
  <c r="AI107" i="23"/>
  <c r="AH107" i="23"/>
  <c r="AM23" i="23"/>
  <c r="AM24" i="23" s="1"/>
  <c r="C7" i="23"/>
  <c r="AB100" i="22"/>
  <c r="R252" i="24" l="1"/>
  <c r="R118" i="24"/>
  <c r="S246" i="24"/>
  <c r="AT8" i="23"/>
  <c r="K6" i="23"/>
  <c r="AI100" i="23"/>
  <c r="B7" i="23"/>
  <c r="A7" i="23" s="1"/>
  <c r="AH100" i="23"/>
  <c r="AH108" i="23"/>
  <c r="G246" i="23"/>
  <c r="F252" i="23"/>
  <c r="F118" i="23"/>
  <c r="AT9" i="23"/>
  <c r="S252" i="24" l="1"/>
  <c r="S118" i="24"/>
  <c r="T246" i="24"/>
  <c r="H246" i="23"/>
  <c r="G252" i="23"/>
  <c r="G118" i="23"/>
  <c r="T252" i="24" l="1"/>
  <c r="T118" i="24"/>
  <c r="U246" i="24"/>
  <c r="I246" i="23"/>
  <c r="H252" i="23"/>
  <c r="H118" i="23"/>
  <c r="V246" i="24" l="1"/>
  <c r="U252" i="24"/>
  <c r="I252" i="23"/>
  <c r="I118" i="23"/>
  <c r="J246" i="23"/>
  <c r="W246" i="24" l="1"/>
  <c r="V252" i="24"/>
  <c r="J252" i="23"/>
  <c r="J118" i="23"/>
  <c r="K246" i="23"/>
  <c r="X246" i="24" l="1"/>
  <c r="W252" i="24"/>
  <c r="K252" i="23"/>
  <c r="K118" i="23"/>
  <c r="L246" i="23"/>
  <c r="Y246" i="24" l="1"/>
  <c r="X252" i="24"/>
  <c r="L252" i="23"/>
  <c r="L118" i="23"/>
  <c r="M246" i="23"/>
  <c r="Y252" i="24" l="1"/>
  <c r="Z246" i="24"/>
  <c r="N246" i="23"/>
  <c r="M252" i="23"/>
  <c r="M118" i="23"/>
  <c r="Z252" i="24" l="1"/>
  <c r="AA246" i="24"/>
  <c r="O246" i="23"/>
  <c r="N252" i="23"/>
  <c r="N118" i="23"/>
  <c r="AA252" i="24" l="1"/>
  <c r="AB246" i="24"/>
  <c r="P246" i="23"/>
  <c r="O252" i="23"/>
  <c r="O118" i="23"/>
  <c r="AB252" i="24" l="1"/>
  <c r="AB118" i="24"/>
  <c r="AC246" i="24"/>
  <c r="Q246" i="23"/>
  <c r="P252" i="23"/>
  <c r="AC118" i="24" l="1"/>
  <c r="AD246" i="24"/>
  <c r="AC252" i="24"/>
  <c r="Q252" i="23"/>
  <c r="Q118" i="23"/>
  <c r="R246" i="23"/>
  <c r="AE246" i="24" l="1"/>
  <c r="AD252" i="24"/>
  <c r="AD118" i="24"/>
  <c r="R252" i="23"/>
  <c r="R118" i="23"/>
  <c r="S246" i="23"/>
  <c r="AF246" i="24" l="1"/>
  <c r="AE252" i="24"/>
  <c r="AE118" i="24"/>
  <c r="S252" i="23"/>
  <c r="T246" i="23"/>
  <c r="AF118" i="24" l="1"/>
  <c r="AF252" i="24"/>
  <c r="B246" i="24"/>
  <c r="T252" i="23"/>
  <c r="U246" i="23"/>
  <c r="B252" i="24" l="1"/>
  <c r="B118" i="24"/>
  <c r="V246" i="23"/>
  <c r="U252" i="23"/>
  <c r="AI118" i="24" l="1"/>
  <c r="W246" i="23"/>
  <c r="V252" i="23"/>
  <c r="X246" i="23" l="1"/>
  <c r="W252" i="23"/>
  <c r="Y246" i="23" l="1"/>
  <c r="X252" i="23"/>
  <c r="Y252" i="23" l="1"/>
  <c r="Z246" i="23"/>
  <c r="Z252" i="23" l="1"/>
  <c r="AA246" i="23"/>
  <c r="AA252" i="23" l="1"/>
  <c r="AB246" i="23"/>
  <c r="AB252" i="23" l="1"/>
  <c r="AB118" i="23"/>
  <c r="AC246" i="23"/>
  <c r="AC118" i="23" l="1"/>
  <c r="AD246" i="23"/>
  <c r="AC252" i="23"/>
  <c r="AE246" i="23" l="1"/>
  <c r="AD252" i="23"/>
  <c r="AD118" i="23"/>
  <c r="AF246" i="23" l="1"/>
  <c r="AE252" i="23"/>
  <c r="AE118" i="23"/>
  <c r="AF252" i="23" l="1"/>
  <c r="AF118" i="23"/>
  <c r="B246" i="23"/>
  <c r="B252" i="23" l="1"/>
  <c r="AI118" i="23" l="1"/>
  <c r="AH118" i="23"/>
  <c r="O57" i="22" l="1"/>
  <c r="N121" i="22"/>
  <c r="N57" i="22"/>
  <c r="M57" i="22"/>
  <c r="L121" i="22"/>
  <c r="L57" i="22"/>
  <c r="K121" i="22"/>
  <c r="AH121" i="22" s="1"/>
  <c r="K57" i="22"/>
  <c r="J57" i="22"/>
  <c r="H121" i="22"/>
  <c r="H57" i="22"/>
  <c r="G121" i="22"/>
  <c r="G57" i="22"/>
  <c r="F121" i="22"/>
  <c r="F57" i="22"/>
  <c r="E121" i="22"/>
  <c r="E57" i="22"/>
  <c r="D121" i="22"/>
  <c r="D57" i="22"/>
  <c r="D58" i="22"/>
  <c r="D62" i="22"/>
  <c r="D76" i="22"/>
  <c r="AO18" i="22" s="1"/>
  <c r="D80" i="22"/>
  <c r="AO20" i="22" s="1"/>
  <c r="AH125" i="22"/>
  <c r="AI125" i="22"/>
  <c r="AH124" i="22"/>
  <c r="AI124" i="22"/>
  <c r="C121" i="22"/>
  <c r="C57" i="22"/>
  <c r="C58" i="22"/>
  <c r="C62" i="22"/>
  <c r="C76" i="22"/>
  <c r="AN18" i="22" s="1"/>
  <c r="C80" i="22"/>
  <c r="G244" i="22"/>
  <c r="B121" i="22"/>
  <c r="B57" i="22"/>
  <c r="B118" i="22"/>
  <c r="B105" i="22"/>
  <c r="B104" i="22"/>
  <c r="B103" i="22"/>
  <c r="B102" i="22"/>
  <c r="B101" i="22"/>
  <c r="B92" i="22"/>
  <c r="B80" i="22"/>
  <c r="B76" i="22"/>
  <c r="AM18" i="22" s="1"/>
  <c r="B62" i="22"/>
  <c r="B58" i="22"/>
  <c r="AG252" i="22"/>
  <c r="C252" i="22"/>
  <c r="D251" i="22"/>
  <c r="D118" i="22" s="1"/>
  <c r="J250" i="22"/>
  <c r="K250" i="22" s="1"/>
  <c r="L250" i="22" s="1"/>
  <c r="M250" i="22" s="1"/>
  <c r="N250" i="22" s="1"/>
  <c r="O250" i="22" s="1"/>
  <c r="P250" i="22" s="1"/>
  <c r="Q250" i="22" s="1"/>
  <c r="R250" i="22" s="1"/>
  <c r="S250" i="22" s="1"/>
  <c r="T250" i="22" s="1"/>
  <c r="U250" i="22" s="1"/>
  <c r="V250" i="22" s="1"/>
  <c r="W250" i="22" s="1"/>
  <c r="X250" i="22" s="1"/>
  <c r="Y250" i="22" s="1"/>
  <c r="Z250" i="22" s="1"/>
  <c r="AA250" i="22" s="1"/>
  <c r="AB250" i="22" s="1"/>
  <c r="AC250" i="22" s="1"/>
  <c r="AD250" i="22" s="1"/>
  <c r="AE250" i="22" s="1"/>
  <c r="AF250" i="22" s="1"/>
  <c r="B250" i="22" s="1"/>
  <c r="D250" i="22"/>
  <c r="E250" i="22" s="1"/>
  <c r="F250" i="22" s="1"/>
  <c r="G250" i="22" s="1"/>
  <c r="H250" i="22" s="1"/>
  <c r="I250" i="22" s="1"/>
  <c r="F249" i="22"/>
  <c r="G249" i="22" s="1"/>
  <c r="H249" i="22" s="1"/>
  <c r="I249" i="22" s="1"/>
  <c r="J249" i="22" s="1"/>
  <c r="K249" i="22" s="1"/>
  <c r="L249" i="22" s="1"/>
  <c r="M249" i="22" s="1"/>
  <c r="N249" i="22" s="1"/>
  <c r="O249" i="22" s="1"/>
  <c r="P249" i="22" s="1"/>
  <c r="Q249" i="22" s="1"/>
  <c r="R249" i="22" s="1"/>
  <c r="S249" i="22" s="1"/>
  <c r="T249" i="22" s="1"/>
  <c r="U249" i="22" s="1"/>
  <c r="V249" i="22" s="1"/>
  <c r="W249" i="22" s="1"/>
  <c r="X249" i="22" s="1"/>
  <c r="Y249" i="22" s="1"/>
  <c r="Z249" i="22" s="1"/>
  <c r="AA249" i="22" s="1"/>
  <c r="AB249" i="22" s="1"/>
  <c r="AC249" i="22" s="1"/>
  <c r="AD249" i="22" s="1"/>
  <c r="AE249" i="22" s="1"/>
  <c r="AF249" i="22" s="1"/>
  <c r="B249" i="22" s="1"/>
  <c r="E249" i="22"/>
  <c r="D249" i="22"/>
  <c r="D248" i="22"/>
  <c r="E248" i="22" s="1"/>
  <c r="F248" i="22" s="1"/>
  <c r="G248" i="22" s="1"/>
  <c r="H248" i="22" s="1"/>
  <c r="I248" i="22" s="1"/>
  <c r="J248" i="22" s="1"/>
  <c r="K248" i="22" s="1"/>
  <c r="L248" i="22" s="1"/>
  <c r="M248" i="22" s="1"/>
  <c r="N248" i="22" s="1"/>
  <c r="O248" i="22" s="1"/>
  <c r="P248" i="22" s="1"/>
  <c r="Q248" i="22" s="1"/>
  <c r="R248" i="22" s="1"/>
  <c r="S248" i="22" s="1"/>
  <c r="T248" i="22" s="1"/>
  <c r="U248" i="22" s="1"/>
  <c r="V248" i="22" s="1"/>
  <c r="W248" i="22" s="1"/>
  <c r="X248" i="22" s="1"/>
  <c r="Y248" i="22" s="1"/>
  <c r="Z248" i="22" s="1"/>
  <c r="AA248" i="22" s="1"/>
  <c r="AB248" i="22" s="1"/>
  <c r="AC248" i="22" s="1"/>
  <c r="AD248" i="22" s="1"/>
  <c r="AE248" i="22" s="1"/>
  <c r="AF248" i="22" s="1"/>
  <c r="B248" i="22" s="1"/>
  <c r="D247" i="22"/>
  <c r="E247" i="22" s="1"/>
  <c r="F247" i="22" s="1"/>
  <c r="G247" i="22" s="1"/>
  <c r="H247" i="22" s="1"/>
  <c r="I247" i="22" s="1"/>
  <c r="J247" i="22" s="1"/>
  <c r="K247" i="22" s="1"/>
  <c r="L247" i="22" s="1"/>
  <c r="M247" i="22" s="1"/>
  <c r="N247" i="22" s="1"/>
  <c r="O247" i="22" s="1"/>
  <c r="P247" i="22" s="1"/>
  <c r="Q247" i="22" s="1"/>
  <c r="R247" i="22" s="1"/>
  <c r="S247" i="22" s="1"/>
  <c r="T247" i="22" s="1"/>
  <c r="U247" i="22" s="1"/>
  <c r="V247" i="22" s="1"/>
  <c r="W247" i="22" s="1"/>
  <c r="X247" i="22" s="1"/>
  <c r="Y247" i="22" s="1"/>
  <c r="Z247" i="22" s="1"/>
  <c r="AA247" i="22" s="1"/>
  <c r="AB247" i="22" s="1"/>
  <c r="AC247" i="22" s="1"/>
  <c r="AD247" i="22" s="1"/>
  <c r="AE247" i="22" s="1"/>
  <c r="AF247" i="22" s="1"/>
  <c r="B247" i="22" s="1"/>
  <c r="D246" i="22"/>
  <c r="AG244" i="22"/>
  <c r="AF244" i="22"/>
  <c r="AE244" i="22"/>
  <c r="AD244" i="22"/>
  <c r="AC244" i="22"/>
  <c r="AB244" i="22"/>
  <c r="AA244" i="22"/>
  <c r="Z244" i="22"/>
  <c r="Z118" i="22" s="1"/>
  <c r="Y244" i="22"/>
  <c r="Y118" i="22" s="1"/>
  <c r="X244" i="22"/>
  <c r="W244" i="22"/>
  <c r="V244" i="22"/>
  <c r="U244" i="22"/>
  <c r="T244" i="22"/>
  <c r="S244" i="22"/>
  <c r="R244" i="22"/>
  <c r="Q244" i="22"/>
  <c r="P244" i="22"/>
  <c r="O244" i="22"/>
  <c r="N244" i="22"/>
  <c r="M244" i="22"/>
  <c r="L244" i="22"/>
  <c r="K244" i="22"/>
  <c r="J244" i="22"/>
  <c r="I244" i="22"/>
  <c r="H244" i="22"/>
  <c r="F244" i="22"/>
  <c r="E244" i="22"/>
  <c r="D244" i="22"/>
  <c r="C244" i="22"/>
  <c r="B244" i="22"/>
  <c r="AI130" i="22"/>
  <c r="AH130" i="22"/>
  <c r="AI129" i="22"/>
  <c r="AH129" i="22"/>
  <c r="AI128" i="22"/>
  <c r="AH128" i="22"/>
  <c r="AI127" i="22"/>
  <c r="AH127" i="22"/>
  <c r="AI126" i="22"/>
  <c r="AH126" i="22"/>
  <c r="AI123" i="22"/>
  <c r="AH123" i="22"/>
  <c r="AI122" i="22"/>
  <c r="AH122" i="22"/>
  <c r="AI120" i="22"/>
  <c r="AH120" i="22"/>
  <c r="AI119" i="22"/>
  <c r="AH119" i="22"/>
  <c r="C118" i="22"/>
  <c r="AI117" i="22"/>
  <c r="AH117" i="22"/>
  <c r="AI116" i="22"/>
  <c r="AH116" i="22"/>
  <c r="AI115" i="22"/>
  <c r="AH115" i="22"/>
  <c r="AI114" i="22"/>
  <c r="AH114" i="22"/>
  <c r="AI113" i="22"/>
  <c r="AH113" i="22"/>
  <c r="AI112" i="22"/>
  <c r="AH112" i="22"/>
  <c r="AI111" i="22"/>
  <c r="AH111" i="22"/>
  <c r="AI110" i="22"/>
  <c r="AH110" i="22"/>
  <c r="AI109" i="22"/>
  <c r="AH109" i="22"/>
  <c r="R107" i="22"/>
  <c r="AZ23" i="22" s="1"/>
  <c r="AI106" i="22"/>
  <c r="AH106" i="22"/>
  <c r="AA105" i="22"/>
  <c r="Z105" i="22"/>
  <c r="Y105" i="22"/>
  <c r="X105" i="22"/>
  <c r="W105" i="22"/>
  <c r="V105" i="22"/>
  <c r="U105" i="22"/>
  <c r="T105" i="22"/>
  <c r="S105" i="22"/>
  <c r="R105" i="22"/>
  <c r="Q105" i="22"/>
  <c r="P105" i="22"/>
  <c r="O105" i="22"/>
  <c r="N105" i="22"/>
  <c r="M105" i="22"/>
  <c r="L105" i="22"/>
  <c r="K105" i="22"/>
  <c r="J105" i="22"/>
  <c r="I105" i="22"/>
  <c r="H105" i="22"/>
  <c r="G105" i="22"/>
  <c r="F105" i="22"/>
  <c r="E105" i="22"/>
  <c r="D105" i="22"/>
  <c r="C105" i="22"/>
  <c r="AA104" i="22"/>
  <c r="Z104" i="22"/>
  <c r="Y104" i="22"/>
  <c r="X104" i="22"/>
  <c r="W104" i="22"/>
  <c r="V104" i="22"/>
  <c r="U104" i="22"/>
  <c r="T104" i="22"/>
  <c r="S104" i="22"/>
  <c r="R104" i="22"/>
  <c r="Q104" i="22"/>
  <c r="P104" i="22"/>
  <c r="O104" i="22"/>
  <c r="N104" i="22"/>
  <c r="M104" i="22"/>
  <c r="L104" i="22"/>
  <c r="K104" i="22"/>
  <c r="J104" i="22"/>
  <c r="I104" i="22"/>
  <c r="H104" i="22"/>
  <c r="G104" i="22"/>
  <c r="F104" i="22"/>
  <c r="E104" i="22"/>
  <c r="D104" i="22"/>
  <c r="C104" i="22"/>
  <c r="AA103" i="22"/>
  <c r="Z103" i="22"/>
  <c r="Y103" i="22"/>
  <c r="X103" i="22"/>
  <c r="W103" i="22"/>
  <c r="V103" i="22"/>
  <c r="U103" i="22"/>
  <c r="T103" i="22"/>
  <c r="S103" i="22"/>
  <c r="R103" i="22"/>
  <c r="Q103" i="22"/>
  <c r="P103" i="22"/>
  <c r="O103" i="22"/>
  <c r="N103" i="22"/>
  <c r="M103" i="22"/>
  <c r="L103" i="22"/>
  <c r="K103" i="22"/>
  <c r="J103" i="22"/>
  <c r="I103" i="22"/>
  <c r="H103" i="22"/>
  <c r="G103" i="22"/>
  <c r="F103" i="22"/>
  <c r="E103" i="22"/>
  <c r="D103" i="22"/>
  <c r="C103" i="22"/>
  <c r="AA102" i="22"/>
  <c r="Z102" i="22"/>
  <c r="Y102" i="22"/>
  <c r="X102" i="22"/>
  <c r="W102" i="22"/>
  <c r="V102" i="22"/>
  <c r="U102" i="22"/>
  <c r="T102" i="22"/>
  <c r="S102" i="22"/>
  <c r="R102" i="22"/>
  <c r="Q102" i="22"/>
  <c r="P102" i="22"/>
  <c r="O102" i="22"/>
  <c r="N102" i="22"/>
  <c r="M102" i="22"/>
  <c r="L102" i="22"/>
  <c r="K102" i="22"/>
  <c r="J102" i="22"/>
  <c r="I102" i="22"/>
  <c r="H102" i="22"/>
  <c r="G102" i="22"/>
  <c r="F102" i="22"/>
  <c r="E102" i="22"/>
  <c r="D102" i="22"/>
  <c r="C102" i="22"/>
  <c r="AA101" i="22"/>
  <c r="Z101" i="22"/>
  <c r="Z107" i="22" s="1"/>
  <c r="BF23" i="22" s="1"/>
  <c r="Y101" i="22"/>
  <c r="X101" i="22"/>
  <c r="W101" i="22"/>
  <c r="V101" i="22"/>
  <c r="U101" i="22"/>
  <c r="T101" i="22"/>
  <c r="S101" i="22"/>
  <c r="R101" i="22"/>
  <c r="Q101" i="22"/>
  <c r="P101" i="22"/>
  <c r="O101" i="22"/>
  <c r="N101" i="22"/>
  <c r="M101" i="22"/>
  <c r="M107" i="22" s="1"/>
  <c r="AU23" i="22" s="1"/>
  <c r="L101" i="22"/>
  <c r="K101" i="22"/>
  <c r="J101" i="22"/>
  <c r="I101" i="22"/>
  <c r="I107" i="22" s="1"/>
  <c r="H101" i="22"/>
  <c r="H107" i="22" s="1"/>
  <c r="G101" i="22"/>
  <c r="F101" i="22"/>
  <c r="E101" i="22"/>
  <c r="E107" i="22" s="1"/>
  <c r="AP23" i="22" s="1"/>
  <c r="D101" i="22"/>
  <c r="C101" i="22"/>
  <c r="AI98" i="22"/>
  <c r="AH98" i="22"/>
  <c r="AI96" i="22"/>
  <c r="AH96" i="22"/>
  <c r="AG96" i="22"/>
  <c r="AI95" i="22"/>
  <c r="AH95" i="22"/>
  <c r="AI94" i="22"/>
  <c r="AH94" i="22"/>
  <c r="AI93" i="22"/>
  <c r="AH93" i="22"/>
  <c r="AG92" i="22"/>
  <c r="AA92" i="22"/>
  <c r="Z5" i="22" s="1"/>
  <c r="Z92" i="22"/>
  <c r="Y92" i="22"/>
  <c r="X5" i="22" s="1"/>
  <c r="X92" i="22"/>
  <c r="W5" i="22" s="1"/>
  <c r="W92" i="22"/>
  <c r="V5" i="22" s="1"/>
  <c r="V92" i="22"/>
  <c r="BD19" i="22" s="1"/>
  <c r="U92" i="22"/>
  <c r="T5" i="22" s="1"/>
  <c r="T92" i="22"/>
  <c r="S5" i="22" s="1"/>
  <c r="S92" i="22"/>
  <c r="BA19" i="22" s="1"/>
  <c r="R92" i="22"/>
  <c r="Q5" i="22" s="1"/>
  <c r="Q92" i="22"/>
  <c r="AY19" i="22" s="1"/>
  <c r="P92" i="22"/>
  <c r="AX19" i="22" s="1"/>
  <c r="O92" i="22"/>
  <c r="AW19" i="22" s="1"/>
  <c r="N92" i="22"/>
  <c r="AV19" i="22" s="1"/>
  <c r="M92" i="22"/>
  <c r="AU19" i="22" s="1"/>
  <c r="L92" i="22"/>
  <c r="K92" i="22"/>
  <c r="AT19" i="22" s="1"/>
  <c r="J92" i="22"/>
  <c r="I92" i="22"/>
  <c r="AS19" i="22" s="1"/>
  <c r="H92" i="22"/>
  <c r="G92" i="22"/>
  <c r="AR19" i="22" s="1"/>
  <c r="F92" i="22"/>
  <c r="E92" i="22"/>
  <c r="AP19" i="22" s="1"/>
  <c r="D92" i="22"/>
  <c r="AO19" i="22" s="1"/>
  <c r="C92" i="22"/>
  <c r="AN19" i="22" s="1"/>
  <c r="AI91" i="22"/>
  <c r="AH91" i="22"/>
  <c r="AI90" i="22"/>
  <c r="AH90" i="22"/>
  <c r="AI89" i="22"/>
  <c r="AH89" i="22"/>
  <c r="AI88" i="22"/>
  <c r="AH88" i="22"/>
  <c r="AI87" i="22"/>
  <c r="AH87" i="22"/>
  <c r="AI86" i="22"/>
  <c r="AH86" i="22"/>
  <c r="AI85" i="22"/>
  <c r="AH85" i="22"/>
  <c r="AI84" i="22"/>
  <c r="AH84" i="22"/>
  <c r="AI83" i="22"/>
  <c r="AH83" i="22"/>
  <c r="AI82" i="22"/>
  <c r="AH82" i="22"/>
  <c r="AI81" i="22"/>
  <c r="AH81" i="22"/>
  <c r="BG80" i="22"/>
  <c r="AG80" i="22"/>
  <c r="AA80" i="22"/>
  <c r="Z80" i="22"/>
  <c r="BF20" i="22" s="1"/>
  <c r="Y80" i="22"/>
  <c r="X80" i="22"/>
  <c r="W80" i="22"/>
  <c r="V80" i="22"/>
  <c r="BD20" i="22" s="1"/>
  <c r="U80" i="22"/>
  <c r="T80" i="22"/>
  <c r="S80" i="22"/>
  <c r="R80" i="22"/>
  <c r="Q80" i="22"/>
  <c r="AY20" i="22" s="1"/>
  <c r="P80" i="22"/>
  <c r="O80" i="22"/>
  <c r="AW20" i="22" s="1"/>
  <c r="N80" i="22"/>
  <c r="AV20" i="22" s="1"/>
  <c r="M80" i="22"/>
  <c r="AU20" i="22" s="1"/>
  <c r="L80" i="22"/>
  <c r="K80" i="22"/>
  <c r="J80" i="22"/>
  <c r="I80" i="22"/>
  <c r="H80" i="22"/>
  <c r="G80" i="22"/>
  <c r="AR20" i="22" s="1"/>
  <c r="F80" i="22"/>
  <c r="E80" i="22"/>
  <c r="BV79" i="22"/>
  <c r="BI79" i="22"/>
  <c r="AI79" i="22"/>
  <c r="AH79" i="22"/>
  <c r="AI78" i="22"/>
  <c r="AH78" i="22"/>
  <c r="AI77" i="22"/>
  <c r="AH77" i="22"/>
  <c r="BP76" i="22"/>
  <c r="BO76" i="22"/>
  <c r="BJ76" i="22"/>
  <c r="BE76" i="22"/>
  <c r="BD76" i="22"/>
  <c r="BB76" i="22"/>
  <c r="AG76" i="22"/>
  <c r="AG3" i="22" s="1"/>
  <c r="AG6" i="22" s="1"/>
  <c r="BH18" i="22"/>
  <c r="AA76" i="22"/>
  <c r="Z76" i="22"/>
  <c r="BF18" i="22" s="1"/>
  <c r="Y76" i="22"/>
  <c r="X76" i="22"/>
  <c r="BE18" i="22" s="1"/>
  <c r="W76" i="22"/>
  <c r="V76" i="22"/>
  <c r="BD18" i="22" s="1"/>
  <c r="U76" i="22"/>
  <c r="BC18" i="22" s="1"/>
  <c r="T76" i="22"/>
  <c r="S76" i="22"/>
  <c r="BA18" i="22" s="1"/>
  <c r="R76" i="22"/>
  <c r="AZ18" i="22" s="1"/>
  <c r="Q76" i="22"/>
  <c r="AY18" i="22" s="1"/>
  <c r="P76" i="22"/>
  <c r="AX18" i="22" s="1"/>
  <c r="O76" i="22"/>
  <c r="AW18" i="22" s="1"/>
  <c r="N76" i="22"/>
  <c r="AV18" i="22" s="1"/>
  <c r="M76" i="22"/>
  <c r="AU18" i="22" s="1"/>
  <c r="L76" i="22"/>
  <c r="K76" i="22"/>
  <c r="J76" i="22"/>
  <c r="I76" i="22"/>
  <c r="AS18" i="22" s="1"/>
  <c r="H76" i="22"/>
  <c r="G76" i="22"/>
  <c r="AR18" i="22" s="1"/>
  <c r="F76" i="22"/>
  <c r="AQ18" i="22" s="1"/>
  <c r="E76" i="22"/>
  <c r="AP18" i="22" s="1"/>
  <c r="BV75" i="22"/>
  <c r="BD75" i="22"/>
  <c r="AI75" i="22"/>
  <c r="AH75" i="22"/>
  <c r="AG75" i="22"/>
  <c r="AI74" i="22"/>
  <c r="AH74" i="22"/>
  <c r="BW73" i="22"/>
  <c r="BW80" i="22" s="1"/>
  <c r="BV73" i="22"/>
  <c r="BV80" i="22" s="1"/>
  <c r="BU73" i="22"/>
  <c r="BU80" i="22" s="1"/>
  <c r="BT73" i="22"/>
  <c r="BT80" i="22" s="1"/>
  <c r="BS73" i="22"/>
  <c r="BS80" i="22" s="1"/>
  <c r="BR73" i="22"/>
  <c r="BR80" i="22" s="1"/>
  <c r="BQ73" i="22"/>
  <c r="BQ80" i="22" s="1"/>
  <c r="BP73" i="22"/>
  <c r="BP80" i="22" s="1"/>
  <c r="BO73" i="22"/>
  <c r="BO80" i="22" s="1"/>
  <c r="BN73" i="22"/>
  <c r="BN80" i="22" s="1"/>
  <c r="BM73" i="22"/>
  <c r="BM80" i="22" s="1"/>
  <c r="BL73" i="22"/>
  <c r="BL80" i="22" s="1"/>
  <c r="BK73" i="22"/>
  <c r="BK80" i="22" s="1"/>
  <c r="BJ73" i="22"/>
  <c r="BJ80" i="22" s="1"/>
  <c r="BI73" i="22"/>
  <c r="BI80" i="22" s="1"/>
  <c r="BH73" i="22"/>
  <c r="BH80" i="22" s="1"/>
  <c r="BG73" i="22"/>
  <c r="BF73" i="22"/>
  <c r="BF80" i="22" s="1"/>
  <c r="BE73" i="22"/>
  <c r="BE80" i="22" s="1"/>
  <c r="BD73" i="22"/>
  <c r="BD80" i="22" s="1"/>
  <c r="BC73" i="22"/>
  <c r="BC80" i="22" s="1"/>
  <c r="BB73" i="22"/>
  <c r="BB80" i="22" s="1"/>
  <c r="BA73" i="22"/>
  <c r="BA80" i="22" s="1"/>
  <c r="AZ73" i="22"/>
  <c r="AZ80" i="22" s="1"/>
  <c r="AI73" i="22"/>
  <c r="AH73" i="22"/>
  <c r="BW72" i="22"/>
  <c r="BW79" i="22" s="1"/>
  <c r="BV72" i="22"/>
  <c r="BU72" i="22"/>
  <c r="BU79" i="22" s="1"/>
  <c r="BT72" i="22"/>
  <c r="BT79" i="22" s="1"/>
  <c r="BS72" i="22"/>
  <c r="BS79" i="22" s="1"/>
  <c r="BR72" i="22"/>
  <c r="BR79" i="22" s="1"/>
  <c r="BQ72" i="22"/>
  <c r="BQ79" i="22" s="1"/>
  <c r="BP72" i="22"/>
  <c r="BP79" i="22" s="1"/>
  <c r="BO72" i="22"/>
  <c r="BO79" i="22" s="1"/>
  <c r="BN72" i="22"/>
  <c r="BN79" i="22" s="1"/>
  <c r="BM72" i="22"/>
  <c r="BM79" i="22" s="1"/>
  <c r="BL72" i="22"/>
  <c r="BL79" i="22" s="1"/>
  <c r="BK72" i="22"/>
  <c r="BK79" i="22" s="1"/>
  <c r="BJ72" i="22"/>
  <c r="BJ79" i="22" s="1"/>
  <c r="BI72" i="22"/>
  <c r="BH72" i="22"/>
  <c r="BH79" i="22" s="1"/>
  <c r="BG72" i="22"/>
  <c r="BG79" i="22" s="1"/>
  <c r="BF72" i="22"/>
  <c r="BF79" i="22" s="1"/>
  <c r="BE72" i="22"/>
  <c r="BE79" i="22" s="1"/>
  <c r="BD72" i="22"/>
  <c r="BD79" i="22" s="1"/>
  <c r="BC72" i="22"/>
  <c r="BC79" i="22" s="1"/>
  <c r="BB72" i="22"/>
  <c r="BB79" i="22" s="1"/>
  <c r="BA72" i="22"/>
  <c r="BA79" i="22" s="1"/>
  <c r="AZ72" i="22"/>
  <c r="AZ79" i="22" s="1"/>
  <c r="AI72" i="22"/>
  <c r="AH72" i="22"/>
  <c r="BW71" i="22"/>
  <c r="BW78" i="22" s="1"/>
  <c r="BV71" i="22"/>
  <c r="BV78" i="22" s="1"/>
  <c r="BU71" i="22"/>
  <c r="BU78" i="22" s="1"/>
  <c r="BT71" i="22"/>
  <c r="BT78" i="22" s="1"/>
  <c r="BS71" i="22"/>
  <c r="BS78" i="22" s="1"/>
  <c r="BR71" i="22"/>
  <c r="BR78" i="22" s="1"/>
  <c r="BQ71" i="22"/>
  <c r="BQ78" i="22" s="1"/>
  <c r="BP71" i="22"/>
  <c r="BP78" i="22" s="1"/>
  <c r="BO71" i="22"/>
  <c r="BO78" i="22" s="1"/>
  <c r="BN71" i="22"/>
  <c r="BN78" i="22" s="1"/>
  <c r="BM71" i="22"/>
  <c r="BM78" i="22" s="1"/>
  <c r="BL71" i="22"/>
  <c r="BL78" i="22" s="1"/>
  <c r="BK71" i="22"/>
  <c r="BK78" i="22" s="1"/>
  <c r="BJ71" i="22"/>
  <c r="BJ78" i="22" s="1"/>
  <c r="BI71" i="22"/>
  <c r="BI78" i="22" s="1"/>
  <c r="BH71" i="22"/>
  <c r="BH78" i="22" s="1"/>
  <c r="BG71" i="22"/>
  <c r="BG78" i="22" s="1"/>
  <c r="BF71" i="22"/>
  <c r="BF78" i="22" s="1"/>
  <c r="BE71" i="22"/>
  <c r="BE78" i="22" s="1"/>
  <c r="BD71" i="22"/>
  <c r="BD78" i="22" s="1"/>
  <c r="BC71" i="22"/>
  <c r="BC78" i="22" s="1"/>
  <c r="BB71" i="22"/>
  <c r="BB78" i="22" s="1"/>
  <c r="BA71" i="22"/>
  <c r="BA78" i="22" s="1"/>
  <c r="AZ71" i="22"/>
  <c r="AZ78" i="22" s="1"/>
  <c r="AI71" i="22"/>
  <c r="AH71" i="22"/>
  <c r="BW70" i="22"/>
  <c r="BW77" i="22" s="1"/>
  <c r="BV70" i="22"/>
  <c r="BV77" i="22" s="1"/>
  <c r="BU70" i="22"/>
  <c r="BU77" i="22" s="1"/>
  <c r="BT70" i="22"/>
  <c r="BT77" i="22" s="1"/>
  <c r="BS70" i="22"/>
  <c r="BS77" i="22" s="1"/>
  <c r="BR70" i="22"/>
  <c r="BR77" i="22" s="1"/>
  <c r="BQ70" i="22"/>
  <c r="BQ77" i="22" s="1"/>
  <c r="BP70" i="22"/>
  <c r="BP77" i="22" s="1"/>
  <c r="BO70" i="22"/>
  <c r="BO77" i="22" s="1"/>
  <c r="BN70" i="22"/>
  <c r="BN77" i="22" s="1"/>
  <c r="BM70" i="22"/>
  <c r="BM77" i="22" s="1"/>
  <c r="BL70" i="22"/>
  <c r="BL77" i="22" s="1"/>
  <c r="BK70" i="22"/>
  <c r="BK77" i="22" s="1"/>
  <c r="BJ70" i="22"/>
  <c r="BJ77" i="22" s="1"/>
  <c r="BI70" i="22"/>
  <c r="BI77" i="22" s="1"/>
  <c r="BH70" i="22"/>
  <c r="BH77" i="22" s="1"/>
  <c r="BG70" i="22"/>
  <c r="BG77" i="22" s="1"/>
  <c r="BF70" i="22"/>
  <c r="BF77" i="22" s="1"/>
  <c r="BE70" i="22"/>
  <c r="BE77" i="22" s="1"/>
  <c r="BD70" i="22"/>
  <c r="BD77" i="22" s="1"/>
  <c r="BC70" i="22"/>
  <c r="BC77" i="22" s="1"/>
  <c r="BB70" i="22"/>
  <c r="BB77" i="22" s="1"/>
  <c r="BA70" i="22"/>
  <c r="BA77" i="22" s="1"/>
  <c r="AZ70" i="22"/>
  <c r="AZ77" i="22" s="1"/>
  <c r="AI70" i="22"/>
  <c r="AH70" i="22"/>
  <c r="BW69" i="22"/>
  <c r="BW76" i="22" s="1"/>
  <c r="BV69" i="22"/>
  <c r="BV76" i="22" s="1"/>
  <c r="BU69" i="22"/>
  <c r="BU76" i="22" s="1"/>
  <c r="BT69" i="22"/>
  <c r="BT76" i="22" s="1"/>
  <c r="BS69" i="22"/>
  <c r="BS76" i="22" s="1"/>
  <c r="BR69" i="22"/>
  <c r="BR76" i="22" s="1"/>
  <c r="BQ69" i="22"/>
  <c r="BQ76" i="22" s="1"/>
  <c r="BP69" i="22"/>
  <c r="BO69" i="22"/>
  <c r="BN69" i="22"/>
  <c r="BN76" i="22" s="1"/>
  <c r="BM69" i="22"/>
  <c r="BM76" i="22" s="1"/>
  <c r="BL69" i="22"/>
  <c r="BL76" i="22" s="1"/>
  <c r="BK69" i="22"/>
  <c r="BK76" i="22" s="1"/>
  <c r="BJ69" i="22"/>
  <c r="BI69" i="22"/>
  <c r="BI76" i="22" s="1"/>
  <c r="BH69" i="22"/>
  <c r="BH76" i="22" s="1"/>
  <c r="BG69" i="22"/>
  <c r="BG76" i="22" s="1"/>
  <c r="BF69" i="22"/>
  <c r="BF76" i="22" s="1"/>
  <c r="BE69" i="22"/>
  <c r="BD69" i="22"/>
  <c r="BC69" i="22"/>
  <c r="BC76" i="22" s="1"/>
  <c r="BB69" i="22"/>
  <c r="BA69" i="22"/>
  <c r="BA76" i="22" s="1"/>
  <c r="AZ69" i="22"/>
  <c r="AZ76" i="22" s="1"/>
  <c r="AI69" i="22"/>
  <c r="AH69" i="22"/>
  <c r="BW68" i="22"/>
  <c r="BW75" i="22" s="1"/>
  <c r="BV68" i="22"/>
  <c r="BU68" i="22"/>
  <c r="BU75" i="22" s="1"/>
  <c r="BT68" i="22"/>
  <c r="BT75" i="22" s="1"/>
  <c r="BS68" i="22"/>
  <c r="BS75" i="22" s="1"/>
  <c r="BR68" i="22"/>
  <c r="BR75" i="22" s="1"/>
  <c r="BQ68" i="22"/>
  <c r="BQ75" i="22" s="1"/>
  <c r="BP68" i="22"/>
  <c r="BP75" i="22" s="1"/>
  <c r="BO68" i="22"/>
  <c r="BO75" i="22" s="1"/>
  <c r="BN68" i="22"/>
  <c r="BN75" i="22" s="1"/>
  <c r="BM68" i="22"/>
  <c r="BM75" i="22" s="1"/>
  <c r="BL68" i="22"/>
  <c r="BL75" i="22" s="1"/>
  <c r="BK68" i="22"/>
  <c r="BK75" i="22" s="1"/>
  <c r="BJ68" i="22"/>
  <c r="BJ75" i="22" s="1"/>
  <c r="BI68" i="22"/>
  <c r="BI75" i="22" s="1"/>
  <c r="BH68" i="22"/>
  <c r="BH75" i="22" s="1"/>
  <c r="BG68" i="22"/>
  <c r="BG75" i="22" s="1"/>
  <c r="BF68" i="22"/>
  <c r="BF75" i="22" s="1"/>
  <c r="BE68" i="22"/>
  <c r="BE75" i="22" s="1"/>
  <c r="BD68" i="22"/>
  <c r="BC68" i="22"/>
  <c r="BC75" i="22" s="1"/>
  <c r="BB68" i="22"/>
  <c r="BB75" i="22" s="1"/>
  <c r="BA68" i="22"/>
  <c r="BA75" i="22" s="1"/>
  <c r="AZ68" i="22"/>
  <c r="AZ75" i="22" s="1"/>
  <c r="AI68" i="22"/>
  <c r="AH68" i="22"/>
  <c r="AI67" i="22"/>
  <c r="AH67" i="22"/>
  <c r="AI66" i="22"/>
  <c r="AH66" i="22"/>
  <c r="AI65" i="22"/>
  <c r="AH65" i="22"/>
  <c r="AI64" i="22"/>
  <c r="AH64" i="22"/>
  <c r="AI63" i="22"/>
  <c r="AH63" i="22"/>
  <c r="AG62" i="22"/>
  <c r="BI17" i="22"/>
  <c r="BH17" i="22"/>
  <c r="AA62" i="22"/>
  <c r="Z62" i="22"/>
  <c r="Y62" i="22"/>
  <c r="X62" i="22"/>
  <c r="BE17" i="22" s="1"/>
  <c r="W62" i="22"/>
  <c r="V62" i="22"/>
  <c r="BD17" i="22" s="1"/>
  <c r="U62" i="22"/>
  <c r="BC17" i="22" s="1"/>
  <c r="T62" i="22"/>
  <c r="S62" i="22"/>
  <c r="BA17" i="22" s="1"/>
  <c r="R62" i="22"/>
  <c r="AZ17" i="22" s="1"/>
  <c r="Q62" i="22"/>
  <c r="P62" i="22"/>
  <c r="AX17" i="22" s="1"/>
  <c r="O62" i="22"/>
  <c r="AW17" i="22" s="1"/>
  <c r="N62" i="22"/>
  <c r="AV17" i="22" s="1"/>
  <c r="M62" i="22"/>
  <c r="AU17" i="22" s="1"/>
  <c r="L62" i="22"/>
  <c r="K62" i="22"/>
  <c r="AT17" i="22" s="1"/>
  <c r="J62" i="22"/>
  <c r="I62" i="22"/>
  <c r="H62" i="22"/>
  <c r="G62" i="22"/>
  <c r="F62" i="22"/>
  <c r="E62" i="22"/>
  <c r="AP17" i="22" s="1"/>
  <c r="AI61" i="22"/>
  <c r="AH61" i="22"/>
  <c r="AI60" i="22"/>
  <c r="AH60" i="22"/>
  <c r="AI59" i="22"/>
  <c r="AH59" i="22"/>
  <c r="AG58" i="22"/>
  <c r="AA58" i="22"/>
  <c r="Z58" i="22"/>
  <c r="Y58" i="22"/>
  <c r="X58" i="22"/>
  <c r="BE16" i="22" s="1"/>
  <c r="W58" i="22"/>
  <c r="V58" i="22"/>
  <c r="U58" i="22"/>
  <c r="T58" i="22"/>
  <c r="S58" i="22"/>
  <c r="R58" i="22"/>
  <c r="Q58" i="22"/>
  <c r="P58" i="22"/>
  <c r="O58" i="22"/>
  <c r="AW16" i="22" s="1"/>
  <c r="N58" i="22"/>
  <c r="N97" i="22" s="1"/>
  <c r="N99" i="22" s="1"/>
  <c r="M58" i="22"/>
  <c r="L58" i="22"/>
  <c r="K58" i="22"/>
  <c r="J58" i="22"/>
  <c r="I58" i="22"/>
  <c r="AS16" i="22" s="1"/>
  <c r="H58" i="22"/>
  <c r="G58" i="22"/>
  <c r="AR16" i="22" s="1"/>
  <c r="F58" i="22"/>
  <c r="F97" i="22" s="1"/>
  <c r="F99" i="22" s="1"/>
  <c r="E58" i="22"/>
  <c r="AI56" i="22"/>
  <c r="AH56" i="22"/>
  <c r="AI55" i="22"/>
  <c r="AH55" i="22"/>
  <c r="AI54" i="22"/>
  <c r="AH54" i="22"/>
  <c r="AI53" i="22"/>
  <c r="AH53" i="22"/>
  <c r="AI52" i="22"/>
  <c r="AH52" i="22"/>
  <c r="AI51" i="22"/>
  <c r="AH51" i="22"/>
  <c r="AI50" i="22"/>
  <c r="AH50" i="22"/>
  <c r="AI49" i="22"/>
  <c r="AH49" i="22"/>
  <c r="AI48" i="22"/>
  <c r="AH48" i="22"/>
  <c r="AI47" i="22"/>
  <c r="AH47" i="22"/>
  <c r="AI46" i="22"/>
  <c r="AH46" i="22"/>
  <c r="AI45" i="22"/>
  <c r="AH45" i="22"/>
  <c r="AI44" i="22"/>
  <c r="AH44" i="22"/>
  <c r="AI43" i="22"/>
  <c r="AH43" i="22"/>
  <c r="AI42" i="22"/>
  <c r="AH42" i="22"/>
  <c r="AI41" i="22"/>
  <c r="AH41" i="22"/>
  <c r="AI40" i="22"/>
  <c r="AH40" i="22"/>
  <c r="AI39" i="22"/>
  <c r="AH39" i="22"/>
  <c r="AI38" i="22"/>
  <c r="AH38" i="22"/>
  <c r="AI37" i="22"/>
  <c r="AH37" i="22"/>
  <c r="AI36" i="22"/>
  <c r="AH36" i="22"/>
  <c r="AI35" i="22"/>
  <c r="AH35" i="22"/>
  <c r="AI34" i="22"/>
  <c r="AH34" i="22"/>
  <c r="AI33" i="22"/>
  <c r="AH33" i="22"/>
  <c r="AI32" i="22"/>
  <c r="AH32" i="22"/>
  <c r="AI31" i="22"/>
  <c r="AH31" i="22"/>
  <c r="AI30" i="22"/>
  <c r="AH30" i="22"/>
  <c r="AI29" i="22"/>
  <c r="AH29" i="22"/>
  <c r="AI28" i="22"/>
  <c r="AH28" i="22"/>
  <c r="AI27" i="22"/>
  <c r="AH27" i="22"/>
  <c r="AI26" i="22"/>
  <c r="AH26" i="22"/>
  <c r="AI25" i="22"/>
  <c r="AH25" i="22"/>
  <c r="AI24" i="22"/>
  <c r="AH24" i="22"/>
  <c r="BJ23" i="22"/>
  <c r="AI23" i="22"/>
  <c r="AH23" i="22"/>
  <c r="AI22" i="22"/>
  <c r="AH22" i="22"/>
  <c r="BJ21" i="22"/>
  <c r="BI21" i="22"/>
  <c r="BH21" i="22"/>
  <c r="BG21" i="22"/>
  <c r="BF21" i="22"/>
  <c r="BE21" i="22"/>
  <c r="BD21" i="22"/>
  <c r="BC21" i="22"/>
  <c r="BB21" i="22"/>
  <c r="BA21" i="22"/>
  <c r="AZ21" i="22"/>
  <c r="AY21" i="22"/>
  <c r="AX21" i="22"/>
  <c r="AW21" i="22"/>
  <c r="AV21" i="22"/>
  <c r="AU21" i="22"/>
  <c r="AT21" i="22"/>
  <c r="AS21" i="22"/>
  <c r="AR21" i="22"/>
  <c r="AQ21" i="22"/>
  <c r="AP21" i="22"/>
  <c r="AO21" i="22"/>
  <c r="AN21" i="22"/>
  <c r="AM21" i="22"/>
  <c r="AI21" i="22"/>
  <c r="AH21" i="22"/>
  <c r="BJ20" i="22"/>
  <c r="BI20" i="22"/>
  <c r="BH20" i="22"/>
  <c r="BG20" i="22"/>
  <c r="BE20" i="22"/>
  <c r="BC20" i="22"/>
  <c r="BB20" i="22"/>
  <c r="BA20" i="22"/>
  <c r="AZ20" i="22"/>
  <c r="AX20" i="22"/>
  <c r="AT20" i="22"/>
  <c r="AS20" i="22"/>
  <c r="AQ20" i="22"/>
  <c r="AP20" i="22"/>
  <c r="AN20" i="22"/>
  <c r="AM20" i="22"/>
  <c r="AI20" i="22"/>
  <c r="AH20" i="22"/>
  <c r="BJ19" i="22"/>
  <c r="BI19" i="22"/>
  <c r="BH19" i="22"/>
  <c r="BG19" i="22"/>
  <c r="BF19" i="22"/>
  <c r="BE19" i="22"/>
  <c r="AQ19" i="22"/>
  <c r="AM19" i="22"/>
  <c r="AI19" i="22"/>
  <c r="AH19" i="22"/>
  <c r="BI18" i="22"/>
  <c r="BG18" i="22"/>
  <c r="BB18" i="22"/>
  <c r="AT18" i="22"/>
  <c r="AI18" i="22"/>
  <c r="AH18" i="22"/>
  <c r="BJ17" i="22"/>
  <c r="BG17" i="22"/>
  <c r="BF17" i="22"/>
  <c r="BB17" i="22"/>
  <c r="AY17" i="22"/>
  <c r="AS17" i="22"/>
  <c r="AR17" i="22"/>
  <c r="AQ17" i="22"/>
  <c r="AO17" i="22"/>
  <c r="AN17" i="22"/>
  <c r="AM17" i="22"/>
  <c r="AI17" i="22"/>
  <c r="AH17" i="22"/>
  <c r="BJ16" i="22"/>
  <c r="BI16" i="22"/>
  <c r="BH16" i="22"/>
  <c r="BG16" i="22"/>
  <c r="BF16" i="22"/>
  <c r="BB16" i="22"/>
  <c r="AZ16" i="22"/>
  <c r="AY16" i="22"/>
  <c r="AO16" i="22"/>
  <c r="AM16" i="22"/>
  <c r="AI16" i="22"/>
  <c r="AH16" i="22"/>
  <c r="AI15" i="22"/>
  <c r="AH15" i="22"/>
  <c r="AI14" i="22"/>
  <c r="AH14" i="22"/>
  <c r="AI13" i="22"/>
  <c r="AH13" i="22"/>
  <c r="AL12" i="22"/>
  <c r="AI12" i="22"/>
  <c r="AH12" i="22"/>
  <c r="AI11" i="22"/>
  <c r="AH11" i="22"/>
  <c r="AF5" i="22"/>
  <c r="AE5" i="22"/>
  <c r="AD5" i="22"/>
  <c r="AC5" i="22"/>
  <c r="AB5" i="22"/>
  <c r="AA5" i="22"/>
  <c r="Y5" i="22"/>
  <c r="U5" i="22"/>
  <c r="L5" i="22"/>
  <c r="I5" i="22"/>
  <c r="H5" i="22"/>
  <c r="F5" i="22"/>
  <c r="E5" i="22"/>
  <c r="B5" i="22"/>
  <c r="AG4" i="22"/>
  <c r="K4" i="22"/>
  <c r="E4" i="22"/>
  <c r="H4" i="22" s="1"/>
  <c r="B4" i="22"/>
  <c r="D258" i="22" s="1"/>
  <c r="AG2" i="22"/>
  <c r="AF121" i="21"/>
  <c r="AF57" i="21"/>
  <c r="AF58" i="21"/>
  <c r="AE121" i="21"/>
  <c r="AE57" i="21"/>
  <c r="AE58" i="21"/>
  <c r="AE62" i="21"/>
  <c r="AD121" i="21"/>
  <c r="AD57" i="21"/>
  <c r="AC57" i="21"/>
  <c r="AB57" i="21"/>
  <c r="X58" i="21"/>
  <c r="X62" i="21"/>
  <c r="X76" i="21"/>
  <c r="X80" i="21"/>
  <c r="X92" i="21"/>
  <c r="X101" i="21"/>
  <c r="X102" i="21"/>
  <c r="X103" i="21"/>
  <c r="X104" i="21"/>
  <c r="X105" i="21"/>
  <c r="X118" i="21"/>
  <c r="U57" i="21"/>
  <c r="U58" i="21"/>
  <c r="U62" i="21"/>
  <c r="U76" i="21"/>
  <c r="U80" i="21"/>
  <c r="U92" i="21"/>
  <c r="U101" i="21"/>
  <c r="U102" i="21"/>
  <c r="U103" i="21"/>
  <c r="U104" i="21"/>
  <c r="U105" i="21"/>
  <c r="U118" i="21"/>
  <c r="T57" i="21"/>
  <c r="T58" i="21"/>
  <c r="T62" i="21"/>
  <c r="T76" i="21"/>
  <c r="T80" i="21"/>
  <c r="T92" i="21"/>
  <c r="T101" i="21"/>
  <c r="T102" i="21"/>
  <c r="T103" i="21"/>
  <c r="T104" i="21"/>
  <c r="T105" i="21"/>
  <c r="T118" i="21"/>
  <c r="S57" i="21"/>
  <c r="BI22" i="22" l="1"/>
  <c r="BG22" i="22"/>
  <c r="AA107" i="22"/>
  <c r="AA97" i="22"/>
  <c r="AA99" i="22" s="1"/>
  <c r="BF22" i="22"/>
  <c r="BF24" i="22" s="1"/>
  <c r="Y107" i="22"/>
  <c r="Y108" i="22"/>
  <c r="X107" i="22"/>
  <c r="BE23" i="22" s="1"/>
  <c r="BE22" i="22"/>
  <c r="X97" i="22"/>
  <c r="X99" i="22" s="1"/>
  <c r="X100" i="22" s="1"/>
  <c r="X7" i="22" s="1"/>
  <c r="W97" i="22"/>
  <c r="W99" i="22" s="1"/>
  <c r="V97" i="22"/>
  <c r="V99" i="22" s="1"/>
  <c r="BC19" i="22"/>
  <c r="U107" i="22"/>
  <c r="BC23" i="22" s="1"/>
  <c r="BB19" i="22"/>
  <c r="R5" i="22"/>
  <c r="S97" i="22"/>
  <c r="S99" i="22" s="1"/>
  <c r="S107" i="22"/>
  <c r="BA23" i="22" s="1"/>
  <c r="BA16" i="22"/>
  <c r="BA22" i="22" s="1"/>
  <c r="AZ19" i="22"/>
  <c r="R108" i="22"/>
  <c r="P5" i="22"/>
  <c r="Q107" i="22"/>
  <c r="Q108" i="22" s="1"/>
  <c r="O5" i="22"/>
  <c r="P107" i="22"/>
  <c r="AX23" i="22" s="1"/>
  <c r="P97" i="22"/>
  <c r="P99" i="22" s="1"/>
  <c r="AX16" i="22"/>
  <c r="AX22" i="22" s="1"/>
  <c r="N5" i="22"/>
  <c r="AW22" i="22"/>
  <c r="M5" i="22"/>
  <c r="J5" i="22"/>
  <c r="K97" i="22"/>
  <c r="K99" i="22" s="1"/>
  <c r="K100" i="22" s="1"/>
  <c r="K7" i="22" s="1"/>
  <c r="K107" i="22"/>
  <c r="AT23" i="22" s="1"/>
  <c r="AT16" i="22"/>
  <c r="J107" i="22"/>
  <c r="J108" i="22"/>
  <c r="H108" i="22"/>
  <c r="G5" i="22"/>
  <c r="H97" i="22"/>
  <c r="H99" i="22" s="1"/>
  <c r="H100" i="22" s="1"/>
  <c r="H7" i="22" s="1"/>
  <c r="AR22" i="22"/>
  <c r="G97" i="22"/>
  <c r="G99" i="22" s="1"/>
  <c r="AI80" i="22"/>
  <c r="AI121" i="22"/>
  <c r="D5" i="22"/>
  <c r="AH62" i="22"/>
  <c r="AI105" i="22"/>
  <c r="AI57" i="22"/>
  <c r="AO22" i="22"/>
  <c r="AH102" i="22"/>
  <c r="C97" i="22"/>
  <c r="C99" i="22" s="1"/>
  <c r="C107" i="22"/>
  <c r="AN23" i="22" s="1"/>
  <c r="B107" i="22"/>
  <c r="AM23" i="22" s="1"/>
  <c r="B108" i="22"/>
  <c r="B97" i="22"/>
  <c r="B99" i="22" s="1"/>
  <c r="B100" i="22" s="1"/>
  <c r="AH57" i="22"/>
  <c r="BG84" i="22" a="1"/>
  <c r="BI89" i="22" s="1"/>
  <c r="AS22" i="22"/>
  <c r="BB22" i="22"/>
  <c r="BH22" i="22"/>
  <c r="AI62" i="22"/>
  <c r="AT22" i="22"/>
  <c r="AT24" i="22" s="1"/>
  <c r="AY22" i="22"/>
  <c r="AZ22" i="22"/>
  <c r="AZ24" i="22" s="1"/>
  <c r="AS23" i="22"/>
  <c r="I108" i="22"/>
  <c r="AM22" i="22"/>
  <c r="E97" i="22"/>
  <c r="E99" i="22" s="1"/>
  <c r="E100" i="22" s="1"/>
  <c r="E7" i="22" s="1"/>
  <c r="AP16" i="22"/>
  <c r="AP22" i="22" s="1"/>
  <c r="AP24" i="22" s="1"/>
  <c r="M97" i="22"/>
  <c r="M99" i="22" s="1"/>
  <c r="M100" i="22" s="1"/>
  <c r="M7" i="22" s="1"/>
  <c r="AU16" i="22"/>
  <c r="AU22" i="22" s="1"/>
  <c r="AU24" i="22" s="1"/>
  <c r="U97" i="22"/>
  <c r="U99" i="22" s="1"/>
  <c r="U100" i="22" s="1"/>
  <c r="U7" i="22" s="1"/>
  <c r="BC16" i="22"/>
  <c r="BC22" i="22" s="1"/>
  <c r="BC24" i="22" s="1"/>
  <c r="AC7" i="22"/>
  <c r="BJ18" i="22"/>
  <c r="BJ22" i="22" s="1"/>
  <c r="BJ24" i="22" s="1"/>
  <c r="AF7" i="22"/>
  <c r="AH76" i="22"/>
  <c r="AH80" i="22"/>
  <c r="G107" i="22"/>
  <c r="AR23" i="22" s="1"/>
  <c r="O107" i="22"/>
  <c r="AW23" i="22" s="1"/>
  <c r="AW24" i="22" s="1"/>
  <c r="W107" i="22"/>
  <c r="W108" i="22" s="1"/>
  <c r="BI23" i="22"/>
  <c r="BI24" i="22" s="1"/>
  <c r="E108" i="22"/>
  <c r="M108" i="22"/>
  <c r="U108" i="22"/>
  <c r="F107" i="22"/>
  <c r="AQ23" i="22" s="1"/>
  <c r="V107" i="22"/>
  <c r="BD23" i="22" s="1"/>
  <c r="C5" i="22"/>
  <c r="K5" i="22"/>
  <c r="AI76" i="22"/>
  <c r="O97" i="22"/>
  <c r="O99" i="22" s="1"/>
  <c r="AI104" i="22"/>
  <c r="N107" i="22"/>
  <c r="AV23" i="22" s="1"/>
  <c r="BH23" i="22"/>
  <c r="AL13" i="22"/>
  <c r="AN16" i="22"/>
  <c r="AN22" i="22" s="1"/>
  <c r="AN24" i="22" s="1"/>
  <c r="AV16" i="22"/>
  <c r="AV22" i="22" s="1"/>
  <c r="BD16" i="22"/>
  <c r="BD22" i="22" s="1"/>
  <c r="I97" i="22"/>
  <c r="I99" i="22" s="1"/>
  <c r="I100" i="22" s="1"/>
  <c r="I7" i="22" s="1"/>
  <c r="Q97" i="22"/>
  <c r="Q99" i="22" s="1"/>
  <c r="Q100" i="22" s="1"/>
  <c r="Q7" i="22" s="1"/>
  <c r="Y97" i="22"/>
  <c r="Y99" i="22" s="1"/>
  <c r="Y100" i="22" s="1"/>
  <c r="Y7" i="22" s="1"/>
  <c r="AG97" i="22"/>
  <c r="AH101" i="22"/>
  <c r="AI103" i="22"/>
  <c r="D252" i="22"/>
  <c r="J97" i="22"/>
  <c r="J99" i="22" s="1"/>
  <c r="J100" i="22" s="1"/>
  <c r="J7" i="22" s="1"/>
  <c r="R97" i="22"/>
  <c r="R99" i="22" s="1"/>
  <c r="R100" i="22" s="1"/>
  <c r="R7" i="22" s="1"/>
  <c r="Z97" i="22"/>
  <c r="Z99" i="22" s="1"/>
  <c r="Z100" i="22" s="1"/>
  <c r="Z7" i="22" s="1"/>
  <c r="AH58" i="22"/>
  <c r="AI101" i="22"/>
  <c r="AI102" i="22"/>
  <c r="AI58" i="22"/>
  <c r="Z108" i="22"/>
  <c r="AH92" i="22"/>
  <c r="AG99" i="22"/>
  <c r="AQ16" i="22"/>
  <c r="AQ22" i="22" s="1"/>
  <c r="D97" i="22"/>
  <c r="D99" i="22" s="1"/>
  <c r="L97" i="22"/>
  <c r="L99" i="22" s="1"/>
  <c r="T97" i="22"/>
  <c r="T99" i="22" s="1"/>
  <c r="C108" i="22"/>
  <c r="K108" i="22"/>
  <c r="S108" i="22"/>
  <c r="AA108" i="22"/>
  <c r="AI92" i="22"/>
  <c r="D107" i="22"/>
  <c r="D108" i="22" s="1"/>
  <c r="L107" i="22"/>
  <c r="L108" i="22" s="1"/>
  <c r="T107" i="22"/>
  <c r="BB23" i="22" s="1"/>
  <c r="BG23" i="22"/>
  <c r="BG24" i="22" s="1"/>
  <c r="E251" i="22"/>
  <c r="F251" i="22" s="1"/>
  <c r="G251" i="22" s="1"/>
  <c r="H251" i="22" s="1"/>
  <c r="I251" i="22" s="1"/>
  <c r="J251" i="22" s="1"/>
  <c r="K251" i="22" s="1"/>
  <c r="L251" i="22" s="1"/>
  <c r="M251" i="22" s="1"/>
  <c r="N251" i="22" s="1"/>
  <c r="O251" i="22" s="1"/>
  <c r="P251" i="22" s="1"/>
  <c r="Q251" i="22" s="1"/>
  <c r="R251" i="22" s="1"/>
  <c r="S251" i="22" s="1"/>
  <c r="T251" i="22" s="1"/>
  <c r="U251" i="22" s="1"/>
  <c r="V251" i="22" s="1"/>
  <c r="W251" i="22" s="1"/>
  <c r="X251" i="22" s="1"/>
  <c r="Y251" i="22" s="1"/>
  <c r="Z251" i="22" s="1"/>
  <c r="AA251" i="22" s="1"/>
  <c r="AB251" i="22" s="1"/>
  <c r="AC251" i="22" s="1"/>
  <c r="AD251" i="22" s="1"/>
  <c r="AE251" i="22" s="1"/>
  <c r="AF251" i="22" s="1"/>
  <c r="B251" i="22" s="1"/>
  <c r="AH103" i="22"/>
  <c r="E246" i="22"/>
  <c r="AH104" i="22"/>
  <c r="AH105" i="22"/>
  <c r="X108" i="21"/>
  <c r="X97" i="21"/>
  <c r="X99" i="21" s="1"/>
  <c r="U97" i="21"/>
  <c r="U99" i="21" s="1"/>
  <c r="U100" i="21" s="1"/>
  <c r="U108" i="21"/>
  <c r="T108" i="21"/>
  <c r="T97" i="21"/>
  <c r="T99" i="21" s="1"/>
  <c r="T100" i="21" s="1"/>
  <c r="AA100" i="22" l="1"/>
  <c r="AA7" i="22" s="1"/>
  <c r="BE24" i="22"/>
  <c r="X108" i="22"/>
  <c r="W100" i="22"/>
  <c r="W7" i="22" s="1"/>
  <c r="V108" i="22"/>
  <c r="BB24" i="22"/>
  <c r="BA24" i="22"/>
  <c r="S100" i="22"/>
  <c r="S7" i="22" s="1"/>
  <c r="AY23" i="22"/>
  <c r="AY24" i="22" s="1"/>
  <c r="AX24" i="22"/>
  <c r="P100" i="22"/>
  <c r="P7" i="22" s="1"/>
  <c r="P108" i="22"/>
  <c r="O108" i="22"/>
  <c r="G108" i="22"/>
  <c r="G100" i="22"/>
  <c r="G7" i="22" s="1"/>
  <c r="AR24" i="22"/>
  <c r="B256" i="22"/>
  <c r="C100" i="22"/>
  <c r="C7" i="22" s="1"/>
  <c r="BG96" i="22"/>
  <c r="BG94" i="22"/>
  <c r="BK105" i="22"/>
  <c r="BK91" i="22"/>
  <c r="BJ92" i="22"/>
  <c r="BK87" i="22"/>
  <c r="BJ94" i="22"/>
  <c r="BH90" i="22"/>
  <c r="BG95" i="22"/>
  <c r="BG92" i="22"/>
  <c r="BL100" i="22"/>
  <c r="BG106" i="22"/>
  <c r="BJ97" i="22"/>
  <c r="BH103" i="22"/>
  <c r="BK86" i="22"/>
  <c r="BL86" i="22"/>
  <c r="BL103" i="22"/>
  <c r="BI84" i="22"/>
  <c r="BG85" i="22"/>
  <c r="BI106" i="22"/>
  <c r="BK100" i="22"/>
  <c r="BH101" i="22"/>
  <c r="BI93" i="22"/>
  <c r="BI91" i="22"/>
  <c r="BG89" i="22"/>
  <c r="BG84" i="22"/>
  <c r="BL91" i="22"/>
  <c r="BJ85" i="22"/>
  <c r="BH96" i="22"/>
  <c r="BL106" i="22"/>
  <c r="BK93" i="22"/>
  <c r="BI104" i="22"/>
  <c r="BH91" i="22"/>
  <c r="BL101" i="22"/>
  <c r="BL88" i="22"/>
  <c r="BJ99" i="22"/>
  <c r="BI90" i="22"/>
  <c r="BK94" i="22"/>
  <c r="BH85" i="22"/>
  <c r="BJ106" i="22"/>
  <c r="BK98" i="22"/>
  <c r="BK96" i="22"/>
  <c r="BI94" i="22"/>
  <c r="BI97" i="22"/>
  <c r="BH97" i="22"/>
  <c r="BH88" i="22"/>
  <c r="BL98" i="22"/>
  <c r="BK85" i="22"/>
  <c r="BI96" i="22"/>
  <c r="BG107" i="22"/>
  <c r="BL93" i="22"/>
  <c r="BJ104" i="22"/>
  <c r="BJ91" i="22"/>
  <c r="BH102" i="22"/>
  <c r="BG93" i="22"/>
  <c r="BG100" i="22"/>
  <c r="BL87" i="22"/>
  <c r="BG90" i="22"/>
  <c r="BI101" i="22"/>
  <c r="BI99" i="22"/>
  <c r="BG97" i="22"/>
  <c r="BK102" i="22"/>
  <c r="BL99" i="22"/>
  <c r="BJ89" i="22"/>
  <c r="BH100" i="22"/>
  <c r="BG87" i="22"/>
  <c r="BK97" i="22"/>
  <c r="BJ84" i="22"/>
  <c r="BH95" i="22"/>
  <c r="BL105" i="22"/>
  <c r="BL92" i="22"/>
  <c r="BJ103" i="22"/>
  <c r="BK95" i="22"/>
  <c r="BK84" i="22"/>
  <c r="BJ90" i="22"/>
  <c r="BI103" i="22"/>
  <c r="BG104" i="22"/>
  <c r="BG102" i="22"/>
  <c r="BK99" i="22"/>
  <c r="BI105" i="22"/>
  <c r="BJ102" i="22"/>
  <c r="BL90" i="22"/>
  <c r="BJ101" i="22"/>
  <c r="BI88" i="22"/>
  <c r="BG99" i="22"/>
  <c r="BL85" i="22"/>
  <c r="BJ96" i="22"/>
  <c r="BH107" i="22"/>
  <c r="BH94" i="22"/>
  <c r="BL104" i="22"/>
  <c r="BI98" i="22"/>
  <c r="BI87" i="22"/>
  <c r="BH93" i="22"/>
  <c r="BI85" i="22"/>
  <c r="BK106" i="22"/>
  <c r="BK104" i="22"/>
  <c r="BI102" i="22"/>
  <c r="BG98" i="22"/>
  <c r="BH105" i="22"/>
  <c r="BH92" i="22"/>
  <c r="BL102" i="22"/>
  <c r="BK89" i="22"/>
  <c r="BI100" i="22"/>
  <c r="BH87" i="22"/>
  <c r="BL97" i="22"/>
  <c r="BL84" i="22"/>
  <c r="BJ95" i="22"/>
  <c r="BH106" i="22"/>
  <c r="BG101" i="22"/>
  <c r="BK92" i="22"/>
  <c r="BL95" i="22"/>
  <c r="BG88" i="22"/>
  <c r="BG86" i="22"/>
  <c r="BI107" i="22"/>
  <c r="BG105" i="22"/>
  <c r="BJ86" i="22"/>
  <c r="BL107" i="22"/>
  <c r="BJ93" i="22"/>
  <c r="BH104" i="22"/>
  <c r="BG91" i="22"/>
  <c r="BK101" i="22"/>
  <c r="BJ88" i="22"/>
  <c r="BH99" i="22"/>
  <c r="BH86" i="22"/>
  <c r="BL96" i="22"/>
  <c r="BJ107" i="22"/>
  <c r="BK103" i="22"/>
  <c r="BI95" i="22"/>
  <c r="BJ98" i="22"/>
  <c r="BK90" i="22"/>
  <c r="BK88" i="22"/>
  <c r="BI86" i="22"/>
  <c r="BK107" i="22"/>
  <c r="BH89" i="22"/>
  <c r="BH84" i="22"/>
  <c r="BL94" i="22"/>
  <c r="BJ105" i="22"/>
  <c r="BI92" i="22"/>
  <c r="BG103" i="22"/>
  <c r="BL89" i="22"/>
  <c r="BJ100" i="22"/>
  <c r="BJ87" i="22"/>
  <c r="BH98" i="22"/>
  <c r="BH24" i="22"/>
  <c r="AI107" i="22"/>
  <c r="L100" i="22"/>
  <c r="L7" i="22" s="1"/>
  <c r="V100" i="22"/>
  <c r="V7" i="22" s="1"/>
  <c r="F108" i="22"/>
  <c r="T100" i="22"/>
  <c r="T7" i="22" s="1"/>
  <c r="AO23" i="22"/>
  <c r="AO24" i="22" s="1"/>
  <c r="AH107" i="22"/>
  <c r="D100" i="22"/>
  <c r="D7" i="22" s="1"/>
  <c r="AI97" i="22"/>
  <c r="AH97" i="22"/>
  <c r="BD24" i="22"/>
  <c r="C256" i="22"/>
  <c r="AB7" i="22"/>
  <c r="AQ24" i="22"/>
  <c r="AV24" i="22"/>
  <c r="T108" i="22"/>
  <c r="AD7" i="22"/>
  <c r="AM24" i="22"/>
  <c r="AT8" i="22"/>
  <c r="F246" i="22"/>
  <c r="E252" i="22"/>
  <c r="E118" i="22"/>
  <c r="N100" i="22"/>
  <c r="N7" i="22" s="1"/>
  <c r="F100" i="22"/>
  <c r="F7" i="22" s="1"/>
  <c r="AE7" i="22"/>
  <c r="AS24" i="22"/>
  <c r="O100" i="22"/>
  <c r="O7" i="22" s="1"/>
  <c r="N108" i="22"/>
  <c r="X100" i="21"/>
  <c r="AI108" i="22" l="1"/>
  <c r="K6" i="22"/>
  <c r="AH108" i="22"/>
  <c r="AT9" i="22"/>
  <c r="AH99" i="22"/>
  <c r="AI99" i="22"/>
  <c r="G246" i="22"/>
  <c r="F118" i="22"/>
  <c r="F252" i="22"/>
  <c r="H246" i="22" l="1"/>
  <c r="G252" i="22"/>
  <c r="G118" i="22"/>
  <c r="AI100" i="22"/>
  <c r="B7" i="22"/>
  <c r="A7" i="22" s="1"/>
  <c r="AH100" i="22"/>
  <c r="I246" i="22" l="1"/>
  <c r="H252" i="22"/>
  <c r="H118" i="22"/>
  <c r="I252" i="22" l="1"/>
  <c r="I118" i="22"/>
  <c r="J246" i="22"/>
  <c r="J252" i="22" l="1"/>
  <c r="J118" i="22"/>
  <c r="K246" i="22"/>
  <c r="K252" i="22" l="1"/>
  <c r="K118" i="22"/>
  <c r="L246" i="22"/>
  <c r="L252" i="22" l="1"/>
  <c r="L118" i="22"/>
  <c r="M246" i="22"/>
  <c r="N246" i="22" l="1"/>
  <c r="M252" i="22"/>
  <c r="M118" i="22"/>
  <c r="O246" i="22" l="1"/>
  <c r="N252" i="22"/>
  <c r="N118" i="22"/>
  <c r="P246" i="22" l="1"/>
  <c r="O252" i="22"/>
  <c r="O118" i="22"/>
  <c r="Q246" i="22" l="1"/>
  <c r="P252" i="22"/>
  <c r="Q252" i="22" l="1"/>
  <c r="Q118" i="22"/>
  <c r="R246" i="22"/>
  <c r="R252" i="22" l="1"/>
  <c r="R118" i="22"/>
  <c r="S246" i="22"/>
  <c r="S252" i="22" l="1"/>
  <c r="S118" i="22"/>
  <c r="T246" i="22"/>
  <c r="T252" i="22" l="1"/>
  <c r="T118" i="22"/>
  <c r="U246" i="22"/>
  <c r="U118" i="22" l="1"/>
  <c r="V246" i="22"/>
  <c r="U252" i="22"/>
  <c r="W246" i="22" l="1"/>
  <c r="V252" i="22"/>
  <c r="V118" i="22"/>
  <c r="X246" i="22" l="1"/>
  <c r="W252" i="22"/>
  <c r="W118" i="22"/>
  <c r="Y246" i="22" l="1"/>
  <c r="X252" i="22"/>
  <c r="X118" i="22"/>
  <c r="Y252" i="22" l="1"/>
  <c r="Z246" i="22"/>
  <c r="Z252" i="22" l="1"/>
  <c r="AA246" i="22"/>
  <c r="AA252" i="22" l="1"/>
  <c r="AA118" i="22"/>
  <c r="AB246" i="22"/>
  <c r="AB252" i="22" l="1"/>
  <c r="AC246" i="22"/>
  <c r="AD246" i="22" l="1"/>
  <c r="AC252" i="22"/>
  <c r="AE246" i="22" l="1"/>
  <c r="AD252" i="22"/>
  <c r="AF246" i="22" l="1"/>
  <c r="AE252" i="22"/>
  <c r="AF252" i="22" l="1"/>
  <c r="B246" i="22"/>
  <c r="B252" i="22" l="1"/>
  <c r="AI118" i="22" l="1"/>
  <c r="AH118" i="22"/>
  <c r="R57" i="21" l="1"/>
  <c r="Q57" i="21"/>
  <c r="P57" i="21"/>
  <c r="O57" i="21"/>
  <c r="N57" i="21"/>
  <c r="L121" i="21"/>
  <c r="K121" i="21"/>
  <c r="K57" i="21"/>
  <c r="J121" i="21"/>
  <c r="J57" i="21"/>
  <c r="I121" i="21"/>
  <c r="I57" i="21"/>
  <c r="H121" i="21"/>
  <c r="H57" i="21"/>
  <c r="G121" i="21"/>
  <c r="G57" i="21"/>
  <c r="F121" i="21"/>
  <c r="F57" i="21"/>
  <c r="E121" i="21"/>
  <c r="E57" i="21"/>
  <c r="AH125" i="21"/>
  <c r="AI125" i="21"/>
  <c r="AH124" i="21"/>
  <c r="AI124" i="21"/>
  <c r="D121" i="21"/>
  <c r="D91" i="21"/>
  <c r="D57" i="21"/>
  <c r="C58" i="21"/>
  <c r="C62" i="21"/>
  <c r="C76" i="21"/>
  <c r="C80" i="21"/>
  <c r="C92" i="21"/>
  <c r="B5" i="21" s="1"/>
  <c r="C101" i="21"/>
  <c r="C102" i="21"/>
  <c r="C103" i="21"/>
  <c r="C104" i="21"/>
  <c r="C105" i="21"/>
  <c r="C118" i="21"/>
  <c r="B118" i="21"/>
  <c r="B105" i="21"/>
  <c r="B104" i="21"/>
  <c r="B103" i="21"/>
  <c r="B102" i="21"/>
  <c r="B101" i="21"/>
  <c r="B107" i="21" s="1"/>
  <c r="AM23" i="21" s="1"/>
  <c r="B92" i="21"/>
  <c r="B108" i="21" s="1"/>
  <c r="B80" i="21"/>
  <c r="B76" i="21"/>
  <c r="B62" i="21"/>
  <c r="AM17" i="21" s="1"/>
  <c r="B58" i="21"/>
  <c r="AG252" i="21"/>
  <c r="C252" i="21"/>
  <c r="D251" i="21"/>
  <c r="E251" i="21" s="1"/>
  <c r="F251" i="21" s="1"/>
  <c r="G251" i="21" s="1"/>
  <c r="H251" i="21" s="1"/>
  <c r="I251" i="21" s="1"/>
  <c r="J251" i="21" s="1"/>
  <c r="K251" i="21" s="1"/>
  <c r="L251" i="21" s="1"/>
  <c r="M251" i="21" s="1"/>
  <c r="N251" i="21" s="1"/>
  <c r="O251" i="21" s="1"/>
  <c r="P251" i="21" s="1"/>
  <c r="Q251" i="21" s="1"/>
  <c r="R251" i="21" s="1"/>
  <c r="S251" i="21" s="1"/>
  <c r="T251" i="21" s="1"/>
  <c r="U251" i="21" s="1"/>
  <c r="V251" i="21" s="1"/>
  <c r="W251" i="21" s="1"/>
  <c r="X251" i="21" s="1"/>
  <c r="Y251" i="21" s="1"/>
  <c r="Z251" i="21" s="1"/>
  <c r="AA251" i="21" s="1"/>
  <c r="AB251" i="21" s="1"/>
  <c r="AC251" i="21" s="1"/>
  <c r="AD251" i="21" s="1"/>
  <c r="AE251" i="21" s="1"/>
  <c r="AF251" i="21" s="1"/>
  <c r="B251" i="21" s="1"/>
  <c r="J250" i="21"/>
  <c r="K250" i="21" s="1"/>
  <c r="L250" i="21" s="1"/>
  <c r="M250" i="21" s="1"/>
  <c r="N250" i="21" s="1"/>
  <c r="O250" i="21" s="1"/>
  <c r="P250" i="21" s="1"/>
  <c r="Q250" i="21" s="1"/>
  <c r="R250" i="21" s="1"/>
  <c r="S250" i="21" s="1"/>
  <c r="T250" i="21" s="1"/>
  <c r="U250" i="21" s="1"/>
  <c r="V250" i="21" s="1"/>
  <c r="W250" i="21" s="1"/>
  <c r="X250" i="21" s="1"/>
  <c r="Y250" i="21" s="1"/>
  <c r="Z250" i="21" s="1"/>
  <c r="AA250" i="21" s="1"/>
  <c r="AB250" i="21" s="1"/>
  <c r="AC250" i="21" s="1"/>
  <c r="AD250" i="21" s="1"/>
  <c r="AE250" i="21" s="1"/>
  <c r="AF250" i="21" s="1"/>
  <c r="B250" i="21" s="1"/>
  <c r="D250" i="21"/>
  <c r="E250" i="21" s="1"/>
  <c r="F250" i="21" s="1"/>
  <c r="G250" i="21" s="1"/>
  <c r="H250" i="21" s="1"/>
  <c r="I250" i="21" s="1"/>
  <c r="D249" i="21"/>
  <c r="E249" i="21" s="1"/>
  <c r="F249" i="21" s="1"/>
  <c r="G249" i="21" s="1"/>
  <c r="H249" i="21" s="1"/>
  <c r="I249" i="21" s="1"/>
  <c r="J249" i="21" s="1"/>
  <c r="K249" i="21" s="1"/>
  <c r="L249" i="21" s="1"/>
  <c r="M249" i="21" s="1"/>
  <c r="N249" i="21" s="1"/>
  <c r="O249" i="21" s="1"/>
  <c r="P249" i="21" s="1"/>
  <c r="Q249" i="21" s="1"/>
  <c r="R249" i="21" s="1"/>
  <c r="S249" i="21" s="1"/>
  <c r="T249" i="21" s="1"/>
  <c r="U249" i="21" s="1"/>
  <c r="V249" i="21" s="1"/>
  <c r="W249" i="21" s="1"/>
  <c r="X249" i="21" s="1"/>
  <c r="Y249" i="21" s="1"/>
  <c r="Z249" i="21" s="1"/>
  <c r="AA249" i="21" s="1"/>
  <c r="AB249" i="21" s="1"/>
  <c r="AC249" i="21" s="1"/>
  <c r="AD249" i="21" s="1"/>
  <c r="AE249" i="21" s="1"/>
  <c r="AF249" i="21" s="1"/>
  <c r="B249" i="21" s="1"/>
  <c r="D248" i="21"/>
  <c r="E248" i="21" s="1"/>
  <c r="F248" i="21" s="1"/>
  <c r="G248" i="21" s="1"/>
  <c r="H248" i="21" s="1"/>
  <c r="I248" i="21" s="1"/>
  <c r="J248" i="21" s="1"/>
  <c r="K248" i="21" s="1"/>
  <c r="L248" i="21" s="1"/>
  <c r="M248" i="21" s="1"/>
  <c r="N248" i="21" s="1"/>
  <c r="O248" i="21" s="1"/>
  <c r="P248" i="21" s="1"/>
  <c r="Q248" i="21" s="1"/>
  <c r="R248" i="21" s="1"/>
  <c r="S248" i="21" s="1"/>
  <c r="T248" i="21" s="1"/>
  <c r="U248" i="21" s="1"/>
  <c r="V248" i="21" s="1"/>
  <c r="W248" i="21" s="1"/>
  <c r="X248" i="21" s="1"/>
  <c r="Y248" i="21" s="1"/>
  <c r="Z248" i="21" s="1"/>
  <c r="AA248" i="21" s="1"/>
  <c r="AB248" i="21" s="1"/>
  <c r="AC248" i="21" s="1"/>
  <c r="AD248" i="21" s="1"/>
  <c r="AE248" i="21" s="1"/>
  <c r="AF248" i="21" s="1"/>
  <c r="B248" i="21" s="1"/>
  <c r="D247" i="21"/>
  <c r="E247" i="21" s="1"/>
  <c r="F247" i="21" s="1"/>
  <c r="G247" i="21" s="1"/>
  <c r="H247" i="21" s="1"/>
  <c r="I247" i="21" s="1"/>
  <c r="J247" i="21" s="1"/>
  <c r="K247" i="21" s="1"/>
  <c r="L247" i="21" s="1"/>
  <c r="M247" i="21" s="1"/>
  <c r="N247" i="21" s="1"/>
  <c r="O247" i="21" s="1"/>
  <c r="P247" i="21" s="1"/>
  <c r="Q247" i="21" s="1"/>
  <c r="R247" i="21" s="1"/>
  <c r="S247" i="21" s="1"/>
  <c r="T247" i="21" s="1"/>
  <c r="U247" i="21" s="1"/>
  <c r="V247" i="21" s="1"/>
  <c r="W247" i="21" s="1"/>
  <c r="X247" i="21" s="1"/>
  <c r="Y247" i="21" s="1"/>
  <c r="Z247" i="21" s="1"/>
  <c r="AA247" i="21" s="1"/>
  <c r="AB247" i="21" s="1"/>
  <c r="AC247" i="21" s="1"/>
  <c r="AD247" i="21" s="1"/>
  <c r="AE247" i="21" s="1"/>
  <c r="AF247" i="21" s="1"/>
  <c r="B247" i="21" s="1"/>
  <c r="D246" i="21"/>
  <c r="AG244" i="21"/>
  <c r="AF244" i="21"/>
  <c r="AE244" i="21"/>
  <c r="AD244" i="21"/>
  <c r="AC244" i="21"/>
  <c r="AB244" i="21"/>
  <c r="AA244" i="21"/>
  <c r="Z244" i="21"/>
  <c r="Z118" i="21" s="1"/>
  <c r="Y244" i="21"/>
  <c r="Y118" i="21" s="1"/>
  <c r="X244" i="21"/>
  <c r="W244" i="21"/>
  <c r="V244" i="21"/>
  <c r="U244" i="21"/>
  <c r="T244" i="21"/>
  <c r="S244" i="21"/>
  <c r="R244" i="21"/>
  <c r="Q244" i="21"/>
  <c r="P244" i="21"/>
  <c r="O244" i="21"/>
  <c r="N244" i="21"/>
  <c r="M244" i="21"/>
  <c r="L244" i="21"/>
  <c r="K244" i="21"/>
  <c r="J244" i="21"/>
  <c r="I244" i="21"/>
  <c r="H244" i="21"/>
  <c r="G244" i="21"/>
  <c r="F244" i="21"/>
  <c r="E244" i="21"/>
  <c r="D244" i="21"/>
  <c r="C244" i="21"/>
  <c r="B244" i="21"/>
  <c r="AI130" i="21"/>
  <c r="AH130" i="21"/>
  <c r="AI129" i="21"/>
  <c r="AH129" i="21"/>
  <c r="AI128" i="21"/>
  <c r="AH128" i="21"/>
  <c r="AI127" i="21"/>
  <c r="AH127" i="21"/>
  <c r="AI126" i="21"/>
  <c r="AH126" i="21"/>
  <c r="AI123" i="21"/>
  <c r="AH123" i="21"/>
  <c r="AI122" i="21"/>
  <c r="AH122" i="21"/>
  <c r="AI120" i="21"/>
  <c r="AH120" i="21"/>
  <c r="AI119" i="21"/>
  <c r="AH119" i="21"/>
  <c r="AI117" i="21"/>
  <c r="AH117" i="21"/>
  <c r="AI116" i="21"/>
  <c r="AH116" i="21"/>
  <c r="AI115" i="21"/>
  <c r="AH115" i="21"/>
  <c r="AI114" i="21"/>
  <c r="AH114" i="21"/>
  <c r="AI113" i="21"/>
  <c r="AH113" i="21"/>
  <c r="AI112" i="21"/>
  <c r="AH112" i="21"/>
  <c r="AI111" i="21"/>
  <c r="AH111" i="21"/>
  <c r="AI110" i="21"/>
  <c r="AH110" i="21"/>
  <c r="AI109" i="21"/>
  <c r="AH109" i="21"/>
  <c r="AI106" i="21"/>
  <c r="AH106" i="21"/>
  <c r="AF105" i="21"/>
  <c r="AE105" i="21"/>
  <c r="AD105" i="21"/>
  <c r="AC105" i="21"/>
  <c r="AB105" i="21"/>
  <c r="AA105" i="21"/>
  <c r="Z105" i="21"/>
  <c r="Y105" i="21"/>
  <c r="W105" i="21"/>
  <c r="V105" i="21"/>
  <c r="S105" i="21"/>
  <c r="R105" i="21"/>
  <c r="R107" i="21" s="1"/>
  <c r="AZ23" i="21" s="1"/>
  <c r="Q105" i="21"/>
  <c r="Q107" i="21" s="1"/>
  <c r="AY23" i="21" s="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AF104" i="21"/>
  <c r="AE104" i="21"/>
  <c r="AD104" i="21"/>
  <c r="AC104" i="21"/>
  <c r="AB104" i="21"/>
  <c r="AA104" i="21"/>
  <c r="Z104" i="21"/>
  <c r="Y104" i="21"/>
  <c r="Y107" i="21" s="1"/>
  <c r="Y108" i="21" s="1"/>
  <c r="W104" i="21"/>
  <c r="V104" i="21"/>
  <c r="BC23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AF103" i="21"/>
  <c r="AE103" i="21"/>
  <c r="AD103" i="21"/>
  <c r="AC103" i="21"/>
  <c r="AB103" i="21"/>
  <c r="AA103" i="21"/>
  <c r="Z103" i="21"/>
  <c r="Y103" i="21"/>
  <c r="W103" i="21"/>
  <c r="V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AF102" i="21"/>
  <c r="AE102" i="21"/>
  <c r="AD102" i="21"/>
  <c r="AC102" i="21"/>
  <c r="AB102" i="21"/>
  <c r="AA102" i="21"/>
  <c r="Z102" i="21"/>
  <c r="Y102" i="21"/>
  <c r="W102" i="21"/>
  <c r="V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G102" i="21"/>
  <c r="F102" i="21"/>
  <c r="E102" i="21"/>
  <c r="D102" i="21"/>
  <c r="AF101" i="21"/>
  <c r="AE101" i="21"/>
  <c r="AD101" i="21"/>
  <c r="AC101" i="21"/>
  <c r="AB101" i="21"/>
  <c r="AA101" i="21"/>
  <c r="Z101" i="21"/>
  <c r="Z107" i="21" s="1"/>
  <c r="BF23" i="21" s="1"/>
  <c r="Y101" i="21"/>
  <c r="W101" i="21"/>
  <c r="V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G101" i="21"/>
  <c r="G107" i="21" s="1"/>
  <c r="AR23" i="21" s="1"/>
  <c r="F101" i="21"/>
  <c r="E101" i="21"/>
  <c r="D101" i="21"/>
  <c r="AI98" i="21"/>
  <c r="AH98" i="21"/>
  <c r="AI96" i="21"/>
  <c r="AH96" i="21"/>
  <c r="AG96" i="21"/>
  <c r="AI95" i="21"/>
  <c r="AH95" i="21"/>
  <c r="AI94" i="21"/>
  <c r="AH94" i="21"/>
  <c r="AI93" i="21"/>
  <c r="AH93" i="21"/>
  <c r="AG92" i="21"/>
  <c r="AF92" i="21"/>
  <c r="AE5" i="21" s="1"/>
  <c r="AE92" i="21"/>
  <c r="BI19" i="21" s="1"/>
  <c r="AD92" i="21"/>
  <c r="BH19" i="21" s="1"/>
  <c r="AC92" i="21"/>
  <c r="AB92" i="21"/>
  <c r="BG19" i="21" s="1"/>
  <c r="AA92" i="21"/>
  <c r="Z5" i="21" s="1"/>
  <c r="Z92" i="21"/>
  <c r="Y92" i="21"/>
  <c r="W92" i="21"/>
  <c r="V5" i="21" s="1"/>
  <c r="V92" i="21"/>
  <c r="U5" i="21" s="1"/>
  <c r="BC19" i="21"/>
  <c r="S92" i="21"/>
  <c r="BA19" i="21" s="1"/>
  <c r="R92" i="21"/>
  <c r="AZ19" i="21" s="1"/>
  <c r="Q92" i="21"/>
  <c r="P5" i="21" s="1"/>
  <c r="P92" i="21"/>
  <c r="O92" i="21"/>
  <c r="AW19" i="21" s="1"/>
  <c r="N92" i="21"/>
  <c r="AV19" i="21" s="1"/>
  <c r="M92" i="21"/>
  <c r="L5" i="21" s="1"/>
  <c r="L92" i="21"/>
  <c r="K5" i="21" s="1"/>
  <c r="K92" i="21"/>
  <c r="AT19" i="21" s="1"/>
  <c r="J92" i="21"/>
  <c r="I92" i="21"/>
  <c r="AS19" i="21" s="1"/>
  <c r="H92" i="21"/>
  <c r="G5" i="21" s="1"/>
  <c r="G92" i="21"/>
  <c r="AR19" i="21" s="1"/>
  <c r="F92" i="21"/>
  <c r="AQ19" i="21" s="1"/>
  <c r="E92" i="21"/>
  <c r="D92" i="21"/>
  <c r="AI91" i="21"/>
  <c r="AH91" i="21"/>
  <c r="AI90" i="21"/>
  <c r="AH90" i="21"/>
  <c r="AI89" i="21"/>
  <c r="AH89" i="21"/>
  <c r="AI88" i="21"/>
  <c r="AH88" i="21"/>
  <c r="AI87" i="21"/>
  <c r="AH87" i="21"/>
  <c r="AI86" i="21"/>
  <c r="AH86" i="21"/>
  <c r="AI85" i="21"/>
  <c r="AH85" i="21"/>
  <c r="AI84" i="21"/>
  <c r="AH84" i="21"/>
  <c r="AI83" i="21"/>
  <c r="AH83" i="21"/>
  <c r="AI82" i="21"/>
  <c r="AH82" i="21"/>
  <c r="AI81" i="21"/>
  <c r="AH81" i="21"/>
  <c r="BP80" i="21"/>
  <c r="BG80" i="21"/>
  <c r="AG80" i="21"/>
  <c r="AF80" i="21"/>
  <c r="AE80" i="21"/>
  <c r="AD80" i="21"/>
  <c r="AC80" i="21"/>
  <c r="AB80" i="21"/>
  <c r="BG20" i="21" s="1"/>
  <c r="AA80" i="21"/>
  <c r="Z80" i="21"/>
  <c r="BF20" i="21" s="1"/>
  <c r="Y80" i="21"/>
  <c r="W80" i="21"/>
  <c r="V80" i="21"/>
  <c r="S80" i="21"/>
  <c r="R80" i="21"/>
  <c r="Q80" i="21"/>
  <c r="P80" i="21"/>
  <c r="AX20" i="21" s="1"/>
  <c r="O80" i="21"/>
  <c r="AW20" i="21" s="1"/>
  <c r="N80" i="21"/>
  <c r="M80" i="21"/>
  <c r="L80" i="21"/>
  <c r="K80" i="21"/>
  <c r="J80" i="21"/>
  <c r="I80" i="21"/>
  <c r="H80" i="21"/>
  <c r="G80" i="21"/>
  <c r="F80" i="21"/>
  <c r="AQ20" i="21" s="1"/>
  <c r="E80" i="21"/>
  <c r="AP20" i="21" s="1"/>
  <c r="D80" i="21"/>
  <c r="AO20" i="21" s="1"/>
  <c r="BA79" i="21"/>
  <c r="AI79" i="21"/>
  <c r="AH79" i="21"/>
  <c r="BS78" i="21"/>
  <c r="BL78" i="21"/>
  <c r="AI78" i="21"/>
  <c r="AH78" i="21"/>
  <c r="BD77" i="21"/>
  <c r="AI77" i="21"/>
  <c r="AH77" i="21"/>
  <c r="AF76" i="21"/>
  <c r="BJ18" i="21" s="1"/>
  <c r="AE76" i="21"/>
  <c r="BI18" i="21" s="1"/>
  <c r="AD76" i="21"/>
  <c r="BH18" i="21" s="1"/>
  <c r="AC76" i="21"/>
  <c r="AB76" i="21"/>
  <c r="BG18" i="21" s="1"/>
  <c r="AA76" i="21"/>
  <c r="Z76" i="21"/>
  <c r="Y76" i="21"/>
  <c r="W76" i="21"/>
  <c r="V76" i="21"/>
  <c r="BD18" i="21" s="1"/>
  <c r="S76" i="21"/>
  <c r="R76" i="21"/>
  <c r="AZ18" i="21" s="1"/>
  <c r="Q76" i="21"/>
  <c r="AY18" i="21" s="1"/>
  <c r="P76" i="21"/>
  <c r="O76" i="21"/>
  <c r="N76" i="21"/>
  <c r="AV18" i="21" s="1"/>
  <c r="M76" i="21"/>
  <c r="AU18" i="21" s="1"/>
  <c r="L76" i="21"/>
  <c r="K76" i="21"/>
  <c r="AT18" i="21" s="1"/>
  <c r="J76" i="21"/>
  <c r="I76" i="21"/>
  <c r="AS18" i="21" s="1"/>
  <c r="H76" i="21"/>
  <c r="G76" i="21"/>
  <c r="AR18" i="21" s="1"/>
  <c r="F76" i="21"/>
  <c r="AQ18" i="21" s="1"/>
  <c r="E76" i="21"/>
  <c r="AP18" i="21" s="1"/>
  <c r="D76" i="21"/>
  <c r="BT75" i="21"/>
  <c r="BM75" i="21"/>
  <c r="BH75" i="21"/>
  <c r="BF75" i="21"/>
  <c r="BA75" i="21"/>
  <c r="AI75" i="21"/>
  <c r="AH75" i="21"/>
  <c r="AG75" i="21"/>
  <c r="AG76" i="21" s="1"/>
  <c r="AG3" i="21" s="1"/>
  <c r="AG6" i="21" s="1"/>
  <c r="AI74" i="21"/>
  <c r="AH74" i="21"/>
  <c r="BW73" i="21"/>
  <c r="BW80" i="21" s="1"/>
  <c r="BV73" i="21"/>
  <c r="BV80" i="21" s="1"/>
  <c r="BU73" i="21"/>
  <c r="BU80" i="21" s="1"/>
  <c r="BT73" i="21"/>
  <c r="BT80" i="21" s="1"/>
  <c r="BS73" i="21"/>
  <c r="BS80" i="21" s="1"/>
  <c r="BR73" i="21"/>
  <c r="BR80" i="21" s="1"/>
  <c r="BQ73" i="21"/>
  <c r="BQ80" i="21" s="1"/>
  <c r="BP73" i="21"/>
  <c r="BO73" i="21"/>
  <c r="BO80" i="21" s="1"/>
  <c r="BN73" i="21"/>
  <c r="BN80" i="21" s="1"/>
  <c r="BM73" i="21"/>
  <c r="BM80" i="21" s="1"/>
  <c r="BL73" i="21"/>
  <c r="BL80" i="21" s="1"/>
  <c r="BK73" i="21"/>
  <c r="BK80" i="21" s="1"/>
  <c r="BJ73" i="21"/>
  <c r="BJ80" i="21" s="1"/>
  <c r="BI73" i="21"/>
  <c r="BI80" i="21" s="1"/>
  <c r="BH73" i="21"/>
  <c r="BH80" i="21" s="1"/>
  <c r="BG73" i="21"/>
  <c r="BF73" i="21"/>
  <c r="BF80" i="21" s="1"/>
  <c r="BE73" i="21"/>
  <c r="BE80" i="21" s="1"/>
  <c r="BD73" i="21"/>
  <c r="BD80" i="21" s="1"/>
  <c r="BC73" i="21"/>
  <c r="BC80" i="21" s="1"/>
  <c r="BB73" i="21"/>
  <c r="BB80" i="21" s="1"/>
  <c r="BA73" i="21"/>
  <c r="BA80" i="21" s="1"/>
  <c r="AZ73" i="21"/>
  <c r="AZ80" i="21" s="1"/>
  <c r="AI73" i="21"/>
  <c r="AH73" i="21"/>
  <c r="BW72" i="21"/>
  <c r="BW79" i="21" s="1"/>
  <c r="BV72" i="21"/>
  <c r="BV79" i="21" s="1"/>
  <c r="BU72" i="21"/>
  <c r="BU79" i="21" s="1"/>
  <c r="BT72" i="21"/>
  <c r="BT79" i="21" s="1"/>
  <c r="BS72" i="21"/>
  <c r="BS79" i="21" s="1"/>
  <c r="BR72" i="21"/>
  <c r="BR79" i="21" s="1"/>
  <c r="BQ72" i="21"/>
  <c r="BQ79" i="21" s="1"/>
  <c r="BP72" i="21"/>
  <c r="BP79" i="21" s="1"/>
  <c r="BO72" i="21"/>
  <c r="BO79" i="21" s="1"/>
  <c r="BN72" i="21"/>
  <c r="BN79" i="21" s="1"/>
  <c r="BM72" i="21"/>
  <c r="BM79" i="21" s="1"/>
  <c r="BL72" i="21"/>
  <c r="BL79" i="21" s="1"/>
  <c r="BK72" i="21"/>
  <c r="BK79" i="21" s="1"/>
  <c r="BJ72" i="21"/>
  <c r="BJ79" i="21" s="1"/>
  <c r="BI72" i="21"/>
  <c r="BI79" i="21" s="1"/>
  <c r="BH72" i="21"/>
  <c r="BH79" i="21" s="1"/>
  <c r="BG72" i="21"/>
  <c r="BG79" i="21" s="1"/>
  <c r="BF72" i="21"/>
  <c r="BF79" i="21" s="1"/>
  <c r="BE72" i="21"/>
  <c r="BE79" i="21" s="1"/>
  <c r="BD72" i="21"/>
  <c r="BD79" i="21" s="1"/>
  <c r="BC72" i="21"/>
  <c r="BC79" i="21" s="1"/>
  <c r="BB72" i="21"/>
  <c r="BB79" i="21" s="1"/>
  <c r="BA72" i="21"/>
  <c r="AZ72" i="21"/>
  <c r="AZ79" i="21" s="1"/>
  <c r="AI72" i="21"/>
  <c r="AH72" i="21"/>
  <c r="BW71" i="21"/>
  <c r="BW78" i="21" s="1"/>
  <c r="BV71" i="21"/>
  <c r="BV78" i="21" s="1"/>
  <c r="BU71" i="21"/>
  <c r="BU78" i="21" s="1"/>
  <c r="BT71" i="21"/>
  <c r="BT78" i="21" s="1"/>
  <c r="BS71" i="21"/>
  <c r="BR71" i="21"/>
  <c r="BR78" i="21" s="1"/>
  <c r="BQ71" i="21"/>
  <c r="BQ78" i="21" s="1"/>
  <c r="BP71" i="21"/>
  <c r="BP78" i="21" s="1"/>
  <c r="BO71" i="21"/>
  <c r="BO78" i="21" s="1"/>
  <c r="BN71" i="21"/>
  <c r="BN78" i="21" s="1"/>
  <c r="BM71" i="21"/>
  <c r="BM78" i="21" s="1"/>
  <c r="BL71" i="21"/>
  <c r="BK71" i="21"/>
  <c r="BK78" i="21" s="1"/>
  <c r="BJ71" i="21"/>
  <c r="BJ78" i="21" s="1"/>
  <c r="BI71" i="21"/>
  <c r="BI78" i="21" s="1"/>
  <c r="BH71" i="21"/>
  <c r="BH78" i="21" s="1"/>
  <c r="BG71" i="21"/>
  <c r="BG78" i="21" s="1"/>
  <c r="BF71" i="21"/>
  <c r="BF78" i="21" s="1"/>
  <c r="BE71" i="21"/>
  <c r="BE78" i="21" s="1"/>
  <c r="BD71" i="21"/>
  <c r="BD78" i="21" s="1"/>
  <c r="BC71" i="21"/>
  <c r="BC78" i="21" s="1"/>
  <c r="BB71" i="21"/>
  <c r="BB78" i="21" s="1"/>
  <c r="BA71" i="21"/>
  <c r="BA78" i="21" s="1"/>
  <c r="AZ71" i="21"/>
  <c r="AZ78" i="21" s="1"/>
  <c r="AI71" i="21"/>
  <c r="AH71" i="21"/>
  <c r="BW70" i="21"/>
  <c r="BW77" i="21" s="1"/>
  <c r="BV70" i="21"/>
  <c r="BV77" i="21" s="1"/>
  <c r="BU70" i="21"/>
  <c r="BU77" i="21" s="1"/>
  <c r="BT70" i="21"/>
  <c r="BT77" i="21" s="1"/>
  <c r="BS70" i="21"/>
  <c r="BS77" i="21" s="1"/>
  <c r="BR70" i="21"/>
  <c r="BR77" i="21" s="1"/>
  <c r="BQ70" i="21"/>
  <c r="BQ77" i="21" s="1"/>
  <c r="BP70" i="21"/>
  <c r="BP77" i="21" s="1"/>
  <c r="BO70" i="21"/>
  <c r="BO77" i="21" s="1"/>
  <c r="BN70" i="21"/>
  <c r="BN77" i="21" s="1"/>
  <c r="BM70" i="21"/>
  <c r="BM77" i="21" s="1"/>
  <c r="BL70" i="21"/>
  <c r="BL77" i="21" s="1"/>
  <c r="BK70" i="21"/>
  <c r="BK77" i="21" s="1"/>
  <c r="BJ70" i="21"/>
  <c r="BJ77" i="21" s="1"/>
  <c r="BI70" i="21"/>
  <c r="BI77" i="21" s="1"/>
  <c r="BH70" i="21"/>
  <c r="BH77" i="21" s="1"/>
  <c r="BG70" i="21"/>
  <c r="BG77" i="21" s="1"/>
  <c r="BF70" i="21"/>
  <c r="BF77" i="21" s="1"/>
  <c r="BE70" i="21"/>
  <c r="BE77" i="21" s="1"/>
  <c r="BD70" i="21"/>
  <c r="BC70" i="21"/>
  <c r="BC77" i="21" s="1"/>
  <c r="BB70" i="21"/>
  <c r="BB77" i="21" s="1"/>
  <c r="BA70" i="21"/>
  <c r="BA77" i="21" s="1"/>
  <c r="AZ70" i="21"/>
  <c r="AZ77" i="21" s="1"/>
  <c r="AI70" i="21"/>
  <c r="AH70" i="21"/>
  <c r="BW69" i="21"/>
  <c r="BW76" i="21" s="1"/>
  <c r="BV69" i="21"/>
  <c r="BV76" i="21" s="1"/>
  <c r="BU69" i="21"/>
  <c r="BU76" i="21" s="1"/>
  <c r="BT69" i="21"/>
  <c r="BT76" i="21" s="1"/>
  <c r="BS69" i="21"/>
  <c r="BS76" i="21" s="1"/>
  <c r="BR69" i="21"/>
  <c r="BR76" i="21" s="1"/>
  <c r="BQ69" i="21"/>
  <c r="BQ76" i="21" s="1"/>
  <c r="BP69" i="21"/>
  <c r="BP76" i="21" s="1"/>
  <c r="BO69" i="21"/>
  <c r="BO76" i="21" s="1"/>
  <c r="BN69" i="21"/>
  <c r="BN76" i="21" s="1"/>
  <c r="BM69" i="21"/>
  <c r="BM76" i="21" s="1"/>
  <c r="BL69" i="21"/>
  <c r="BL76" i="21" s="1"/>
  <c r="BK69" i="21"/>
  <c r="BK76" i="21" s="1"/>
  <c r="BJ69" i="21"/>
  <c r="BJ76" i="21" s="1"/>
  <c r="BI69" i="21"/>
  <c r="BI76" i="21" s="1"/>
  <c r="BH69" i="21"/>
  <c r="BH76" i="21" s="1"/>
  <c r="BG69" i="21"/>
  <c r="BG76" i="21" s="1"/>
  <c r="BF69" i="21"/>
  <c r="BF76" i="21" s="1"/>
  <c r="BE69" i="21"/>
  <c r="BE76" i="21" s="1"/>
  <c r="BD69" i="21"/>
  <c r="BD76" i="21" s="1"/>
  <c r="BC69" i="21"/>
  <c r="BC76" i="21" s="1"/>
  <c r="BB69" i="21"/>
  <c r="BB76" i="21" s="1"/>
  <c r="BA69" i="21"/>
  <c r="BA76" i="21" s="1"/>
  <c r="AZ69" i="21"/>
  <c r="AZ76" i="21" s="1"/>
  <c r="AI69" i="21"/>
  <c r="AH69" i="21"/>
  <c r="BW68" i="21"/>
  <c r="BW75" i="21" s="1"/>
  <c r="BV68" i="21"/>
  <c r="BV75" i="21" s="1"/>
  <c r="BU68" i="21"/>
  <c r="BU75" i="21" s="1"/>
  <c r="BT68" i="21"/>
  <c r="BS68" i="21"/>
  <c r="BS75" i="21" s="1"/>
  <c r="BR68" i="21"/>
  <c r="BR75" i="21" s="1"/>
  <c r="BQ68" i="21"/>
  <c r="BQ75" i="21" s="1"/>
  <c r="BP68" i="21"/>
  <c r="BP75" i="21" s="1"/>
  <c r="BO68" i="21"/>
  <c r="BO75" i="21" s="1"/>
  <c r="BN68" i="21"/>
  <c r="BN75" i="21" s="1"/>
  <c r="BM68" i="21"/>
  <c r="BL68" i="21"/>
  <c r="BL75" i="21" s="1"/>
  <c r="BK68" i="21"/>
  <c r="BK75" i="21" s="1"/>
  <c r="BJ68" i="21"/>
  <c r="BJ75" i="21" s="1"/>
  <c r="BI68" i="21"/>
  <c r="BI75" i="21" s="1"/>
  <c r="BH68" i="21"/>
  <c r="BG68" i="21"/>
  <c r="BG75" i="21" s="1"/>
  <c r="BF68" i="21"/>
  <c r="BE68" i="21"/>
  <c r="BE75" i="21" s="1"/>
  <c r="BD68" i="21"/>
  <c r="BD75" i="21" s="1"/>
  <c r="BC68" i="21"/>
  <c r="BC75" i="21" s="1"/>
  <c r="BB68" i="21"/>
  <c r="BB75" i="21" s="1"/>
  <c r="BA68" i="21"/>
  <c r="AZ68" i="21"/>
  <c r="AZ75" i="21" s="1"/>
  <c r="AI68" i="21"/>
  <c r="AH68" i="21"/>
  <c r="AI67" i="21"/>
  <c r="AH67" i="21"/>
  <c r="AI66" i="21"/>
  <c r="AH66" i="21"/>
  <c r="AI65" i="21"/>
  <c r="AH65" i="21"/>
  <c r="AI64" i="21"/>
  <c r="AH64" i="21"/>
  <c r="AI63" i="21"/>
  <c r="AH63" i="21"/>
  <c r="AG62" i="21"/>
  <c r="AF62" i="21"/>
  <c r="BI17" i="21"/>
  <c r="AD62" i="21"/>
  <c r="BH17" i="21" s="1"/>
  <c r="AC62" i="21"/>
  <c r="AB62" i="21"/>
  <c r="AA62" i="21"/>
  <c r="Z62" i="21"/>
  <c r="Y62" i="21"/>
  <c r="W62" i="21"/>
  <c r="V62" i="21"/>
  <c r="BD17" i="21" s="1"/>
  <c r="S62" i="21"/>
  <c r="BA17" i="21" s="1"/>
  <c r="R62" i="21"/>
  <c r="Q62" i="21"/>
  <c r="AY17" i="21" s="1"/>
  <c r="P62" i="21"/>
  <c r="AX17" i="21" s="1"/>
  <c r="O62" i="21"/>
  <c r="AW17" i="21" s="1"/>
  <c r="N62" i="21"/>
  <c r="M62" i="21"/>
  <c r="L62" i="21"/>
  <c r="K62" i="21"/>
  <c r="AT17" i="21" s="1"/>
  <c r="J62" i="21"/>
  <c r="I62" i="21"/>
  <c r="H62" i="21"/>
  <c r="G62" i="21"/>
  <c r="F62" i="21"/>
  <c r="E62" i="21"/>
  <c r="AP17" i="21" s="1"/>
  <c r="D62" i="21"/>
  <c r="AO17" i="21" s="1"/>
  <c r="AI61" i="21"/>
  <c r="AH61" i="21"/>
  <c r="AI60" i="21"/>
  <c r="AH60" i="21"/>
  <c r="AI59" i="21"/>
  <c r="AH59" i="21"/>
  <c r="AG58" i="21"/>
  <c r="AD58" i="21"/>
  <c r="BH16" i="21" s="1"/>
  <c r="AC58" i="21"/>
  <c r="AB58" i="21"/>
  <c r="BG16" i="21" s="1"/>
  <c r="AA58" i="21"/>
  <c r="Z58" i="21"/>
  <c r="Y58" i="21"/>
  <c r="BE16" i="21"/>
  <c r="W58" i="21"/>
  <c r="V58" i="21"/>
  <c r="S58" i="21"/>
  <c r="S97" i="21" s="1"/>
  <c r="S99" i="21" s="1"/>
  <c r="R58" i="21"/>
  <c r="Q58" i="21"/>
  <c r="P58" i="21"/>
  <c r="O58" i="21"/>
  <c r="AW16" i="21" s="1"/>
  <c r="N58" i="21"/>
  <c r="M58" i="21"/>
  <c r="AU16" i="21" s="1"/>
  <c r="L58" i="21"/>
  <c r="K58" i="21"/>
  <c r="J58" i="21"/>
  <c r="I58" i="21"/>
  <c r="H58" i="21"/>
  <c r="G58" i="21"/>
  <c r="F58" i="21"/>
  <c r="E58" i="21"/>
  <c r="D58" i="21"/>
  <c r="AI57" i="21"/>
  <c r="AI56" i="21"/>
  <c r="AH56" i="21"/>
  <c r="AI55" i="21"/>
  <c r="AH55" i="21"/>
  <c r="AI54" i="21"/>
  <c r="AH54" i="21"/>
  <c r="AI53" i="21"/>
  <c r="AH53" i="21"/>
  <c r="AI52" i="21"/>
  <c r="AH52" i="21"/>
  <c r="AI51" i="21"/>
  <c r="AH51" i="21"/>
  <c r="AI50" i="21"/>
  <c r="AH50" i="21"/>
  <c r="AI49" i="21"/>
  <c r="AH49" i="21"/>
  <c r="AI48" i="21"/>
  <c r="AH48" i="21"/>
  <c r="AI47" i="21"/>
  <c r="AH47" i="21"/>
  <c r="AI46" i="21"/>
  <c r="AH46" i="21"/>
  <c r="AI45" i="21"/>
  <c r="AH45" i="21"/>
  <c r="AI44" i="21"/>
  <c r="AH44" i="21"/>
  <c r="AI43" i="21"/>
  <c r="AH43" i="21"/>
  <c r="AI42" i="21"/>
  <c r="AH42" i="21"/>
  <c r="AI41" i="21"/>
  <c r="AH41" i="21"/>
  <c r="AI40" i="21"/>
  <c r="AH40" i="21"/>
  <c r="AI39" i="21"/>
  <c r="AH39" i="21"/>
  <c r="AI38" i="21"/>
  <c r="AH38" i="21"/>
  <c r="AI37" i="21"/>
  <c r="AH37" i="21"/>
  <c r="AI36" i="21"/>
  <c r="AH36" i="21"/>
  <c r="AI35" i="21"/>
  <c r="AH35" i="21"/>
  <c r="AI34" i="21"/>
  <c r="AH34" i="21"/>
  <c r="AI33" i="21"/>
  <c r="AH33" i="21"/>
  <c r="AI32" i="21"/>
  <c r="AH32" i="21"/>
  <c r="AI31" i="21"/>
  <c r="AH31" i="21"/>
  <c r="AI30" i="21"/>
  <c r="AH30" i="21"/>
  <c r="AI29" i="21"/>
  <c r="AH29" i="21"/>
  <c r="AI28" i="21"/>
  <c r="AH28" i="21"/>
  <c r="AI27" i="21"/>
  <c r="AH27" i="21"/>
  <c r="AI26" i="21"/>
  <c r="AH26" i="21"/>
  <c r="AI25" i="21"/>
  <c r="AH25" i="21"/>
  <c r="AI24" i="21"/>
  <c r="AH24" i="21"/>
  <c r="BE23" i="21"/>
  <c r="BB23" i="21"/>
  <c r="AI23" i="21"/>
  <c r="AH23" i="21"/>
  <c r="AI22" i="21"/>
  <c r="AH22" i="21"/>
  <c r="BJ21" i="21"/>
  <c r="BI21" i="21"/>
  <c r="BH21" i="21"/>
  <c r="BG21" i="21"/>
  <c r="BF21" i="21"/>
  <c r="BE21" i="21"/>
  <c r="BD21" i="21"/>
  <c r="BC21" i="21"/>
  <c r="BB21" i="21"/>
  <c r="BA21" i="21"/>
  <c r="AZ21" i="21"/>
  <c r="AY21" i="21"/>
  <c r="AX21" i="21"/>
  <c r="AW21" i="21"/>
  <c r="AV21" i="21"/>
  <c r="AU21" i="21"/>
  <c r="AT21" i="21"/>
  <c r="AS21" i="21"/>
  <c r="AR21" i="21"/>
  <c r="AQ21" i="21"/>
  <c r="AP21" i="21"/>
  <c r="AO21" i="21"/>
  <c r="AN21" i="21"/>
  <c r="AM21" i="21"/>
  <c r="AI21" i="21"/>
  <c r="AH21" i="21"/>
  <c r="BJ20" i="21"/>
  <c r="BI20" i="21"/>
  <c r="BH20" i="21"/>
  <c r="BE20" i="21"/>
  <c r="BD20" i="21"/>
  <c r="BC20" i="21"/>
  <c r="BB20" i="21"/>
  <c r="BA20" i="21"/>
  <c r="AZ20" i="21"/>
  <c r="AY20" i="21"/>
  <c r="AV20" i="21"/>
  <c r="AU20" i="21"/>
  <c r="AT20" i="21"/>
  <c r="AS20" i="21"/>
  <c r="AR20" i="21"/>
  <c r="AN20" i="21"/>
  <c r="AM20" i="21"/>
  <c r="AI20" i="21"/>
  <c r="AH20" i="21"/>
  <c r="BF19" i="21"/>
  <c r="BE19" i="21"/>
  <c r="BB19" i="21"/>
  <c r="AI19" i="21"/>
  <c r="AH19" i="21"/>
  <c r="BF18" i="21"/>
  <c r="BE18" i="21"/>
  <c r="BC18" i="21"/>
  <c r="BB18" i="21"/>
  <c r="BA18" i="21"/>
  <c r="AX18" i="21"/>
  <c r="AW18" i="21"/>
  <c r="AO18" i="21"/>
  <c r="AN18" i="21"/>
  <c r="AI18" i="21"/>
  <c r="AH18" i="21"/>
  <c r="BJ17" i="21"/>
  <c r="BG17" i="21"/>
  <c r="BF17" i="21"/>
  <c r="BE17" i="21"/>
  <c r="BC17" i="21"/>
  <c r="BB17" i="21"/>
  <c r="AZ17" i="21"/>
  <c r="AV17" i="21"/>
  <c r="AU17" i="21"/>
  <c r="AS17" i="21"/>
  <c r="AR17" i="21"/>
  <c r="AQ17" i="21"/>
  <c r="AN17" i="21"/>
  <c r="AI17" i="21"/>
  <c r="AH17" i="21"/>
  <c r="BJ16" i="21"/>
  <c r="BF16" i="21"/>
  <c r="BD16" i="21"/>
  <c r="BC16" i="21"/>
  <c r="BB16" i="21"/>
  <c r="AZ16" i="21"/>
  <c r="AY16" i="21"/>
  <c r="AV16" i="21"/>
  <c r="AT16" i="21"/>
  <c r="AS16" i="21"/>
  <c r="AQ16" i="21"/>
  <c r="AP16" i="21"/>
  <c r="AI16" i="21"/>
  <c r="AH16" i="21"/>
  <c r="AI15" i="21"/>
  <c r="AH15" i="21"/>
  <c r="AI14" i="21"/>
  <c r="AH14" i="21"/>
  <c r="AI13" i="21"/>
  <c r="AH13" i="21"/>
  <c r="AL12" i="21"/>
  <c r="AI12" i="21"/>
  <c r="AH12" i="21"/>
  <c r="AI11" i="21"/>
  <c r="AH11" i="21"/>
  <c r="X7" i="21"/>
  <c r="AA5" i="21"/>
  <c r="Y5" i="21"/>
  <c r="X5" i="21"/>
  <c r="W5" i="21"/>
  <c r="S5" i="21"/>
  <c r="M5" i="21"/>
  <c r="J5" i="21"/>
  <c r="E5" i="21"/>
  <c r="AG4" i="21"/>
  <c r="K4" i="21"/>
  <c r="E4" i="21"/>
  <c r="H4" i="21" s="1"/>
  <c r="B4" i="21"/>
  <c r="D258" i="21" s="1"/>
  <c r="AG2" i="21"/>
  <c r="AF58" i="20"/>
  <c r="AF62" i="20"/>
  <c r="AF76" i="20"/>
  <c r="AF80" i="20"/>
  <c r="AF92" i="20"/>
  <c r="AF97" i="20" s="1"/>
  <c r="AF99" i="20" s="1"/>
  <c r="AF101" i="20"/>
  <c r="AF102" i="20"/>
  <c r="AF103" i="20"/>
  <c r="AF104" i="20"/>
  <c r="AF105" i="20"/>
  <c r="AF118" i="20"/>
  <c r="AE58" i="20"/>
  <c r="AE62" i="20"/>
  <c r="AE76" i="20"/>
  <c r="AE80" i="20"/>
  <c r="AE92" i="20"/>
  <c r="AE101" i="20"/>
  <c r="AE102" i="20"/>
  <c r="AE103" i="20"/>
  <c r="AE104" i="20"/>
  <c r="AE105" i="20"/>
  <c r="AE118" i="20"/>
  <c r="AD58" i="20"/>
  <c r="AD62" i="20"/>
  <c r="AD76" i="20"/>
  <c r="AD80" i="20"/>
  <c r="AD92" i="20"/>
  <c r="AD101" i="20"/>
  <c r="AD102" i="20"/>
  <c r="AD103" i="20"/>
  <c r="AD104" i="20"/>
  <c r="AD105" i="20"/>
  <c r="AD118" i="20"/>
  <c r="AC58" i="20"/>
  <c r="AC62" i="20"/>
  <c r="AC76" i="20"/>
  <c r="AC80" i="20"/>
  <c r="AC92" i="20"/>
  <c r="AC101" i="20"/>
  <c r="AC102" i="20"/>
  <c r="AC103" i="20"/>
  <c r="AC104" i="20"/>
  <c r="AC105" i="20"/>
  <c r="AC118" i="20"/>
  <c r="AB58" i="20"/>
  <c r="AB62" i="20"/>
  <c r="AB76" i="20"/>
  <c r="AB80" i="20"/>
  <c r="AB92" i="20"/>
  <c r="AB101" i="20"/>
  <c r="AB107" i="20" s="1"/>
  <c r="AB102" i="20"/>
  <c r="AB103" i="20"/>
  <c r="AB104" i="20"/>
  <c r="AB105" i="20"/>
  <c r="AB118" i="20"/>
  <c r="AF107" i="21" l="1"/>
  <c r="BJ23" i="21" s="1"/>
  <c r="BJ19" i="21"/>
  <c r="AF108" i="21"/>
  <c r="AF97" i="21"/>
  <c r="AF99" i="21" s="1"/>
  <c r="AF100" i="21" s="1"/>
  <c r="AF7" i="21" s="1"/>
  <c r="BJ22" i="21"/>
  <c r="BJ24" i="21" s="1"/>
  <c r="AE107" i="21"/>
  <c r="BI23" i="21" s="1"/>
  <c r="AD5" i="21"/>
  <c r="AE97" i="21"/>
  <c r="AE99" i="21" s="1"/>
  <c r="AE100" i="21" s="1"/>
  <c r="AE7" i="21" s="1"/>
  <c r="AC5" i="21"/>
  <c r="BH22" i="21"/>
  <c r="AC107" i="21"/>
  <c r="AB107" i="21"/>
  <c r="BG23" i="21" s="1"/>
  <c r="BG22" i="21"/>
  <c r="AA107" i="21"/>
  <c r="AA97" i="21"/>
  <c r="AA99" i="21" s="1"/>
  <c r="AA100" i="21" s="1"/>
  <c r="AA7" i="21" s="1"/>
  <c r="Z108" i="21"/>
  <c r="Z97" i="21"/>
  <c r="Z99" i="21" s="1"/>
  <c r="Z100" i="21" s="1"/>
  <c r="Z7" i="21" s="1"/>
  <c r="BF22" i="21"/>
  <c r="BF24" i="21" s="1"/>
  <c r="Y97" i="21"/>
  <c r="Y99" i="21" s="1"/>
  <c r="Y100" i="21" s="1"/>
  <c r="Y7" i="21" s="1"/>
  <c r="BE22" i="21"/>
  <c r="BE24" i="21" s="1"/>
  <c r="W107" i="21"/>
  <c r="W97" i="21"/>
  <c r="W99" i="21" s="1"/>
  <c r="BD19" i="21"/>
  <c r="BD22" i="21"/>
  <c r="BB22" i="21"/>
  <c r="BB24" i="21" s="1"/>
  <c r="R5" i="21"/>
  <c r="S107" i="21"/>
  <c r="BA23" i="21" s="1"/>
  <c r="Q5" i="21"/>
  <c r="R97" i="21"/>
  <c r="R99" i="21" s="1"/>
  <c r="R108" i="21"/>
  <c r="R100" i="21"/>
  <c r="R7" i="21" s="1"/>
  <c r="AZ22" i="21"/>
  <c r="AZ24" i="21" s="1"/>
  <c r="AY19" i="21"/>
  <c r="AY22" i="21"/>
  <c r="Q97" i="21"/>
  <c r="Q99" i="21" s="1"/>
  <c r="Q100" i="21" s="1"/>
  <c r="Q7" i="21" s="1"/>
  <c r="AX19" i="21"/>
  <c r="O5" i="21"/>
  <c r="P107" i="21"/>
  <c r="AX23" i="21" s="1"/>
  <c r="P97" i="21"/>
  <c r="P99" i="21" s="1"/>
  <c r="P100" i="21" s="1"/>
  <c r="P7" i="21" s="1"/>
  <c r="AX16" i="21"/>
  <c r="O107" i="21"/>
  <c r="AW23" i="21" s="1"/>
  <c r="N5" i="21"/>
  <c r="AW22" i="21"/>
  <c r="AW24" i="21" s="1"/>
  <c r="AV22" i="21"/>
  <c r="M107" i="21"/>
  <c r="AU23" i="21" s="1"/>
  <c r="AH121" i="21"/>
  <c r="L107" i="21"/>
  <c r="L108" i="21" s="1"/>
  <c r="K107" i="21"/>
  <c r="AT23" i="21" s="1"/>
  <c r="K97" i="21"/>
  <c r="K99" i="21" s="1"/>
  <c r="K100" i="21" s="1"/>
  <c r="K7" i="21" s="1"/>
  <c r="J107" i="21"/>
  <c r="J108" i="21"/>
  <c r="I5" i="21"/>
  <c r="J97" i="21"/>
  <c r="J99" i="21" s="1"/>
  <c r="J100" i="21" s="1"/>
  <c r="J7" i="21" s="1"/>
  <c r="H5" i="21"/>
  <c r="AH103" i="21"/>
  <c r="I107" i="21"/>
  <c r="AS23" i="21" s="1"/>
  <c r="AS22" i="21"/>
  <c r="I97" i="21"/>
  <c r="I99" i="21" s="1"/>
  <c r="I100" i="21" s="1"/>
  <c r="I7" i="21" s="1"/>
  <c r="AI121" i="21"/>
  <c r="H107" i="21"/>
  <c r="H108" i="21" s="1"/>
  <c r="H97" i="21"/>
  <c r="H99" i="21" s="1"/>
  <c r="H100" i="21" s="1"/>
  <c r="H7" i="21" s="1"/>
  <c r="F5" i="21"/>
  <c r="G97" i="21"/>
  <c r="G99" i="21" s="1"/>
  <c r="AH57" i="21"/>
  <c r="AQ22" i="21"/>
  <c r="AH76" i="21"/>
  <c r="D107" i="21"/>
  <c r="AO23" i="21" s="1"/>
  <c r="C5" i="21"/>
  <c r="AO19" i="21"/>
  <c r="AI105" i="21"/>
  <c r="AH62" i="21"/>
  <c r="AI62" i="21"/>
  <c r="C107" i="21"/>
  <c r="AN23" i="21" s="1"/>
  <c r="C97" i="21"/>
  <c r="C99" i="21" s="1"/>
  <c r="AN19" i="21"/>
  <c r="AF5" i="21"/>
  <c r="AM19" i="21"/>
  <c r="B97" i="21"/>
  <c r="B99" i="21" s="1"/>
  <c r="B100" i="21" s="1"/>
  <c r="AH58" i="21"/>
  <c r="AM16" i="21"/>
  <c r="AT22" i="21"/>
  <c r="AT24" i="21" s="1"/>
  <c r="G100" i="21"/>
  <c r="G7" i="21" s="1"/>
  <c r="AY24" i="21"/>
  <c r="I108" i="21"/>
  <c r="BC22" i="21"/>
  <c r="BC24" i="21" s="1"/>
  <c r="AI58" i="21"/>
  <c r="E107" i="21"/>
  <c r="AP23" i="21" s="1"/>
  <c r="AH104" i="21"/>
  <c r="AM18" i="21"/>
  <c r="AM22" i="21" s="1"/>
  <c r="D97" i="21"/>
  <c r="D99" i="21" s="1"/>
  <c r="D100" i="21" s="1"/>
  <c r="D7" i="21" s="1"/>
  <c r="L97" i="21"/>
  <c r="L99" i="21" s="1"/>
  <c r="L100" i="21" s="1"/>
  <c r="L7" i="21" s="1"/>
  <c r="T7" i="21"/>
  <c r="AB97" i="21"/>
  <c r="AB99" i="21" s="1"/>
  <c r="AB100" i="21" s="1"/>
  <c r="AB7" i="21" s="1"/>
  <c r="AH92" i="21"/>
  <c r="AG99" i="21"/>
  <c r="Q108" i="21"/>
  <c r="O97" i="21"/>
  <c r="O99" i="21" s="1"/>
  <c r="O100" i="21" s="1"/>
  <c r="O7" i="21" s="1"/>
  <c r="AR16" i="21"/>
  <c r="AR22" i="21" s="1"/>
  <c r="AR24" i="21" s="1"/>
  <c r="E97" i="21"/>
  <c r="E99" i="21" s="1"/>
  <c r="M97" i="21"/>
  <c r="M99" i="21" s="1"/>
  <c r="M100" i="21" s="1"/>
  <c r="M7" i="21" s="1"/>
  <c r="U7" i="21"/>
  <c r="AC97" i="21"/>
  <c r="AC99" i="21" s="1"/>
  <c r="AC100" i="21" s="1"/>
  <c r="AC7" i="21" s="1"/>
  <c r="AH80" i="21"/>
  <c r="AI80" i="21"/>
  <c r="K108" i="21"/>
  <c r="S108" i="21"/>
  <c r="AA108" i="21"/>
  <c r="AI92" i="21"/>
  <c r="BA16" i="21"/>
  <c r="BA22" i="21" s="1"/>
  <c r="BA24" i="21" s="1"/>
  <c r="BI16" i="21"/>
  <c r="BI22" i="21" s="1"/>
  <c r="BI24" i="21" s="1"/>
  <c r="AU19" i="21"/>
  <c r="AU22" i="21" s="1"/>
  <c r="F97" i="21"/>
  <c r="F99" i="21" s="1"/>
  <c r="N97" i="21"/>
  <c r="N99" i="21" s="1"/>
  <c r="V97" i="21"/>
  <c r="V99" i="21" s="1"/>
  <c r="AD97" i="21"/>
  <c r="AD99" i="21" s="1"/>
  <c r="AB108" i="21"/>
  <c r="F107" i="21"/>
  <c r="AQ23" i="21" s="1"/>
  <c r="AQ24" i="21" s="1"/>
  <c r="N107" i="21"/>
  <c r="AV23" i="21" s="1"/>
  <c r="AV24" i="21" s="1"/>
  <c r="V107" i="21"/>
  <c r="BD23" i="21" s="1"/>
  <c r="BD24" i="21" s="1"/>
  <c r="AD107" i="21"/>
  <c r="BH23" i="21" s="1"/>
  <c r="BH24" i="21" s="1"/>
  <c r="AC108" i="21"/>
  <c r="BG84" i="21" a="1"/>
  <c r="AI76" i="21"/>
  <c r="AI104" i="21"/>
  <c r="D5" i="21"/>
  <c r="T5" i="21"/>
  <c r="AB5" i="21"/>
  <c r="AL13" i="21"/>
  <c r="AN16" i="21"/>
  <c r="AN22" i="21" s="1"/>
  <c r="AN24" i="21" s="1"/>
  <c r="AP19" i="21"/>
  <c r="AP22" i="21" s="1"/>
  <c r="AG97" i="21"/>
  <c r="G108" i="21"/>
  <c r="O108" i="21"/>
  <c r="W108" i="21"/>
  <c r="AE108" i="21"/>
  <c r="AH101" i="21"/>
  <c r="AI103" i="21"/>
  <c r="D252" i="21"/>
  <c r="M108" i="21"/>
  <c r="AO16" i="21"/>
  <c r="AO22" i="21" s="1"/>
  <c r="AO24" i="21" s="1"/>
  <c r="AI101" i="21"/>
  <c r="AI102" i="21"/>
  <c r="AH102" i="21"/>
  <c r="E246" i="21"/>
  <c r="AH105" i="21"/>
  <c r="D118" i="21"/>
  <c r="AF107" i="20"/>
  <c r="AF100" i="20" s="1"/>
  <c r="AE97" i="20"/>
  <c r="AE99" i="20" s="1"/>
  <c r="AE107" i="20"/>
  <c r="AE108" i="20"/>
  <c r="AD107" i="20"/>
  <c r="AD108" i="20" s="1"/>
  <c r="AD97" i="20"/>
  <c r="AD99" i="20" s="1"/>
  <c r="AC107" i="20"/>
  <c r="AC108" i="20"/>
  <c r="AC97" i="20"/>
  <c r="AC99" i="20" s="1"/>
  <c r="AC100" i="20" s="1"/>
  <c r="AB97" i="20"/>
  <c r="AB99" i="20" s="1"/>
  <c r="AB100" i="20" s="1"/>
  <c r="AB108" i="20"/>
  <c r="BG24" i="21" l="1"/>
  <c r="W100" i="21"/>
  <c r="W7" i="21" s="1"/>
  <c r="S100" i="21"/>
  <c r="S7" i="21" s="1"/>
  <c r="P108" i="21"/>
  <c r="AX22" i="21"/>
  <c r="AX24" i="21" s="1"/>
  <c r="N108" i="21"/>
  <c r="AU24" i="21"/>
  <c r="AS24" i="21"/>
  <c r="C256" i="21"/>
  <c r="F100" i="21"/>
  <c r="F7" i="21" s="1"/>
  <c r="F108" i="21"/>
  <c r="E108" i="21"/>
  <c r="AP24" i="21"/>
  <c r="D108" i="21"/>
  <c r="C108" i="21"/>
  <c r="C100" i="21"/>
  <c r="C7" i="21" s="1"/>
  <c r="AM24" i="21"/>
  <c r="AT8" i="21"/>
  <c r="V108" i="21"/>
  <c r="N100" i="21"/>
  <c r="N7" i="21" s="1"/>
  <c r="B256" i="21"/>
  <c r="F246" i="21"/>
  <c r="E252" i="21"/>
  <c r="E118" i="21"/>
  <c r="AI107" i="21"/>
  <c r="AH107" i="21"/>
  <c r="BJ107" i="21"/>
  <c r="BH106" i="21"/>
  <c r="BL104" i="21"/>
  <c r="BJ103" i="21"/>
  <c r="BH102" i="21"/>
  <c r="BL100" i="21"/>
  <c r="BJ99" i="21"/>
  <c r="BH98" i="21"/>
  <c r="BL96" i="21"/>
  <c r="BJ95" i="21"/>
  <c r="BH94" i="21"/>
  <c r="BL92" i="21"/>
  <c r="BJ91" i="21"/>
  <c r="BH90" i="21"/>
  <c r="BL88" i="21"/>
  <c r="BJ87" i="21"/>
  <c r="BH86" i="21"/>
  <c r="BL84" i="21"/>
  <c r="BI107" i="21"/>
  <c r="BG106" i="21"/>
  <c r="BK104" i="21"/>
  <c r="BI103" i="21"/>
  <c r="BG102" i="21"/>
  <c r="BK100" i="21"/>
  <c r="BI99" i="21"/>
  <c r="BG98" i="21"/>
  <c r="BK96" i="21"/>
  <c r="BI95" i="21"/>
  <c r="BG94" i="21"/>
  <c r="BK92" i="21"/>
  <c r="BI91" i="21"/>
  <c r="BG90" i="21"/>
  <c r="BK88" i="21"/>
  <c r="BI87" i="21"/>
  <c r="BG86" i="21"/>
  <c r="BK84" i="21"/>
  <c r="BH107" i="21"/>
  <c r="BL105" i="21"/>
  <c r="BJ104" i="21"/>
  <c r="BH103" i="21"/>
  <c r="BL101" i="21"/>
  <c r="BJ100" i="21"/>
  <c r="BH99" i="21"/>
  <c r="BL97" i="21"/>
  <c r="BJ96" i="21"/>
  <c r="BH95" i="21"/>
  <c r="BL93" i="21"/>
  <c r="BJ92" i="21"/>
  <c r="BH91" i="21"/>
  <c r="BL89" i="21"/>
  <c r="BJ88" i="21"/>
  <c r="BH87" i="21"/>
  <c r="BL85" i="21"/>
  <c r="BJ84" i="21"/>
  <c r="BG107" i="21"/>
  <c r="BK105" i="21"/>
  <c r="BI104" i="21"/>
  <c r="BG103" i="21"/>
  <c r="BK101" i="21"/>
  <c r="BI100" i="21"/>
  <c r="BG99" i="21"/>
  <c r="BK97" i="21"/>
  <c r="BI96" i="21"/>
  <c r="BG95" i="21"/>
  <c r="BK93" i="21"/>
  <c r="BI92" i="21"/>
  <c r="BG91" i="21"/>
  <c r="BK89" i="21"/>
  <c r="BI88" i="21"/>
  <c r="BG87" i="21"/>
  <c r="BK85" i="21"/>
  <c r="BI84" i="21"/>
  <c r="BK106" i="21"/>
  <c r="BI105" i="21"/>
  <c r="BG104" i="21"/>
  <c r="BK102" i="21"/>
  <c r="BI101" i="21"/>
  <c r="BG100" i="21"/>
  <c r="BK98" i="21"/>
  <c r="BI97" i="21"/>
  <c r="BG96" i="21"/>
  <c r="BK94" i="21"/>
  <c r="BI93" i="21"/>
  <c r="BG92" i="21"/>
  <c r="BK90" i="21"/>
  <c r="BI89" i="21"/>
  <c r="BG88" i="21"/>
  <c r="BK86" i="21"/>
  <c r="BI85" i="21"/>
  <c r="BG84" i="21"/>
  <c r="BJ106" i="21"/>
  <c r="BL102" i="21"/>
  <c r="BK99" i="21"/>
  <c r="BL95" i="21"/>
  <c r="BH92" i="21"/>
  <c r="BG89" i="21"/>
  <c r="BH85" i="21"/>
  <c r="BJ94" i="21"/>
  <c r="BI106" i="21"/>
  <c r="BJ102" i="21"/>
  <c r="BL98" i="21"/>
  <c r="BK95" i="21"/>
  <c r="BL91" i="21"/>
  <c r="BH88" i="21"/>
  <c r="BG85" i="21"/>
  <c r="BJ101" i="21"/>
  <c r="BK87" i="21"/>
  <c r="BJ105" i="21"/>
  <c r="BI102" i="21"/>
  <c r="BJ98" i="21"/>
  <c r="BL94" i="21"/>
  <c r="BK91" i="21"/>
  <c r="BL87" i="21"/>
  <c r="BH84" i="21"/>
  <c r="BH105" i="21"/>
  <c r="BI98" i="21"/>
  <c r="BL90" i="21"/>
  <c r="BG105" i="21"/>
  <c r="BH101" i="21"/>
  <c r="BJ97" i="21"/>
  <c r="BI94" i="21"/>
  <c r="BJ90" i="21"/>
  <c r="BL86" i="21"/>
  <c r="BK103" i="21"/>
  <c r="BH96" i="21"/>
  <c r="BH89" i="21"/>
  <c r="BJ85" i="21"/>
  <c r="BL107" i="21"/>
  <c r="BH104" i="21"/>
  <c r="BG101" i="21"/>
  <c r="BH97" i="21"/>
  <c r="BJ93" i="21"/>
  <c r="BI90" i="21"/>
  <c r="BJ86" i="21"/>
  <c r="BL106" i="21"/>
  <c r="BG93" i="21"/>
  <c r="BK107" i="21"/>
  <c r="BL103" i="21"/>
  <c r="BH100" i="21"/>
  <c r="BG97" i="21"/>
  <c r="BH93" i="21"/>
  <c r="BJ89" i="21"/>
  <c r="BI86" i="21"/>
  <c r="BL99" i="21"/>
  <c r="AD100" i="21"/>
  <c r="AD7" i="21" s="1"/>
  <c r="AD108" i="21"/>
  <c r="AI97" i="21"/>
  <c r="AH97" i="21"/>
  <c r="V100" i="21"/>
  <c r="V7" i="21" s="1"/>
  <c r="E100" i="21"/>
  <c r="E7" i="21" s="1"/>
  <c r="AF108" i="20"/>
  <c r="AE100" i="20"/>
  <c r="AD100" i="20"/>
  <c r="X58" i="20"/>
  <c r="X62" i="20"/>
  <c r="X76" i="20"/>
  <c r="X80" i="20"/>
  <c r="X92" i="20"/>
  <c r="X101" i="20"/>
  <c r="X102" i="20"/>
  <c r="X103" i="20"/>
  <c r="X104" i="20"/>
  <c r="X105" i="20"/>
  <c r="X118" i="20"/>
  <c r="V58" i="20"/>
  <c r="V62" i="20"/>
  <c r="V76" i="20"/>
  <c r="V80" i="20"/>
  <c r="V92" i="20"/>
  <c r="V101" i="20"/>
  <c r="V107" i="20" s="1"/>
  <c r="V102" i="20"/>
  <c r="V103" i="20"/>
  <c r="V104" i="20"/>
  <c r="V105" i="20"/>
  <c r="V118" i="20"/>
  <c r="T57" i="20"/>
  <c r="T58" i="20"/>
  <c r="T62" i="20"/>
  <c r="T76" i="20"/>
  <c r="T80" i="20"/>
  <c r="T92" i="20"/>
  <c r="T101" i="20"/>
  <c r="T102" i="20"/>
  <c r="T103" i="20"/>
  <c r="T104" i="20"/>
  <c r="T105" i="20"/>
  <c r="T118" i="20"/>
  <c r="AH108" i="21" l="1"/>
  <c r="AT9" i="21"/>
  <c r="K6" i="21"/>
  <c r="G246" i="21"/>
  <c r="F118" i="21"/>
  <c r="F252" i="21"/>
  <c r="AI108" i="21"/>
  <c r="AH99" i="21"/>
  <c r="AI99" i="21"/>
  <c r="X107" i="20"/>
  <c r="X108" i="20" s="1"/>
  <c r="X97" i="20"/>
  <c r="X99" i="20" s="1"/>
  <c r="V97" i="20"/>
  <c r="V99" i="20" s="1"/>
  <c r="V108" i="20"/>
  <c r="V100" i="20"/>
  <c r="T107" i="20"/>
  <c r="T108" i="20" s="1"/>
  <c r="T97" i="20"/>
  <c r="T99" i="20" s="1"/>
  <c r="AI100" i="21" l="1"/>
  <c r="B7" i="21"/>
  <c r="A7" i="21" s="1"/>
  <c r="AH100" i="21"/>
  <c r="H246" i="21"/>
  <c r="G252" i="21"/>
  <c r="G118" i="21"/>
  <c r="X100" i="20"/>
  <c r="T100" i="20"/>
  <c r="I246" i="21" l="1"/>
  <c r="H252" i="21"/>
  <c r="H118" i="21"/>
  <c r="I252" i="21" l="1"/>
  <c r="I118" i="21"/>
  <c r="J246" i="21"/>
  <c r="J252" i="21" l="1"/>
  <c r="J118" i="21"/>
  <c r="K246" i="21"/>
  <c r="K252" i="21" l="1"/>
  <c r="K118" i="21"/>
  <c r="L246" i="21"/>
  <c r="S121" i="20"/>
  <c r="S57" i="20"/>
  <c r="S58" i="20"/>
  <c r="S62" i="20"/>
  <c r="S76" i="20"/>
  <c r="S80" i="20"/>
  <c r="S92" i="20"/>
  <c r="S101" i="20"/>
  <c r="S107" i="20" s="1"/>
  <c r="S102" i="20"/>
  <c r="S103" i="20"/>
  <c r="S104" i="20"/>
  <c r="S105" i="20"/>
  <c r="R121" i="20"/>
  <c r="R57" i="20"/>
  <c r="Q57" i="20"/>
  <c r="P57" i="20"/>
  <c r="O57" i="20"/>
  <c r="N57" i="20"/>
  <c r="L252" i="21" l="1"/>
  <c r="L118" i="21"/>
  <c r="M246" i="21"/>
  <c r="S108" i="20"/>
  <c r="S97" i="20"/>
  <c r="S99" i="20" s="1"/>
  <c r="S100" i="20" s="1"/>
  <c r="N246" i="21" l="1"/>
  <c r="M118" i="21"/>
  <c r="M252" i="21"/>
  <c r="O246" i="21" l="1"/>
  <c r="N118" i="21"/>
  <c r="N252" i="21"/>
  <c r="P246" i="21" l="1"/>
  <c r="O252" i="21"/>
  <c r="O118" i="21"/>
  <c r="Q246" i="21" l="1"/>
  <c r="P252" i="21"/>
  <c r="Q252" i="21" l="1"/>
  <c r="Q118" i="21"/>
  <c r="R246" i="21"/>
  <c r="R252" i="21" l="1"/>
  <c r="R118" i="21"/>
  <c r="S246" i="21"/>
  <c r="S252" i="21" l="1"/>
  <c r="S118" i="21"/>
  <c r="T246" i="21"/>
  <c r="T252" i="21" l="1"/>
  <c r="U246" i="21"/>
  <c r="V246" i="21" l="1"/>
  <c r="U252" i="21"/>
  <c r="W246" i="21" l="1"/>
  <c r="V118" i="21"/>
  <c r="V252" i="21"/>
  <c r="X246" i="21" l="1"/>
  <c r="W252" i="21"/>
  <c r="W118" i="21"/>
  <c r="Y246" i="21" l="1"/>
  <c r="X252" i="21"/>
  <c r="Y252" i="21" l="1"/>
  <c r="Z246" i="21"/>
  <c r="Z252" i="21" l="1"/>
  <c r="AA246" i="21"/>
  <c r="AA252" i="21" l="1"/>
  <c r="AA118" i="21"/>
  <c r="AB246" i="21"/>
  <c r="AB252" i="21" l="1"/>
  <c r="AB118" i="21"/>
  <c r="AC246" i="21"/>
  <c r="AC118" i="21" l="1"/>
  <c r="AD246" i="21"/>
  <c r="AC252" i="21"/>
  <c r="AE246" i="21" l="1"/>
  <c r="AD118" i="21"/>
  <c r="AD252" i="21"/>
  <c r="AF246" i="21" l="1"/>
  <c r="AE252" i="21"/>
  <c r="AE118" i="21"/>
  <c r="AF252" i="21" l="1"/>
  <c r="AF118" i="21"/>
  <c r="B246" i="21"/>
  <c r="B252" i="21" l="1"/>
  <c r="AI118" i="21" l="1"/>
  <c r="AH118" i="21"/>
  <c r="M57" i="20" l="1"/>
  <c r="J58" i="20"/>
  <c r="K58" i="20"/>
  <c r="J62" i="20"/>
  <c r="K62" i="20"/>
  <c r="AT17" i="20" s="1"/>
  <c r="I58" i="20"/>
  <c r="I62" i="20"/>
  <c r="F80" i="20"/>
  <c r="F58" i="20"/>
  <c r="AQ16" i="20" s="1"/>
  <c r="F62" i="20"/>
  <c r="AH125" i="20"/>
  <c r="AI125" i="20"/>
  <c r="AH124" i="20"/>
  <c r="AI124" i="20"/>
  <c r="AG252" i="20"/>
  <c r="C252" i="20"/>
  <c r="D251" i="20"/>
  <c r="J250" i="20"/>
  <c r="K250" i="20" s="1"/>
  <c r="L250" i="20" s="1"/>
  <c r="M250" i="20" s="1"/>
  <c r="N250" i="20" s="1"/>
  <c r="O250" i="20" s="1"/>
  <c r="P250" i="20" s="1"/>
  <c r="Q250" i="20" s="1"/>
  <c r="R250" i="20" s="1"/>
  <c r="S250" i="20" s="1"/>
  <c r="T250" i="20" s="1"/>
  <c r="U250" i="20" s="1"/>
  <c r="V250" i="20" s="1"/>
  <c r="W250" i="20" s="1"/>
  <c r="X250" i="20" s="1"/>
  <c r="Y250" i="20" s="1"/>
  <c r="Z250" i="20" s="1"/>
  <c r="AA250" i="20" s="1"/>
  <c r="AB250" i="20" s="1"/>
  <c r="AC250" i="20" s="1"/>
  <c r="AD250" i="20" s="1"/>
  <c r="AE250" i="20" s="1"/>
  <c r="AF250" i="20" s="1"/>
  <c r="B250" i="20" s="1"/>
  <c r="E250" i="20"/>
  <c r="F250" i="20" s="1"/>
  <c r="G250" i="20" s="1"/>
  <c r="H250" i="20" s="1"/>
  <c r="I250" i="20" s="1"/>
  <c r="D250" i="20"/>
  <c r="D249" i="20"/>
  <c r="E249" i="20" s="1"/>
  <c r="F249" i="20" s="1"/>
  <c r="G249" i="20" s="1"/>
  <c r="H249" i="20" s="1"/>
  <c r="I249" i="20" s="1"/>
  <c r="J249" i="20" s="1"/>
  <c r="K249" i="20" s="1"/>
  <c r="L249" i="20" s="1"/>
  <c r="M249" i="20" s="1"/>
  <c r="N249" i="20" s="1"/>
  <c r="O249" i="20" s="1"/>
  <c r="P249" i="20" s="1"/>
  <c r="Q249" i="20" s="1"/>
  <c r="R249" i="20" s="1"/>
  <c r="S249" i="20" s="1"/>
  <c r="T249" i="20" s="1"/>
  <c r="U249" i="20" s="1"/>
  <c r="V249" i="20" s="1"/>
  <c r="W249" i="20" s="1"/>
  <c r="X249" i="20" s="1"/>
  <c r="Y249" i="20" s="1"/>
  <c r="Z249" i="20" s="1"/>
  <c r="AA249" i="20" s="1"/>
  <c r="AB249" i="20" s="1"/>
  <c r="AC249" i="20" s="1"/>
  <c r="AD249" i="20" s="1"/>
  <c r="AE249" i="20" s="1"/>
  <c r="AF249" i="20" s="1"/>
  <c r="B249" i="20" s="1"/>
  <c r="D248" i="20"/>
  <c r="E248" i="20" s="1"/>
  <c r="F248" i="20" s="1"/>
  <c r="G248" i="20" s="1"/>
  <c r="H248" i="20" s="1"/>
  <c r="I248" i="20" s="1"/>
  <c r="J248" i="20" s="1"/>
  <c r="K248" i="20" s="1"/>
  <c r="L248" i="20" s="1"/>
  <c r="M248" i="20" s="1"/>
  <c r="N248" i="20" s="1"/>
  <c r="O248" i="20" s="1"/>
  <c r="P248" i="20" s="1"/>
  <c r="Q248" i="20" s="1"/>
  <c r="R248" i="20" s="1"/>
  <c r="S248" i="20" s="1"/>
  <c r="T248" i="20" s="1"/>
  <c r="U248" i="20" s="1"/>
  <c r="V248" i="20" s="1"/>
  <c r="W248" i="20" s="1"/>
  <c r="X248" i="20" s="1"/>
  <c r="Y248" i="20" s="1"/>
  <c r="Z248" i="20" s="1"/>
  <c r="AA248" i="20" s="1"/>
  <c r="AB248" i="20" s="1"/>
  <c r="AC248" i="20" s="1"/>
  <c r="AD248" i="20" s="1"/>
  <c r="AE248" i="20" s="1"/>
  <c r="AF248" i="20" s="1"/>
  <c r="B248" i="20" s="1"/>
  <c r="D247" i="20"/>
  <c r="E247" i="20" s="1"/>
  <c r="F247" i="20" s="1"/>
  <c r="G247" i="20" s="1"/>
  <c r="H247" i="20" s="1"/>
  <c r="I247" i="20" s="1"/>
  <c r="J247" i="20" s="1"/>
  <c r="K247" i="20" s="1"/>
  <c r="L247" i="20" s="1"/>
  <c r="M247" i="20" s="1"/>
  <c r="N247" i="20" s="1"/>
  <c r="O247" i="20" s="1"/>
  <c r="P247" i="20" s="1"/>
  <c r="Q247" i="20" s="1"/>
  <c r="R247" i="20" s="1"/>
  <c r="S247" i="20" s="1"/>
  <c r="T247" i="20" s="1"/>
  <c r="U247" i="20" s="1"/>
  <c r="V247" i="20" s="1"/>
  <c r="W247" i="20" s="1"/>
  <c r="X247" i="20" s="1"/>
  <c r="Y247" i="20" s="1"/>
  <c r="Z247" i="20" s="1"/>
  <c r="AA247" i="20" s="1"/>
  <c r="AB247" i="20" s="1"/>
  <c r="AC247" i="20" s="1"/>
  <c r="AD247" i="20" s="1"/>
  <c r="AE247" i="20" s="1"/>
  <c r="AF247" i="20" s="1"/>
  <c r="B247" i="20" s="1"/>
  <c r="E246" i="20"/>
  <c r="F246" i="20" s="1"/>
  <c r="D246" i="20"/>
  <c r="D252" i="20" s="1"/>
  <c r="AG244" i="20"/>
  <c r="AF244" i="20"/>
  <c r="AE244" i="20"/>
  <c r="AD244" i="20"/>
  <c r="AC244" i="20"/>
  <c r="AB244" i="20"/>
  <c r="AA244" i="20"/>
  <c r="Z244" i="20"/>
  <c r="Z118" i="20" s="1"/>
  <c r="Y244" i="20"/>
  <c r="X244" i="20"/>
  <c r="W244" i="20"/>
  <c r="V244" i="20"/>
  <c r="U244" i="20"/>
  <c r="T244" i="20"/>
  <c r="S244" i="20"/>
  <c r="R244" i="20"/>
  <c r="Q244" i="20"/>
  <c r="P244" i="20"/>
  <c r="O244" i="20"/>
  <c r="N244" i="20"/>
  <c r="M244" i="20"/>
  <c r="L244" i="20"/>
  <c r="K244" i="20"/>
  <c r="J244" i="20"/>
  <c r="I244" i="20"/>
  <c r="H244" i="20"/>
  <c r="G244" i="20"/>
  <c r="F244" i="20"/>
  <c r="E244" i="20"/>
  <c r="D244" i="20"/>
  <c r="C244" i="20"/>
  <c r="B244" i="20"/>
  <c r="AI130" i="20"/>
  <c r="AH130" i="20"/>
  <c r="AI129" i="20"/>
  <c r="AH129" i="20"/>
  <c r="AI128" i="20"/>
  <c r="AH128" i="20"/>
  <c r="AI127" i="20"/>
  <c r="AH127" i="20"/>
  <c r="AI126" i="20"/>
  <c r="AH126" i="20"/>
  <c r="AI123" i="20"/>
  <c r="AH123" i="20"/>
  <c r="AI122" i="20"/>
  <c r="AH122" i="20"/>
  <c r="AI121" i="20"/>
  <c r="AH121" i="20"/>
  <c r="AI120" i="20"/>
  <c r="AH120" i="20"/>
  <c r="AI119" i="20"/>
  <c r="AH119" i="20"/>
  <c r="Y118" i="20"/>
  <c r="C118" i="20"/>
  <c r="AI117" i="20"/>
  <c r="AH117" i="20"/>
  <c r="AI116" i="20"/>
  <c r="AH116" i="20"/>
  <c r="AI115" i="20"/>
  <c r="AH115" i="20"/>
  <c r="AI114" i="20"/>
  <c r="AH114" i="20"/>
  <c r="AI113" i="20"/>
  <c r="AH113" i="20"/>
  <c r="AI112" i="20"/>
  <c r="AH112" i="20"/>
  <c r="AI111" i="20"/>
  <c r="AH111" i="20"/>
  <c r="AI110" i="20"/>
  <c r="AH110" i="20"/>
  <c r="AI109" i="20"/>
  <c r="AH109" i="20"/>
  <c r="D107" i="20"/>
  <c r="AO23" i="20" s="1"/>
  <c r="AI106" i="20"/>
  <c r="AH106" i="20"/>
  <c r="AA105" i="20"/>
  <c r="Z105" i="20"/>
  <c r="Y105" i="20"/>
  <c r="W105" i="20"/>
  <c r="U105" i="20"/>
  <c r="R105" i="20"/>
  <c r="Q105" i="20"/>
  <c r="Q107" i="20" s="1"/>
  <c r="AY23" i="20" s="1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AA104" i="20"/>
  <c r="Z104" i="20"/>
  <c r="Y104" i="20"/>
  <c r="W104" i="20"/>
  <c r="U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AA103" i="20"/>
  <c r="Z103" i="20"/>
  <c r="Y103" i="20"/>
  <c r="W103" i="20"/>
  <c r="U103" i="20"/>
  <c r="R103" i="20"/>
  <c r="Q103" i="20"/>
  <c r="P103" i="20"/>
  <c r="O103" i="20"/>
  <c r="N103" i="20"/>
  <c r="M103" i="20"/>
  <c r="L103" i="20"/>
  <c r="K103" i="20"/>
  <c r="J103" i="20"/>
  <c r="I103" i="20"/>
  <c r="H103" i="20"/>
  <c r="G103" i="20"/>
  <c r="F103" i="20"/>
  <c r="E103" i="20"/>
  <c r="D103" i="20"/>
  <c r="C103" i="20"/>
  <c r="B103" i="20"/>
  <c r="AA102" i="20"/>
  <c r="Z102" i="20"/>
  <c r="Y102" i="20"/>
  <c r="W102" i="20"/>
  <c r="U102" i="20"/>
  <c r="R102" i="20"/>
  <c r="Q102" i="20"/>
  <c r="P102" i="20"/>
  <c r="O102" i="20"/>
  <c r="N102" i="20"/>
  <c r="M102" i="20"/>
  <c r="L102" i="20"/>
  <c r="K102" i="20"/>
  <c r="J102" i="20"/>
  <c r="I102" i="20"/>
  <c r="H102" i="20"/>
  <c r="G102" i="20"/>
  <c r="F102" i="20"/>
  <c r="E102" i="20"/>
  <c r="D102" i="20"/>
  <c r="C102" i="20"/>
  <c r="B102" i="20"/>
  <c r="AA101" i="20"/>
  <c r="Z101" i="20"/>
  <c r="Y101" i="20"/>
  <c r="W101" i="20"/>
  <c r="U101" i="20"/>
  <c r="R101" i="20"/>
  <c r="Q101" i="20"/>
  <c r="P101" i="20"/>
  <c r="O101" i="20"/>
  <c r="N101" i="20"/>
  <c r="M101" i="20"/>
  <c r="L101" i="20"/>
  <c r="K101" i="20"/>
  <c r="J101" i="20"/>
  <c r="I101" i="20"/>
  <c r="H101" i="20"/>
  <c r="G101" i="20"/>
  <c r="F101" i="20"/>
  <c r="E101" i="20"/>
  <c r="D101" i="20"/>
  <c r="C101" i="20"/>
  <c r="B101" i="20"/>
  <c r="AI98" i="20"/>
  <c r="AH98" i="20"/>
  <c r="AI96" i="20"/>
  <c r="AH96" i="20"/>
  <c r="AG96" i="20"/>
  <c r="AI95" i="20"/>
  <c r="AH95" i="20"/>
  <c r="AI94" i="20"/>
  <c r="AH94" i="20"/>
  <c r="AI93" i="20"/>
  <c r="AH93" i="20"/>
  <c r="AG92" i="20"/>
  <c r="AA92" i="20"/>
  <c r="Z5" i="20" s="1"/>
  <c r="Z92" i="20"/>
  <c r="Y92" i="20"/>
  <c r="X5" i="20" s="1"/>
  <c r="W92" i="20"/>
  <c r="V5" i="20" s="1"/>
  <c r="U92" i="20"/>
  <c r="BC19" i="20" s="1"/>
  <c r="R92" i="20"/>
  <c r="Q5" i="20" s="1"/>
  <c r="Q92" i="20"/>
  <c r="P5" i="20" s="1"/>
  <c r="P92" i="20"/>
  <c r="O92" i="20"/>
  <c r="AW19" i="20" s="1"/>
  <c r="N92" i="20"/>
  <c r="M92" i="20"/>
  <c r="L92" i="20"/>
  <c r="K5" i="20" s="1"/>
  <c r="K92" i="20"/>
  <c r="AT19" i="20" s="1"/>
  <c r="J92" i="20"/>
  <c r="I5" i="20" s="1"/>
  <c r="I92" i="20"/>
  <c r="H5" i="20" s="1"/>
  <c r="H92" i="20"/>
  <c r="G5" i="20" s="1"/>
  <c r="G92" i="20"/>
  <c r="AR19" i="20" s="1"/>
  <c r="F92" i="20"/>
  <c r="E92" i="20"/>
  <c r="D92" i="20"/>
  <c r="AO19" i="20" s="1"/>
  <c r="C92" i="20"/>
  <c r="AN19" i="20" s="1"/>
  <c r="B92" i="20"/>
  <c r="AF5" i="20" s="1"/>
  <c r="AI91" i="20"/>
  <c r="AH91" i="20"/>
  <c r="AI90" i="20"/>
  <c r="AH90" i="20"/>
  <c r="AI89" i="20"/>
  <c r="AH89" i="20"/>
  <c r="AI88" i="20"/>
  <c r="AH88" i="20"/>
  <c r="AI87" i="20"/>
  <c r="AH87" i="20"/>
  <c r="AI86" i="20"/>
  <c r="AH86" i="20"/>
  <c r="AI85" i="20"/>
  <c r="AH85" i="20"/>
  <c r="AI84" i="20"/>
  <c r="AH84" i="20"/>
  <c r="AI83" i="20"/>
  <c r="AH83" i="20"/>
  <c r="AI82" i="20"/>
  <c r="AH82" i="20"/>
  <c r="AI81" i="20"/>
  <c r="AH81" i="20"/>
  <c r="BG80" i="20"/>
  <c r="AG80" i="20"/>
  <c r="BH20" i="20"/>
  <c r="AA80" i="20"/>
  <c r="Z80" i="20"/>
  <c r="Y80" i="20"/>
  <c r="W80" i="20"/>
  <c r="BD20" i="20"/>
  <c r="U80" i="20"/>
  <c r="R80" i="20"/>
  <c r="Q80" i="20"/>
  <c r="AY20" i="20" s="1"/>
  <c r="P80" i="20"/>
  <c r="O80" i="20"/>
  <c r="AW20" i="20" s="1"/>
  <c r="N80" i="20"/>
  <c r="AV20" i="20" s="1"/>
  <c r="M80" i="20"/>
  <c r="AU20" i="20" s="1"/>
  <c r="L80" i="20"/>
  <c r="K80" i="20"/>
  <c r="J80" i="20"/>
  <c r="I80" i="20"/>
  <c r="AS20" i="20" s="1"/>
  <c r="H80" i="20"/>
  <c r="G80" i="20"/>
  <c r="AR20" i="20" s="1"/>
  <c r="AQ20" i="20"/>
  <c r="E80" i="20"/>
  <c r="D80" i="20"/>
  <c r="C80" i="20"/>
  <c r="AN20" i="20" s="1"/>
  <c r="B80" i="20"/>
  <c r="AM20" i="20" s="1"/>
  <c r="BB79" i="20"/>
  <c r="BA79" i="20"/>
  <c r="AI79" i="20"/>
  <c r="AH79" i="20"/>
  <c r="BL78" i="20"/>
  <c r="BD78" i="20"/>
  <c r="AI78" i="20"/>
  <c r="AH78" i="20"/>
  <c r="AI77" i="20"/>
  <c r="AH77" i="20"/>
  <c r="BP76" i="20"/>
  <c r="BH76" i="20"/>
  <c r="BF76" i="20"/>
  <c r="BI18" i="20"/>
  <c r="BH18" i="20"/>
  <c r="AA76" i="20"/>
  <c r="Z76" i="20"/>
  <c r="Y76" i="20"/>
  <c r="W76" i="20"/>
  <c r="BD18" i="20"/>
  <c r="U76" i="20"/>
  <c r="R76" i="20"/>
  <c r="AZ18" i="20" s="1"/>
  <c r="Q76" i="20"/>
  <c r="P76" i="20"/>
  <c r="O76" i="20"/>
  <c r="AW18" i="20" s="1"/>
  <c r="N76" i="20"/>
  <c r="AV18" i="20" s="1"/>
  <c r="M76" i="20"/>
  <c r="AU18" i="20" s="1"/>
  <c r="L76" i="20"/>
  <c r="K76" i="20"/>
  <c r="J76" i="20"/>
  <c r="I76" i="20"/>
  <c r="AS18" i="20" s="1"/>
  <c r="H76" i="20"/>
  <c r="G76" i="20"/>
  <c r="AR18" i="20" s="1"/>
  <c r="F76" i="20"/>
  <c r="AQ18" i="20" s="1"/>
  <c r="E76" i="20"/>
  <c r="D76" i="20"/>
  <c r="C76" i="20"/>
  <c r="B76" i="20"/>
  <c r="BL75" i="20"/>
  <c r="BE75" i="20"/>
  <c r="BB75" i="20"/>
  <c r="AI75" i="20"/>
  <c r="AH75" i="20"/>
  <c r="AG75" i="20"/>
  <c r="AG76" i="20" s="1"/>
  <c r="AG3" i="20" s="1"/>
  <c r="AI74" i="20"/>
  <c r="AH74" i="20"/>
  <c r="BW73" i="20"/>
  <c r="BW80" i="20" s="1"/>
  <c r="BV73" i="20"/>
  <c r="BV80" i="20" s="1"/>
  <c r="BU73" i="20"/>
  <c r="BU80" i="20" s="1"/>
  <c r="BT73" i="20"/>
  <c r="BT80" i="20" s="1"/>
  <c r="BS73" i="20"/>
  <c r="BS80" i="20" s="1"/>
  <c r="BR73" i="20"/>
  <c r="BR80" i="20" s="1"/>
  <c r="BQ73" i="20"/>
  <c r="BQ80" i="20" s="1"/>
  <c r="BP73" i="20"/>
  <c r="BP80" i="20" s="1"/>
  <c r="BO73" i="20"/>
  <c r="BO80" i="20" s="1"/>
  <c r="BN73" i="20"/>
  <c r="BN80" i="20" s="1"/>
  <c r="BM73" i="20"/>
  <c r="BM80" i="20" s="1"/>
  <c r="BL73" i="20"/>
  <c r="BL80" i="20" s="1"/>
  <c r="BK73" i="20"/>
  <c r="BK80" i="20" s="1"/>
  <c r="BJ73" i="20"/>
  <c r="BJ80" i="20" s="1"/>
  <c r="BI73" i="20"/>
  <c r="BI80" i="20" s="1"/>
  <c r="BH73" i="20"/>
  <c r="BH80" i="20" s="1"/>
  <c r="BG73" i="20"/>
  <c r="BF73" i="20"/>
  <c r="BF80" i="20" s="1"/>
  <c r="BE73" i="20"/>
  <c r="BE80" i="20" s="1"/>
  <c r="BD73" i="20"/>
  <c r="BD80" i="20" s="1"/>
  <c r="BC73" i="20"/>
  <c r="BC80" i="20" s="1"/>
  <c r="BB73" i="20"/>
  <c r="BB80" i="20" s="1"/>
  <c r="BA73" i="20"/>
  <c r="BA80" i="20" s="1"/>
  <c r="AZ73" i="20"/>
  <c r="AZ80" i="20" s="1"/>
  <c r="AI73" i="20"/>
  <c r="AH73" i="20"/>
  <c r="BW72" i="20"/>
  <c r="BW79" i="20" s="1"/>
  <c r="BV72" i="20"/>
  <c r="BV79" i="20" s="1"/>
  <c r="BU72" i="20"/>
  <c r="BU79" i="20" s="1"/>
  <c r="BT72" i="20"/>
  <c r="BT79" i="20" s="1"/>
  <c r="BS72" i="20"/>
  <c r="BS79" i="20" s="1"/>
  <c r="BR72" i="20"/>
  <c r="BR79" i="20" s="1"/>
  <c r="BQ72" i="20"/>
  <c r="BQ79" i="20" s="1"/>
  <c r="BP72" i="20"/>
  <c r="BP79" i="20" s="1"/>
  <c r="BO72" i="20"/>
  <c r="BO79" i="20" s="1"/>
  <c r="BN72" i="20"/>
  <c r="BN79" i="20" s="1"/>
  <c r="BM72" i="20"/>
  <c r="BM79" i="20" s="1"/>
  <c r="BL72" i="20"/>
  <c r="BL79" i="20" s="1"/>
  <c r="BK72" i="20"/>
  <c r="BK79" i="20" s="1"/>
  <c r="BJ72" i="20"/>
  <c r="BJ79" i="20" s="1"/>
  <c r="BI72" i="20"/>
  <c r="BI79" i="20" s="1"/>
  <c r="BH72" i="20"/>
  <c r="BH79" i="20" s="1"/>
  <c r="BG72" i="20"/>
  <c r="BG79" i="20" s="1"/>
  <c r="BF72" i="20"/>
  <c r="BF79" i="20" s="1"/>
  <c r="BE72" i="20"/>
  <c r="BE79" i="20" s="1"/>
  <c r="BD72" i="20"/>
  <c r="BD79" i="20" s="1"/>
  <c r="BC72" i="20"/>
  <c r="BC79" i="20" s="1"/>
  <c r="BB72" i="20"/>
  <c r="BA72" i="20"/>
  <c r="AZ72" i="20"/>
  <c r="AZ79" i="20" s="1"/>
  <c r="AI72" i="20"/>
  <c r="AH72" i="20"/>
  <c r="BW71" i="20"/>
  <c r="BW78" i="20" s="1"/>
  <c r="BV71" i="20"/>
  <c r="BV78" i="20" s="1"/>
  <c r="BU71" i="20"/>
  <c r="BU78" i="20" s="1"/>
  <c r="BT71" i="20"/>
  <c r="BT78" i="20" s="1"/>
  <c r="BS71" i="20"/>
  <c r="BS78" i="20" s="1"/>
  <c r="BR71" i="20"/>
  <c r="BR78" i="20" s="1"/>
  <c r="BQ71" i="20"/>
  <c r="BQ78" i="20" s="1"/>
  <c r="BP71" i="20"/>
  <c r="BP78" i="20" s="1"/>
  <c r="BO71" i="20"/>
  <c r="BO78" i="20" s="1"/>
  <c r="BN71" i="20"/>
  <c r="BN78" i="20" s="1"/>
  <c r="BM71" i="20"/>
  <c r="BM78" i="20" s="1"/>
  <c r="BL71" i="20"/>
  <c r="BK71" i="20"/>
  <c r="BK78" i="20" s="1"/>
  <c r="BJ71" i="20"/>
  <c r="BJ78" i="20" s="1"/>
  <c r="BI71" i="20"/>
  <c r="BI78" i="20" s="1"/>
  <c r="BH71" i="20"/>
  <c r="BH78" i="20" s="1"/>
  <c r="BG71" i="20"/>
  <c r="BG78" i="20" s="1"/>
  <c r="BF71" i="20"/>
  <c r="BF78" i="20" s="1"/>
  <c r="BE71" i="20"/>
  <c r="BE78" i="20" s="1"/>
  <c r="BD71" i="20"/>
  <c r="BC71" i="20"/>
  <c r="BC78" i="20" s="1"/>
  <c r="BB71" i="20"/>
  <c r="BB78" i="20" s="1"/>
  <c r="BA71" i="20"/>
  <c r="BA78" i="20" s="1"/>
  <c r="AZ71" i="20"/>
  <c r="AZ78" i="20" s="1"/>
  <c r="AI71" i="20"/>
  <c r="AH71" i="20"/>
  <c r="BW70" i="20"/>
  <c r="BW77" i="20" s="1"/>
  <c r="BV70" i="20"/>
  <c r="BV77" i="20" s="1"/>
  <c r="BU70" i="20"/>
  <c r="BU77" i="20" s="1"/>
  <c r="BT70" i="20"/>
  <c r="BT77" i="20" s="1"/>
  <c r="BS70" i="20"/>
  <c r="BS77" i="20" s="1"/>
  <c r="BR70" i="20"/>
  <c r="BR77" i="20" s="1"/>
  <c r="BQ70" i="20"/>
  <c r="BQ77" i="20" s="1"/>
  <c r="BP70" i="20"/>
  <c r="BP77" i="20" s="1"/>
  <c r="BO70" i="20"/>
  <c r="BO77" i="20" s="1"/>
  <c r="BN70" i="20"/>
  <c r="BN77" i="20" s="1"/>
  <c r="BM70" i="20"/>
  <c r="BM77" i="20" s="1"/>
  <c r="BL70" i="20"/>
  <c r="BL77" i="20" s="1"/>
  <c r="BK70" i="20"/>
  <c r="BK77" i="20" s="1"/>
  <c r="BJ70" i="20"/>
  <c r="BJ77" i="20" s="1"/>
  <c r="BI70" i="20"/>
  <c r="BI77" i="20" s="1"/>
  <c r="BH70" i="20"/>
  <c r="BH77" i="20" s="1"/>
  <c r="BG70" i="20"/>
  <c r="BG77" i="20" s="1"/>
  <c r="BF70" i="20"/>
  <c r="BF77" i="20" s="1"/>
  <c r="BE70" i="20"/>
  <c r="BE77" i="20" s="1"/>
  <c r="BD70" i="20"/>
  <c r="BD77" i="20" s="1"/>
  <c r="BC70" i="20"/>
  <c r="BC77" i="20" s="1"/>
  <c r="BB70" i="20"/>
  <c r="BB77" i="20" s="1"/>
  <c r="BA70" i="20"/>
  <c r="BA77" i="20" s="1"/>
  <c r="AZ70" i="20"/>
  <c r="AZ77" i="20" s="1"/>
  <c r="AI70" i="20"/>
  <c r="AH70" i="20"/>
  <c r="BW69" i="20"/>
  <c r="BW76" i="20" s="1"/>
  <c r="BV69" i="20"/>
  <c r="BV76" i="20" s="1"/>
  <c r="BU69" i="20"/>
  <c r="BU76" i="20" s="1"/>
  <c r="BT69" i="20"/>
  <c r="BT76" i="20" s="1"/>
  <c r="BS69" i="20"/>
  <c r="BS76" i="20" s="1"/>
  <c r="BR69" i="20"/>
  <c r="BR76" i="20" s="1"/>
  <c r="BQ69" i="20"/>
  <c r="BQ76" i="20" s="1"/>
  <c r="BP69" i="20"/>
  <c r="BO69" i="20"/>
  <c r="BO76" i="20" s="1"/>
  <c r="BN69" i="20"/>
  <c r="BN76" i="20" s="1"/>
  <c r="BM69" i="20"/>
  <c r="BM76" i="20" s="1"/>
  <c r="BL69" i="20"/>
  <c r="BL76" i="20" s="1"/>
  <c r="BK69" i="20"/>
  <c r="BK76" i="20" s="1"/>
  <c r="BJ69" i="20"/>
  <c r="BJ76" i="20" s="1"/>
  <c r="BI69" i="20"/>
  <c r="BI76" i="20" s="1"/>
  <c r="BH69" i="20"/>
  <c r="BG69" i="20"/>
  <c r="BG76" i="20" s="1"/>
  <c r="BF69" i="20"/>
  <c r="BE69" i="20"/>
  <c r="BE76" i="20" s="1"/>
  <c r="BD69" i="20"/>
  <c r="BD76" i="20" s="1"/>
  <c r="BC69" i="20"/>
  <c r="BC76" i="20" s="1"/>
  <c r="BB69" i="20"/>
  <c r="BB76" i="20" s="1"/>
  <c r="BA69" i="20"/>
  <c r="BA76" i="20" s="1"/>
  <c r="AZ69" i="20"/>
  <c r="AZ76" i="20" s="1"/>
  <c r="AI69" i="20"/>
  <c r="AH69" i="20"/>
  <c r="BW68" i="20"/>
  <c r="BW75" i="20" s="1"/>
  <c r="BV68" i="20"/>
  <c r="BV75" i="20" s="1"/>
  <c r="BU68" i="20"/>
  <c r="BU75" i="20" s="1"/>
  <c r="BT68" i="20"/>
  <c r="BT75" i="20" s="1"/>
  <c r="BS68" i="20"/>
  <c r="BS75" i="20" s="1"/>
  <c r="BR68" i="20"/>
  <c r="BR75" i="20" s="1"/>
  <c r="BQ68" i="20"/>
  <c r="BQ75" i="20" s="1"/>
  <c r="BP68" i="20"/>
  <c r="BP75" i="20" s="1"/>
  <c r="BO68" i="20"/>
  <c r="BO75" i="20" s="1"/>
  <c r="BN68" i="20"/>
  <c r="BN75" i="20" s="1"/>
  <c r="BM68" i="20"/>
  <c r="BM75" i="20" s="1"/>
  <c r="BL68" i="20"/>
  <c r="BK68" i="20"/>
  <c r="BK75" i="20" s="1"/>
  <c r="BJ68" i="20"/>
  <c r="BJ75" i="20" s="1"/>
  <c r="BI68" i="20"/>
  <c r="BI75" i="20" s="1"/>
  <c r="BH68" i="20"/>
  <c r="BH75" i="20" s="1"/>
  <c r="BG68" i="20"/>
  <c r="BG75" i="20" s="1"/>
  <c r="BF68" i="20"/>
  <c r="BF75" i="20" s="1"/>
  <c r="BE68" i="20"/>
  <c r="BD68" i="20"/>
  <c r="BD75" i="20" s="1"/>
  <c r="BC68" i="20"/>
  <c r="BC75" i="20" s="1"/>
  <c r="BB68" i="20"/>
  <c r="BA68" i="20"/>
  <c r="BA75" i="20" s="1"/>
  <c r="AZ68" i="20"/>
  <c r="AZ75" i="20" s="1"/>
  <c r="AI68" i="20"/>
  <c r="AH68" i="20"/>
  <c r="AI67" i="20"/>
  <c r="AH67" i="20"/>
  <c r="AI66" i="20"/>
  <c r="AH66" i="20"/>
  <c r="AI65" i="20"/>
  <c r="AH65" i="20"/>
  <c r="AI64" i="20"/>
  <c r="AH64" i="20"/>
  <c r="AI63" i="20"/>
  <c r="AH63" i="20"/>
  <c r="AG62" i="20"/>
  <c r="BG17" i="20"/>
  <c r="AA62" i="20"/>
  <c r="Z62" i="20"/>
  <c r="Y62" i="20"/>
  <c r="W62" i="20"/>
  <c r="U62" i="20"/>
  <c r="BB17" i="20"/>
  <c r="BA17" i="20"/>
  <c r="R62" i="20"/>
  <c r="Q62" i="20"/>
  <c r="AY17" i="20" s="1"/>
  <c r="P62" i="20"/>
  <c r="AX17" i="20" s="1"/>
  <c r="O62" i="20"/>
  <c r="N62" i="20"/>
  <c r="AV17" i="20" s="1"/>
  <c r="M62" i="20"/>
  <c r="AU17" i="20" s="1"/>
  <c r="L62" i="20"/>
  <c r="H62" i="20"/>
  <c r="G62" i="20"/>
  <c r="E62" i="20"/>
  <c r="D62" i="20"/>
  <c r="C62" i="20"/>
  <c r="B62" i="20"/>
  <c r="AI61" i="20"/>
  <c r="AH61" i="20"/>
  <c r="AI60" i="20"/>
  <c r="AH60" i="20"/>
  <c r="AI59" i="20"/>
  <c r="AH59" i="20"/>
  <c r="AG58" i="20"/>
  <c r="AB7" i="20"/>
  <c r="AA58" i="20"/>
  <c r="Z58" i="20"/>
  <c r="Y58" i="20"/>
  <c r="W58" i="20"/>
  <c r="U58" i="20"/>
  <c r="T7" i="20"/>
  <c r="S7" i="20"/>
  <c r="R58" i="20"/>
  <c r="Q58" i="20"/>
  <c r="P58" i="20"/>
  <c r="O58" i="20"/>
  <c r="N58" i="20"/>
  <c r="AV16" i="20" s="1"/>
  <c r="M58" i="20"/>
  <c r="AU16" i="20" s="1"/>
  <c r="L58" i="20"/>
  <c r="H58" i="20"/>
  <c r="G58" i="20"/>
  <c r="AR16" i="20" s="1"/>
  <c r="E58" i="20"/>
  <c r="AP16" i="20" s="1"/>
  <c r="D58" i="20"/>
  <c r="AO16" i="20" s="1"/>
  <c r="C58" i="20"/>
  <c r="B58" i="20"/>
  <c r="AI57" i="20"/>
  <c r="AH57" i="20"/>
  <c r="AI56" i="20"/>
  <c r="AH56" i="20"/>
  <c r="AI55" i="20"/>
  <c r="AH55" i="20"/>
  <c r="AI54" i="20"/>
  <c r="AH54" i="20"/>
  <c r="AI53" i="20"/>
  <c r="AH53" i="20"/>
  <c r="AI52" i="20"/>
  <c r="AH52" i="20"/>
  <c r="AI51" i="20"/>
  <c r="AH51" i="20"/>
  <c r="AI50" i="20"/>
  <c r="AH50" i="20"/>
  <c r="AI49" i="20"/>
  <c r="AH49" i="20"/>
  <c r="AI48" i="20"/>
  <c r="AH48" i="20"/>
  <c r="AI47" i="20"/>
  <c r="AH47" i="20"/>
  <c r="AI46" i="20"/>
  <c r="AH46" i="20"/>
  <c r="AI45" i="20"/>
  <c r="AH45" i="20"/>
  <c r="AI44" i="20"/>
  <c r="AH44" i="20"/>
  <c r="AI43" i="20"/>
  <c r="AH43" i="20"/>
  <c r="AI42" i="20"/>
  <c r="AH42" i="20"/>
  <c r="AI41" i="20"/>
  <c r="AH41" i="20"/>
  <c r="AI40" i="20"/>
  <c r="AH40" i="20"/>
  <c r="AI39" i="20"/>
  <c r="AH39" i="20"/>
  <c r="AI38" i="20"/>
  <c r="AH38" i="20"/>
  <c r="AI37" i="20"/>
  <c r="AH37" i="20"/>
  <c r="AI36" i="20"/>
  <c r="AH36" i="20"/>
  <c r="AI35" i="20"/>
  <c r="AH35" i="20"/>
  <c r="AI34" i="20"/>
  <c r="AH34" i="20"/>
  <c r="AI33" i="20"/>
  <c r="AH33" i="20"/>
  <c r="AI32" i="20"/>
  <c r="AH32" i="20"/>
  <c r="AI31" i="20"/>
  <c r="AH31" i="20"/>
  <c r="AI30" i="20"/>
  <c r="AH30" i="20"/>
  <c r="AI29" i="20"/>
  <c r="AH29" i="20"/>
  <c r="AI28" i="20"/>
  <c r="AH28" i="20"/>
  <c r="AI27" i="20"/>
  <c r="AH27" i="20"/>
  <c r="AI26" i="20"/>
  <c r="AH26" i="20"/>
  <c r="AI25" i="20"/>
  <c r="AH25" i="20"/>
  <c r="AI24" i="20"/>
  <c r="AH24" i="20"/>
  <c r="BJ23" i="20"/>
  <c r="BH23" i="20"/>
  <c r="BG23" i="20"/>
  <c r="BE23" i="20"/>
  <c r="BD23" i="20"/>
  <c r="BB23" i="20"/>
  <c r="AI23" i="20"/>
  <c r="AH23" i="20"/>
  <c r="AI22" i="20"/>
  <c r="AH22" i="20"/>
  <c r="BJ21" i="20"/>
  <c r="BI21" i="20"/>
  <c r="BH21" i="20"/>
  <c r="BG21" i="20"/>
  <c r="BF21" i="20"/>
  <c r="BE21" i="20"/>
  <c r="BD21" i="20"/>
  <c r="BC21" i="20"/>
  <c r="BB21" i="20"/>
  <c r="BA21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I21" i="20"/>
  <c r="AH21" i="20"/>
  <c r="BJ20" i="20"/>
  <c r="BI20" i="20"/>
  <c r="BG20" i="20"/>
  <c r="BF20" i="20"/>
  <c r="BE20" i="20"/>
  <c r="BC20" i="20"/>
  <c r="BB20" i="20"/>
  <c r="BA20" i="20"/>
  <c r="AZ20" i="20"/>
  <c r="AX20" i="20"/>
  <c r="AT20" i="20"/>
  <c r="AP20" i="20"/>
  <c r="AO20" i="20"/>
  <c r="AI20" i="20"/>
  <c r="AH20" i="20"/>
  <c r="BJ19" i="20"/>
  <c r="BI19" i="20"/>
  <c r="BH19" i="20"/>
  <c r="BG19" i="20"/>
  <c r="BE19" i="20"/>
  <c r="BD19" i="20"/>
  <c r="BB19" i="20"/>
  <c r="BA19" i="20"/>
  <c r="AS19" i="20"/>
  <c r="AM19" i="20"/>
  <c r="AI19" i="20"/>
  <c r="AH19" i="20"/>
  <c r="BJ18" i="20"/>
  <c r="BG18" i="20"/>
  <c r="BF18" i="20"/>
  <c r="BE18" i="20"/>
  <c r="BC18" i="20"/>
  <c r="BB18" i="20"/>
  <c r="BA18" i="20"/>
  <c r="AY18" i="20"/>
  <c r="AX18" i="20"/>
  <c r="AP18" i="20"/>
  <c r="AO18" i="20"/>
  <c r="AN18" i="20"/>
  <c r="AI18" i="20"/>
  <c r="AH18" i="20"/>
  <c r="BJ17" i="20"/>
  <c r="BI17" i="20"/>
  <c r="BH17" i="20"/>
  <c r="BF17" i="20"/>
  <c r="BE17" i="20"/>
  <c r="BD17" i="20"/>
  <c r="BC17" i="20"/>
  <c r="AZ17" i="20"/>
  <c r="AW17" i="20"/>
  <c r="AS17" i="20"/>
  <c r="AR17" i="20"/>
  <c r="AQ17" i="20"/>
  <c r="AP17" i="20"/>
  <c r="AO17" i="20"/>
  <c r="AN17" i="20"/>
  <c r="AI17" i="20"/>
  <c r="AH17" i="20"/>
  <c r="BJ16" i="20"/>
  <c r="BI16" i="20"/>
  <c r="BH16" i="20"/>
  <c r="BG16" i="20"/>
  <c r="BF16" i="20"/>
  <c r="BD16" i="20"/>
  <c r="BC16" i="20"/>
  <c r="AZ16" i="20"/>
  <c r="AY16" i="20"/>
  <c r="AX16" i="20"/>
  <c r="AW16" i="20"/>
  <c r="AS16" i="20"/>
  <c r="AM16" i="20"/>
  <c r="AI16" i="20"/>
  <c r="AH16" i="20"/>
  <c r="AI15" i="20"/>
  <c r="AH15" i="20"/>
  <c r="AI14" i="20"/>
  <c r="AH14" i="20"/>
  <c r="AI13" i="20"/>
  <c r="AH13" i="20"/>
  <c r="AL12" i="20"/>
  <c r="AI12" i="20"/>
  <c r="AH12" i="20"/>
  <c r="AI11" i="20"/>
  <c r="AH11" i="20"/>
  <c r="AF7" i="20"/>
  <c r="X7" i="20"/>
  <c r="AE5" i="20"/>
  <c r="AD5" i="20"/>
  <c r="AC5" i="20"/>
  <c r="AA5" i="20"/>
  <c r="Y5" i="20"/>
  <c r="W5" i="20"/>
  <c r="U5" i="20"/>
  <c r="S5" i="20"/>
  <c r="R5" i="20"/>
  <c r="M5" i="20"/>
  <c r="F5" i="20"/>
  <c r="AG4" i="20"/>
  <c r="K4" i="20"/>
  <c r="E4" i="20"/>
  <c r="H4" i="20" s="1"/>
  <c r="B4" i="20"/>
  <c r="D258" i="20" s="1"/>
  <c r="AG2" i="20"/>
  <c r="AG6" i="20" s="1"/>
  <c r="AB118" i="19"/>
  <c r="AC118" i="19"/>
  <c r="AB108" i="19"/>
  <c r="AC108" i="19"/>
  <c r="AD108" i="19"/>
  <c r="AB101" i="19"/>
  <c r="AB102" i="19"/>
  <c r="AB103" i="19"/>
  <c r="AB104" i="19"/>
  <c r="AB105" i="19"/>
  <c r="AB107" i="19"/>
  <c r="AB100" i="19" s="1"/>
  <c r="AB99" i="19"/>
  <c r="AC99" i="19"/>
  <c r="AB97" i="19"/>
  <c r="AC97" i="19"/>
  <c r="AA58" i="19"/>
  <c r="AA62" i="19"/>
  <c r="AA76" i="19"/>
  <c r="AA80" i="19"/>
  <c r="AA92" i="19"/>
  <c r="AA101" i="19"/>
  <c r="AA102" i="19"/>
  <c r="AA103" i="19"/>
  <c r="AA104" i="19"/>
  <c r="AA105" i="19"/>
  <c r="AA118" i="19"/>
  <c r="Z118" i="19"/>
  <c r="Z105" i="19"/>
  <c r="Z104" i="19"/>
  <c r="Z103" i="19"/>
  <c r="Z102" i="19"/>
  <c r="Z101" i="19"/>
  <c r="Z107" i="19" s="1"/>
  <c r="Z92" i="19"/>
  <c r="Z108" i="19" s="1"/>
  <c r="Z80" i="19"/>
  <c r="Z76" i="19"/>
  <c r="Z62" i="19"/>
  <c r="Z58" i="19"/>
  <c r="Z97" i="19" s="1"/>
  <c r="Z99" i="19" s="1"/>
  <c r="Y58" i="19"/>
  <c r="Y62" i="19"/>
  <c r="Y76" i="19"/>
  <c r="Y80" i="19"/>
  <c r="Y92" i="19"/>
  <c r="Y101" i="19"/>
  <c r="Y102" i="19"/>
  <c r="Y103" i="19"/>
  <c r="Y104" i="19"/>
  <c r="Y105" i="19"/>
  <c r="Y118" i="19"/>
  <c r="X58" i="19"/>
  <c r="X62" i="19"/>
  <c r="X76" i="19"/>
  <c r="X80" i="19"/>
  <c r="X92" i="19"/>
  <c r="X101" i="19"/>
  <c r="X102" i="19"/>
  <c r="X103" i="19"/>
  <c r="X104" i="19"/>
  <c r="X105" i="19"/>
  <c r="X118" i="19"/>
  <c r="W58" i="19"/>
  <c r="W62" i="19"/>
  <c r="W76" i="19"/>
  <c r="W80" i="19"/>
  <c r="W92" i="19"/>
  <c r="W101" i="19"/>
  <c r="W102" i="19"/>
  <c r="W103" i="19"/>
  <c r="W104" i="19"/>
  <c r="W105" i="19"/>
  <c r="W118" i="19"/>
  <c r="V58" i="19"/>
  <c r="V62" i="19"/>
  <c r="V76" i="19"/>
  <c r="V80" i="19"/>
  <c r="V92" i="19"/>
  <c r="V101" i="19"/>
  <c r="V102" i="19"/>
  <c r="V103" i="19"/>
  <c r="V104" i="19"/>
  <c r="V105" i="19"/>
  <c r="V118" i="19"/>
  <c r="U58" i="19"/>
  <c r="U62" i="19"/>
  <c r="U76" i="19"/>
  <c r="U80" i="19"/>
  <c r="U92" i="19"/>
  <c r="U101" i="19"/>
  <c r="U102" i="19"/>
  <c r="U103" i="19"/>
  <c r="U104" i="19"/>
  <c r="U105" i="19"/>
  <c r="U118" i="19"/>
  <c r="T58" i="19"/>
  <c r="T62" i="19"/>
  <c r="T76" i="19"/>
  <c r="T80" i="19"/>
  <c r="T92" i="19"/>
  <c r="T97" i="19" s="1"/>
  <c r="T99" i="19" s="1"/>
  <c r="T101" i="19"/>
  <c r="T102" i="19"/>
  <c r="T103" i="19"/>
  <c r="T104" i="19"/>
  <c r="T105" i="19"/>
  <c r="T118" i="19"/>
  <c r="BJ22" i="20" l="1"/>
  <c r="BJ24" i="20" s="1"/>
  <c r="BI22" i="20"/>
  <c r="BH22" i="20"/>
  <c r="BH24" i="20" s="1"/>
  <c r="BG22" i="20"/>
  <c r="BG24" i="20" s="1"/>
  <c r="AA107" i="20"/>
  <c r="AA108" i="20" s="1"/>
  <c r="AA97" i="20"/>
  <c r="AA99" i="20" s="1"/>
  <c r="Z108" i="20"/>
  <c r="Z107" i="20"/>
  <c r="BF23" i="20" s="1"/>
  <c r="Z97" i="20"/>
  <c r="Z99" i="20" s="1"/>
  <c r="Z100" i="20" s="1"/>
  <c r="Z7" i="20" s="1"/>
  <c r="BF19" i="20"/>
  <c r="BF22" i="20"/>
  <c r="BF24" i="20" s="1"/>
  <c r="Y107" i="20"/>
  <c r="Y108" i="20"/>
  <c r="Y97" i="20"/>
  <c r="Y99" i="20" s="1"/>
  <c r="Y100" i="20" s="1"/>
  <c r="Y7" i="20" s="1"/>
  <c r="W97" i="20"/>
  <c r="W99" i="20" s="1"/>
  <c r="BD22" i="20"/>
  <c r="BD24" i="20" s="1"/>
  <c r="BC22" i="20"/>
  <c r="R107" i="20"/>
  <c r="AZ23" i="20" s="1"/>
  <c r="AZ19" i="20"/>
  <c r="R97" i="20"/>
  <c r="R99" i="20" s="1"/>
  <c r="AZ22" i="20"/>
  <c r="AY19" i="20"/>
  <c r="AY22" i="20" s="1"/>
  <c r="AY24" i="20" s="1"/>
  <c r="Q97" i="20"/>
  <c r="Q99" i="20" s="1"/>
  <c r="Q100" i="20" s="1"/>
  <c r="Q7" i="20" s="1"/>
  <c r="P107" i="20"/>
  <c r="AX23" i="20" s="1"/>
  <c r="O5" i="20"/>
  <c r="AX19" i="20"/>
  <c r="AX22" i="20" s="1"/>
  <c r="P97" i="20"/>
  <c r="P99" i="20" s="1"/>
  <c r="N5" i="20"/>
  <c r="O97" i="20"/>
  <c r="O99" i="20" s="1"/>
  <c r="AW22" i="20"/>
  <c r="N107" i="20"/>
  <c r="AV23" i="20" s="1"/>
  <c r="AV19" i="20"/>
  <c r="AV22" i="20" s="1"/>
  <c r="AV24" i="20" s="1"/>
  <c r="L107" i="20"/>
  <c r="AI102" i="20"/>
  <c r="L97" i="20"/>
  <c r="L99" i="20" s="1"/>
  <c r="L100" i="20" s="1"/>
  <c r="L7" i="20" s="1"/>
  <c r="J107" i="20"/>
  <c r="J108" i="20" s="1"/>
  <c r="J5" i="20"/>
  <c r="K97" i="20"/>
  <c r="K99" i="20" s="1"/>
  <c r="K107" i="20"/>
  <c r="K108" i="20" s="1"/>
  <c r="J97" i="20"/>
  <c r="J99" i="20" s="1"/>
  <c r="AT18" i="20"/>
  <c r="I107" i="20"/>
  <c r="I97" i="20"/>
  <c r="I99" i="20" s="1"/>
  <c r="I100" i="20" s="1"/>
  <c r="I7" i="20" s="1"/>
  <c r="AS22" i="20"/>
  <c r="H107" i="20"/>
  <c r="H108" i="20" s="1"/>
  <c r="H97" i="20"/>
  <c r="H99" i="20" s="1"/>
  <c r="H100" i="20" s="1"/>
  <c r="H7" i="20" s="1"/>
  <c r="AR22" i="20"/>
  <c r="F107" i="20"/>
  <c r="AQ23" i="20" s="1"/>
  <c r="E5" i="20"/>
  <c r="AQ19" i="20"/>
  <c r="AQ22" i="20"/>
  <c r="AQ24" i="20" s="1"/>
  <c r="AI105" i="20"/>
  <c r="D108" i="20"/>
  <c r="D97" i="20"/>
  <c r="D99" i="20" s="1"/>
  <c r="D100" i="20" s="1"/>
  <c r="D7" i="20" s="1"/>
  <c r="C5" i="20"/>
  <c r="AO22" i="20"/>
  <c r="AO24" i="20" s="1"/>
  <c r="AI76" i="20"/>
  <c r="AH62" i="20"/>
  <c r="B5" i="20"/>
  <c r="C97" i="20"/>
  <c r="C99" i="20" s="1"/>
  <c r="AI80" i="20"/>
  <c r="AM18" i="20"/>
  <c r="B97" i="20"/>
  <c r="B99" i="20" s="1"/>
  <c r="AI62" i="20"/>
  <c r="AM17" i="20"/>
  <c r="AM22" i="20"/>
  <c r="AE7" i="20"/>
  <c r="AS23" i="20"/>
  <c r="AI58" i="20"/>
  <c r="BA23" i="20"/>
  <c r="E97" i="20"/>
  <c r="E99" i="20" s="1"/>
  <c r="E100" i="20" s="1"/>
  <c r="E7" i="20" s="1"/>
  <c r="M97" i="20"/>
  <c r="M99" i="20" s="1"/>
  <c r="U97" i="20"/>
  <c r="U99" i="20" s="1"/>
  <c r="E107" i="20"/>
  <c r="AP23" i="20" s="1"/>
  <c r="M107" i="20"/>
  <c r="AU23" i="20" s="1"/>
  <c r="U107" i="20"/>
  <c r="BC23" i="20" s="1"/>
  <c r="G97" i="20"/>
  <c r="G99" i="20" s="1"/>
  <c r="BA16" i="20"/>
  <c r="BA22" i="20" s="1"/>
  <c r="AU19" i="20"/>
  <c r="AU22" i="20" s="1"/>
  <c r="F97" i="20"/>
  <c r="F99" i="20" s="1"/>
  <c r="F100" i="20" s="1"/>
  <c r="F7" i="20" s="1"/>
  <c r="N97" i="20"/>
  <c r="N99" i="20" s="1"/>
  <c r="N100" i="20" s="1"/>
  <c r="N7" i="20" s="1"/>
  <c r="V7" i="20"/>
  <c r="AD7" i="20"/>
  <c r="AH76" i="20"/>
  <c r="AT16" i="20"/>
  <c r="AT22" i="20" s="1"/>
  <c r="BB16" i="20"/>
  <c r="BB22" i="20" s="1"/>
  <c r="BB24" i="20" s="1"/>
  <c r="AH80" i="20"/>
  <c r="I108" i="20"/>
  <c r="Q108" i="20"/>
  <c r="AG99" i="20"/>
  <c r="G107" i="20"/>
  <c r="AR23" i="20" s="1"/>
  <c r="O107" i="20"/>
  <c r="AW23" i="20" s="1"/>
  <c r="W107" i="20"/>
  <c r="W108" i="20" s="1"/>
  <c r="BI23" i="20"/>
  <c r="BI24" i="20" s="1"/>
  <c r="BG84" i="20" a="1"/>
  <c r="B108" i="20"/>
  <c r="AI92" i="20"/>
  <c r="AH92" i="20"/>
  <c r="AH103" i="20"/>
  <c r="D5" i="20"/>
  <c r="L5" i="20"/>
  <c r="T5" i="20"/>
  <c r="AB5" i="20"/>
  <c r="AL13" i="20"/>
  <c r="AN16" i="20"/>
  <c r="AN22" i="20" s="1"/>
  <c r="AP19" i="20"/>
  <c r="AP22" i="20" s="1"/>
  <c r="AP24" i="20" s="1"/>
  <c r="AG97" i="20"/>
  <c r="AH102" i="20"/>
  <c r="B107" i="20"/>
  <c r="AI103" i="20"/>
  <c r="AI104" i="20"/>
  <c r="G246" i="20"/>
  <c r="D118" i="20"/>
  <c r="E251" i="20"/>
  <c r="C107" i="20"/>
  <c r="AH101" i="20"/>
  <c r="BE16" i="20"/>
  <c r="BE22" i="20" s="1"/>
  <c r="BE24" i="20" s="1"/>
  <c r="AH58" i="20"/>
  <c r="L108" i="20"/>
  <c r="AI101" i="20"/>
  <c r="AH105" i="20"/>
  <c r="E252" i="20"/>
  <c r="AH104" i="20"/>
  <c r="AA107" i="19"/>
  <c r="AA97" i="19"/>
  <c r="AA99" i="19" s="1"/>
  <c r="AA108" i="19"/>
  <c r="Z100" i="19"/>
  <c r="Y97" i="19"/>
  <c r="Y99" i="19" s="1"/>
  <c r="Y100" i="19" s="1"/>
  <c r="Y107" i="19"/>
  <c r="Y108" i="19"/>
  <c r="X107" i="19"/>
  <c r="X108" i="19" s="1"/>
  <c r="X97" i="19"/>
  <c r="X99" i="19" s="1"/>
  <c r="X100" i="19" s="1"/>
  <c r="W107" i="19"/>
  <c r="W108" i="19" s="1"/>
  <c r="W97" i="19"/>
  <c r="W99" i="19" s="1"/>
  <c r="W100" i="19" s="1"/>
  <c r="V107" i="19"/>
  <c r="V97" i="19"/>
  <c r="V99" i="19" s="1"/>
  <c r="V100" i="19" s="1"/>
  <c r="V108" i="19"/>
  <c r="U107" i="19"/>
  <c r="U108" i="19" s="1"/>
  <c r="U97" i="19"/>
  <c r="U99" i="19" s="1"/>
  <c r="U100" i="19" s="1"/>
  <c r="T107" i="19"/>
  <c r="T100" i="19" s="1"/>
  <c r="T108" i="19"/>
  <c r="AR24" i="20" l="1"/>
  <c r="AA100" i="20"/>
  <c r="AA7" i="20" s="1"/>
  <c r="W100" i="20"/>
  <c r="W7" i="20" s="1"/>
  <c r="BC24" i="20"/>
  <c r="U108" i="20"/>
  <c r="BA24" i="20"/>
  <c r="AZ24" i="20"/>
  <c r="R100" i="20"/>
  <c r="R7" i="20" s="1"/>
  <c r="R108" i="20"/>
  <c r="P100" i="20"/>
  <c r="P7" i="20" s="1"/>
  <c r="AX24" i="20"/>
  <c r="P108" i="20"/>
  <c r="AW24" i="20"/>
  <c r="N108" i="20"/>
  <c r="AU24" i="20"/>
  <c r="M100" i="20"/>
  <c r="M7" i="20" s="1"/>
  <c r="K100" i="20"/>
  <c r="K7" i="20" s="1"/>
  <c r="J100" i="20"/>
  <c r="J7" i="20" s="1"/>
  <c r="AT23" i="20"/>
  <c r="AS24" i="20"/>
  <c r="G108" i="20"/>
  <c r="F108" i="20"/>
  <c r="AT8" i="20"/>
  <c r="AI107" i="20"/>
  <c r="AH107" i="20"/>
  <c r="AM23" i="20"/>
  <c r="AM24" i="20" s="1"/>
  <c r="E108" i="20"/>
  <c r="AH99" i="20"/>
  <c r="B100" i="20"/>
  <c r="AI99" i="20"/>
  <c r="O100" i="20"/>
  <c r="O7" i="20" s="1"/>
  <c r="F251" i="20"/>
  <c r="E118" i="20"/>
  <c r="BJ107" i="20"/>
  <c r="BH106" i="20"/>
  <c r="BL104" i="20"/>
  <c r="BJ103" i="20"/>
  <c r="BH102" i="20"/>
  <c r="BL100" i="20"/>
  <c r="BJ99" i="20"/>
  <c r="BH98" i="20"/>
  <c r="BL96" i="20"/>
  <c r="BJ95" i="20"/>
  <c r="BH94" i="20"/>
  <c r="BL92" i="20"/>
  <c r="BJ91" i="20"/>
  <c r="BH90" i="20"/>
  <c r="BL88" i="20"/>
  <c r="BJ87" i="20"/>
  <c r="BH86" i="20"/>
  <c r="BL84" i="20"/>
  <c r="BI107" i="20"/>
  <c r="BG106" i="20"/>
  <c r="BK104" i="20"/>
  <c r="BI103" i="20"/>
  <c r="BG102" i="20"/>
  <c r="BK100" i="20"/>
  <c r="BI99" i="20"/>
  <c r="BG98" i="20"/>
  <c r="BK96" i="20"/>
  <c r="BI95" i="20"/>
  <c r="BG94" i="20"/>
  <c r="BK92" i="20"/>
  <c r="BI91" i="20"/>
  <c r="BG90" i="20"/>
  <c r="BK88" i="20"/>
  <c r="BI87" i="20"/>
  <c r="BG86" i="20"/>
  <c r="BK84" i="20"/>
  <c r="BG107" i="20"/>
  <c r="BK105" i="20"/>
  <c r="BI104" i="20"/>
  <c r="BG103" i="20"/>
  <c r="BK101" i="20"/>
  <c r="BI100" i="20"/>
  <c r="BG99" i="20"/>
  <c r="BK97" i="20"/>
  <c r="BI96" i="20"/>
  <c r="BG95" i="20"/>
  <c r="BK93" i="20"/>
  <c r="BI92" i="20"/>
  <c r="BG91" i="20"/>
  <c r="BK89" i="20"/>
  <c r="BI88" i="20"/>
  <c r="BG87" i="20"/>
  <c r="BK85" i="20"/>
  <c r="BI84" i="20"/>
  <c r="BK106" i="20"/>
  <c r="BI105" i="20"/>
  <c r="BG104" i="20"/>
  <c r="BK102" i="20"/>
  <c r="BI101" i="20"/>
  <c r="BG100" i="20"/>
  <c r="BK98" i="20"/>
  <c r="BI97" i="20"/>
  <c r="BG96" i="20"/>
  <c r="BK94" i="20"/>
  <c r="BI93" i="20"/>
  <c r="BG92" i="20"/>
  <c r="BK90" i="20"/>
  <c r="BI89" i="20"/>
  <c r="BG88" i="20"/>
  <c r="BK86" i="20"/>
  <c r="BI85" i="20"/>
  <c r="BG84" i="20"/>
  <c r="BL107" i="20"/>
  <c r="BJ106" i="20"/>
  <c r="BH105" i="20"/>
  <c r="BL103" i="20"/>
  <c r="BJ102" i="20"/>
  <c r="BH101" i="20"/>
  <c r="BL99" i="20"/>
  <c r="BJ98" i="20"/>
  <c r="BH97" i="20"/>
  <c r="BL95" i="20"/>
  <c r="BJ94" i="20"/>
  <c r="BH93" i="20"/>
  <c r="BL91" i="20"/>
  <c r="BJ90" i="20"/>
  <c r="BH89" i="20"/>
  <c r="BL87" i="20"/>
  <c r="BJ86" i="20"/>
  <c r="BH85" i="20"/>
  <c r="BJ104" i="20"/>
  <c r="BG101" i="20"/>
  <c r="BJ97" i="20"/>
  <c r="BL93" i="20"/>
  <c r="BI90" i="20"/>
  <c r="BL86" i="20"/>
  <c r="BK107" i="20"/>
  <c r="BH104" i="20"/>
  <c r="BJ100" i="20"/>
  <c r="BG97" i="20"/>
  <c r="BJ93" i="20"/>
  <c r="BL89" i="20"/>
  <c r="BI86" i="20"/>
  <c r="BH107" i="20"/>
  <c r="BK103" i="20"/>
  <c r="BH100" i="20"/>
  <c r="BJ96" i="20"/>
  <c r="BG93" i="20"/>
  <c r="BJ89" i="20"/>
  <c r="BL85" i="20"/>
  <c r="BJ105" i="20"/>
  <c r="BL101" i="20"/>
  <c r="BL94" i="20"/>
  <c r="BK87" i="20"/>
  <c r="BH84" i="20"/>
  <c r="BG105" i="20"/>
  <c r="BI94" i="20"/>
  <c r="BH87" i="20"/>
  <c r="BL106" i="20"/>
  <c r="BH103" i="20"/>
  <c r="BK99" i="20"/>
  <c r="BH96" i="20"/>
  <c r="BJ92" i="20"/>
  <c r="BG89" i="20"/>
  <c r="BJ85" i="20"/>
  <c r="BL97" i="20"/>
  <c r="BI106" i="20"/>
  <c r="BL102" i="20"/>
  <c r="BH99" i="20"/>
  <c r="BK95" i="20"/>
  <c r="BH92" i="20"/>
  <c r="BJ88" i="20"/>
  <c r="BG85" i="20"/>
  <c r="BI98" i="20"/>
  <c r="BH91" i="20"/>
  <c r="BL105" i="20"/>
  <c r="BI102" i="20"/>
  <c r="BL98" i="20"/>
  <c r="BH95" i="20"/>
  <c r="BK91" i="20"/>
  <c r="BH88" i="20"/>
  <c r="BJ84" i="20"/>
  <c r="BJ101" i="20"/>
  <c r="BL90" i="20"/>
  <c r="AT24" i="20"/>
  <c r="C256" i="20"/>
  <c r="G100" i="20"/>
  <c r="G7" i="20" s="1"/>
  <c r="B256" i="20"/>
  <c r="O108" i="20"/>
  <c r="M108" i="20"/>
  <c r="C108" i="20"/>
  <c r="AN23" i="20"/>
  <c r="AN24" i="20"/>
  <c r="AC7" i="20"/>
  <c r="C100" i="20"/>
  <c r="C7" i="20" s="1"/>
  <c r="AH97" i="20"/>
  <c r="AI97" i="20"/>
  <c r="H246" i="20"/>
  <c r="U100" i="20"/>
  <c r="U7" i="20" s="1"/>
  <c r="AA100" i="19"/>
  <c r="AI108" i="20" l="1"/>
  <c r="K6" i="20"/>
  <c r="AH108" i="20"/>
  <c r="AT9" i="20"/>
  <c r="G251" i="20"/>
  <c r="F252" i="20"/>
  <c r="F118" i="20"/>
  <c r="AI100" i="20"/>
  <c r="AH100" i="20"/>
  <c r="B7" i="20"/>
  <c r="A7" i="20" s="1"/>
  <c r="I246" i="20"/>
  <c r="S58" i="19"/>
  <c r="S62" i="19"/>
  <c r="S76" i="19"/>
  <c r="S80" i="19"/>
  <c r="S92" i="19"/>
  <c r="S101" i="19"/>
  <c r="S102" i="19"/>
  <c r="S103" i="19"/>
  <c r="S104" i="19"/>
  <c r="S105" i="19"/>
  <c r="S118" i="19"/>
  <c r="R57" i="19"/>
  <c r="Q121" i="19"/>
  <c r="Q57" i="19"/>
  <c r="Q58" i="19"/>
  <c r="Q62" i="19"/>
  <c r="Q76" i="19"/>
  <c r="Q80" i="19"/>
  <c r="O121" i="19"/>
  <c r="O57" i="19"/>
  <c r="N57" i="19"/>
  <c r="J246" i="20" l="1"/>
  <c r="H251" i="20"/>
  <c r="G252" i="20"/>
  <c r="G118" i="20"/>
  <c r="S107" i="19"/>
  <c r="S108" i="19" s="1"/>
  <c r="S97" i="19"/>
  <c r="S99" i="19" s="1"/>
  <c r="M121" i="19"/>
  <c r="M57" i="19"/>
  <c r="I251" i="20" l="1"/>
  <c r="H252" i="20"/>
  <c r="H118" i="20"/>
  <c r="K246" i="20"/>
  <c r="S100" i="19"/>
  <c r="L246" i="20" l="1"/>
  <c r="J251" i="20"/>
  <c r="I252" i="20"/>
  <c r="I118" i="20"/>
  <c r="K121" i="19"/>
  <c r="K251" i="20" l="1"/>
  <c r="J252" i="20"/>
  <c r="J118" i="20"/>
  <c r="M246" i="20"/>
  <c r="I58" i="19"/>
  <c r="AH125" i="19"/>
  <c r="AI125" i="19"/>
  <c r="AH124" i="19"/>
  <c r="AI124" i="19"/>
  <c r="AG252" i="19"/>
  <c r="C252" i="19"/>
  <c r="E251" i="19"/>
  <c r="D251" i="19"/>
  <c r="F250" i="19"/>
  <c r="G250" i="19" s="1"/>
  <c r="H250" i="19" s="1"/>
  <c r="I250" i="19" s="1"/>
  <c r="J250" i="19" s="1"/>
  <c r="K250" i="19" s="1"/>
  <c r="L250" i="19" s="1"/>
  <c r="M250" i="19" s="1"/>
  <c r="N250" i="19" s="1"/>
  <c r="O250" i="19" s="1"/>
  <c r="P250" i="19" s="1"/>
  <c r="Q250" i="19" s="1"/>
  <c r="R250" i="19" s="1"/>
  <c r="S250" i="19" s="1"/>
  <c r="T250" i="19" s="1"/>
  <c r="U250" i="19" s="1"/>
  <c r="V250" i="19" s="1"/>
  <c r="W250" i="19" s="1"/>
  <c r="X250" i="19" s="1"/>
  <c r="Y250" i="19" s="1"/>
  <c r="Z250" i="19" s="1"/>
  <c r="AA250" i="19" s="1"/>
  <c r="AB250" i="19" s="1"/>
  <c r="AC250" i="19" s="1"/>
  <c r="AD250" i="19" s="1"/>
  <c r="AE250" i="19" s="1"/>
  <c r="AF250" i="19" s="1"/>
  <c r="B250" i="19" s="1"/>
  <c r="E250" i="19"/>
  <c r="D250" i="19"/>
  <c r="D249" i="19"/>
  <c r="E249" i="19" s="1"/>
  <c r="F249" i="19" s="1"/>
  <c r="G249" i="19" s="1"/>
  <c r="H249" i="19" s="1"/>
  <c r="I249" i="19" s="1"/>
  <c r="J249" i="19" s="1"/>
  <c r="K249" i="19" s="1"/>
  <c r="L249" i="19" s="1"/>
  <c r="M249" i="19" s="1"/>
  <c r="N249" i="19" s="1"/>
  <c r="O249" i="19" s="1"/>
  <c r="P249" i="19" s="1"/>
  <c r="Q249" i="19" s="1"/>
  <c r="R249" i="19" s="1"/>
  <c r="S249" i="19" s="1"/>
  <c r="T249" i="19" s="1"/>
  <c r="U249" i="19" s="1"/>
  <c r="V249" i="19" s="1"/>
  <c r="W249" i="19" s="1"/>
  <c r="X249" i="19" s="1"/>
  <c r="Y249" i="19" s="1"/>
  <c r="Z249" i="19" s="1"/>
  <c r="AA249" i="19" s="1"/>
  <c r="AB249" i="19" s="1"/>
  <c r="AC249" i="19" s="1"/>
  <c r="AD249" i="19" s="1"/>
  <c r="AE249" i="19" s="1"/>
  <c r="AF249" i="19" s="1"/>
  <c r="B249" i="19" s="1"/>
  <c r="O248" i="19"/>
  <c r="P248" i="19" s="1"/>
  <c r="Q248" i="19" s="1"/>
  <c r="R248" i="19" s="1"/>
  <c r="S248" i="19" s="1"/>
  <c r="T248" i="19" s="1"/>
  <c r="U248" i="19" s="1"/>
  <c r="V248" i="19" s="1"/>
  <c r="W248" i="19" s="1"/>
  <c r="X248" i="19" s="1"/>
  <c r="Y248" i="19" s="1"/>
  <c r="Z248" i="19" s="1"/>
  <c r="AA248" i="19" s="1"/>
  <c r="AB248" i="19" s="1"/>
  <c r="AC248" i="19" s="1"/>
  <c r="AD248" i="19" s="1"/>
  <c r="AE248" i="19" s="1"/>
  <c r="AF248" i="19" s="1"/>
  <c r="B248" i="19" s="1"/>
  <c r="G248" i="19"/>
  <c r="H248" i="19" s="1"/>
  <c r="I248" i="19" s="1"/>
  <c r="J248" i="19" s="1"/>
  <c r="K248" i="19" s="1"/>
  <c r="L248" i="19" s="1"/>
  <c r="M248" i="19" s="1"/>
  <c r="N248" i="19" s="1"/>
  <c r="D248" i="19"/>
  <c r="E248" i="19" s="1"/>
  <c r="F248" i="19" s="1"/>
  <c r="E247" i="19"/>
  <c r="F247" i="19" s="1"/>
  <c r="G247" i="19" s="1"/>
  <c r="H247" i="19" s="1"/>
  <c r="I247" i="19" s="1"/>
  <c r="J247" i="19" s="1"/>
  <c r="K247" i="19" s="1"/>
  <c r="L247" i="19" s="1"/>
  <c r="M247" i="19" s="1"/>
  <c r="N247" i="19" s="1"/>
  <c r="O247" i="19" s="1"/>
  <c r="P247" i="19" s="1"/>
  <c r="Q247" i="19" s="1"/>
  <c r="R247" i="19" s="1"/>
  <c r="S247" i="19" s="1"/>
  <c r="T247" i="19" s="1"/>
  <c r="U247" i="19" s="1"/>
  <c r="V247" i="19" s="1"/>
  <c r="W247" i="19" s="1"/>
  <c r="X247" i="19" s="1"/>
  <c r="Y247" i="19" s="1"/>
  <c r="Z247" i="19" s="1"/>
  <c r="AA247" i="19" s="1"/>
  <c r="AB247" i="19" s="1"/>
  <c r="AC247" i="19" s="1"/>
  <c r="AD247" i="19" s="1"/>
  <c r="AE247" i="19" s="1"/>
  <c r="AF247" i="19" s="1"/>
  <c r="B247" i="19" s="1"/>
  <c r="D247" i="19"/>
  <c r="F246" i="19"/>
  <c r="G246" i="19" s="1"/>
  <c r="E246" i="19"/>
  <c r="D246" i="19"/>
  <c r="D252" i="19" s="1"/>
  <c r="AG244" i="19"/>
  <c r="AF244" i="19"/>
  <c r="AE244" i="19"/>
  <c r="AD244" i="19"/>
  <c r="AC244" i="19"/>
  <c r="AB244" i="19"/>
  <c r="AA244" i="19"/>
  <c r="Z244" i="19"/>
  <c r="Y244" i="19"/>
  <c r="X244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AI130" i="19"/>
  <c r="AH130" i="19"/>
  <c r="AI129" i="19"/>
  <c r="AH129" i="19"/>
  <c r="AI128" i="19"/>
  <c r="AH128" i="19"/>
  <c r="AI127" i="19"/>
  <c r="AH127" i="19"/>
  <c r="AI126" i="19"/>
  <c r="AH126" i="19"/>
  <c r="AI123" i="19"/>
  <c r="AH123" i="19"/>
  <c r="AI122" i="19"/>
  <c r="AH122" i="19"/>
  <c r="AI121" i="19"/>
  <c r="AH121" i="19"/>
  <c r="AI120" i="19"/>
  <c r="AH120" i="19"/>
  <c r="AI119" i="19"/>
  <c r="AH119" i="19"/>
  <c r="D118" i="19"/>
  <c r="C118" i="19"/>
  <c r="AI117" i="19"/>
  <c r="AH117" i="19"/>
  <c r="AI116" i="19"/>
  <c r="AH116" i="19"/>
  <c r="AI115" i="19"/>
  <c r="AH115" i="19"/>
  <c r="AI114" i="19"/>
  <c r="AH114" i="19"/>
  <c r="AI113" i="19"/>
  <c r="AH113" i="19"/>
  <c r="AI112" i="19"/>
  <c r="AH112" i="19"/>
  <c r="AI111" i="19"/>
  <c r="AH111" i="19"/>
  <c r="AI110" i="19"/>
  <c r="AH110" i="19"/>
  <c r="AI109" i="19"/>
  <c r="AH109" i="19"/>
  <c r="AI106" i="19"/>
  <c r="AH106" i="19"/>
  <c r="AF105" i="19"/>
  <c r="AE105" i="19"/>
  <c r="AD105" i="19"/>
  <c r="AC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AF104" i="19"/>
  <c r="AE104" i="19"/>
  <c r="AD104" i="19"/>
  <c r="AC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B107" i="19" s="1"/>
  <c r="AM23" i="19" s="1"/>
  <c r="AF103" i="19"/>
  <c r="AE103" i="19"/>
  <c r="AD103" i="19"/>
  <c r="AC103" i="19"/>
  <c r="R103" i="19"/>
  <c r="Q103" i="19"/>
  <c r="P103" i="19"/>
  <c r="O103" i="19"/>
  <c r="N103" i="19"/>
  <c r="M103" i="19"/>
  <c r="L103" i="19"/>
  <c r="K103" i="19"/>
  <c r="J103" i="19"/>
  <c r="I103" i="19"/>
  <c r="H103" i="19"/>
  <c r="G103" i="19"/>
  <c r="F103" i="19"/>
  <c r="E103" i="19"/>
  <c r="D103" i="19"/>
  <c r="C103" i="19"/>
  <c r="B103" i="19"/>
  <c r="AF102" i="19"/>
  <c r="AE102" i="19"/>
  <c r="AD102" i="19"/>
  <c r="AC102" i="19"/>
  <c r="R102" i="19"/>
  <c r="Q102" i="19"/>
  <c r="P102" i="19"/>
  <c r="O102" i="19"/>
  <c r="N102" i="19"/>
  <c r="M102" i="19"/>
  <c r="L102" i="19"/>
  <c r="K102" i="19"/>
  <c r="J102" i="19"/>
  <c r="I102" i="19"/>
  <c r="H102" i="19"/>
  <c r="G102" i="19"/>
  <c r="F102" i="19"/>
  <c r="E102" i="19"/>
  <c r="D102" i="19"/>
  <c r="C102" i="19"/>
  <c r="B102" i="19"/>
  <c r="AF101" i="19"/>
  <c r="AE101" i="19"/>
  <c r="AD101" i="19"/>
  <c r="AC101" i="19"/>
  <c r="BB23" i="19"/>
  <c r="R101" i="19"/>
  <c r="Q101" i="19"/>
  <c r="Q107" i="19" s="1"/>
  <c r="AY23" i="19" s="1"/>
  <c r="P101" i="19"/>
  <c r="O101" i="19"/>
  <c r="N101" i="19"/>
  <c r="M101" i="19"/>
  <c r="L101" i="19"/>
  <c r="L107" i="19" s="1"/>
  <c r="K101" i="19"/>
  <c r="J101" i="19"/>
  <c r="I101" i="19"/>
  <c r="H101" i="19"/>
  <c r="G101" i="19"/>
  <c r="F101" i="19"/>
  <c r="E101" i="19"/>
  <c r="D101" i="19"/>
  <c r="C101" i="19"/>
  <c r="B101" i="19"/>
  <c r="AI98" i="19"/>
  <c r="AH98" i="19"/>
  <c r="AI96" i="19"/>
  <c r="AH96" i="19"/>
  <c r="AG96" i="19"/>
  <c r="AI95" i="19"/>
  <c r="AH95" i="19"/>
  <c r="AI94" i="19"/>
  <c r="AH94" i="19"/>
  <c r="AI93" i="19"/>
  <c r="AH93" i="19"/>
  <c r="AG92" i="19"/>
  <c r="AF92" i="19"/>
  <c r="AE92" i="19"/>
  <c r="AD92" i="19"/>
  <c r="BH19" i="19" s="1"/>
  <c r="AC92" i="19"/>
  <c r="AB5" i="19" s="1"/>
  <c r="BG19" i="19"/>
  <c r="R92" i="19"/>
  <c r="Q5" i="19" s="1"/>
  <c r="Q92" i="19"/>
  <c r="P5" i="19" s="1"/>
  <c r="P92" i="19"/>
  <c r="O92" i="19"/>
  <c r="AW19" i="19" s="1"/>
  <c r="N92" i="19"/>
  <c r="M5" i="19" s="1"/>
  <c r="M92" i="19"/>
  <c r="AU19" i="19" s="1"/>
  <c r="L92" i="19"/>
  <c r="K5" i="19" s="1"/>
  <c r="K92" i="19"/>
  <c r="J5" i="19" s="1"/>
  <c r="J92" i="19"/>
  <c r="I92" i="19"/>
  <c r="AS19" i="19" s="1"/>
  <c r="H92" i="19"/>
  <c r="G92" i="19"/>
  <c r="AR19" i="19" s="1"/>
  <c r="F92" i="19"/>
  <c r="E5" i="19" s="1"/>
  <c r="E92" i="19"/>
  <c r="AP19" i="19" s="1"/>
  <c r="D92" i="19"/>
  <c r="AO19" i="19" s="1"/>
  <c r="C92" i="19"/>
  <c r="B92" i="19"/>
  <c r="AF5" i="19" s="1"/>
  <c r="AI91" i="19"/>
  <c r="AH91" i="19"/>
  <c r="AI90" i="19"/>
  <c r="AH90" i="19"/>
  <c r="AI89" i="19"/>
  <c r="AH89" i="19"/>
  <c r="AI88" i="19"/>
  <c r="AH88" i="19"/>
  <c r="AI87" i="19"/>
  <c r="AH87" i="19"/>
  <c r="AI86" i="19"/>
  <c r="AH86" i="19"/>
  <c r="AI85" i="19"/>
  <c r="AH85" i="19"/>
  <c r="AI84" i="19"/>
  <c r="AH84" i="19"/>
  <c r="AI83" i="19"/>
  <c r="AH83" i="19"/>
  <c r="AI82" i="19"/>
  <c r="AH82" i="19"/>
  <c r="AI81" i="19"/>
  <c r="AH81" i="19"/>
  <c r="AG80" i="19"/>
  <c r="AF80" i="19"/>
  <c r="AE80" i="19"/>
  <c r="AD80" i="19"/>
  <c r="AC80" i="19"/>
  <c r="AB80" i="19"/>
  <c r="R80" i="19"/>
  <c r="P80" i="19"/>
  <c r="O80" i="19"/>
  <c r="AW20" i="19" s="1"/>
  <c r="N80" i="19"/>
  <c r="AV20" i="19" s="1"/>
  <c r="M80" i="19"/>
  <c r="L80" i="19"/>
  <c r="K80" i="19"/>
  <c r="J80" i="19"/>
  <c r="I80" i="19"/>
  <c r="H80" i="19"/>
  <c r="G80" i="19"/>
  <c r="AR20" i="19" s="1"/>
  <c r="F80" i="19"/>
  <c r="E80" i="19"/>
  <c r="AP20" i="19" s="1"/>
  <c r="D80" i="19"/>
  <c r="AO20" i="19" s="1"/>
  <c r="C80" i="19"/>
  <c r="B80" i="19"/>
  <c r="AM20" i="19" s="1"/>
  <c r="AI79" i="19"/>
  <c r="AH79" i="19"/>
  <c r="AI78" i="19"/>
  <c r="AH78" i="19"/>
  <c r="AI77" i="19"/>
  <c r="AH77" i="19"/>
  <c r="BE76" i="19"/>
  <c r="AF76" i="19"/>
  <c r="BJ18" i="19" s="1"/>
  <c r="AE76" i="19"/>
  <c r="BI18" i="19" s="1"/>
  <c r="AD76" i="19"/>
  <c r="BH18" i="19" s="1"/>
  <c r="AC76" i="19"/>
  <c r="AB76" i="19"/>
  <c r="BG18" i="19" s="1"/>
  <c r="BA18" i="19"/>
  <c r="R76" i="19"/>
  <c r="AZ18" i="19" s="1"/>
  <c r="P76" i="19"/>
  <c r="O76" i="19"/>
  <c r="AW18" i="19" s="1"/>
  <c r="N76" i="19"/>
  <c r="AV18" i="19" s="1"/>
  <c r="M76" i="19"/>
  <c r="L76" i="19"/>
  <c r="K76" i="19"/>
  <c r="AT18" i="19" s="1"/>
  <c r="J76" i="19"/>
  <c r="I76" i="19"/>
  <c r="AS18" i="19" s="1"/>
  <c r="H76" i="19"/>
  <c r="G76" i="19"/>
  <c r="F76" i="19"/>
  <c r="E76" i="19"/>
  <c r="AP18" i="19" s="1"/>
  <c r="D76" i="19"/>
  <c r="C76" i="19"/>
  <c r="AN18" i="19" s="1"/>
  <c r="B76" i="19"/>
  <c r="BI75" i="19"/>
  <c r="AI75" i="19"/>
  <c r="AH75" i="19"/>
  <c r="AG75" i="19"/>
  <c r="AG76" i="19" s="1"/>
  <c r="AG3" i="19" s="1"/>
  <c r="AI74" i="19"/>
  <c r="AH74" i="19"/>
  <c r="BW73" i="19"/>
  <c r="BW80" i="19" s="1"/>
  <c r="BV73" i="19"/>
  <c r="BV80" i="19" s="1"/>
  <c r="BU73" i="19"/>
  <c r="BU80" i="19" s="1"/>
  <c r="BT73" i="19"/>
  <c r="BT80" i="19" s="1"/>
  <c r="BS73" i="19"/>
  <c r="BS80" i="19" s="1"/>
  <c r="BR73" i="19"/>
  <c r="BR80" i="19" s="1"/>
  <c r="BQ73" i="19"/>
  <c r="BQ80" i="19" s="1"/>
  <c r="BP73" i="19"/>
  <c r="BP80" i="19" s="1"/>
  <c r="BO73" i="19"/>
  <c r="BO80" i="19" s="1"/>
  <c r="BN73" i="19"/>
  <c r="BN80" i="19" s="1"/>
  <c r="BM73" i="19"/>
  <c r="BM80" i="19" s="1"/>
  <c r="BL73" i="19"/>
  <c r="BL80" i="19" s="1"/>
  <c r="BK73" i="19"/>
  <c r="BK80" i="19" s="1"/>
  <c r="BJ73" i="19"/>
  <c r="BJ80" i="19" s="1"/>
  <c r="BI73" i="19"/>
  <c r="BI80" i="19" s="1"/>
  <c r="BH73" i="19"/>
  <c r="BH80" i="19" s="1"/>
  <c r="BG73" i="19"/>
  <c r="BG80" i="19" s="1"/>
  <c r="BF73" i="19"/>
  <c r="BF80" i="19" s="1"/>
  <c r="BE73" i="19"/>
  <c r="BE80" i="19" s="1"/>
  <c r="BD73" i="19"/>
  <c r="BD80" i="19" s="1"/>
  <c r="BC73" i="19"/>
  <c r="BC80" i="19" s="1"/>
  <c r="BB73" i="19"/>
  <c r="BB80" i="19" s="1"/>
  <c r="BA73" i="19"/>
  <c r="BA80" i="19" s="1"/>
  <c r="AZ73" i="19"/>
  <c r="AZ80" i="19" s="1"/>
  <c r="AI73" i="19"/>
  <c r="AH73" i="19"/>
  <c r="BW72" i="19"/>
  <c r="BW79" i="19" s="1"/>
  <c r="BV72" i="19"/>
  <c r="BV79" i="19" s="1"/>
  <c r="BU72" i="19"/>
  <c r="BU79" i="19" s="1"/>
  <c r="BT72" i="19"/>
  <c r="BT79" i="19" s="1"/>
  <c r="BS72" i="19"/>
  <c r="BS79" i="19" s="1"/>
  <c r="BR72" i="19"/>
  <c r="BR79" i="19" s="1"/>
  <c r="BQ72" i="19"/>
  <c r="BQ79" i="19" s="1"/>
  <c r="BP72" i="19"/>
  <c r="BP79" i="19" s="1"/>
  <c r="BO72" i="19"/>
  <c r="BO79" i="19" s="1"/>
  <c r="BN72" i="19"/>
  <c r="BN79" i="19" s="1"/>
  <c r="BM72" i="19"/>
  <c r="BM79" i="19" s="1"/>
  <c r="BL72" i="19"/>
  <c r="BL79" i="19" s="1"/>
  <c r="BK72" i="19"/>
  <c r="BK79" i="19" s="1"/>
  <c r="BJ72" i="19"/>
  <c r="BJ79" i="19" s="1"/>
  <c r="BI72" i="19"/>
  <c r="BI79" i="19" s="1"/>
  <c r="BH72" i="19"/>
  <c r="BH79" i="19" s="1"/>
  <c r="BG72" i="19"/>
  <c r="BG79" i="19" s="1"/>
  <c r="BF72" i="19"/>
  <c r="BF79" i="19" s="1"/>
  <c r="BE72" i="19"/>
  <c r="BE79" i="19" s="1"/>
  <c r="BD72" i="19"/>
  <c r="BD79" i="19" s="1"/>
  <c r="BC72" i="19"/>
  <c r="BC79" i="19" s="1"/>
  <c r="BB72" i="19"/>
  <c r="BB79" i="19" s="1"/>
  <c r="BA72" i="19"/>
  <c r="BA79" i="19" s="1"/>
  <c r="AZ72" i="19"/>
  <c r="AZ79" i="19" s="1"/>
  <c r="AI72" i="19"/>
  <c r="AH72" i="19"/>
  <c r="BW71" i="19"/>
  <c r="BW78" i="19" s="1"/>
  <c r="BV71" i="19"/>
  <c r="BV78" i="19" s="1"/>
  <c r="BU71" i="19"/>
  <c r="BU78" i="19" s="1"/>
  <c r="BT71" i="19"/>
  <c r="BT78" i="19" s="1"/>
  <c r="BS71" i="19"/>
  <c r="BS78" i="19" s="1"/>
  <c r="BR71" i="19"/>
  <c r="BR78" i="19" s="1"/>
  <c r="BQ71" i="19"/>
  <c r="BQ78" i="19" s="1"/>
  <c r="BP71" i="19"/>
  <c r="BP78" i="19" s="1"/>
  <c r="BO71" i="19"/>
  <c r="BO78" i="19" s="1"/>
  <c r="BN71" i="19"/>
  <c r="BN78" i="19" s="1"/>
  <c r="BM71" i="19"/>
  <c r="BM78" i="19" s="1"/>
  <c r="BL71" i="19"/>
  <c r="BL78" i="19" s="1"/>
  <c r="BK71" i="19"/>
  <c r="BK78" i="19" s="1"/>
  <c r="BJ71" i="19"/>
  <c r="BJ78" i="19" s="1"/>
  <c r="BI71" i="19"/>
  <c r="BI78" i="19" s="1"/>
  <c r="BH71" i="19"/>
  <c r="BH78" i="19" s="1"/>
  <c r="BG71" i="19"/>
  <c r="BG78" i="19" s="1"/>
  <c r="BF71" i="19"/>
  <c r="BF78" i="19" s="1"/>
  <c r="BE71" i="19"/>
  <c r="BE78" i="19" s="1"/>
  <c r="BD71" i="19"/>
  <c r="BD78" i="19" s="1"/>
  <c r="BC71" i="19"/>
  <c r="BC78" i="19" s="1"/>
  <c r="BB71" i="19"/>
  <c r="BB78" i="19" s="1"/>
  <c r="BA71" i="19"/>
  <c r="BA78" i="19" s="1"/>
  <c r="AZ71" i="19"/>
  <c r="AZ78" i="19" s="1"/>
  <c r="AI71" i="19"/>
  <c r="AH71" i="19"/>
  <c r="BW70" i="19"/>
  <c r="BW77" i="19" s="1"/>
  <c r="BV70" i="19"/>
  <c r="BV77" i="19" s="1"/>
  <c r="BU70" i="19"/>
  <c r="BU77" i="19" s="1"/>
  <c r="BT70" i="19"/>
  <c r="BT77" i="19" s="1"/>
  <c r="BS70" i="19"/>
  <c r="BS77" i="19" s="1"/>
  <c r="BR70" i="19"/>
  <c r="BR77" i="19" s="1"/>
  <c r="BQ70" i="19"/>
  <c r="BQ77" i="19" s="1"/>
  <c r="BP70" i="19"/>
  <c r="BP77" i="19" s="1"/>
  <c r="BO70" i="19"/>
  <c r="BO77" i="19" s="1"/>
  <c r="BN70" i="19"/>
  <c r="BN77" i="19" s="1"/>
  <c r="BM70" i="19"/>
  <c r="BM77" i="19" s="1"/>
  <c r="BL70" i="19"/>
  <c r="BL77" i="19" s="1"/>
  <c r="BK70" i="19"/>
  <c r="BK77" i="19" s="1"/>
  <c r="BJ70" i="19"/>
  <c r="BJ77" i="19" s="1"/>
  <c r="BI70" i="19"/>
  <c r="BI77" i="19" s="1"/>
  <c r="BH70" i="19"/>
  <c r="BH77" i="19" s="1"/>
  <c r="BG70" i="19"/>
  <c r="BG77" i="19" s="1"/>
  <c r="BF70" i="19"/>
  <c r="BF77" i="19" s="1"/>
  <c r="BE70" i="19"/>
  <c r="BE77" i="19" s="1"/>
  <c r="BD70" i="19"/>
  <c r="BD77" i="19" s="1"/>
  <c r="BC70" i="19"/>
  <c r="BC77" i="19" s="1"/>
  <c r="BB70" i="19"/>
  <c r="BB77" i="19" s="1"/>
  <c r="BA70" i="19"/>
  <c r="BA77" i="19" s="1"/>
  <c r="AZ70" i="19"/>
  <c r="AZ77" i="19" s="1"/>
  <c r="AI70" i="19"/>
  <c r="AH70" i="19"/>
  <c r="BW69" i="19"/>
  <c r="BW76" i="19" s="1"/>
  <c r="BV69" i="19"/>
  <c r="BV76" i="19" s="1"/>
  <c r="BU69" i="19"/>
  <c r="BU76" i="19" s="1"/>
  <c r="BT69" i="19"/>
  <c r="BT76" i="19" s="1"/>
  <c r="BS69" i="19"/>
  <c r="BS76" i="19" s="1"/>
  <c r="BR69" i="19"/>
  <c r="BR76" i="19" s="1"/>
  <c r="BQ69" i="19"/>
  <c r="BQ76" i="19" s="1"/>
  <c r="BP69" i="19"/>
  <c r="BP76" i="19" s="1"/>
  <c r="BO69" i="19"/>
  <c r="BO76" i="19" s="1"/>
  <c r="BN69" i="19"/>
  <c r="BN76" i="19" s="1"/>
  <c r="BM69" i="19"/>
  <c r="BM76" i="19" s="1"/>
  <c r="BL69" i="19"/>
  <c r="BL76" i="19" s="1"/>
  <c r="BK69" i="19"/>
  <c r="BK76" i="19" s="1"/>
  <c r="BJ69" i="19"/>
  <c r="BJ76" i="19" s="1"/>
  <c r="BI69" i="19"/>
  <c r="BI76" i="19" s="1"/>
  <c r="BH69" i="19"/>
  <c r="BH76" i="19" s="1"/>
  <c r="BG69" i="19"/>
  <c r="BG76" i="19" s="1"/>
  <c r="BF69" i="19"/>
  <c r="BF76" i="19" s="1"/>
  <c r="BE69" i="19"/>
  <c r="BD69" i="19"/>
  <c r="BD76" i="19" s="1"/>
  <c r="BC69" i="19"/>
  <c r="BC76" i="19" s="1"/>
  <c r="BB69" i="19"/>
  <c r="BB76" i="19" s="1"/>
  <c r="BA69" i="19"/>
  <c r="BA76" i="19" s="1"/>
  <c r="AZ69" i="19"/>
  <c r="AZ76" i="19" s="1"/>
  <c r="AI69" i="19"/>
  <c r="AH69" i="19"/>
  <c r="BW68" i="19"/>
  <c r="BW75" i="19" s="1"/>
  <c r="BV68" i="19"/>
  <c r="BV75" i="19" s="1"/>
  <c r="BU68" i="19"/>
  <c r="BU75" i="19" s="1"/>
  <c r="BT68" i="19"/>
  <c r="BT75" i="19" s="1"/>
  <c r="BS68" i="19"/>
  <c r="BS75" i="19" s="1"/>
  <c r="BR68" i="19"/>
  <c r="BR75" i="19" s="1"/>
  <c r="BQ68" i="19"/>
  <c r="BQ75" i="19" s="1"/>
  <c r="BP68" i="19"/>
  <c r="BP75" i="19" s="1"/>
  <c r="BO68" i="19"/>
  <c r="BO75" i="19" s="1"/>
  <c r="BN68" i="19"/>
  <c r="BN75" i="19" s="1"/>
  <c r="BM68" i="19"/>
  <c r="BM75" i="19" s="1"/>
  <c r="BL68" i="19"/>
  <c r="BL75" i="19" s="1"/>
  <c r="BK68" i="19"/>
  <c r="BK75" i="19" s="1"/>
  <c r="BJ68" i="19"/>
  <c r="BJ75" i="19" s="1"/>
  <c r="BI68" i="19"/>
  <c r="BH68" i="19"/>
  <c r="BH75" i="19" s="1"/>
  <c r="BG68" i="19"/>
  <c r="BG75" i="19" s="1"/>
  <c r="BF68" i="19"/>
  <c r="BF75" i="19" s="1"/>
  <c r="BE68" i="19"/>
  <c r="BE75" i="19" s="1"/>
  <c r="BD68" i="19"/>
  <c r="BD75" i="19" s="1"/>
  <c r="BC68" i="19"/>
  <c r="BC75" i="19" s="1"/>
  <c r="BB68" i="19"/>
  <c r="BB75" i="19" s="1"/>
  <c r="BA68" i="19"/>
  <c r="BA75" i="19" s="1"/>
  <c r="AZ68" i="19"/>
  <c r="AZ75" i="19" s="1"/>
  <c r="AI68" i="19"/>
  <c r="AH68" i="19"/>
  <c r="AI67" i="19"/>
  <c r="AH67" i="19"/>
  <c r="AI66" i="19"/>
  <c r="AH66" i="19"/>
  <c r="AI65" i="19"/>
  <c r="AH65" i="19"/>
  <c r="AI64" i="19"/>
  <c r="AH64" i="19"/>
  <c r="AI63" i="19"/>
  <c r="AH63" i="19"/>
  <c r="AG62" i="19"/>
  <c r="AF62" i="19"/>
  <c r="BJ17" i="19" s="1"/>
  <c r="AE62" i="19"/>
  <c r="AD62" i="19"/>
  <c r="AC62" i="19"/>
  <c r="AB62" i="19"/>
  <c r="BG17" i="19" s="1"/>
  <c r="BE17" i="19"/>
  <c r="BB17" i="19"/>
  <c r="R62" i="19"/>
  <c r="AZ17" i="19" s="1"/>
  <c r="P62" i="19"/>
  <c r="AX17" i="19" s="1"/>
  <c r="O62" i="19"/>
  <c r="AW17" i="19" s="1"/>
  <c r="N62" i="19"/>
  <c r="M62" i="19"/>
  <c r="L62" i="19"/>
  <c r="K62" i="19"/>
  <c r="AT17" i="19" s="1"/>
  <c r="J62" i="19"/>
  <c r="I62" i="19"/>
  <c r="H62" i="19"/>
  <c r="G62" i="19"/>
  <c r="F62" i="19"/>
  <c r="AQ17" i="19" s="1"/>
  <c r="E62" i="19"/>
  <c r="AP17" i="19" s="1"/>
  <c r="D62" i="19"/>
  <c r="C62" i="19"/>
  <c r="AN17" i="19" s="1"/>
  <c r="B62" i="19"/>
  <c r="AI61" i="19"/>
  <c r="AH61" i="19"/>
  <c r="AI60" i="19"/>
  <c r="AH60" i="19"/>
  <c r="AI59" i="19"/>
  <c r="AH59" i="19"/>
  <c r="AG58" i="19"/>
  <c r="AF58" i="19"/>
  <c r="BJ16" i="19" s="1"/>
  <c r="AE58" i="19"/>
  <c r="AD58" i="19"/>
  <c r="AC58" i="19"/>
  <c r="AB58" i="19"/>
  <c r="Z7" i="19"/>
  <c r="BE16" i="19"/>
  <c r="T7" i="19"/>
  <c r="R58" i="19"/>
  <c r="P58" i="19"/>
  <c r="AX16" i="19" s="1"/>
  <c r="O58" i="19"/>
  <c r="AW16" i="19" s="1"/>
  <c r="N58" i="19"/>
  <c r="M58" i="19"/>
  <c r="L58" i="19"/>
  <c r="K58" i="19"/>
  <c r="AT16" i="19" s="1"/>
  <c r="J58" i="19"/>
  <c r="H58" i="19"/>
  <c r="G58" i="19"/>
  <c r="AR16" i="19" s="1"/>
  <c r="F58" i="19"/>
  <c r="E58" i="19"/>
  <c r="D58" i="19"/>
  <c r="C58" i="19"/>
  <c r="B58" i="19"/>
  <c r="AI57" i="19"/>
  <c r="AH57" i="19"/>
  <c r="AI56" i="19"/>
  <c r="AH56" i="19"/>
  <c r="AI55" i="19"/>
  <c r="AH55" i="19"/>
  <c r="AI54" i="19"/>
  <c r="AH54" i="19"/>
  <c r="AI53" i="19"/>
  <c r="AH53" i="19"/>
  <c r="AI52" i="19"/>
  <c r="AH52" i="19"/>
  <c r="AI51" i="19"/>
  <c r="AH51" i="19"/>
  <c r="AI50" i="19"/>
  <c r="AH50" i="19"/>
  <c r="AI49" i="19"/>
  <c r="AH49" i="19"/>
  <c r="AI48" i="19"/>
  <c r="AH48" i="19"/>
  <c r="AI47" i="19"/>
  <c r="AH47" i="19"/>
  <c r="AI46" i="19"/>
  <c r="AH46" i="19"/>
  <c r="AI45" i="19"/>
  <c r="AH45" i="19"/>
  <c r="AI44" i="19"/>
  <c r="AH44" i="19"/>
  <c r="AI43" i="19"/>
  <c r="AH43" i="19"/>
  <c r="AI42" i="19"/>
  <c r="AH42" i="19"/>
  <c r="AI41" i="19"/>
  <c r="AH41" i="19"/>
  <c r="AI40" i="19"/>
  <c r="AH40" i="19"/>
  <c r="AI39" i="19"/>
  <c r="AH39" i="19"/>
  <c r="AI38" i="19"/>
  <c r="AH38" i="19"/>
  <c r="AI37" i="19"/>
  <c r="AH37" i="19"/>
  <c r="AI36" i="19"/>
  <c r="AH36" i="19"/>
  <c r="AI35" i="19"/>
  <c r="AH35" i="19"/>
  <c r="AI34" i="19"/>
  <c r="AH34" i="19"/>
  <c r="AI33" i="19"/>
  <c r="AH33" i="19"/>
  <c r="AI32" i="19"/>
  <c r="AH32" i="19"/>
  <c r="AI31" i="19"/>
  <c r="AH31" i="19"/>
  <c r="AI30" i="19"/>
  <c r="AH30" i="19"/>
  <c r="AI29" i="19"/>
  <c r="AH29" i="19"/>
  <c r="AI28" i="19"/>
  <c r="AH28" i="19"/>
  <c r="AI27" i="19"/>
  <c r="AH27" i="19"/>
  <c r="AI26" i="19"/>
  <c r="AH26" i="19"/>
  <c r="AI25" i="19"/>
  <c r="AH25" i="19"/>
  <c r="AI24" i="19"/>
  <c r="AH24" i="19"/>
  <c r="BF23" i="19"/>
  <c r="BE23" i="19"/>
  <c r="BC23" i="19"/>
  <c r="BA23" i="19"/>
  <c r="AI23" i="19"/>
  <c r="AH23" i="19"/>
  <c r="AI22" i="19"/>
  <c r="AH22" i="19"/>
  <c r="BJ21" i="19"/>
  <c r="BI21" i="19"/>
  <c r="BH21" i="19"/>
  <c r="BG21" i="19"/>
  <c r="BF21" i="19"/>
  <c r="BE21" i="19"/>
  <c r="BD21" i="19"/>
  <c r="BC21" i="19"/>
  <c r="BB21" i="19"/>
  <c r="BA21" i="19"/>
  <c r="AZ21" i="19"/>
  <c r="AY21" i="19"/>
  <c r="AX21" i="19"/>
  <c r="AW21" i="19"/>
  <c r="AV21" i="19"/>
  <c r="AU21" i="19"/>
  <c r="AT21" i="19"/>
  <c r="AS21" i="19"/>
  <c r="AR21" i="19"/>
  <c r="AQ21" i="19"/>
  <c r="AP21" i="19"/>
  <c r="AO21" i="19"/>
  <c r="AN21" i="19"/>
  <c r="AM21" i="19"/>
  <c r="AI21" i="19"/>
  <c r="AH21" i="19"/>
  <c r="BJ20" i="19"/>
  <c r="BI20" i="19"/>
  <c r="BH20" i="19"/>
  <c r="BG20" i="19"/>
  <c r="BF20" i="19"/>
  <c r="BE20" i="19"/>
  <c r="BD20" i="19"/>
  <c r="BC20" i="19"/>
  <c r="BB20" i="19"/>
  <c r="BA20" i="19"/>
  <c r="AZ20" i="19"/>
  <c r="AY20" i="19"/>
  <c r="AX20" i="19"/>
  <c r="AU20" i="19"/>
  <c r="AT20" i="19"/>
  <c r="AS20" i="19"/>
  <c r="AQ20" i="19"/>
  <c r="AN20" i="19"/>
  <c r="AI20" i="19"/>
  <c r="AH20" i="19"/>
  <c r="BI19" i="19"/>
  <c r="BF19" i="19"/>
  <c r="BE19" i="19"/>
  <c r="BD19" i="19"/>
  <c r="BC19" i="19"/>
  <c r="BB19" i="19"/>
  <c r="BA19" i="19"/>
  <c r="AI19" i="19"/>
  <c r="AH19" i="19"/>
  <c r="BF18" i="19"/>
  <c r="BE18" i="19"/>
  <c r="BD18" i="19"/>
  <c r="BC18" i="19"/>
  <c r="BB18" i="19"/>
  <c r="AY18" i="19"/>
  <c r="AX18" i="19"/>
  <c r="AU18" i="19"/>
  <c r="AR18" i="19"/>
  <c r="AQ18" i="19"/>
  <c r="AO18" i="19"/>
  <c r="AM18" i="19"/>
  <c r="AI18" i="19"/>
  <c r="AH18" i="19"/>
  <c r="BI17" i="19"/>
  <c r="BH17" i="19"/>
  <c r="BF17" i="19"/>
  <c r="BD17" i="19"/>
  <c r="BC17" i="19"/>
  <c r="BA17" i="19"/>
  <c r="AY17" i="19"/>
  <c r="AV17" i="19"/>
  <c r="AU17" i="19"/>
  <c r="AR17" i="19"/>
  <c r="AO17" i="19"/>
  <c r="AM17" i="19"/>
  <c r="AI17" i="19"/>
  <c r="AH17" i="19"/>
  <c r="BI16" i="19"/>
  <c r="BF16" i="19"/>
  <c r="BD16" i="19"/>
  <c r="BC16" i="19"/>
  <c r="BC22" i="19" s="1"/>
  <c r="BC24" i="19" s="1"/>
  <c r="BA16" i="19"/>
  <c r="AZ16" i="19"/>
  <c r="AY16" i="19"/>
  <c r="AV16" i="19"/>
  <c r="AN16" i="19"/>
  <c r="AM16" i="19"/>
  <c r="AI16" i="19"/>
  <c r="AH16" i="19"/>
  <c r="AI15" i="19"/>
  <c r="AH15" i="19"/>
  <c r="AI14" i="19"/>
  <c r="AH14" i="19"/>
  <c r="AI13" i="19"/>
  <c r="AH13" i="19"/>
  <c r="AL12" i="19"/>
  <c r="AI12" i="19"/>
  <c r="AH12" i="19"/>
  <c r="AI11" i="19"/>
  <c r="AH11" i="19"/>
  <c r="Y7" i="19"/>
  <c r="U7" i="19"/>
  <c r="AD5" i="19"/>
  <c r="Z5" i="19"/>
  <c r="Y5" i="19"/>
  <c r="X5" i="19"/>
  <c r="W5" i="19"/>
  <c r="V5" i="19"/>
  <c r="U5" i="19"/>
  <c r="T5" i="19"/>
  <c r="S5" i="19"/>
  <c r="R5" i="19"/>
  <c r="I5" i="19"/>
  <c r="C5" i="19"/>
  <c r="B5" i="19"/>
  <c r="AG4" i="19"/>
  <c r="K4" i="19"/>
  <c r="E4" i="19"/>
  <c r="H4" i="19" s="1"/>
  <c r="B4" i="19"/>
  <c r="D258" i="19" s="1"/>
  <c r="AG2" i="19"/>
  <c r="AG6" i="19" s="1"/>
  <c r="AA58" i="18"/>
  <c r="AA62" i="18"/>
  <c r="AA76" i="18"/>
  <c r="AA80" i="18"/>
  <c r="AA92" i="18"/>
  <c r="AA101" i="18"/>
  <c r="AA102" i="18"/>
  <c r="AA103" i="18"/>
  <c r="AA104" i="18"/>
  <c r="AA105" i="18"/>
  <c r="AA118" i="18"/>
  <c r="N246" i="20" l="1"/>
  <c r="L251" i="20"/>
  <c r="K252" i="20"/>
  <c r="K118" i="20"/>
  <c r="AF107" i="19"/>
  <c r="BJ23" i="19" s="1"/>
  <c r="BJ19" i="19"/>
  <c r="AE5" i="19"/>
  <c r="BI22" i="19"/>
  <c r="AC5" i="19"/>
  <c r="AD97" i="19"/>
  <c r="AD99" i="19" s="1"/>
  <c r="BH16" i="19"/>
  <c r="BH22" i="19" s="1"/>
  <c r="AC107" i="19"/>
  <c r="AC100" i="19"/>
  <c r="AC7" i="19" s="1"/>
  <c r="AA5" i="19"/>
  <c r="BG23" i="19"/>
  <c r="AB7" i="19"/>
  <c r="BG16" i="19"/>
  <c r="BG22" i="19" s="1"/>
  <c r="BF22" i="19"/>
  <c r="BF24" i="19" s="1"/>
  <c r="BD22" i="19"/>
  <c r="BA22" i="19"/>
  <c r="BA24" i="19" s="1"/>
  <c r="AZ19" i="19"/>
  <c r="R107" i="19"/>
  <c r="AZ23" i="19" s="1"/>
  <c r="AZ22" i="19"/>
  <c r="AZ24" i="19" s="1"/>
  <c r="R97" i="19"/>
  <c r="R99" i="19" s="1"/>
  <c r="R100" i="19" s="1"/>
  <c r="R7" i="19" s="1"/>
  <c r="Q97" i="19"/>
  <c r="Q99" i="19" s="1"/>
  <c r="Q100" i="19" s="1"/>
  <c r="Q7" i="19" s="1"/>
  <c r="Q108" i="19"/>
  <c r="AY19" i="19"/>
  <c r="AY22" i="19" s="1"/>
  <c r="AY24" i="19" s="1"/>
  <c r="O5" i="19"/>
  <c r="P107" i="19"/>
  <c r="AX23" i="19" s="1"/>
  <c r="AX19" i="19"/>
  <c r="N5" i="19"/>
  <c r="AW22" i="19"/>
  <c r="AV19" i="19"/>
  <c r="AV22" i="19"/>
  <c r="N97" i="19"/>
  <c r="N99" i="19" s="1"/>
  <c r="M107" i="19"/>
  <c r="AU23" i="19" s="1"/>
  <c r="L5" i="19"/>
  <c r="M97" i="19"/>
  <c r="M99" i="19" s="1"/>
  <c r="M100" i="19" s="1"/>
  <c r="M7" i="19" s="1"/>
  <c r="AU16" i="19"/>
  <c r="AU22" i="19" s="1"/>
  <c r="AU24" i="19" s="1"/>
  <c r="L97" i="19"/>
  <c r="L99" i="19" s="1"/>
  <c r="L100" i="19" s="1"/>
  <c r="L7" i="19" s="1"/>
  <c r="K107" i="19"/>
  <c r="AT23" i="19" s="1"/>
  <c r="K108" i="19"/>
  <c r="AT19" i="19"/>
  <c r="J107" i="19"/>
  <c r="J108" i="19" s="1"/>
  <c r="J97" i="19"/>
  <c r="J99" i="19" s="1"/>
  <c r="J100" i="19" s="1"/>
  <c r="J7" i="19" s="1"/>
  <c r="H5" i="19"/>
  <c r="I107" i="19"/>
  <c r="AS23" i="19" s="1"/>
  <c r="I97" i="19"/>
  <c r="I99" i="19" s="1"/>
  <c r="I100" i="19" s="1"/>
  <c r="I7" i="19" s="1"/>
  <c r="AS17" i="19"/>
  <c r="AS16" i="19"/>
  <c r="AS22" i="19" s="1"/>
  <c r="AS24" i="19" s="1"/>
  <c r="G5" i="19"/>
  <c r="H107" i="19"/>
  <c r="H108" i="19" s="1"/>
  <c r="AQ19" i="19"/>
  <c r="AQ22" i="19" s="1"/>
  <c r="F5" i="19"/>
  <c r="H97" i="19"/>
  <c r="H99" i="19" s="1"/>
  <c r="H100" i="19" s="1"/>
  <c r="H7" i="19" s="1"/>
  <c r="AR22" i="19"/>
  <c r="F97" i="19"/>
  <c r="F99" i="19" s="1"/>
  <c r="F100" i="19" s="1"/>
  <c r="F7" i="19" s="1"/>
  <c r="AQ16" i="19"/>
  <c r="D5" i="19"/>
  <c r="E107" i="19"/>
  <c r="AP23" i="19" s="1"/>
  <c r="E97" i="19"/>
  <c r="E99" i="19" s="1"/>
  <c r="E100" i="19" s="1"/>
  <c r="E7" i="19" s="1"/>
  <c r="AP16" i="19"/>
  <c r="AP22" i="19" s="1"/>
  <c r="AP24" i="19" s="1"/>
  <c r="D107" i="19"/>
  <c r="AO23" i="19" s="1"/>
  <c r="D97" i="19"/>
  <c r="D99" i="19" s="1"/>
  <c r="D100" i="19" s="1"/>
  <c r="D7" i="19" s="1"/>
  <c r="C107" i="19"/>
  <c r="AN23" i="19" s="1"/>
  <c r="AI105" i="19"/>
  <c r="C108" i="19"/>
  <c r="AN19" i="19"/>
  <c r="AH76" i="19"/>
  <c r="AI62" i="19"/>
  <c r="B97" i="19"/>
  <c r="B99" i="19" s="1"/>
  <c r="AM19" i="19"/>
  <c r="B108" i="19"/>
  <c r="AI92" i="19"/>
  <c r="AM22" i="19"/>
  <c r="AM24" i="19" s="1"/>
  <c r="AT22" i="19"/>
  <c r="AT24" i="19" s="1"/>
  <c r="AN22" i="19"/>
  <c r="AN24" i="19" s="1"/>
  <c r="BE22" i="19"/>
  <c r="BE24" i="19" s="1"/>
  <c r="BJ22" i="19"/>
  <c r="BJ24" i="19" s="1"/>
  <c r="AX22" i="19"/>
  <c r="AX24" i="19" s="1"/>
  <c r="AL13" i="19"/>
  <c r="AG97" i="19"/>
  <c r="AH80" i="19"/>
  <c r="X7" i="19"/>
  <c r="AO16" i="19"/>
  <c r="AO22" i="19" s="1"/>
  <c r="AO24" i="19" s="1"/>
  <c r="AH58" i="19"/>
  <c r="AH62" i="19"/>
  <c r="G108" i="19"/>
  <c r="AE108" i="19"/>
  <c r="AF97" i="19"/>
  <c r="AF99" i="19" s="1"/>
  <c r="AF100" i="19" s="1"/>
  <c r="AF7" i="19" s="1"/>
  <c r="F107" i="19"/>
  <c r="AQ23" i="19" s="1"/>
  <c r="N107" i="19"/>
  <c r="AV23" i="19" s="1"/>
  <c r="BD23" i="19"/>
  <c r="AD107" i="19"/>
  <c r="BH23" i="19" s="1"/>
  <c r="P97" i="19"/>
  <c r="P99" i="19" s="1"/>
  <c r="P100" i="19" s="1"/>
  <c r="P7" i="19" s="1"/>
  <c r="C97" i="19"/>
  <c r="C99" i="19" s="1"/>
  <c r="C100" i="19" s="1"/>
  <c r="C7" i="19" s="1"/>
  <c r="K97" i="19"/>
  <c r="K99" i="19" s="1"/>
  <c r="K100" i="19" s="1"/>
  <c r="K7" i="19" s="1"/>
  <c r="S7" i="19"/>
  <c r="AA7" i="19"/>
  <c r="AI58" i="19"/>
  <c r="G107" i="19"/>
  <c r="AR23" i="19" s="1"/>
  <c r="O107" i="19"/>
  <c r="AW23" i="19" s="1"/>
  <c r="AW24" i="19" s="1"/>
  <c r="AE107" i="19"/>
  <c r="BI23" i="19" s="1"/>
  <c r="BI24" i="19" s="1"/>
  <c r="BG84" i="19" a="1"/>
  <c r="AG99" i="19"/>
  <c r="AI104" i="19"/>
  <c r="E252" i="19"/>
  <c r="F252" i="19"/>
  <c r="AI76" i="19"/>
  <c r="AH101" i="19"/>
  <c r="AI103" i="19"/>
  <c r="H246" i="19"/>
  <c r="AI101" i="19"/>
  <c r="AI102" i="19"/>
  <c r="BB16" i="19"/>
  <c r="BB22" i="19" s="1"/>
  <c r="BB24" i="19" s="1"/>
  <c r="G97" i="19"/>
  <c r="G99" i="19" s="1"/>
  <c r="O97" i="19"/>
  <c r="O99" i="19" s="1"/>
  <c r="O100" i="19" s="1"/>
  <c r="O7" i="19" s="1"/>
  <c r="W7" i="19"/>
  <c r="AE97" i="19"/>
  <c r="AE99" i="19" s="1"/>
  <c r="AE100" i="19" s="1"/>
  <c r="AE7" i="19" s="1"/>
  <c r="D108" i="19"/>
  <c r="L108" i="19"/>
  <c r="F251" i="19"/>
  <c r="E118" i="19"/>
  <c r="AI80" i="19"/>
  <c r="AH92" i="19"/>
  <c r="AH102" i="19"/>
  <c r="AH103" i="19"/>
  <c r="AH104" i="19"/>
  <c r="AH105" i="19"/>
  <c r="AA97" i="18"/>
  <c r="AA99" i="18" s="1"/>
  <c r="AA100" i="18" s="1"/>
  <c r="AA107" i="18"/>
  <c r="AA108" i="18"/>
  <c r="M251" i="20" l="1"/>
  <c r="L252" i="20"/>
  <c r="L118" i="20"/>
  <c r="O246" i="20"/>
  <c r="AF108" i="19"/>
  <c r="BG24" i="19"/>
  <c r="BH24" i="19"/>
  <c r="BD24" i="19"/>
  <c r="R108" i="19"/>
  <c r="P108" i="19"/>
  <c r="O108" i="19"/>
  <c r="AV24" i="19"/>
  <c r="N100" i="19"/>
  <c r="N7" i="19" s="1"/>
  <c r="M108" i="19"/>
  <c r="I108" i="19"/>
  <c r="AQ24" i="19"/>
  <c r="AR24" i="19"/>
  <c r="E108" i="19"/>
  <c r="I246" i="19"/>
  <c r="AH97" i="19"/>
  <c r="F108" i="19"/>
  <c r="C256" i="19"/>
  <c r="G100" i="19"/>
  <c r="G7" i="19" s="1"/>
  <c r="B256" i="19"/>
  <c r="AT8" i="19"/>
  <c r="AH107" i="19"/>
  <c r="N108" i="19"/>
  <c r="AI97" i="19"/>
  <c r="BJ107" i="19"/>
  <c r="BH106" i="19"/>
  <c r="BL104" i="19"/>
  <c r="BJ103" i="19"/>
  <c r="BH102" i="19"/>
  <c r="BL100" i="19"/>
  <c r="BJ99" i="19"/>
  <c r="BH98" i="19"/>
  <c r="BL96" i="19"/>
  <c r="BJ95" i="19"/>
  <c r="BH94" i="19"/>
  <c r="BL92" i="19"/>
  <c r="BJ91" i="19"/>
  <c r="BH90" i="19"/>
  <c r="BL88" i="19"/>
  <c r="BJ87" i="19"/>
  <c r="BH86" i="19"/>
  <c r="BL84" i="19"/>
  <c r="BI107" i="19"/>
  <c r="BG106" i="19"/>
  <c r="BK104" i="19"/>
  <c r="BI103" i="19"/>
  <c r="BG102" i="19"/>
  <c r="BK100" i="19"/>
  <c r="BI99" i="19"/>
  <c r="BG98" i="19"/>
  <c r="BK96" i="19"/>
  <c r="BI95" i="19"/>
  <c r="BG94" i="19"/>
  <c r="BK92" i="19"/>
  <c r="BI91" i="19"/>
  <c r="BG90" i="19"/>
  <c r="BK88" i="19"/>
  <c r="BI87" i="19"/>
  <c r="BG86" i="19"/>
  <c r="BK84" i="19"/>
  <c r="BH107" i="19"/>
  <c r="BL105" i="19"/>
  <c r="BJ104" i="19"/>
  <c r="BH103" i="19"/>
  <c r="BL101" i="19"/>
  <c r="BJ100" i="19"/>
  <c r="BH99" i="19"/>
  <c r="BL97" i="19"/>
  <c r="BJ96" i="19"/>
  <c r="BH95" i="19"/>
  <c r="BL93" i="19"/>
  <c r="BJ92" i="19"/>
  <c r="BH91" i="19"/>
  <c r="BL89" i="19"/>
  <c r="BJ88" i="19"/>
  <c r="BH87" i="19"/>
  <c r="BL85" i="19"/>
  <c r="BJ84" i="19"/>
  <c r="BG107" i="19"/>
  <c r="BK105" i="19"/>
  <c r="BI104" i="19"/>
  <c r="BG103" i="19"/>
  <c r="BK101" i="19"/>
  <c r="BI100" i="19"/>
  <c r="BG99" i="19"/>
  <c r="BK97" i="19"/>
  <c r="BI96" i="19"/>
  <c r="BG95" i="19"/>
  <c r="BK93" i="19"/>
  <c r="BI92" i="19"/>
  <c r="BG91" i="19"/>
  <c r="BK89" i="19"/>
  <c r="BI88" i="19"/>
  <c r="BG87" i="19"/>
  <c r="BK85" i="19"/>
  <c r="BI84" i="19"/>
  <c r="BL106" i="19"/>
  <c r="BJ105" i="19"/>
  <c r="BH104" i="19"/>
  <c r="BL102" i="19"/>
  <c r="BJ101" i="19"/>
  <c r="BH100" i="19"/>
  <c r="BL98" i="19"/>
  <c r="BJ97" i="19"/>
  <c r="BH96" i="19"/>
  <c r="BL94" i="19"/>
  <c r="BJ93" i="19"/>
  <c r="BH92" i="19"/>
  <c r="BL90" i="19"/>
  <c r="BJ89" i="19"/>
  <c r="BH88" i="19"/>
  <c r="BL86" i="19"/>
  <c r="BJ85" i="19"/>
  <c r="BH84" i="19"/>
  <c r="BK106" i="19"/>
  <c r="BI105" i="19"/>
  <c r="BG104" i="19"/>
  <c r="BK102" i="19"/>
  <c r="BI101" i="19"/>
  <c r="BG100" i="19"/>
  <c r="BK98" i="19"/>
  <c r="BI97" i="19"/>
  <c r="BG96" i="19"/>
  <c r="BK94" i="19"/>
  <c r="BI93" i="19"/>
  <c r="BG92" i="19"/>
  <c r="BK90" i="19"/>
  <c r="BI89" i="19"/>
  <c r="BG88" i="19"/>
  <c r="BK86" i="19"/>
  <c r="BI85" i="19"/>
  <c r="BG84" i="19"/>
  <c r="BK107" i="19"/>
  <c r="BI106" i="19"/>
  <c r="BG105" i="19"/>
  <c r="BK103" i="19"/>
  <c r="BI102" i="19"/>
  <c r="BG101" i="19"/>
  <c r="BK99" i="19"/>
  <c r="BI98" i="19"/>
  <c r="BG97" i="19"/>
  <c r="BK95" i="19"/>
  <c r="BI94" i="19"/>
  <c r="BG93" i="19"/>
  <c r="BK91" i="19"/>
  <c r="BI90" i="19"/>
  <c r="BG89" i="19"/>
  <c r="BK87" i="19"/>
  <c r="BI86" i="19"/>
  <c r="BG85" i="19"/>
  <c r="BJ98" i="19"/>
  <c r="BL87" i="19"/>
  <c r="BL107" i="19"/>
  <c r="BH97" i="19"/>
  <c r="BJ86" i="19"/>
  <c r="BJ106" i="19"/>
  <c r="BL95" i="19"/>
  <c r="BH85" i="19"/>
  <c r="BL99" i="19"/>
  <c r="BH105" i="19"/>
  <c r="BJ94" i="19"/>
  <c r="BL103" i="19"/>
  <c r="BH93" i="19"/>
  <c r="BH89" i="19"/>
  <c r="BJ102" i="19"/>
  <c r="BL91" i="19"/>
  <c r="BH101" i="19"/>
  <c r="BJ90" i="19"/>
  <c r="AH99" i="19"/>
  <c r="AI99" i="19"/>
  <c r="B100" i="19"/>
  <c r="AI107" i="19"/>
  <c r="G251" i="19"/>
  <c r="F118" i="19"/>
  <c r="AT9" i="19"/>
  <c r="AD100" i="19"/>
  <c r="AD7" i="19" s="1"/>
  <c r="V7" i="19"/>
  <c r="P246" i="20" l="1"/>
  <c r="N251" i="20"/>
  <c r="M118" i="20"/>
  <c r="M252" i="20"/>
  <c r="AH108" i="19"/>
  <c r="K6" i="19"/>
  <c r="J246" i="19"/>
  <c r="H251" i="19"/>
  <c r="G252" i="19"/>
  <c r="G118" i="19"/>
  <c r="AH100" i="19"/>
  <c r="AI100" i="19"/>
  <c r="B7" i="19"/>
  <c r="A7" i="19" s="1"/>
  <c r="AI108" i="19"/>
  <c r="O251" i="20" l="1"/>
  <c r="N118" i="20"/>
  <c r="N252" i="20"/>
  <c r="Q246" i="20"/>
  <c r="I251" i="19"/>
  <c r="H252" i="19"/>
  <c r="H118" i="19"/>
  <c r="K246" i="19"/>
  <c r="R246" i="20" l="1"/>
  <c r="P251" i="20"/>
  <c r="O252" i="20"/>
  <c r="O118" i="20"/>
  <c r="L246" i="19"/>
  <c r="J251" i="19"/>
  <c r="I252" i="19"/>
  <c r="I118" i="19"/>
  <c r="Q251" i="20" l="1"/>
  <c r="P252" i="20"/>
  <c r="S246" i="20"/>
  <c r="M246" i="19"/>
  <c r="K251" i="19"/>
  <c r="J252" i="19"/>
  <c r="J118" i="19"/>
  <c r="T246" i="20" l="1"/>
  <c r="R251" i="20"/>
  <c r="Q252" i="20"/>
  <c r="Q118" i="20"/>
  <c r="L251" i="19"/>
  <c r="K252" i="19"/>
  <c r="K118" i="19"/>
  <c r="N246" i="19"/>
  <c r="S251" i="20" l="1"/>
  <c r="R252" i="20"/>
  <c r="R118" i="20"/>
  <c r="U246" i="20"/>
  <c r="O246" i="19"/>
  <c r="M251" i="19"/>
  <c r="L252" i="19"/>
  <c r="L118" i="19"/>
  <c r="V246" i="20" l="1"/>
  <c r="T251" i="20"/>
  <c r="S252" i="20"/>
  <c r="S118" i="20"/>
  <c r="N251" i="19"/>
  <c r="M252" i="19"/>
  <c r="M118" i="19"/>
  <c r="P246" i="19"/>
  <c r="W246" i="20" l="1"/>
  <c r="U251" i="20"/>
  <c r="T252" i="20"/>
  <c r="Q246" i="19"/>
  <c r="O251" i="19"/>
  <c r="N252" i="19"/>
  <c r="N118" i="19"/>
  <c r="V251" i="20" l="1"/>
  <c r="U118" i="20"/>
  <c r="U252" i="20"/>
  <c r="X246" i="20"/>
  <c r="P251" i="19"/>
  <c r="O252" i="19"/>
  <c r="O118" i="19"/>
  <c r="R246" i="19"/>
  <c r="Y246" i="20" l="1"/>
  <c r="W251" i="20"/>
  <c r="V252" i="20"/>
  <c r="S246" i="19"/>
  <c r="Q251" i="19"/>
  <c r="P252" i="19"/>
  <c r="X251" i="20" l="1"/>
  <c r="W252" i="20"/>
  <c r="W118" i="20"/>
  <c r="Z246" i="20"/>
  <c r="R251" i="19"/>
  <c r="Q252" i="19"/>
  <c r="Q118" i="19"/>
  <c r="T246" i="19"/>
  <c r="AA246" i="20" l="1"/>
  <c r="Y251" i="20"/>
  <c r="X252" i="20"/>
  <c r="U246" i="19"/>
  <c r="S251" i="19"/>
  <c r="R252" i="19"/>
  <c r="R118" i="19"/>
  <c r="Z251" i="20" l="1"/>
  <c r="Y252" i="20"/>
  <c r="AB246" i="20"/>
  <c r="T251" i="19"/>
  <c r="S252" i="19"/>
  <c r="V246" i="19"/>
  <c r="AC246" i="20" l="1"/>
  <c r="AA251" i="20"/>
  <c r="Z252" i="20"/>
  <c r="W246" i="19"/>
  <c r="U251" i="19"/>
  <c r="T252" i="19"/>
  <c r="AB251" i="20" l="1"/>
  <c r="AA252" i="20"/>
  <c r="AA118" i="20"/>
  <c r="AD246" i="20"/>
  <c r="V251" i="19"/>
  <c r="U252" i="19"/>
  <c r="X246" i="19"/>
  <c r="AE246" i="20" l="1"/>
  <c r="AC251" i="20"/>
  <c r="AB252" i="20"/>
  <c r="Y246" i="19"/>
  <c r="W251" i="19"/>
  <c r="V252" i="19"/>
  <c r="AD251" i="20" l="1"/>
  <c r="AC252" i="20"/>
  <c r="AF246" i="20"/>
  <c r="X251" i="19"/>
  <c r="W252" i="19"/>
  <c r="Z246" i="19"/>
  <c r="B246" i="20" l="1"/>
  <c r="AE251" i="20"/>
  <c r="AD252" i="20"/>
  <c r="AA246" i="19"/>
  <c r="Y251" i="19"/>
  <c r="X252" i="19"/>
  <c r="AF251" i="20" l="1"/>
  <c r="AE252" i="20"/>
  <c r="Z251" i="19"/>
  <c r="Y252" i="19"/>
  <c r="AB246" i="19"/>
  <c r="B251" i="20" l="1"/>
  <c r="AF252" i="20"/>
  <c r="AC246" i="19"/>
  <c r="AA251" i="19"/>
  <c r="Z252" i="19"/>
  <c r="B252" i="20" l="1"/>
  <c r="B118" i="20"/>
  <c r="AB251" i="19"/>
  <c r="AA252" i="19"/>
  <c r="AD246" i="19"/>
  <c r="AI118" i="20" l="1"/>
  <c r="AH118" i="20"/>
  <c r="AE246" i="19"/>
  <c r="AC251" i="19"/>
  <c r="AB252" i="19"/>
  <c r="AD251" i="19" l="1"/>
  <c r="AC252" i="19"/>
  <c r="AF246" i="19"/>
  <c r="B246" i="19" l="1"/>
  <c r="AE251" i="19"/>
  <c r="AD252" i="19"/>
  <c r="AD118" i="19"/>
  <c r="AF251" i="19" l="1"/>
  <c r="AE118" i="19"/>
  <c r="AE252" i="19"/>
  <c r="B251" i="19" l="1"/>
  <c r="AF252" i="19"/>
  <c r="AF118" i="19"/>
  <c r="B252" i="19" l="1"/>
  <c r="B118" i="19"/>
  <c r="AI118" i="19" l="1"/>
  <c r="AH118" i="19"/>
  <c r="Z145" i="18" l="1"/>
  <c r="Z118" i="18"/>
  <c r="Z105" i="18"/>
  <c r="Z104" i="18"/>
  <c r="Z103" i="18"/>
  <c r="Z102" i="18"/>
  <c r="Z101" i="18"/>
  <c r="Z107" i="18" s="1"/>
  <c r="Z92" i="18"/>
  <c r="Z108" i="18" s="1"/>
  <c r="Z80" i="18"/>
  <c r="Z76" i="18"/>
  <c r="Z62" i="18"/>
  <c r="Z58" i="18"/>
  <c r="Z97" i="18" s="1"/>
  <c r="Z99" i="18" s="1"/>
  <c r="Z100" i="18" s="1"/>
  <c r="Y58" i="18"/>
  <c r="Y62" i="18"/>
  <c r="Y76" i="18"/>
  <c r="Y80" i="18"/>
  <c r="Y92" i="18"/>
  <c r="Y101" i="18"/>
  <c r="Y102" i="18"/>
  <c r="Y103" i="18"/>
  <c r="Y104" i="18"/>
  <c r="Y105" i="18"/>
  <c r="Y118" i="18"/>
  <c r="X58" i="18"/>
  <c r="X62" i="18"/>
  <c r="X76" i="18"/>
  <c r="X80" i="18"/>
  <c r="X92" i="18"/>
  <c r="X101" i="18"/>
  <c r="X102" i="18"/>
  <c r="X103" i="18"/>
  <c r="X104" i="18"/>
  <c r="X105" i="18"/>
  <c r="X118" i="18"/>
  <c r="W58" i="18"/>
  <c r="W62" i="18"/>
  <c r="W76" i="18"/>
  <c r="W80" i="18"/>
  <c r="W92" i="18"/>
  <c r="W101" i="18"/>
  <c r="W102" i="18"/>
  <c r="W103" i="18"/>
  <c r="W104" i="18"/>
  <c r="W105" i="18"/>
  <c r="W118" i="18"/>
  <c r="V58" i="18"/>
  <c r="V62" i="18"/>
  <c r="V76" i="18"/>
  <c r="V80" i="18"/>
  <c r="V92" i="18"/>
  <c r="V101" i="18"/>
  <c r="V102" i="18"/>
  <c r="V103" i="18"/>
  <c r="V104" i="18"/>
  <c r="V105" i="18"/>
  <c r="V118" i="18"/>
  <c r="U121" i="18"/>
  <c r="U57" i="18"/>
  <c r="T121" i="18"/>
  <c r="T57" i="18"/>
  <c r="Y107" i="18" l="1"/>
  <c r="Y97" i="18"/>
  <c r="Y99" i="18" s="1"/>
  <c r="Y100" i="18" s="1"/>
  <c r="Y108" i="18"/>
  <c r="X107" i="18"/>
  <c r="X108" i="18" s="1"/>
  <c r="X97" i="18"/>
  <c r="X99" i="18" s="1"/>
  <c r="X100" i="18" s="1"/>
  <c r="W107" i="18"/>
  <c r="W108" i="18" s="1"/>
  <c r="W97" i="18"/>
  <c r="W99" i="18" s="1"/>
  <c r="W100" i="18" s="1"/>
  <c r="V97" i="18"/>
  <c r="V99" i="18" s="1"/>
  <c r="V107" i="18"/>
  <c r="S121" i="18"/>
  <c r="S57" i="18"/>
  <c r="V100" i="18" l="1"/>
  <c r="V108" i="18"/>
  <c r="P121" i="18"/>
  <c r="O58" i="18"/>
  <c r="P58" i="18"/>
  <c r="O62" i="18"/>
  <c r="P62" i="18"/>
  <c r="AH125" i="18"/>
  <c r="AI125" i="18"/>
  <c r="AH124" i="18"/>
  <c r="AI124" i="18"/>
  <c r="D108" i="18"/>
  <c r="D58" i="18"/>
  <c r="D62" i="18"/>
  <c r="D76" i="18"/>
  <c r="D80" i="18"/>
  <c r="C58" i="18"/>
  <c r="C62" i="18"/>
  <c r="C76" i="18"/>
  <c r="C80" i="18"/>
  <c r="AN20" i="18" s="1"/>
  <c r="C92" i="18"/>
  <c r="C108" i="18" s="1"/>
  <c r="C101" i="18"/>
  <c r="C102" i="18"/>
  <c r="C103" i="18"/>
  <c r="C104" i="18"/>
  <c r="C105" i="18"/>
  <c r="C118" i="18"/>
  <c r="B118" i="18"/>
  <c r="B105" i="18"/>
  <c r="B104" i="18"/>
  <c r="B103" i="18"/>
  <c r="B102" i="18"/>
  <c r="B101" i="18"/>
  <c r="B92" i="18"/>
  <c r="B108" i="18" s="1"/>
  <c r="B80" i="18"/>
  <c r="B76" i="18"/>
  <c r="AM18" i="18" s="1"/>
  <c r="B62" i="18"/>
  <c r="B58" i="18"/>
  <c r="AG252" i="18"/>
  <c r="C252" i="18"/>
  <c r="D251" i="18"/>
  <c r="F250" i="18"/>
  <c r="G250" i="18" s="1"/>
  <c r="H250" i="18" s="1"/>
  <c r="I250" i="18" s="1"/>
  <c r="J250" i="18" s="1"/>
  <c r="K250" i="18" s="1"/>
  <c r="L250" i="18" s="1"/>
  <c r="M250" i="18" s="1"/>
  <c r="N250" i="18" s="1"/>
  <c r="O250" i="18" s="1"/>
  <c r="P250" i="18" s="1"/>
  <c r="Q250" i="18" s="1"/>
  <c r="R250" i="18" s="1"/>
  <c r="S250" i="18" s="1"/>
  <c r="T250" i="18" s="1"/>
  <c r="U250" i="18" s="1"/>
  <c r="V250" i="18" s="1"/>
  <c r="W250" i="18" s="1"/>
  <c r="X250" i="18" s="1"/>
  <c r="Y250" i="18" s="1"/>
  <c r="Z250" i="18" s="1"/>
  <c r="AA250" i="18" s="1"/>
  <c r="AB250" i="18" s="1"/>
  <c r="AC250" i="18" s="1"/>
  <c r="AD250" i="18" s="1"/>
  <c r="AE250" i="18" s="1"/>
  <c r="AF250" i="18" s="1"/>
  <c r="B250" i="18" s="1"/>
  <c r="E250" i="18"/>
  <c r="D250" i="18"/>
  <c r="H249" i="18"/>
  <c r="I249" i="18" s="1"/>
  <c r="J249" i="18" s="1"/>
  <c r="K249" i="18" s="1"/>
  <c r="L249" i="18" s="1"/>
  <c r="M249" i="18" s="1"/>
  <c r="N249" i="18" s="1"/>
  <c r="O249" i="18" s="1"/>
  <c r="P249" i="18" s="1"/>
  <c r="Q249" i="18" s="1"/>
  <c r="R249" i="18" s="1"/>
  <c r="S249" i="18" s="1"/>
  <c r="T249" i="18" s="1"/>
  <c r="U249" i="18" s="1"/>
  <c r="V249" i="18" s="1"/>
  <c r="W249" i="18" s="1"/>
  <c r="X249" i="18" s="1"/>
  <c r="Y249" i="18" s="1"/>
  <c r="Z249" i="18" s="1"/>
  <c r="AA249" i="18" s="1"/>
  <c r="AB249" i="18" s="1"/>
  <c r="AC249" i="18" s="1"/>
  <c r="AD249" i="18" s="1"/>
  <c r="AE249" i="18" s="1"/>
  <c r="AF249" i="18" s="1"/>
  <c r="B249" i="18" s="1"/>
  <c r="D249" i="18"/>
  <c r="E249" i="18" s="1"/>
  <c r="F249" i="18" s="1"/>
  <c r="G249" i="18" s="1"/>
  <c r="V248" i="18"/>
  <c r="W248" i="18" s="1"/>
  <c r="X248" i="18" s="1"/>
  <c r="Y248" i="18" s="1"/>
  <c r="Z248" i="18" s="1"/>
  <c r="AA248" i="18" s="1"/>
  <c r="AB248" i="18" s="1"/>
  <c r="AC248" i="18" s="1"/>
  <c r="AD248" i="18" s="1"/>
  <c r="AE248" i="18" s="1"/>
  <c r="AF248" i="18" s="1"/>
  <c r="B248" i="18" s="1"/>
  <c r="N248" i="18"/>
  <c r="O248" i="18" s="1"/>
  <c r="P248" i="18" s="1"/>
  <c r="Q248" i="18" s="1"/>
  <c r="R248" i="18" s="1"/>
  <c r="S248" i="18" s="1"/>
  <c r="T248" i="18" s="1"/>
  <c r="U248" i="18" s="1"/>
  <c r="F248" i="18"/>
  <c r="G248" i="18" s="1"/>
  <c r="H248" i="18" s="1"/>
  <c r="I248" i="18" s="1"/>
  <c r="J248" i="18" s="1"/>
  <c r="K248" i="18" s="1"/>
  <c r="L248" i="18" s="1"/>
  <c r="M248" i="18" s="1"/>
  <c r="E248" i="18"/>
  <c r="D248" i="18"/>
  <c r="D247" i="18"/>
  <c r="E247" i="18" s="1"/>
  <c r="F247" i="18" s="1"/>
  <c r="G247" i="18" s="1"/>
  <c r="H247" i="18" s="1"/>
  <c r="I247" i="18" s="1"/>
  <c r="J247" i="18" s="1"/>
  <c r="K247" i="18" s="1"/>
  <c r="L247" i="18" s="1"/>
  <c r="M247" i="18" s="1"/>
  <c r="N247" i="18" s="1"/>
  <c r="O247" i="18" s="1"/>
  <c r="P247" i="18" s="1"/>
  <c r="Q247" i="18" s="1"/>
  <c r="R247" i="18" s="1"/>
  <c r="S247" i="18" s="1"/>
  <c r="T247" i="18" s="1"/>
  <c r="U247" i="18" s="1"/>
  <c r="V247" i="18" s="1"/>
  <c r="W247" i="18" s="1"/>
  <c r="X247" i="18" s="1"/>
  <c r="Y247" i="18" s="1"/>
  <c r="Z247" i="18" s="1"/>
  <c r="AA247" i="18" s="1"/>
  <c r="AB247" i="18" s="1"/>
  <c r="AC247" i="18" s="1"/>
  <c r="AD247" i="18" s="1"/>
  <c r="AE247" i="18" s="1"/>
  <c r="AF247" i="18" s="1"/>
  <c r="B247" i="18" s="1"/>
  <c r="F246" i="18"/>
  <c r="G246" i="18" s="1"/>
  <c r="E246" i="18"/>
  <c r="D246" i="18"/>
  <c r="AG244" i="18"/>
  <c r="AF244" i="18"/>
  <c r="AE244" i="18"/>
  <c r="AD244" i="18"/>
  <c r="AC244" i="18"/>
  <c r="AB244" i="18"/>
  <c r="AA244" i="18"/>
  <c r="Z244" i="18"/>
  <c r="Y244" i="18"/>
  <c r="X244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AI130" i="18"/>
  <c r="AH130" i="18"/>
  <c r="AI129" i="18"/>
  <c r="AH129" i="18"/>
  <c r="AI128" i="18"/>
  <c r="AH128" i="18"/>
  <c r="AI127" i="18"/>
  <c r="AH127" i="18"/>
  <c r="AI126" i="18"/>
  <c r="AH126" i="18"/>
  <c r="AI123" i="18"/>
  <c r="AH123" i="18"/>
  <c r="AI122" i="18"/>
  <c r="AH122" i="18"/>
  <c r="AI121" i="18"/>
  <c r="AH121" i="18"/>
  <c r="AI120" i="18"/>
  <c r="AH120" i="18"/>
  <c r="AI119" i="18"/>
  <c r="AH119" i="18"/>
  <c r="AI117" i="18"/>
  <c r="AH117" i="18"/>
  <c r="AI116" i="18"/>
  <c r="AH116" i="18"/>
  <c r="AI115" i="18"/>
  <c r="AH115" i="18"/>
  <c r="AI114" i="18"/>
  <c r="AH114" i="18"/>
  <c r="AI113" i="18"/>
  <c r="AH113" i="18"/>
  <c r="AI112" i="18"/>
  <c r="AH112" i="18"/>
  <c r="AI111" i="18"/>
  <c r="AH111" i="18"/>
  <c r="AI110" i="18"/>
  <c r="AH110" i="18"/>
  <c r="AI109" i="18"/>
  <c r="AH109" i="18"/>
  <c r="AI106" i="18"/>
  <c r="AH106" i="18"/>
  <c r="AF105" i="18"/>
  <c r="AE105" i="18"/>
  <c r="AD105" i="18"/>
  <c r="AC105" i="18"/>
  <c r="AB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AF104" i="18"/>
  <c r="AE104" i="18"/>
  <c r="AD104" i="18"/>
  <c r="AC104" i="18"/>
  <c r="AB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I107" i="18" s="1"/>
  <c r="AS23" i="18" s="1"/>
  <c r="H104" i="18"/>
  <c r="G104" i="18"/>
  <c r="F104" i="18"/>
  <c r="E104" i="18"/>
  <c r="D104" i="18"/>
  <c r="AF103" i="18"/>
  <c r="AE103" i="18"/>
  <c r="AD103" i="18"/>
  <c r="AC103" i="18"/>
  <c r="AB103" i="18"/>
  <c r="U103" i="18"/>
  <c r="T103" i="18"/>
  <c r="S103" i="18"/>
  <c r="R103" i="18"/>
  <c r="Q103" i="18"/>
  <c r="P103" i="18"/>
  <c r="O103" i="18"/>
  <c r="N103" i="18"/>
  <c r="M103" i="18"/>
  <c r="L103" i="18"/>
  <c r="K103" i="18"/>
  <c r="J103" i="18"/>
  <c r="I103" i="18"/>
  <c r="H103" i="18"/>
  <c r="G103" i="18"/>
  <c r="F103" i="18"/>
  <c r="E103" i="18"/>
  <c r="D103" i="18"/>
  <c r="AF102" i="18"/>
  <c r="AE102" i="18"/>
  <c r="AD102" i="18"/>
  <c r="AC102" i="18"/>
  <c r="AB102" i="18"/>
  <c r="U102" i="18"/>
  <c r="T102" i="18"/>
  <c r="S102" i="18"/>
  <c r="R102" i="18"/>
  <c r="Q102" i="18"/>
  <c r="P102" i="18"/>
  <c r="O102" i="18"/>
  <c r="O107" i="18" s="1"/>
  <c r="AW23" i="18" s="1"/>
  <c r="N102" i="18"/>
  <c r="M102" i="18"/>
  <c r="L102" i="18"/>
  <c r="K102" i="18"/>
  <c r="J102" i="18"/>
  <c r="I102" i="18"/>
  <c r="H102" i="18"/>
  <c r="G102" i="18"/>
  <c r="G107" i="18" s="1"/>
  <c r="AR23" i="18" s="1"/>
  <c r="F102" i="18"/>
  <c r="E102" i="18"/>
  <c r="D102" i="18"/>
  <c r="AF101" i="18"/>
  <c r="AE101" i="18"/>
  <c r="AD101" i="18"/>
  <c r="AC101" i="18"/>
  <c r="AB101" i="18"/>
  <c r="BD23" i="18"/>
  <c r="U101" i="18"/>
  <c r="T101" i="18"/>
  <c r="S101" i="18"/>
  <c r="R101" i="18"/>
  <c r="Q101" i="18"/>
  <c r="P101" i="18"/>
  <c r="O101" i="18"/>
  <c r="N101" i="18"/>
  <c r="M101" i="18"/>
  <c r="L101" i="18"/>
  <c r="K101" i="18"/>
  <c r="J101" i="18"/>
  <c r="I101" i="18"/>
  <c r="H101" i="18"/>
  <c r="G101" i="18"/>
  <c r="F101" i="18"/>
  <c r="E101" i="18"/>
  <c r="D101" i="18"/>
  <c r="AI98" i="18"/>
  <c r="AH98" i="18"/>
  <c r="AI96" i="18"/>
  <c r="AH96" i="18"/>
  <c r="AG96" i="18"/>
  <c r="AG99" i="18" s="1"/>
  <c r="AI95" i="18"/>
  <c r="AH95" i="18"/>
  <c r="AI94" i="18"/>
  <c r="AH94" i="18"/>
  <c r="AI93" i="18"/>
  <c r="AH93" i="18"/>
  <c r="AG92" i="18"/>
  <c r="AF92" i="18"/>
  <c r="BJ19" i="18" s="1"/>
  <c r="AE92" i="18"/>
  <c r="BI19" i="18" s="1"/>
  <c r="AD92" i="18"/>
  <c r="BH19" i="18" s="1"/>
  <c r="AC92" i="18"/>
  <c r="AB92" i="18"/>
  <c r="U92" i="18"/>
  <c r="T5" i="18" s="1"/>
  <c r="T92" i="18"/>
  <c r="BB19" i="18" s="1"/>
  <c r="S92" i="18"/>
  <c r="R92" i="18"/>
  <c r="AZ19" i="18" s="1"/>
  <c r="Q92" i="18"/>
  <c r="P92" i="18"/>
  <c r="AX19" i="18" s="1"/>
  <c r="O92" i="18"/>
  <c r="O97" i="18" s="1"/>
  <c r="O99" i="18" s="1"/>
  <c r="N92" i="18"/>
  <c r="M5" i="18" s="1"/>
  <c r="M92" i="18"/>
  <c r="AU19" i="18" s="1"/>
  <c r="L92" i="18"/>
  <c r="K92" i="18"/>
  <c r="J5" i="18" s="1"/>
  <c r="J92" i="18"/>
  <c r="I5" i="18" s="1"/>
  <c r="I92" i="18"/>
  <c r="H92" i="18"/>
  <c r="G5" i="18" s="1"/>
  <c r="G92" i="18"/>
  <c r="AR19" i="18" s="1"/>
  <c r="F92" i="18"/>
  <c r="E5" i="18" s="1"/>
  <c r="E92" i="18"/>
  <c r="D5" i="18" s="1"/>
  <c r="D92" i="18"/>
  <c r="AI91" i="18"/>
  <c r="AH91" i="18"/>
  <c r="AI90" i="18"/>
  <c r="AH90" i="18"/>
  <c r="AI89" i="18"/>
  <c r="AH89" i="18"/>
  <c r="AI88" i="18"/>
  <c r="AH88" i="18"/>
  <c r="AI87" i="18"/>
  <c r="AH87" i="18"/>
  <c r="AI86" i="18"/>
  <c r="AH86" i="18"/>
  <c r="AI85" i="18"/>
  <c r="AH85" i="18"/>
  <c r="AI84" i="18"/>
  <c r="AH84" i="18"/>
  <c r="AI83" i="18"/>
  <c r="AH83" i="18"/>
  <c r="AI82" i="18"/>
  <c r="AH82" i="18"/>
  <c r="AI81" i="18"/>
  <c r="AH81" i="18"/>
  <c r="BO80" i="18"/>
  <c r="BG80" i="18"/>
  <c r="BA80" i="18"/>
  <c r="AZ80" i="18"/>
  <c r="AG80" i="18"/>
  <c r="AF80" i="18"/>
  <c r="AE80" i="18"/>
  <c r="AD80" i="18"/>
  <c r="AC80" i="18"/>
  <c r="AB80" i="18"/>
  <c r="Y7" i="18"/>
  <c r="U80" i="18"/>
  <c r="T80" i="18"/>
  <c r="S80" i="18"/>
  <c r="R80" i="18"/>
  <c r="Q80" i="18"/>
  <c r="P80" i="18"/>
  <c r="AX20" i="18" s="1"/>
  <c r="O80" i="18"/>
  <c r="N80" i="18"/>
  <c r="M80" i="18"/>
  <c r="L80" i="18"/>
  <c r="K80" i="18"/>
  <c r="AT20" i="18" s="1"/>
  <c r="J80" i="18"/>
  <c r="I80" i="18"/>
  <c r="H80" i="18"/>
  <c r="G80" i="18"/>
  <c r="AR20" i="18" s="1"/>
  <c r="F80" i="18"/>
  <c r="AQ20" i="18" s="1"/>
  <c r="E80" i="18"/>
  <c r="AP20" i="18" s="1"/>
  <c r="AI79" i="18"/>
  <c r="AH79" i="18"/>
  <c r="BC78" i="18"/>
  <c r="BA78" i="18"/>
  <c r="AI78" i="18"/>
  <c r="AH78" i="18"/>
  <c r="AI77" i="18"/>
  <c r="AH77" i="18"/>
  <c r="BW76" i="18"/>
  <c r="BV76" i="18"/>
  <c r="BM76" i="18"/>
  <c r="BA76" i="18"/>
  <c r="AG76" i="18"/>
  <c r="AG3" i="18" s="1"/>
  <c r="AF76" i="18"/>
  <c r="BJ18" i="18" s="1"/>
  <c r="AE76" i="18"/>
  <c r="AD76" i="18"/>
  <c r="AC76" i="18"/>
  <c r="AB76" i="18"/>
  <c r="BE18" i="18"/>
  <c r="U76" i="18"/>
  <c r="T76" i="18"/>
  <c r="S76" i="18"/>
  <c r="R76" i="18"/>
  <c r="AZ18" i="18" s="1"/>
  <c r="Q76" i="18"/>
  <c r="P76" i="18"/>
  <c r="AX18" i="18" s="1"/>
  <c r="O76" i="18"/>
  <c r="N76" i="18"/>
  <c r="M76" i="18"/>
  <c r="AU18" i="18" s="1"/>
  <c r="L76" i="18"/>
  <c r="K76" i="18"/>
  <c r="AT18" i="18" s="1"/>
  <c r="J76" i="18"/>
  <c r="I76" i="18"/>
  <c r="AS18" i="18" s="1"/>
  <c r="H76" i="18"/>
  <c r="G76" i="18"/>
  <c r="F76" i="18"/>
  <c r="E76" i="18"/>
  <c r="BS75" i="18"/>
  <c r="AI75" i="18"/>
  <c r="AH75" i="18"/>
  <c r="AG75" i="18"/>
  <c r="AI74" i="18"/>
  <c r="AH74" i="18"/>
  <c r="BW73" i="18"/>
  <c r="BW80" i="18" s="1"/>
  <c r="BV73" i="18"/>
  <c r="BV80" i="18" s="1"/>
  <c r="BU73" i="18"/>
  <c r="BU80" i="18" s="1"/>
  <c r="BT73" i="18"/>
  <c r="BT80" i="18" s="1"/>
  <c r="BS73" i="18"/>
  <c r="BS80" i="18" s="1"/>
  <c r="BR73" i="18"/>
  <c r="BR80" i="18" s="1"/>
  <c r="BQ73" i="18"/>
  <c r="BQ80" i="18" s="1"/>
  <c r="BP73" i="18"/>
  <c r="BP80" i="18" s="1"/>
  <c r="BO73" i="18"/>
  <c r="BN73" i="18"/>
  <c r="BN80" i="18" s="1"/>
  <c r="BM73" i="18"/>
  <c r="BM80" i="18" s="1"/>
  <c r="BL73" i="18"/>
  <c r="BL80" i="18" s="1"/>
  <c r="BK73" i="18"/>
  <c r="BK80" i="18" s="1"/>
  <c r="BJ73" i="18"/>
  <c r="BJ80" i="18" s="1"/>
  <c r="BI73" i="18"/>
  <c r="BI80" i="18" s="1"/>
  <c r="BH73" i="18"/>
  <c r="BH80" i="18" s="1"/>
  <c r="BG73" i="18"/>
  <c r="BF73" i="18"/>
  <c r="BF80" i="18" s="1"/>
  <c r="BE73" i="18"/>
  <c r="BE80" i="18" s="1"/>
  <c r="BD73" i="18"/>
  <c r="BD80" i="18" s="1"/>
  <c r="BC73" i="18"/>
  <c r="BC80" i="18" s="1"/>
  <c r="BB73" i="18"/>
  <c r="BB80" i="18" s="1"/>
  <c r="BA73" i="18"/>
  <c r="AZ73" i="18"/>
  <c r="AI73" i="18"/>
  <c r="AH73" i="18"/>
  <c r="BW72" i="18"/>
  <c r="BW79" i="18" s="1"/>
  <c r="BV72" i="18"/>
  <c r="BV79" i="18" s="1"/>
  <c r="BU72" i="18"/>
  <c r="BU79" i="18" s="1"/>
  <c r="BT72" i="18"/>
  <c r="BT79" i="18" s="1"/>
  <c r="BS72" i="18"/>
  <c r="BS79" i="18" s="1"/>
  <c r="BR72" i="18"/>
  <c r="BR79" i="18" s="1"/>
  <c r="BQ72" i="18"/>
  <c r="BQ79" i="18" s="1"/>
  <c r="BP72" i="18"/>
  <c r="BP79" i="18" s="1"/>
  <c r="BO72" i="18"/>
  <c r="BO79" i="18" s="1"/>
  <c r="BN72" i="18"/>
  <c r="BN79" i="18" s="1"/>
  <c r="BM72" i="18"/>
  <c r="BM79" i="18" s="1"/>
  <c r="BL72" i="18"/>
  <c r="BL79" i="18" s="1"/>
  <c r="BK72" i="18"/>
  <c r="BK79" i="18" s="1"/>
  <c r="BJ72" i="18"/>
  <c r="BJ79" i="18" s="1"/>
  <c r="BI72" i="18"/>
  <c r="BI79" i="18" s="1"/>
  <c r="BH72" i="18"/>
  <c r="BH79" i="18" s="1"/>
  <c r="BG72" i="18"/>
  <c r="BG79" i="18" s="1"/>
  <c r="BF72" i="18"/>
  <c r="BF79" i="18" s="1"/>
  <c r="BE72" i="18"/>
  <c r="BE79" i="18" s="1"/>
  <c r="BD72" i="18"/>
  <c r="BD79" i="18" s="1"/>
  <c r="BC72" i="18"/>
  <c r="BC79" i="18" s="1"/>
  <c r="BB72" i="18"/>
  <c r="BB79" i="18" s="1"/>
  <c r="BA72" i="18"/>
  <c r="BA79" i="18" s="1"/>
  <c r="AZ72" i="18"/>
  <c r="AZ79" i="18" s="1"/>
  <c r="AI72" i="18"/>
  <c r="AH72" i="18"/>
  <c r="BW71" i="18"/>
  <c r="BW78" i="18" s="1"/>
  <c r="BV71" i="18"/>
  <c r="BV78" i="18" s="1"/>
  <c r="BU71" i="18"/>
  <c r="BU78" i="18" s="1"/>
  <c r="BT71" i="18"/>
  <c r="BT78" i="18" s="1"/>
  <c r="BS71" i="18"/>
  <c r="BS78" i="18" s="1"/>
  <c r="BR71" i="18"/>
  <c r="BR78" i="18" s="1"/>
  <c r="BQ71" i="18"/>
  <c r="BQ78" i="18" s="1"/>
  <c r="BP71" i="18"/>
  <c r="BP78" i="18" s="1"/>
  <c r="BO71" i="18"/>
  <c r="BO78" i="18" s="1"/>
  <c r="BN71" i="18"/>
  <c r="BN78" i="18" s="1"/>
  <c r="BM71" i="18"/>
  <c r="BM78" i="18" s="1"/>
  <c r="BL71" i="18"/>
  <c r="BL78" i="18" s="1"/>
  <c r="BK71" i="18"/>
  <c r="BK78" i="18" s="1"/>
  <c r="BJ71" i="18"/>
  <c r="BJ78" i="18" s="1"/>
  <c r="BI71" i="18"/>
  <c r="BI78" i="18" s="1"/>
  <c r="BH71" i="18"/>
  <c r="BH78" i="18" s="1"/>
  <c r="BG71" i="18"/>
  <c r="BG78" i="18" s="1"/>
  <c r="BF71" i="18"/>
  <c r="BF78" i="18" s="1"/>
  <c r="BE71" i="18"/>
  <c r="BE78" i="18" s="1"/>
  <c r="BD71" i="18"/>
  <c r="BD78" i="18" s="1"/>
  <c r="BC71" i="18"/>
  <c r="BB71" i="18"/>
  <c r="BB78" i="18" s="1"/>
  <c r="BA71" i="18"/>
  <c r="AZ71" i="18"/>
  <c r="AZ78" i="18" s="1"/>
  <c r="AI71" i="18"/>
  <c r="AH71" i="18"/>
  <c r="BW70" i="18"/>
  <c r="BW77" i="18" s="1"/>
  <c r="BV70" i="18"/>
  <c r="BV77" i="18" s="1"/>
  <c r="BU70" i="18"/>
  <c r="BU77" i="18" s="1"/>
  <c r="BT70" i="18"/>
  <c r="BT77" i="18" s="1"/>
  <c r="BS70" i="18"/>
  <c r="BS77" i="18" s="1"/>
  <c r="BR70" i="18"/>
  <c r="BR77" i="18" s="1"/>
  <c r="BQ70" i="18"/>
  <c r="BQ77" i="18" s="1"/>
  <c r="BP70" i="18"/>
  <c r="BP77" i="18" s="1"/>
  <c r="BO70" i="18"/>
  <c r="BO77" i="18" s="1"/>
  <c r="BN70" i="18"/>
  <c r="BN77" i="18" s="1"/>
  <c r="BM70" i="18"/>
  <c r="BM77" i="18" s="1"/>
  <c r="BL70" i="18"/>
  <c r="BL77" i="18" s="1"/>
  <c r="BK70" i="18"/>
  <c r="BK77" i="18" s="1"/>
  <c r="BJ70" i="18"/>
  <c r="BJ77" i="18" s="1"/>
  <c r="BI70" i="18"/>
  <c r="BI77" i="18" s="1"/>
  <c r="BH70" i="18"/>
  <c r="BH77" i="18" s="1"/>
  <c r="BG70" i="18"/>
  <c r="BG77" i="18" s="1"/>
  <c r="BF70" i="18"/>
  <c r="BF77" i="18" s="1"/>
  <c r="BE70" i="18"/>
  <c r="BE77" i="18" s="1"/>
  <c r="BD70" i="18"/>
  <c r="BD77" i="18" s="1"/>
  <c r="BC70" i="18"/>
  <c r="BC77" i="18" s="1"/>
  <c r="BB70" i="18"/>
  <c r="BB77" i="18" s="1"/>
  <c r="BA70" i="18"/>
  <c r="BA77" i="18" s="1"/>
  <c r="AZ70" i="18"/>
  <c r="AZ77" i="18" s="1"/>
  <c r="AI70" i="18"/>
  <c r="AH70" i="18"/>
  <c r="BW69" i="18"/>
  <c r="BV69" i="18"/>
  <c r="BU69" i="18"/>
  <c r="BU76" i="18" s="1"/>
  <c r="BT69" i="18"/>
  <c r="BT76" i="18" s="1"/>
  <c r="BS69" i="18"/>
  <c r="BS76" i="18" s="1"/>
  <c r="BR69" i="18"/>
  <c r="BR76" i="18" s="1"/>
  <c r="BQ69" i="18"/>
  <c r="BQ76" i="18" s="1"/>
  <c r="BP69" i="18"/>
  <c r="BP76" i="18" s="1"/>
  <c r="BO69" i="18"/>
  <c r="BO76" i="18" s="1"/>
  <c r="BN69" i="18"/>
  <c r="BN76" i="18" s="1"/>
  <c r="BM69" i="18"/>
  <c r="BL69" i="18"/>
  <c r="BL76" i="18" s="1"/>
  <c r="BK69" i="18"/>
  <c r="BK76" i="18" s="1"/>
  <c r="BJ69" i="18"/>
  <c r="BJ76" i="18" s="1"/>
  <c r="BI69" i="18"/>
  <c r="BI76" i="18" s="1"/>
  <c r="BH69" i="18"/>
  <c r="BH76" i="18" s="1"/>
  <c r="BG69" i="18"/>
  <c r="BG76" i="18" s="1"/>
  <c r="BF69" i="18"/>
  <c r="BF76" i="18" s="1"/>
  <c r="BE69" i="18"/>
  <c r="BE76" i="18" s="1"/>
  <c r="BD69" i="18"/>
  <c r="BD76" i="18" s="1"/>
  <c r="BC69" i="18"/>
  <c r="BC76" i="18" s="1"/>
  <c r="BB69" i="18"/>
  <c r="BB76" i="18" s="1"/>
  <c r="BA69" i="18"/>
  <c r="AZ69" i="18"/>
  <c r="AZ76" i="18" s="1"/>
  <c r="AI69" i="18"/>
  <c r="AH69" i="18"/>
  <c r="BW68" i="18"/>
  <c r="BW75" i="18" s="1"/>
  <c r="BV68" i="18"/>
  <c r="BV75" i="18" s="1"/>
  <c r="BU68" i="18"/>
  <c r="BU75" i="18" s="1"/>
  <c r="BT68" i="18"/>
  <c r="BT75" i="18" s="1"/>
  <c r="BS68" i="18"/>
  <c r="BR68" i="18"/>
  <c r="BR75" i="18" s="1"/>
  <c r="BQ68" i="18"/>
  <c r="BQ75" i="18" s="1"/>
  <c r="BP68" i="18"/>
  <c r="BP75" i="18" s="1"/>
  <c r="BO68" i="18"/>
  <c r="BO75" i="18" s="1"/>
  <c r="BN68" i="18"/>
  <c r="BN75" i="18" s="1"/>
  <c r="BM68" i="18"/>
  <c r="BM75" i="18" s="1"/>
  <c r="BL68" i="18"/>
  <c r="BL75" i="18" s="1"/>
  <c r="BK68" i="18"/>
  <c r="BK75" i="18" s="1"/>
  <c r="BJ68" i="18"/>
  <c r="BJ75" i="18" s="1"/>
  <c r="BI68" i="18"/>
  <c r="BI75" i="18" s="1"/>
  <c r="BH68" i="18"/>
  <c r="BH75" i="18" s="1"/>
  <c r="BG68" i="18"/>
  <c r="BG75" i="18" s="1"/>
  <c r="BF68" i="18"/>
  <c r="BF75" i="18" s="1"/>
  <c r="BE68" i="18"/>
  <c r="BE75" i="18" s="1"/>
  <c r="BD68" i="18"/>
  <c r="BD75" i="18" s="1"/>
  <c r="BC68" i="18"/>
  <c r="BC75" i="18" s="1"/>
  <c r="BB68" i="18"/>
  <c r="BB75" i="18" s="1"/>
  <c r="BA68" i="18"/>
  <c r="BA75" i="18" s="1"/>
  <c r="AZ68" i="18"/>
  <c r="AZ75" i="18" s="1"/>
  <c r="AI68" i="18"/>
  <c r="AH68" i="18"/>
  <c r="AI67" i="18"/>
  <c r="AH67" i="18"/>
  <c r="AI66" i="18"/>
  <c r="AH66" i="18"/>
  <c r="AI65" i="18"/>
  <c r="AH65" i="18"/>
  <c r="AI64" i="18"/>
  <c r="AH64" i="18"/>
  <c r="AI63" i="18"/>
  <c r="AH63" i="18"/>
  <c r="AG62" i="18"/>
  <c r="AF62" i="18"/>
  <c r="BJ17" i="18" s="1"/>
  <c r="AE62" i="18"/>
  <c r="AD62" i="18"/>
  <c r="BH17" i="18" s="1"/>
  <c r="AC62" i="18"/>
  <c r="AB62" i="18"/>
  <c r="BG17" i="18" s="1"/>
  <c r="BE17" i="18"/>
  <c r="BD17" i="18"/>
  <c r="U62" i="18"/>
  <c r="BC17" i="18" s="1"/>
  <c r="T62" i="18"/>
  <c r="BB17" i="18" s="1"/>
  <c r="S62" i="18"/>
  <c r="R62" i="18"/>
  <c r="AZ17" i="18" s="1"/>
  <c r="Q62" i="18"/>
  <c r="N62" i="18"/>
  <c r="AV17" i="18" s="1"/>
  <c r="M62" i="18"/>
  <c r="AU17" i="18" s="1"/>
  <c r="L62" i="18"/>
  <c r="K62" i="18"/>
  <c r="J62" i="18"/>
  <c r="I62" i="18"/>
  <c r="H62" i="18"/>
  <c r="G62" i="18"/>
  <c r="F62" i="18"/>
  <c r="AQ17" i="18" s="1"/>
  <c r="E62" i="18"/>
  <c r="AI61" i="18"/>
  <c r="AH61" i="18"/>
  <c r="AI60" i="18"/>
  <c r="AH60" i="18"/>
  <c r="AI59" i="18"/>
  <c r="AH59" i="18"/>
  <c r="AG58" i="18"/>
  <c r="AG97" i="18" s="1"/>
  <c r="AF58" i="18"/>
  <c r="BJ16" i="18" s="1"/>
  <c r="AE58" i="18"/>
  <c r="AD58" i="18"/>
  <c r="AC58" i="18"/>
  <c r="AB58" i="18"/>
  <c r="AA7" i="18"/>
  <c r="W7" i="18"/>
  <c r="U58" i="18"/>
  <c r="T58" i="18"/>
  <c r="S58" i="18"/>
  <c r="R58" i="18"/>
  <c r="Q58" i="18"/>
  <c r="Q97" i="18" s="1"/>
  <c r="Q99" i="18" s="1"/>
  <c r="N58" i="18"/>
  <c r="M58" i="18"/>
  <c r="L58" i="18"/>
  <c r="K58" i="18"/>
  <c r="J58" i="18"/>
  <c r="I58" i="18"/>
  <c r="H58" i="18"/>
  <c r="G58" i="18"/>
  <c r="F58" i="18"/>
  <c r="E58" i="18"/>
  <c r="AI57" i="18"/>
  <c r="AH57" i="18"/>
  <c r="AI56" i="18"/>
  <c r="AH56" i="18"/>
  <c r="AI55" i="18"/>
  <c r="AH55" i="18"/>
  <c r="AI54" i="18"/>
  <c r="AH54" i="18"/>
  <c r="AI53" i="18"/>
  <c r="AH53" i="18"/>
  <c r="AI52" i="18"/>
  <c r="AH52" i="18"/>
  <c r="AI51" i="18"/>
  <c r="AH51" i="18"/>
  <c r="AI50" i="18"/>
  <c r="AH50" i="18"/>
  <c r="AI49" i="18"/>
  <c r="AH49" i="18"/>
  <c r="AI48" i="18"/>
  <c r="AH48" i="18"/>
  <c r="AI47" i="18"/>
  <c r="AH47" i="18"/>
  <c r="AI46" i="18"/>
  <c r="AH46" i="18"/>
  <c r="AI45" i="18"/>
  <c r="AH45" i="18"/>
  <c r="AI44" i="18"/>
  <c r="AH44" i="18"/>
  <c r="AI43" i="18"/>
  <c r="AH43" i="18"/>
  <c r="AI42" i="18"/>
  <c r="AH42" i="18"/>
  <c r="AI41" i="18"/>
  <c r="AH41" i="18"/>
  <c r="AI40" i="18"/>
  <c r="AH40" i="18"/>
  <c r="AI39" i="18"/>
  <c r="AH39" i="18"/>
  <c r="AI38" i="18"/>
  <c r="AH38" i="18"/>
  <c r="AI37" i="18"/>
  <c r="AH37" i="18"/>
  <c r="AI36" i="18"/>
  <c r="AH36" i="18"/>
  <c r="AI35" i="18"/>
  <c r="AH35" i="18"/>
  <c r="AI34" i="18"/>
  <c r="AH34" i="18"/>
  <c r="AI33" i="18"/>
  <c r="AH33" i="18"/>
  <c r="AI32" i="18"/>
  <c r="AH32" i="18"/>
  <c r="AI31" i="18"/>
  <c r="AH31" i="18"/>
  <c r="AI30" i="18"/>
  <c r="AH30" i="18"/>
  <c r="AI29" i="18"/>
  <c r="AH29" i="18"/>
  <c r="AI28" i="18"/>
  <c r="AH28" i="18"/>
  <c r="AI27" i="18"/>
  <c r="AH27" i="18"/>
  <c r="AI26" i="18"/>
  <c r="AH26" i="18"/>
  <c r="AI25" i="18"/>
  <c r="AH25" i="18"/>
  <c r="AI24" i="18"/>
  <c r="AH24" i="18"/>
  <c r="AI23" i="18"/>
  <c r="AH23" i="18"/>
  <c r="AI22" i="18"/>
  <c r="AH22" i="18"/>
  <c r="BJ21" i="18"/>
  <c r="BI21" i="18"/>
  <c r="BH21" i="18"/>
  <c r="BG21" i="18"/>
  <c r="BF21" i="18"/>
  <c r="BE21" i="18"/>
  <c r="BD21" i="18"/>
  <c r="BC21" i="18"/>
  <c r="BB21" i="18"/>
  <c r="BA21" i="18"/>
  <c r="AZ21" i="18"/>
  <c r="AY21" i="18"/>
  <c r="AX21" i="18"/>
  <c r="AW21" i="18"/>
  <c r="AV21" i="18"/>
  <c r="AU21" i="18"/>
  <c r="AT21" i="18"/>
  <c r="AS21" i="18"/>
  <c r="AR21" i="18"/>
  <c r="AQ21" i="18"/>
  <c r="AP21" i="18"/>
  <c r="AO21" i="18"/>
  <c r="AN21" i="18"/>
  <c r="AM21" i="18"/>
  <c r="AI21" i="18"/>
  <c r="AH21" i="18"/>
  <c r="BJ20" i="18"/>
  <c r="BI20" i="18"/>
  <c r="BH20" i="18"/>
  <c r="BG20" i="18"/>
  <c r="BF20" i="18"/>
  <c r="BE20" i="18"/>
  <c r="BD20" i="18"/>
  <c r="BC20" i="18"/>
  <c r="BB20" i="18"/>
  <c r="BA20" i="18"/>
  <c r="AZ20" i="18"/>
  <c r="AY20" i="18"/>
  <c r="AW20" i="18"/>
  <c r="AV20" i="18"/>
  <c r="AU20" i="18"/>
  <c r="AS20" i="18"/>
  <c r="AO20" i="18"/>
  <c r="AM20" i="18"/>
  <c r="AI20" i="18"/>
  <c r="AH20" i="18"/>
  <c r="BF19" i="18"/>
  <c r="BE19" i="18"/>
  <c r="BD19" i="18"/>
  <c r="BA19" i="18"/>
  <c r="AY19" i="18"/>
  <c r="AS19" i="18"/>
  <c r="AN19" i="18"/>
  <c r="AI19" i="18"/>
  <c r="AH19" i="18"/>
  <c r="BI18" i="18"/>
  <c r="BH18" i="18"/>
  <c r="BG18" i="18"/>
  <c r="BF18" i="18"/>
  <c r="BD18" i="18"/>
  <c r="BC18" i="18"/>
  <c r="BB18" i="18"/>
  <c r="BA18" i="18"/>
  <c r="AY18" i="18"/>
  <c r="AW18" i="18"/>
  <c r="AV18" i="18"/>
  <c r="AR18" i="18"/>
  <c r="AQ18" i="18"/>
  <c r="AO18" i="18"/>
  <c r="AN18" i="18"/>
  <c r="AI18" i="18"/>
  <c r="AH18" i="18"/>
  <c r="BI17" i="18"/>
  <c r="BF17" i="18"/>
  <c r="BA17" i="18"/>
  <c r="AY17" i="18"/>
  <c r="AX17" i="18"/>
  <c r="AW17" i="18"/>
  <c r="AT17" i="18"/>
  <c r="AS17" i="18"/>
  <c r="AR17" i="18"/>
  <c r="AP17" i="18"/>
  <c r="AO17" i="18"/>
  <c r="AN17" i="18"/>
  <c r="AM17" i="18"/>
  <c r="AI17" i="18"/>
  <c r="AH17" i="18"/>
  <c r="BG16" i="18"/>
  <c r="BE16" i="18"/>
  <c r="BB16" i="18"/>
  <c r="BA16" i="18"/>
  <c r="AW16" i="18"/>
  <c r="AT16" i="18"/>
  <c r="AS16" i="18"/>
  <c r="AO16" i="18"/>
  <c r="AN16" i="18"/>
  <c r="AM16" i="18"/>
  <c r="AI16" i="18"/>
  <c r="AH16" i="18"/>
  <c r="AI15" i="18"/>
  <c r="AH15" i="18"/>
  <c r="AI14" i="18"/>
  <c r="AH14" i="18"/>
  <c r="AI13" i="18"/>
  <c r="AH13" i="18"/>
  <c r="AL12" i="18"/>
  <c r="AI12" i="18"/>
  <c r="AH12" i="18"/>
  <c r="AI11" i="18"/>
  <c r="AH11" i="18"/>
  <c r="AE5" i="18"/>
  <c r="Z5" i="18"/>
  <c r="Y5" i="18"/>
  <c r="X5" i="18"/>
  <c r="W5" i="18"/>
  <c r="V5" i="18"/>
  <c r="U5" i="18"/>
  <c r="R5" i="18"/>
  <c r="Q5" i="18"/>
  <c r="P5" i="18"/>
  <c r="H5" i="18"/>
  <c r="B5" i="18"/>
  <c r="AG4" i="18"/>
  <c r="K4" i="18"/>
  <c r="E4" i="18"/>
  <c r="H4" i="18" s="1"/>
  <c r="B4" i="18"/>
  <c r="D258" i="18" s="1"/>
  <c r="AG2" i="18"/>
  <c r="AG6" i="18" s="1"/>
  <c r="AF58" i="17"/>
  <c r="AF62" i="17"/>
  <c r="AF76" i="17"/>
  <c r="AF80" i="17"/>
  <c r="AF92" i="17"/>
  <c r="AF108" i="17" s="1"/>
  <c r="AF101" i="17"/>
  <c r="AF102" i="17"/>
  <c r="AF103" i="17"/>
  <c r="AF104" i="17"/>
  <c r="AF105" i="17"/>
  <c r="AF118" i="17"/>
  <c r="AE58" i="17"/>
  <c r="AE62" i="17"/>
  <c r="AE76" i="17"/>
  <c r="AE80" i="17"/>
  <c r="AE92" i="17"/>
  <c r="AE108" i="17" s="1"/>
  <c r="AE101" i="17"/>
  <c r="AE102" i="17"/>
  <c r="AE103" i="17"/>
  <c r="AE104" i="17"/>
  <c r="AE105" i="17"/>
  <c r="AE118" i="17"/>
  <c r="AE97" i="18" l="1"/>
  <c r="AE99" i="18" s="1"/>
  <c r="AD5" i="18"/>
  <c r="AE107" i="18"/>
  <c r="BI23" i="18" s="1"/>
  <c r="BI16" i="18"/>
  <c r="BI22" i="18" s="1"/>
  <c r="AC5" i="18"/>
  <c r="AD97" i="18"/>
  <c r="AD99" i="18" s="1"/>
  <c r="AD107" i="18"/>
  <c r="BH23" i="18" s="1"/>
  <c r="BH16" i="18"/>
  <c r="AC107" i="18"/>
  <c r="AC108" i="18" s="1"/>
  <c r="AB5" i="18"/>
  <c r="BC19" i="18"/>
  <c r="U107" i="18"/>
  <c r="BC23" i="18" s="1"/>
  <c r="T107" i="18"/>
  <c r="BB23" i="18" s="1"/>
  <c r="AI103" i="18"/>
  <c r="S107" i="18"/>
  <c r="BA23" i="18" s="1"/>
  <c r="S108" i="18"/>
  <c r="S97" i="18"/>
  <c r="S99" i="18" s="1"/>
  <c r="S100" i="18" s="1"/>
  <c r="S7" i="18" s="1"/>
  <c r="BA22" i="18"/>
  <c r="BA24" i="18" s="1"/>
  <c r="R97" i="18"/>
  <c r="R99" i="18" s="1"/>
  <c r="AZ16" i="18"/>
  <c r="AY16" i="18"/>
  <c r="AY22" i="18" s="1"/>
  <c r="AY24" i="18" s="1"/>
  <c r="Q107" i="18"/>
  <c r="AY23" i="18" s="1"/>
  <c r="N107" i="18"/>
  <c r="AV23" i="18" s="1"/>
  <c r="N5" i="18"/>
  <c r="AW19" i="18"/>
  <c r="AW22" i="18" s="1"/>
  <c r="AW24" i="18" s="1"/>
  <c r="O5" i="18"/>
  <c r="AV19" i="18"/>
  <c r="N97" i="18"/>
  <c r="N99" i="18" s="1"/>
  <c r="N100" i="18" s="1"/>
  <c r="N7" i="18" s="1"/>
  <c r="O100" i="18"/>
  <c r="O7" i="18" s="1"/>
  <c r="L5" i="18"/>
  <c r="M107" i="18"/>
  <c r="AU23" i="18" s="1"/>
  <c r="AT19" i="18"/>
  <c r="L107" i="18"/>
  <c r="L108" i="18" s="1"/>
  <c r="K107" i="18"/>
  <c r="AT23" i="18" s="1"/>
  <c r="K97" i="18"/>
  <c r="K99" i="18" s="1"/>
  <c r="J97" i="18"/>
  <c r="J99" i="18" s="1"/>
  <c r="AS22" i="18"/>
  <c r="AS24" i="18" s="1"/>
  <c r="I97" i="18"/>
  <c r="I99" i="18" s="1"/>
  <c r="I100" i="18" s="1"/>
  <c r="I7" i="18" s="1"/>
  <c r="AH103" i="18"/>
  <c r="F5" i="18"/>
  <c r="G97" i="18"/>
  <c r="G99" i="18" s="1"/>
  <c r="AR16" i="18"/>
  <c r="AR22" i="18" s="1"/>
  <c r="AR24" i="18" s="1"/>
  <c r="AQ19" i="18"/>
  <c r="F107" i="18"/>
  <c r="AQ23" i="18" s="1"/>
  <c r="AH76" i="18"/>
  <c r="F97" i="18"/>
  <c r="F99" i="18" s="1"/>
  <c r="F100" i="18" s="1"/>
  <c r="F7" i="18" s="1"/>
  <c r="E107" i="18"/>
  <c r="AP23" i="18" s="1"/>
  <c r="AP19" i="18"/>
  <c r="E108" i="18"/>
  <c r="AP18" i="18"/>
  <c r="D107" i="18"/>
  <c r="AO23" i="18" s="1"/>
  <c r="C97" i="18"/>
  <c r="C99" i="18" s="1"/>
  <c r="C100" i="18" s="1"/>
  <c r="AH80" i="18"/>
  <c r="AI80" i="18"/>
  <c r="AN22" i="18"/>
  <c r="AF5" i="18"/>
  <c r="AM19" i="18"/>
  <c r="AM22" i="18" s="1"/>
  <c r="B97" i="18"/>
  <c r="B99" i="18" s="1"/>
  <c r="B100" i="18" s="1"/>
  <c r="AT22" i="18"/>
  <c r="AT24" i="18" s="1"/>
  <c r="BH22" i="18"/>
  <c r="BH24" i="18" s="1"/>
  <c r="S5" i="18"/>
  <c r="T108" i="18"/>
  <c r="C5" i="18"/>
  <c r="AO19" i="18"/>
  <c r="AO22" i="18" s="1"/>
  <c r="AA5" i="18"/>
  <c r="BG19" i="18"/>
  <c r="BG22" i="18" s="1"/>
  <c r="BC16" i="18"/>
  <c r="BC22" i="18" s="1"/>
  <c r="BC24" i="18" s="1"/>
  <c r="U97" i="18"/>
  <c r="U99" i="18" s="1"/>
  <c r="U100" i="18" s="1"/>
  <c r="U7" i="18" s="1"/>
  <c r="K5" i="18"/>
  <c r="AZ22" i="18"/>
  <c r="AP16" i="18"/>
  <c r="E97" i="18"/>
  <c r="E99" i="18" s="1"/>
  <c r="E100" i="18" s="1"/>
  <c r="E7" i="18" s="1"/>
  <c r="M97" i="18"/>
  <c r="M99" i="18" s="1"/>
  <c r="M100" i="18" s="1"/>
  <c r="M7" i="18" s="1"/>
  <c r="AU16" i="18"/>
  <c r="AU22" i="18" s="1"/>
  <c r="AU24" i="18" s="1"/>
  <c r="AC97" i="18"/>
  <c r="AC99" i="18" s="1"/>
  <c r="AC100" i="18" s="1"/>
  <c r="AC7" i="18" s="1"/>
  <c r="BE22" i="18"/>
  <c r="BB22" i="18"/>
  <c r="BB24" i="18" s="1"/>
  <c r="BJ22" i="18"/>
  <c r="AI62" i="18"/>
  <c r="AI76" i="18"/>
  <c r="AH58" i="18"/>
  <c r="AQ16" i="18"/>
  <c r="AQ22" i="18" s="1"/>
  <c r="AQ24" i="18" s="1"/>
  <c r="D97" i="18"/>
  <c r="D99" i="18" s="1"/>
  <c r="D100" i="18" s="1"/>
  <c r="D7" i="18" s="1"/>
  <c r="L97" i="18"/>
  <c r="L99" i="18" s="1"/>
  <c r="T97" i="18"/>
  <c r="T99" i="18" s="1"/>
  <c r="T100" i="18" s="1"/>
  <c r="T7" i="18" s="1"/>
  <c r="AB97" i="18"/>
  <c r="AB99" i="18" s="1"/>
  <c r="V7" i="18"/>
  <c r="M108" i="18"/>
  <c r="AH104" i="18"/>
  <c r="AD100" i="18"/>
  <c r="AD7" i="18" s="1"/>
  <c r="F108" i="18"/>
  <c r="N108" i="18"/>
  <c r="AD108" i="18"/>
  <c r="H107" i="18"/>
  <c r="H108" i="18" s="1"/>
  <c r="P107" i="18"/>
  <c r="AX23" i="18" s="1"/>
  <c r="AF107" i="18"/>
  <c r="AI104" i="18"/>
  <c r="AI105" i="18"/>
  <c r="D252" i="18"/>
  <c r="H97" i="18"/>
  <c r="H99" i="18" s="1"/>
  <c r="AF97" i="18"/>
  <c r="AF99" i="18" s="1"/>
  <c r="G108" i="18"/>
  <c r="O108" i="18"/>
  <c r="AE108" i="18"/>
  <c r="AI102" i="18"/>
  <c r="P97" i="18"/>
  <c r="P99" i="18" s="1"/>
  <c r="BG84" i="18" a="1"/>
  <c r="AL13" i="18"/>
  <c r="AV16" i="18"/>
  <c r="AV22" i="18" s="1"/>
  <c r="AV24" i="18" s="1"/>
  <c r="BD16" i="18"/>
  <c r="BD22" i="18" s="1"/>
  <c r="BD24" i="18" s="1"/>
  <c r="AI101" i="18"/>
  <c r="AH101" i="18"/>
  <c r="J107" i="18"/>
  <c r="R107" i="18"/>
  <c r="AZ23" i="18" s="1"/>
  <c r="BF23" i="18"/>
  <c r="AN23" i="18"/>
  <c r="AH102" i="18"/>
  <c r="H246" i="18"/>
  <c r="AH62" i="18"/>
  <c r="I108" i="18"/>
  <c r="Q108" i="18"/>
  <c r="D118" i="18"/>
  <c r="E251" i="18"/>
  <c r="E252" i="18" s="1"/>
  <c r="AX16" i="18"/>
  <c r="AX22" i="18" s="1"/>
  <c r="BF16" i="18"/>
  <c r="BF22" i="18" s="1"/>
  <c r="AI58" i="18"/>
  <c r="AI92" i="18"/>
  <c r="AH92" i="18"/>
  <c r="AB107" i="18"/>
  <c r="BG23" i="18" s="1"/>
  <c r="AH105" i="18"/>
  <c r="AF97" i="17"/>
  <c r="AF99" i="17" s="1"/>
  <c r="AF100" i="17" s="1"/>
  <c r="AE97" i="17"/>
  <c r="AE99" i="17" s="1"/>
  <c r="AE100" i="17" s="1"/>
  <c r="BI24" i="18" l="1"/>
  <c r="AE100" i="18"/>
  <c r="AE7" i="18" s="1"/>
  <c r="BG24" i="18"/>
  <c r="AB100" i="18"/>
  <c r="AB7" i="18" s="1"/>
  <c r="U108" i="18"/>
  <c r="R100" i="18"/>
  <c r="R7" i="18" s="1"/>
  <c r="J100" i="18"/>
  <c r="J7" i="18" s="1"/>
  <c r="AN24" i="18"/>
  <c r="Q100" i="18"/>
  <c r="Q7" i="18" s="1"/>
  <c r="AX24" i="18"/>
  <c r="P100" i="18"/>
  <c r="P7" i="18" s="1"/>
  <c r="K100" i="18"/>
  <c r="K7" i="18" s="1"/>
  <c r="L100" i="18"/>
  <c r="L7" i="18" s="1"/>
  <c r="J108" i="18"/>
  <c r="K108" i="18"/>
  <c r="AP22" i="18"/>
  <c r="AT8" i="18" s="1"/>
  <c r="H100" i="18"/>
  <c r="H7" i="18" s="1"/>
  <c r="B256" i="18"/>
  <c r="C256" i="18"/>
  <c r="G100" i="18"/>
  <c r="G7" i="18" s="1"/>
  <c r="AO24" i="18"/>
  <c r="I246" i="18"/>
  <c r="AH97" i="18"/>
  <c r="BJ107" i="18"/>
  <c r="BH106" i="18"/>
  <c r="BL104" i="18"/>
  <c r="BJ103" i="18"/>
  <c r="BH102" i="18"/>
  <c r="BL100" i="18"/>
  <c r="BJ99" i="18"/>
  <c r="BH98" i="18"/>
  <c r="BL96" i="18"/>
  <c r="BJ95" i="18"/>
  <c r="BH94" i="18"/>
  <c r="BL92" i="18"/>
  <c r="BJ91" i="18"/>
  <c r="BH90" i="18"/>
  <c r="BL88" i="18"/>
  <c r="BJ87" i="18"/>
  <c r="BH86" i="18"/>
  <c r="BL84" i="18"/>
  <c r="BH107" i="18"/>
  <c r="BL105" i="18"/>
  <c r="BJ104" i="18"/>
  <c r="BH103" i="18"/>
  <c r="BL101" i="18"/>
  <c r="BJ100" i="18"/>
  <c r="BH99" i="18"/>
  <c r="BL97" i="18"/>
  <c r="BJ96" i="18"/>
  <c r="BH95" i="18"/>
  <c r="BL93" i="18"/>
  <c r="BJ92" i="18"/>
  <c r="BH91" i="18"/>
  <c r="BL89" i="18"/>
  <c r="BJ88" i="18"/>
  <c r="BH87" i="18"/>
  <c r="BL85" i="18"/>
  <c r="BJ84" i="18"/>
  <c r="BL106" i="18"/>
  <c r="BJ105" i="18"/>
  <c r="BH104" i="18"/>
  <c r="BL102" i="18"/>
  <c r="BJ101" i="18"/>
  <c r="BH100" i="18"/>
  <c r="BL98" i="18"/>
  <c r="BJ97" i="18"/>
  <c r="BH96" i="18"/>
  <c r="BL94" i="18"/>
  <c r="BJ93" i="18"/>
  <c r="BH92" i="18"/>
  <c r="BL90" i="18"/>
  <c r="BJ89" i="18"/>
  <c r="BH88" i="18"/>
  <c r="BL86" i="18"/>
  <c r="BJ85" i="18"/>
  <c r="BH84" i="18"/>
  <c r="BL107" i="18"/>
  <c r="BJ106" i="18"/>
  <c r="BH105" i="18"/>
  <c r="BL103" i="18"/>
  <c r="BJ102" i="18"/>
  <c r="BH101" i="18"/>
  <c r="BL99" i="18"/>
  <c r="BJ98" i="18"/>
  <c r="BH97" i="18"/>
  <c r="BL95" i="18"/>
  <c r="BJ94" i="18"/>
  <c r="BH93" i="18"/>
  <c r="BL91" i="18"/>
  <c r="BJ90" i="18"/>
  <c r="BH89" i="18"/>
  <c r="BL87" i="18"/>
  <c r="BJ86" i="18"/>
  <c r="BH85" i="18"/>
  <c r="BI107" i="18"/>
  <c r="BK104" i="18"/>
  <c r="BG102" i="18"/>
  <c r="BI99" i="18"/>
  <c r="BK96" i="18"/>
  <c r="BG94" i="18"/>
  <c r="BI91" i="18"/>
  <c r="BK88" i="18"/>
  <c r="BG86" i="18"/>
  <c r="BG107" i="18"/>
  <c r="BI104" i="18"/>
  <c r="BK101" i="18"/>
  <c r="BG99" i="18"/>
  <c r="BI96" i="18"/>
  <c r="BK93" i="18"/>
  <c r="BG91" i="18"/>
  <c r="BI88" i="18"/>
  <c r="BK85" i="18"/>
  <c r="BK106" i="18"/>
  <c r="BG104" i="18"/>
  <c r="BI101" i="18"/>
  <c r="BK98" i="18"/>
  <c r="BG96" i="18"/>
  <c r="BI93" i="18"/>
  <c r="BK90" i="18"/>
  <c r="BG88" i="18"/>
  <c r="BI85" i="18"/>
  <c r="BI106" i="18"/>
  <c r="BK103" i="18"/>
  <c r="BG101" i="18"/>
  <c r="BI98" i="18"/>
  <c r="BK95" i="18"/>
  <c r="BG93" i="18"/>
  <c r="BI90" i="18"/>
  <c r="BK87" i="18"/>
  <c r="BG85" i="18"/>
  <c r="BG106" i="18"/>
  <c r="BI103" i="18"/>
  <c r="BK100" i="18"/>
  <c r="BG98" i="18"/>
  <c r="BI95" i="18"/>
  <c r="BK92" i="18"/>
  <c r="BG90" i="18"/>
  <c r="BI87" i="18"/>
  <c r="BK84" i="18"/>
  <c r="BK105" i="18"/>
  <c r="BG103" i="18"/>
  <c r="BI100" i="18"/>
  <c r="BK97" i="18"/>
  <c r="BG95" i="18"/>
  <c r="BI92" i="18"/>
  <c r="BK89" i="18"/>
  <c r="BG87" i="18"/>
  <c r="BI84" i="18"/>
  <c r="BK107" i="18"/>
  <c r="BG105" i="18"/>
  <c r="BI102" i="18"/>
  <c r="BK99" i="18"/>
  <c r="BG97" i="18"/>
  <c r="BI94" i="18"/>
  <c r="BK91" i="18"/>
  <c r="BG89" i="18"/>
  <c r="BI86" i="18"/>
  <c r="BG100" i="18"/>
  <c r="BI97" i="18"/>
  <c r="BK94" i="18"/>
  <c r="BG92" i="18"/>
  <c r="BI89" i="18"/>
  <c r="BK86" i="18"/>
  <c r="BI105" i="18"/>
  <c r="BG84" i="18"/>
  <c r="BK102" i="18"/>
  <c r="X7" i="18"/>
  <c r="AZ24" i="18"/>
  <c r="AB108" i="18"/>
  <c r="C7" i="18"/>
  <c r="AF108" i="18"/>
  <c r="BJ23" i="18"/>
  <c r="BJ24" i="18" s="1"/>
  <c r="AH99" i="18"/>
  <c r="AI99" i="18"/>
  <c r="AF100" i="18"/>
  <c r="AF7" i="18" s="1"/>
  <c r="BE23" i="18"/>
  <c r="BE24" i="18" s="1"/>
  <c r="BF24" i="18"/>
  <c r="Z7" i="18"/>
  <c r="AI97" i="18"/>
  <c r="P108" i="18"/>
  <c r="R108" i="18"/>
  <c r="F251" i="18"/>
  <c r="E118" i="18"/>
  <c r="AI107" i="18"/>
  <c r="AM23" i="18"/>
  <c r="AM24" i="18" s="1"/>
  <c r="AH107" i="18"/>
  <c r="AI108" i="18" l="1"/>
  <c r="AP24" i="18"/>
  <c r="K6" i="18"/>
  <c r="J246" i="18"/>
  <c r="G251" i="18"/>
  <c r="F252" i="18"/>
  <c r="F118" i="18"/>
  <c r="AH108" i="18"/>
  <c r="AI100" i="18"/>
  <c r="B7" i="18"/>
  <c r="A7" i="18" s="1"/>
  <c r="AH100" i="18"/>
  <c r="AT9" i="18"/>
  <c r="H251" i="18" l="1"/>
  <c r="G252" i="18"/>
  <c r="G118" i="18"/>
  <c r="K246" i="18"/>
  <c r="L246" i="18" l="1"/>
  <c r="I251" i="18"/>
  <c r="H252" i="18"/>
  <c r="H118" i="18"/>
  <c r="J251" i="18" l="1"/>
  <c r="I252" i="18"/>
  <c r="I118" i="18"/>
  <c r="M246" i="18"/>
  <c r="AD58" i="17"/>
  <c r="AD62" i="17"/>
  <c r="AD76" i="17"/>
  <c r="AD80" i="17"/>
  <c r="AD92" i="17"/>
  <c r="AD108" i="17" s="1"/>
  <c r="AD101" i="17"/>
  <c r="AD102" i="17"/>
  <c r="AD103" i="17"/>
  <c r="AD104" i="17"/>
  <c r="AD105" i="17"/>
  <c r="AD118" i="17"/>
  <c r="AB118" i="17"/>
  <c r="AC58" i="17"/>
  <c r="AC62" i="17"/>
  <c r="AC76" i="17"/>
  <c r="AC80" i="17"/>
  <c r="AC92" i="17"/>
  <c r="AC101" i="17"/>
  <c r="AC102" i="17"/>
  <c r="AC103" i="17"/>
  <c r="AC104" i="17"/>
  <c r="AC105" i="17"/>
  <c r="AC118" i="17"/>
  <c r="N246" i="18" l="1"/>
  <c r="K251" i="18"/>
  <c r="J252" i="18"/>
  <c r="J118" i="18"/>
  <c r="AD97" i="17"/>
  <c r="AD99" i="17" s="1"/>
  <c r="AD100" i="17" s="1"/>
  <c r="AC108" i="17"/>
  <c r="AC97" i="17"/>
  <c r="AC99" i="17" s="1"/>
  <c r="AC100" i="17" s="1"/>
  <c r="T58" i="17"/>
  <c r="U58" i="17"/>
  <c r="L251" i="18" l="1"/>
  <c r="K252" i="18"/>
  <c r="K118" i="18"/>
  <c r="O246" i="18"/>
  <c r="R123" i="17"/>
  <c r="R57" i="17"/>
  <c r="P246" i="18" l="1"/>
  <c r="M251" i="18"/>
  <c r="L252" i="18"/>
  <c r="L118" i="18"/>
  <c r="Q123" i="17"/>
  <c r="P121" i="17"/>
  <c r="P57" i="17"/>
  <c r="Q57" i="17"/>
  <c r="N251" i="18" l="1"/>
  <c r="M118" i="18"/>
  <c r="M252" i="18"/>
  <c r="Q246" i="18"/>
  <c r="O121" i="17"/>
  <c r="M76" i="17"/>
  <c r="O57" i="17"/>
  <c r="O251" i="18" l="1"/>
  <c r="N252" i="18"/>
  <c r="N118" i="18"/>
  <c r="R246" i="18"/>
  <c r="N121" i="17"/>
  <c r="M80" i="17"/>
  <c r="S246" i="18" l="1"/>
  <c r="P251" i="18"/>
  <c r="O252" i="18"/>
  <c r="O118" i="18"/>
  <c r="M62" i="17"/>
  <c r="N57" i="17"/>
  <c r="M57" i="17"/>
  <c r="L121" i="17"/>
  <c r="K121" i="17"/>
  <c r="L57" i="17"/>
  <c r="K57" i="17"/>
  <c r="J57" i="17"/>
  <c r="I121" i="17"/>
  <c r="I57" i="17"/>
  <c r="H121" i="17"/>
  <c r="H57" i="17"/>
  <c r="G121" i="17"/>
  <c r="G57" i="17"/>
  <c r="F121" i="17"/>
  <c r="F57" i="17"/>
  <c r="E121" i="17"/>
  <c r="E57" i="17"/>
  <c r="D121" i="17"/>
  <c r="D57" i="17"/>
  <c r="D58" i="17"/>
  <c r="AO16" i="17" s="1"/>
  <c r="D62" i="17"/>
  <c r="D76" i="17"/>
  <c r="D80" i="17"/>
  <c r="AH125" i="17"/>
  <c r="AI125" i="17"/>
  <c r="AH124" i="17"/>
  <c r="AI124" i="17"/>
  <c r="C121" i="17"/>
  <c r="C118" i="17" s="1"/>
  <c r="C57" i="17"/>
  <c r="C58" i="17"/>
  <c r="C62" i="17"/>
  <c r="C76" i="17"/>
  <c r="AN18" i="17" s="1"/>
  <c r="C80" i="17"/>
  <c r="AN20" i="17" s="1"/>
  <c r="B121" i="17"/>
  <c r="B57" i="17"/>
  <c r="B105" i="17"/>
  <c r="B104" i="17"/>
  <c r="B103" i="17"/>
  <c r="B102" i="17"/>
  <c r="B101" i="17"/>
  <c r="B107" i="17" s="1"/>
  <c r="B92" i="17"/>
  <c r="B80" i="17"/>
  <c r="AM20" i="17" s="1"/>
  <c r="B76" i="17"/>
  <c r="B62" i="17"/>
  <c r="B58" i="17"/>
  <c r="AG252" i="17"/>
  <c r="C252" i="17"/>
  <c r="D251" i="17"/>
  <c r="D250" i="17"/>
  <c r="E250" i="17" s="1"/>
  <c r="F250" i="17" s="1"/>
  <c r="G250" i="17" s="1"/>
  <c r="H250" i="17" s="1"/>
  <c r="I250" i="17" s="1"/>
  <c r="J250" i="17" s="1"/>
  <c r="K250" i="17" s="1"/>
  <c r="L250" i="17" s="1"/>
  <c r="M250" i="17" s="1"/>
  <c r="N250" i="17" s="1"/>
  <c r="O250" i="17" s="1"/>
  <c r="P250" i="17" s="1"/>
  <c r="Q250" i="17" s="1"/>
  <c r="R250" i="17" s="1"/>
  <c r="S250" i="17" s="1"/>
  <c r="T250" i="17" s="1"/>
  <c r="U250" i="17" s="1"/>
  <c r="V250" i="17" s="1"/>
  <c r="W250" i="17" s="1"/>
  <c r="X250" i="17" s="1"/>
  <c r="Y250" i="17" s="1"/>
  <c r="Z250" i="17" s="1"/>
  <c r="AA250" i="17" s="1"/>
  <c r="AB250" i="17" s="1"/>
  <c r="AC250" i="17" s="1"/>
  <c r="AD250" i="17" s="1"/>
  <c r="AE250" i="17" s="1"/>
  <c r="AF250" i="17" s="1"/>
  <c r="B250" i="17" s="1"/>
  <c r="H249" i="17"/>
  <c r="I249" i="17" s="1"/>
  <c r="J249" i="17" s="1"/>
  <c r="K249" i="17" s="1"/>
  <c r="L249" i="17" s="1"/>
  <c r="M249" i="17" s="1"/>
  <c r="N249" i="17" s="1"/>
  <c r="O249" i="17" s="1"/>
  <c r="P249" i="17" s="1"/>
  <c r="Q249" i="17" s="1"/>
  <c r="R249" i="17" s="1"/>
  <c r="S249" i="17" s="1"/>
  <c r="T249" i="17" s="1"/>
  <c r="U249" i="17" s="1"/>
  <c r="V249" i="17" s="1"/>
  <c r="W249" i="17" s="1"/>
  <c r="X249" i="17" s="1"/>
  <c r="Y249" i="17" s="1"/>
  <c r="Z249" i="17" s="1"/>
  <c r="AA249" i="17" s="1"/>
  <c r="AB249" i="17" s="1"/>
  <c r="AC249" i="17" s="1"/>
  <c r="AD249" i="17" s="1"/>
  <c r="AE249" i="17" s="1"/>
  <c r="AF249" i="17" s="1"/>
  <c r="B249" i="17" s="1"/>
  <c r="E249" i="17"/>
  <c r="F249" i="17" s="1"/>
  <c r="G249" i="17" s="1"/>
  <c r="D249" i="17"/>
  <c r="D248" i="17"/>
  <c r="E248" i="17" s="1"/>
  <c r="F248" i="17" s="1"/>
  <c r="G248" i="17" s="1"/>
  <c r="H248" i="17" s="1"/>
  <c r="I248" i="17" s="1"/>
  <c r="J248" i="17" s="1"/>
  <c r="K248" i="17" s="1"/>
  <c r="L248" i="17" s="1"/>
  <c r="M248" i="17" s="1"/>
  <c r="N248" i="17" s="1"/>
  <c r="O248" i="17" s="1"/>
  <c r="P248" i="17" s="1"/>
  <c r="Q248" i="17" s="1"/>
  <c r="R248" i="17" s="1"/>
  <c r="S248" i="17" s="1"/>
  <c r="T248" i="17" s="1"/>
  <c r="U248" i="17" s="1"/>
  <c r="V248" i="17" s="1"/>
  <c r="W248" i="17" s="1"/>
  <c r="X248" i="17" s="1"/>
  <c r="Y248" i="17" s="1"/>
  <c r="Z248" i="17" s="1"/>
  <c r="AA248" i="17" s="1"/>
  <c r="AB248" i="17" s="1"/>
  <c r="AC248" i="17" s="1"/>
  <c r="AD248" i="17" s="1"/>
  <c r="AE248" i="17" s="1"/>
  <c r="AF248" i="17" s="1"/>
  <c r="B248" i="17" s="1"/>
  <c r="D247" i="17"/>
  <c r="E247" i="17" s="1"/>
  <c r="F247" i="17" s="1"/>
  <c r="G247" i="17" s="1"/>
  <c r="H247" i="17" s="1"/>
  <c r="I247" i="17" s="1"/>
  <c r="J247" i="17" s="1"/>
  <c r="K247" i="17" s="1"/>
  <c r="L247" i="17" s="1"/>
  <c r="M247" i="17" s="1"/>
  <c r="N247" i="17" s="1"/>
  <c r="O247" i="17" s="1"/>
  <c r="P247" i="17" s="1"/>
  <c r="Q247" i="17" s="1"/>
  <c r="R247" i="17" s="1"/>
  <c r="S247" i="17" s="1"/>
  <c r="T247" i="17" s="1"/>
  <c r="U247" i="17" s="1"/>
  <c r="V247" i="17" s="1"/>
  <c r="W247" i="17" s="1"/>
  <c r="X247" i="17" s="1"/>
  <c r="Y247" i="17" s="1"/>
  <c r="Z247" i="17" s="1"/>
  <c r="AA247" i="17" s="1"/>
  <c r="AB247" i="17" s="1"/>
  <c r="AC247" i="17" s="1"/>
  <c r="AD247" i="17" s="1"/>
  <c r="AE247" i="17" s="1"/>
  <c r="AF247" i="17" s="1"/>
  <c r="B247" i="17" s="1"/>
  <c r="D246" i="17"/>
  <c r="E246" i="17" s="1"/>
  <c r="F246" i="17" s="1"/>
  <c r="AG244" i="17"/>
  <c r="AF244" i="17"/>
  <c r="AE244" i="17"/>
  <c r="AD244" i="17"/>
  <c r="AC244" i="17"/>
  <c r="AB244" i="17"/>
  <c r="AA244" i="17"/>
  <c r="Z244" i="17"/>
  <c r="Z118" i="17" s="1"/>
  <c r="Y244" i="17"/>
  <c r="Y118" i="17" s="1"/>
  <c r="X244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AI130" i="17"/>
  <c r="AH130" i="17"/>
  <c r="AI129" i="17"/>
  <c r="AH129" i="17"/>
  <c r="AI128" i="17"/>
  <c r="AH128" i="17"/>
  <c r="AI127" i="17"/>
  <c r="AH127" i="17"/>
  <c r="AI126" i="17"/>
  <c r="AH126" i="17"/>
  <c r="AI123" i="17"/>
  <c r="AH123" i="17"/>
  <c r="AI122" i="17"/>
  <c r="AH122" i="17"/>
  <c r="AI120" i="17"/>
  <c r="AH120" i="17"/>
  <c r="AI119" i="17"/>
  <c r="AH119" i="17"/>
  <c r="AI117" i="17"/>
  <c r="AH117" i="17"/>
  <c r="AI116" i="17"/>
  <c r="AH116" i="17"/>
  <c r="AI115" i="17"/>
  <c r="AH115" i="17"/>
  <c r="AI114" i="17"/>
  <c r="AH114" i="17"/>
  <c r="AI113" i="17"/>
  <c r="AH113" i="17"/>
  <c r="AI112" i="17"/>
  <c r="AH112" i="17"/>
  <c r="AI111" i="17"/>
  <c r="AH111" i="17"/>
  <c r="AI110" i="17"/>
  <c r="AH110" i="17"/>
  <c r="AI109" i="17"/>
  <c r="AH109" i="17"/>
  <c r="AI106" i="17"/>
  <c r="AH106" i="17"/>
  <c r="AB105" i="17"/>
  <c r="AA105" i="17"/>
  <c r="Z105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AB104" i="17"/>
  <c r="AA104" i="17"/>
  <c r="Z104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AB103" i="17"/>
  <c r="AA103" i="17"/>
  <c r="Z103" i="17"/>
  <c r="Y103" i="17"/>
  <c r="X103" i="17"/>
  <c r="W103" i="17"/>
  <c r="V103" i="17"/>
  <c r="U103" i="17"/>
  <c r="T103" i="17"/>
  <c r="S103" i="17"/>
  <c r="R103" i="17"/>
  <c r="Q103" i="17"/>
  <c r="P103" i="17"/>
  <c r="O103" i="17"/>
  <c r="N103" i="17"/>
  <c r="M103" i="17"/>
  <c r="L103" i="17"/>
  <c r="K103" i="17"/>
  <c r="J103" i="17"/>
  <c r="I103" i="17"/>
  <c r="H103" i="17"/>
  <c r="G103" i="17"/>
  <c r="F103" i="17"/>
  <c r="E103" i="17"/>
  <c r="D103" i="17"/>
  <c r="C103" i="17"/>
  <c r="AB102" i="17"/>
  <c r="AA102" i="17"/>
  <c r="Z102" i="17"/>
  <c r="Y102" i="17"/>
  <c r="X102" i="17"/>
  <c r="W102" i="17"/>
  <c r="V102" i="17"/>
  <c r="U102" i="17"/>
  <c r="T102" i="17"/>
  <c r="S102" i="17"/>
  <c r="R102" i="17"/>
  <c r="Q102" i="17"/>
  <c r="P102" i="17"/>
  <c r="O102" i="17"/>
  <c r="N102" i="17"/>
  <c r="M102" i="17"/>
  <c r="L102" i="17"/>
  <c r="K102" i="17"/>
  <c r="J102" i="17"/>
  <c r="I102" i="17"/>
  <c r="H102" i="17"/>
  <c r="G102" i="17"/>
  <c r="F102" i="17"/>
  <c r="E102" i="17"/>
  <c r="D102" i="17"/>
  <c r="C102" i="17"/>
  <c r="AB101" i="17"/>
  <c r="AA101" i="17"/>
  <c r="Z101" i="17"/>
  <c r="Y101" i="17"/>
  <c r="X101" i="17"/>
  <c r="W101" i="17"/>
  <c r="V101" i="17"/>
  <c r="U101" i="17"/>
  <c r="T101" i="17"/>
  <c r="S101" i="17"/>
  <c r="R101" i="17"/>
  <c r="Q101" i="17"/>
  <c r="P101" i="17"/>
  <c r="O101" i="17"/>
  <c r="N101" i="17"/>
  <c r="M101" i="17"/>
  <c r="L101" i="17"/>
  <c r="L107" i="17" s="1"/>
  <c r="K101" i="17"/>
  <c r="J101" i="17"/>
  <c r="I101" i="17"/>
  <c r="H101" i="17"/>
  <c r="G101" i="17"/>
  <c r="F101" i="17"/>
  <c r="E101" i="17"/>
  <c r="D101" i="17"/>
  <c r="C101" i="17"/>
  <c r="AI98" i="17"/>
  <c r="AH98" i="17"/>
  <c r="AI96" i="17"/>
  <c r="AH96" i="17"/>
  <c r="AG96" i="17"/>
  <c r="AI95" i="17"/>
  <c r="AH95" i="17"/>
  <c r="AI94" i="17"/>
  <c r="AH94" i="17"/>
  <c r="AI93" i="17"/>
  <c r="AH93" i="17"/>
  <c r="AG92" i="17"/>
  <c r="AE5" i="17"/>
  <c r="AB92" i="17"/>
  <c r="BG19" i="17" s="1"/>
  <c r="AA92" i="17"/>
  <c r="Z92" i="17"/>
  <c r="Y92" i="17"/>
  <c r="X5" i="17" s="1"/>
  <c r="X92" i="17"/>
  <c r="BE19" i="17" s="1"/>
  <c r="W92" i="17"/>
  <c r="V5" i="17" s="1"/>
  <c r="V92" i="17"/>
  <c r="U5" i="17" s="1"/>
  <c r="U92" i="17"/>
  <c r="T92" i="17"/>
  <c r="S5" i="17" s="1"/>
  <c r="S92" i="17"/>
  <c r="BA19" i="17" s="1"/>
  <c r="R92" i="17"/>
  <c r="Q92" i="17"/>
  <c r="AY19" i="17" s="1"/>
  <c r="P92" i="17"/>
  <c r="AX19" i="17" s="1"/>
  <c r="O92" i="17"/>
  <c r="N5" i="17" s="1"/>
  <c r="N92" i="17"/>
  <c r="AV19" i="17" s="1"/>
  <c r="M92" i="17"/>
  <c r="AU19" i="17" s="1"/>
  <c r="L92" i="17"/>
  <c r="K92" i="17"/>
  <c r="J92" i="17"/>
  <c r="I92" i="17"/>
  <c r="AS19" i="17" s="1"/>
  <c r="H92" i="17"/>
  <c r="G5" i="17" s="1"/>
  <c r="G92" i="17"/>
  <c r="AR19" i="17" s="1"/>
  <c r="F92" i="17"/>
  <c r="AQ19" i="17" s="1"/>
  <c r="E92" i="17"/>
  <c r="AP19" i="17" s="1"/>
  <c r="D92" i="17"/>
  <c r="AO19" i="17" s="1"/>
  <c r="C92" i="17"/>
  <c r="AN19" i="17" s="1"/>
  <c r="AI91" i="17"/>
  <c r="AH91" i="17"/>
  <c r="AI90" i="17"/>
  <c r="AH90" i="17"/>
  <c r="AI89" i="17"/>
  <c r="AH89" i="17"/>
  <c r="AI88" i="17"/>
  <c r="AH88" i="17"/>
  <c r="AI87" i="17"/>
  <c r="AH87" i="17"/>
  <c r="AI86" i="17"/>
  <c r="AH86" i="17"/>
  <c r="AI85" i="17"/>
  <c r="AH85" i="17"/>
  <c r="AI84" i="17"/>
  <c r="AH84" i="17"/>
  <c r="AI83" i="17"/>
  <c r="AH83" i="17"/>
  <c r="AI82" i="17"/>
  <c r="AH82" i="17"/>
  <c r="AI81" i="17"/>
  <c r="AH81" i="17"/>
  <c r="BR80" i="17"/>
  <c r="AG80" i="17"/>
  <c r="AB80" i="17"/>
  <c r="AA80" i="17"/>
  <c r="Z80" i="17"/>
  <c r="Y80" i="17"/>
  <c r="X80" i="17"/>
  <c r="BE20" i="17" s="1"/>
  <c r="W80" i="17"/>
  <c r="V80" i="17"/>
  <c r="BD20" i="17" s="1"/>
  <c r="U80" i="17"/>
  <c r="BC20" i="17" s="1"/>
  <c r="T80" i="17"/>
  <c r="S80" i="17"/>
  <c r="BA20" i="17" s="1"/>
  <c r="R80" i="17"/>
  <c r="Q80" i="17"/>
  <c r="AY20" i="17" s="1"/>
  <c r="P80" i="17"/>
  <c r="O80" i="17"/>
  <c r="AW20" i="17" s="1"/>
  <c r="N80" i="17"/>
  <c r="L80" i="17"/>
  <c r="K80" i="17"/>
  <c r="J80" i="17"/>
  <c r="I80" i="17"/>
  <c r="H80" i="17"/>
  <c r="G80" i="17"/>
  <c r="AR20" i="17" s="1"/>
  <c r="F80" i="17"/>
  <c r="AQ20" i="17" s="1"/>
  <c r="E80" i="17"/>
  <c r="AI79" i="17"/>
  <c r="AH79" i="17"/>
  <c r="AI78" i="17"/>
  <c r="AH78" i="17"/>
  <c r="AI77" i="17"/>
  <c r="AH77" i="17"/>
  <c r="BF76" i="17"/>
  <c r="BE76" i="17"/>
  <c r="BJ18" i="17"/>
  <c r="BH18" i="17"/>
  <c r="AB76" i="17"/>
  <c r="AA76" i="17"/>
  <c r="Z76" i="17"/>
  <c r="Y76" i="17"/>
  <c r="X76" i="17"/>
  <c r="BE18" i="17" s="1"/>
  <c r="W76" i="17"/>
  <c r="V76" i="17"/>
  <c r="BD18" i="17" s="1"/>
  <c r="U76" i="17"/>
  <c r="BC18" i="17" s="1"/>
  <c r="T76" i="17"/>
  <c r="S76" i="17"/>
  <c r="BA18" i="17" s="1"/>
  <c r="R76" i="17"/>
  <c r="Q76" i="17"/>
  <c r="AY18" i="17" s="1"/>
  <c r="P76" i="17"/>
  <c r="AX18" i="17" s="1"/>
  <c r="O76" i="17"/>
  <c r="AW18" i="17" s="1"/>
  <c r="N76" i="17"/>
  <c r="AV18" i="17" s="1"/>
  <c r="L76" i="17"/>
  <c r="K76" i="17"/>
  <c r="AT18" i="17" s="1"/>
  <c r="J76" i="17"/>
  <c r="I76" i="17"/>
  <c r="AS18" i="17" s="1"/>
  <c r="H76" i="17"/>
  <c r="G76" i="17"/>
  <c r="AR18" i="17" s="1"/>
  <c r="F76" i="17"/>
  <c r="AQ18" i="17" s="1"/>
  <c r="E76" i="17"/>
  <c r="AP18" i="17" s="1"/>
  <c r="BT75" i="17"/>
  <c r="AI75" i="17"/>
  <c r="AH75" i="17"/>
  <c r="AG75" i="17"/>
  <c r="AG76" i="17" s="1"/>
  <c r="AG3" i="17" s="1"/>
  <c r="AI74" i="17"/>
  <c r="AH74" i="17"/>
  <c r="BW73" i="17"/>
  <c r="BW80" i="17" s="1"/>
  <c r="BV73" i="17"/>
  <c r="BV80" i="17" s="1"/>
  <c r="BU73" i="17"/>
  <c r="BU80" i="17" s="1"/>
  <c r="BT73" i="17"/>
  <c r="BT80" i="17" s="1"/>
  <c r="BS73" i="17"/>
  <c r="BS80" i="17" s="1"/>
  <c r="BR73" i="17"/>
  <c r="BQ73" i="17"/>
  <c r="BQ80" i="17" s="1"/>
  <c r="BP73" i="17"/>
  <c r="BP80" i="17" s="1"/>
  <c r="BO73" i="17"/>
  <c r="BO80" i="17" s="1"/>
  <c r="BN73" i="17"/>
  <c r="BN80" i="17" s="1"/>
  <c r="BM73" i="17"/>
  <c r="BM80" i="17" s="1"/>
  <c r="BL73" i="17"/>
  <c r="BL80" i="17" s="1"/>
  <c r="BK73" i="17"/>
  <c r="BK80" i="17" s="1"/>
  <c r="BJ73" i="17"/>
  <c r="BJ80" i="17" s="1"/>
  <c r="BI73" i="17"/>
  <c r="BI80" i="17" s="1"/>
  <c r="BH73" i="17"/>
  <c r="BH80" i="17" s="1"/>
  <c r="BG73" i="17"/>
  <c r="BG80" i="17" s="1"/>
  <c r="BF73" i="17"/>
  <c r="BF80" i="17" s="1"/>
  <c r="BE73" i="17"/>
  <c r="BE80" i="17" s="1"/>
  <c r="BD73" i="17"/>
  <c r="BD80" i="17" s="1"/>
  <c r="BC73" i="17"/>
  <c r="BC80" i="17" s="1"/>
  <c r="BB73" i="17"/>
  <c r="BB80" i="17" s="1"/>
  <c r="BA73" i="17"/>
  <c r="BA80" i="17" s="1"/>
  <c r="AZ73" i="17"/>
  <c r="AZ80" i="17" s="1"/>
  <c r="AI73" i="17"/>
  <c r="AH73" i="17"/>
  <c r="BW72" i="17"/>
  <c r="BW79" i="17" s="1"/>
  <c r="BV72" i="17"/>
  <c r="BV79" i="17" s="1"/>
  <c r="BU72" i="17"/>
  <c r="BU79" i="17" s="1"/>
  <c r="BT72" i="17"/>
  <c r="BT79" i="17" s="1"/>
  <c r="BS72" i="17"/>
  <c r="BS79" i="17" s="1"/>
  <c r="BR72" i="17"/>
  <c r="BR79" i="17" s="1"/>
  <c r="BQ72" i="17"/>
  <c r="BQ79" i="17" s="1"/>
  <c r="BP72" i="17"/>
  <c r="BP79" i="17" s="1"/>
  <c r="BO72" i="17"/>
  <c r="BO79" i="17" s="1"/>
  <c r="BN72" i="17"/>
  <c r="BN79" i="17" s="1"/>
  <c r="BM72" i="17"/>
  <c r="BM79" i="17" s="1"/>
  <c r="BL72" i="17"/>
  <c r="BL79" i="17" s="1"/>
  <c r="BK72" i="17"/>
  <c r="BK79" i="17" s="1"/>
  <c r="BJ72" i="17"/>
  <c r="BJ79" i="17" s="1"/>
  <c r="BI72" i="17"/>
  <c r="BI79" i="17" s="1"/>
  <c r="BH72" i="17"/>
  <c r="BH79" i="17" s="1"/>
  <c r="BG72" i="17"/>
  <c r="BG79" i="17" s="1"/>
  <c r="BF72" i="17"/>
  <c r="BF79" i="17" s="1"/>
  <c r="BE72" i="17"/>
  <c r="BE79" i="17" s="1"/>
  <c r="BD72" i="17"/>
  <c r="BD79" i="17" s="1"/>
  <c r="BC72" i="17"/>
  <c r="BC79" i="17" s="1"/>
  <c r="BB72" i="17"/>
  <c r="BB79" i="17" s="1"/>
  <c r="BA72" i="17"/>
  <c r="BA79" i="17" s="1"/>
  <c r="AZ72" i="17"/>
  <c r="AZ79" i="17" s="1"/>
  <c r="AI72" i="17"/>
  <c r="AH72" i="17"/>
  <c r="BW71" i="17"/>
  <c r="BW78" i="17" s="1"/>
  <c r="BV71" i="17"/>
  <c r="BV78" i="17" s="1"/>
  <c r="BU71" i="17"/>
  <c r="BU78" i="17" s="1"/>
  <c r="BT71" i="17"/>
  <c r="BT78" i="17" s="1"/>
  <c r="BS71" i="17"/>
  <c r="BS78" i="17" s="1"/>
  <c r="BR71" i="17"/>
  <c r="BR78" i="17" s="1"/>
  <c r="BQ71" i="17"/>
  <c r="BQ78" i="17" s="1"/>
  <c r="BP71" i="17"/>
  <c r="BP78" i="17" s="1"/>
  <c r="BO71" i="17"/>
  <c r="BO78" i="17" s="1"/>
  <c r="BN71" i="17"/>
  <c r="BN78" i="17" s="1"/>
  <c r="BM71" i="17"/>
  <c r="BM78" i="17" s="1"/>
  <c r="BL71" i="17"/>
  <c r="BL78" i="17" s="1"/>
  <c r="BK71" i="17"/>
  <c r="BK78" i="17" s="1"/>
  <c r="BJ71" i="17"/>
  <c r="BJ78" i="17" s="1"/>
  <c r="BI71" i="17"/>
  <c r="BI78" i="17" s="1"/>
  <c r="BH71" i="17"/>
  <c r="BH78" i="17" s="1"/>
  <c r="BG71" i="17"/>
  <c r="BG78" i="17" s="1"/>
  <c r="BF71" i="17"/>
  <c r="BF78" i="17" s="1"/>
  <c r="BE71" i="17"/>
  <c r="BE78" i="17" s="1"/>
  <c r="BD71" i="17"/>
  <c r="BD78" i="17" s="1"/>
  <c r="BC71" i="17"/>
  <c r="BC78" i="17" s="1"/>
  <c r="BB71" i="17"/>
  <c r="BB78" i="17" s="1"/>
  <c r="BA71" i="17"/>
  <c r="BA78" i="17" s="1"/>
  <c r="AZ71" i="17"/>
  <c r="AZ78" i="17" s="1"/>
  <c r="AI71" i="17"/>
  <c r="AH71" i="17"/>
  <c r="BW70" i="17"/>
  <c r="BW77" i="17" s="1"/>
  <c r="BV70" i="17"/>
  <c r="BV77" i="17" s="1"/>
  <c r="BU70" i="17"/>
  <c r="BU77" i="17" s="1"/>
  <c r="BT70" i="17"/>
  <c r="BT77" i="17" s="1"/>
  <c r="BS70" i="17"/>
  <c r="BS77" i="17" s="1"/>
  <c r="BR70" i="17"/>
  <c r="BR77" i="17" s="1"/>
  <c r="BQ70" i="17"/>
  <c r="BQ77" i="17" s="1"/>
  <c r="BP70" i="17"/>
  <c r="BP77" i="17" s="1"/>
  <c r="BO70" i="17"/>
  <c r="BO77" i="17" s="1"/>
  <c r="BN70" i="17"/>
  <c r="BN77" i="17" s="1"/>
  <c r="BM70" i="17"/>
  <c r="BM77" i="17" s="1"/>
  <c r="BL70" i="17"/>
  <c r="BL77" i="17" s="1"/>
  <c r="BK70" i="17"/>
  <c r="BK77" i="17" s="1"/>
  <c r="BJ70" i="17"/>
  <c r="BJ77" i="17" s="1"/>
  <c r="BI70" i="17"/>
  <c r="BI77" i="17" s="1"/>
  <c r="BH70" i="17"/>
  <c r="BH77" i="17" s="1"/>
  <c r="BG70" i="17"/>
  <c r="BG77" i="17" s="1"/>
  <c r="BF70" i="17"/>
  <c r="BF77" i="17" s="1"/>
  <c r="BE70" i="17"/>
  <c r="BE77" i="17" s="1"/>
  <c r="BD70" i="17"/>
  <c r="BD77" i="17" s="1"/>
  <c r="BC70" i="17"/>
  <c r="BC77" i="17" s="1"/>
  <c r="BB70" i="17"/>
  <c r="BB77" i="17" s="1"/>
  <c r="BA70" i="17"/>
  <c r="BA77" i="17" s="1"/>
  <c r="AZ70" i="17"/>
  <c r="AZ77" i="17" s="1"/>
  <c r="AI70" i="17"/>
  <c r="AH70" i="17"/>
  <c r="BW69" i="17"/>
  <c r="BW76" i="17" s="1"/>
  <c r="BV69" i="17"/>
  <c r="BV76" i="17" s="1"/>
  <c r="BU69" i="17"/>
  <c r="BU76" i="17" s="1"/>
  <c r="BT69" i="17"/>
  <c r="BT76" i="17" s="1"/>
  <c r="BS69" i="17"/>
  <c r="BS76" i="17" s="1"/>
  <c r="BR69" i="17"/>
  <c r="BR76" i="17" s="1"/>
  <c r="BQ69" i="17"/>
  <c r="BQ76" i="17" s="1"/>
  <c r="BP69" i="17"/>
  <c r="BP76" i="17" s="1"/>
  <c r="BO69" i="17"/>
  <c r="BO76" i="17" s="1"/>
  <c r="BN69" i="17"/>
  <c r="BN76" i="17" s="1"/>
  <c r="BM69" i="17"/>
  <c r="BM76" i="17" s="1"/>
  <c r="BL69" i="17"/>
  <c r="BL76" i="17" s="1"/>
  <c r="BK69" i="17"/>
  <c r="BK76" i="17" s="1"/>
  <c r="BJ69" i="17"/>
  <c r="BJ76" i="17" s="1"/>
  <c r="BI69" i="17"/>
  <c r="BI76" i="17" s="1"/>
  <c r="BH69" i="17"/>
  <c r="BH76" i="17" s="1"/>
  <c r="BG69" i="17"/>
  <c r="BG76" i="17" s="1"/>
  <c r="BF69" i="17"/>
  <c r="BE69" i="17"/>
  <c r="BD69" i="17"/>
  <c r="BD76" i="17" s="1"/>
  <c r="BC69" i="17"/>
  <c r="BC76" i="17" s="1"/>
  <c r="BB69" i="17"/>
  <c r="BB76" i="17" s="1"/>
  <c r="BA69" i="17"/>
  <c r="BA76" i="17" s="1"/>
  <c r="AZ69" i="17"/>
  <c r="AZ76" i="17" s="1"/>
  <c r="AI69" i="17"/>
  <c r="AH69" i="17"/>
  <c r="BW68" i="17"/>
  <c r="BW75" i="17" s="1"/>
  <c r="BV68" i="17"/>
  <c r="BV75" i="17" s="1"/>
  <c r="BU68" i="17"/>
  <c r="BU75" i="17" s="1"/>
  <c r="BT68" i="17"/>
  <c r="BS68" i="17"/>
  <c r="BS75" i="17" s="1"/>
  <c r="BR68" i="17"/>
  <c r="BR75" i="17" s="1"/>
  <c r="BQ68" i="17"/>
  <c r="BQ75" i="17" s="1"/>
  <c r="BP68" i="17"/>
  <c r="BP75" i="17" s="1"/>
  <c r="BO68" i="17"/>
  <c r="BO75" i="17" s="1"/>
  <c r="BN68" i="17"/>
  <c r="BN75" i="17" s="1"/>
  <c r="BM68" i="17"/>
  <c r="BM75" i="17" s="1"/>
  <c r="BL68" i="17"/>
  <c r="BL75" i="17" s="1"/>
  <c r="BK68" i="17"/>
  <c r="BK75" i="17" s="1"/>
  <c r="BJ68" i="17"/>
  <c r="BJ75" i="17" s="1"/>
  <c r="BI68" i="17"/>
  <c r="BI75" i="17" s="1"/>
  <c r="BH68" i="17"/>
  <c r="BH75" i="17" s="1"/>
  <c r="BG68" i="17"/>
  <c r="BG75" i="17" s="1"/>
  <c r="BF68" i="17"/>
  <c r="BF75" i="17" s="1"/>
  <c r="BE68" i="17"/>
  <c r="BE75" i="17" s="1"/>
  <c r="BD68" i="17"/>
  <c r="BD75" i="17" s="1"/>
  <c r="BC68" i="17"/>
  <c r="BC75" i="17" s="1"/>
  <c r="BB68" i="17"/>
  <c r="BB75" i="17" s="1"/>
  <c r="BA68" i="17"/>
  <c r="BA75" i="17" s="1"/>
  <c r="AZ68" i="17"/>
  <c r="AZ75" i="17" s="1"/>
  <c r="AI68" i="17"/>
  <c r="AH68" i="17"/>
  <c r="AI67" i="17"/>
  <c r="AH67" i="17"/>
  <c r="AI66" i="17"/>
  <c r="AH66" i="17"/>
  <c r="AI65" i="17"/>
  <c r="AH65" i="17"/>
  <c r="AI64" i="17"/>
  <c r="AH64" i="17"/>
  <c r="AI63" i="17"/>
  <c r="AH63" i="17"/>
  <c r="AG62" i="17"/>
  <c r="BI17" i="17"/>
  <c r="BH17" i="17"/>
  <c r="AB62" i="17"/>
  <c r="AA62" i="17"/>
  <c r="Z62" i="17"/>
  <c r="Y62" i="17"/>
  <c r="X62" i="17"/>
  <c r="BE17" i="17" s="1"/>
  <c r="W62" i="17"/>
  <c r="V62" i="17"/>
  <c r="BC17" i="17"/>
  <c r="R62" i="17"/>
  <c r="AZ17" i="17" s="1"/>
  <c r="Q62" i="17"/>
  <c r="P62" i="17"/>
  <c r="O62" i="17"/>
  <c r="AW17" i="17" s="1"/>
  <c r="N62" i="17"/>
  <c r="AV17" i="17" s="1"/>
  <c r="AU17" i="17"/>
  <c r="L62" i="17"/>
  <c r="K62" i="17"/>
  <c r="AT17" i="17" s="1"/>
  <c r="J62" i="17"/>
  <c r="I62" i="17"/>
  <c r="AS17" i="17" s="1"/>
  <c r="H62" i="17"/>
  <c r="G62" i="17"/>
  <c r="AR17" i="17" s="1"/>
  <c r="F62" i="17"/>
  <c r="AQ17" i="17" s="1"/>
  <c r="E62" i="17"/>
  <c r="AI61" i="17"/>
  <c r="AH61" i="17"/>
  <c r="AI60" i="17"/>
  <c r="AH60" i="17"/>
  <c r="AI59" i="17"/>
  <c r="AH59" i="17"/>
  <c r="AG58" i="17"/>
  <c r="AG2" i="17" s="1"/>
  <c r="BJ16" i="17"/>
  <c r="AB58" i="17"/>
  <c r="AA58" i="17"/>
  <c r="Z58" i="17"/>
  <c r="Y58" i="17"/>
  <c r="X58" i="17"/>
  <c r="W58" i="17"/>
  <c r="V58" i="17"/>
  <c r="S58" i="17"/>
  <c r="R58" i="17"/>
  <c r="AZ16" i="17" s="1"/>
  <c r="Q58" i="17"/>
  <c r="P58" i="17"/>
  <c r="AX16" i="17" s="1"/>
  <c r="O58" i="17"/>
  <c r="N58" i="17"/>
  <c r="L58" i="17"/>
  <c r="K58" i="17"/>
  <c r="J58" i="17"/>
  <c r="I58" i="17"/>
  <c r="H58" i="17"/>
  <c r="G58" i="17"/>
  <c r="F58" i="17"/>
  <c r="E58" i="17"/>
  <c r="AI56" i="17"/>
  <c r="AH56" i="17"/>
  <c r="AI55" i="17"/>
  <c r="AH55" i="17"/>
  <c r="AI54" i="17"/>
  <c r="AH54" i="17"/>
  <c r="AI53" i="17"/>
  <c r="AH53" i="17"/>
  <c r="AI52" i="17"/>
  <c r="AH52" i="17"/>
  <c r="AI51" i="17"/>
  <c r="AH51" i="17"/>
  <c r="AI50" i="17"/>
  <c r="AH50" i="17"/>
  <c r="AI49" i="17"/>
  <c r="AH49" i="17"/>
  <c r="AI48" i="17"/>
  <c r="AH48" i="17"/>
  <c r="AI47" i="17"/>
  <c r="AH47" i="17"/>
  <c r="AI46" i="17"/>
  <c r="AH46" i="17"/>
  <c r="AI45" i="17"/>
  <c r="AH45" i="17"/>
  <c r="AI44" i="17"/>
  <c r="AH44" i="17"/>
  <c r="AI43" i="17"/>
  <c r="AH43" i="17"/>
  <c r="AI42" i="17"/>
  <c r="AH42" i="17"/>
  <c r="AI41" i="17"/>
  <c r="AH41" i="17"/>
  <c r="AI40" i="17"/>
  <c r="AH40" i="17"/>
  <c r="AI39" i="17"/>
  <c r="AH39" i="17"/>
  <c r="AI38" i="17"/>
  <c r="AH38" i="17"/>
  <c r="AI37" i="17"/>
  <c r="AH37" i="17"/>
  <c r="AI36" i="17"/>
  <c r="AH36" i="17"/>
  <c r="AI35" i="17"/>
  <c r="AH35" i="17"/>
  <c r="AI34" i="17"/>
  <c r="AH34" i="17"/>
  <c r="AI33" i="17"/>
  <c r="AH33" i="17"/>
  <c r="AI32" i="17"/>
  <c r="AH32" i="17"/>
  <c r="AI31" i="17"/>
  <c r="AH31" i="17"/>
  <c r="AI30" i="17"/>
  <c r="AH30" i="17"/>
  <c r="AI29" i="17"/>
  <c r="AH29" i="17"/>
  <c r="AI28" i="17"/>
  <c r="AH28" i="17"/>
  <c r="AI27" i="17"/>
  <c r="AH27" i="17"/>
  <c r="AI26" i="17"/>
  <c r="AH26" i="17"/>
  <c r="AI25" i="17"/>
  <c r="AH25" i="17"/>
  <c r="AI24" i="17"/>
  <c r="AH24" i="17"/>
  <c r="AI23" i="17"/>
  <c r="AH23" i="17"/>
  <c r="AI22" i="17"/>
  <c r="AH22" i="17"/>
  <c r="BJ21" i="17"/>
  <c r="BI21" i="17"/>
  <c r="BH21" i="17"/>
  <c r="BG21" i="17"/>
  <c r="BF21" i="17"/>
  <c r="BE21" i="17"/>
  <c r="BD21" i="17"/>
  <c r="BC21" i="17"/>
  <c r="BB21" i="17"/>
  <c r="BA21" i="17"/>
  <c r="AZ21" i="17"/>
  <c r="AY21" i="17"/>
  <c r="AX21" i="17"/>
  <c r="AW21" i="17"/>
  <c r="AV21" i="17"/>
  <c r="AU21" i="17"/>
  <c r="AT21" i="17"/>
  <c r="AS21" i="17"/>
  <c r="AR21" i="17"/>
  <c r="AQ21" i="17"/>
  <c r="AP21" i="17"/>
  <c r="AO21" i="17"/>
  <c r="AN21" i="17"/>
  <c r="AM21" i="17"/>
  <c r="AI21" i="17"/>
  <c r="AH21" i="17"/>
  <c r="BJ20" i="17"/>
  <c r="BI20" i="17"/>
  <c r="BH20" i="17"/>
  <c r="BG20" i="17"/>
  <c r="BF20" i="17"/>
  <c r="BB20" i="17"/>
  <c r="AZ20" i="17"/>
  <c r="AX20" i="17"/>
  <c r="AV20" i="17"/>
  <c r="AU20" i="17"/>
  <c r="AT20" i="17"/>
  <c r="AS20" i="17"/>
  <c r="AP20" i="17"/>
  <c r="AO20" i="17"/>
  <c r="AI20" i="17"/>
  <c r="AH20" i="17"/>
  <c r="BH19" i="17"/>
  <c r="BC19" i="17"/>
  <c r="AI19" i="17"/>
  <c r="AH19" i="17"/>
  <c r="BI18" i="17"/>
  <c r="BF18" i="17"/>
  <c r="AZ18" i="17"/>
  <c r="AU18" i="17"/>
  <c r="AO18" i="17"/>
  <c r="AI18" i="17"/>
  <c r="AH18" i="17"/>
  <c r="BJ17" i="17"/>
  <c r="BG17" i="17"/>
  <c r="BF17" i="17"/>
  <c r="BD17" i="17"/>
  <c r="BB17" i="17"/>
  <c r="BA17" i="17"/>
  <c r="AY17" i="17"/>
  <c r="AX17" i="17"/>
  <c r="AO17" i="17"/>
  <c r="AN17" i="17"/>
  <c r="AM17" i="17"/>
  <c r="AI17" i="17"/>
  <c r="AH17" i="17"/>
  <c r="BI16" i="17"/>
  <c r="BH16" i="17"/>
  <c r="BG16" i="17"/>
  <c r="BF16" i="17"/>
  <c r="BB16" i="17"/>
  <c r="AS16" i="17"/>
  <c r="AP16" i="17"/>
  <c r="AM16" i="17"/>
  <c r="AI16" i="17"/>
  <c r="AH16" i="17"/>
  <c r="AI15" i="17"/>
  <c r="AH15" i="17"/>
  <c r="AI14" i="17"/>
  <c r="AH14" i="17"/>
  <c r="AI13" i="17"/>
  <c r="AH13" i="17"/>
  <c r="AL12" i="17"/>
  <c r="AI12" i="17"/>
  <c r="AH12" i="17"/>
  <c r="AI11" i="17"/>
  <c r="AH11" i="17"/>
  <c r="AD5" i="17"/>
  <c r="AC5" i="17"/>
  <c r="AB5" i="17"/>
  <c r="AA5" i="17"/>
  <c r="Z5" i="17"/>
  <c r="T5" i="17"/>
  <c r="M5" i="17"/>
  <c r="K5" i="17"/>
  <c r="AG4" i="17"/>
  <c r="K4" i="17"/>
  <c r="E4" i="17"/>
  <c r="H4" i="17" s="1"/>
  <c r="B4" i="17"/>
  <c r="D258" i="17" s="1"/>
  <c r="AF121" i="16"/>
  <c r="AF57" i="16"/>
  <c r="AE57" i="16"/>
  <c r="AE121" i="16"/>
  <c r="AE58" i="16"/>
  <c r="AE62" i="16"/>
  <c r="AE76" i="16"/>
  <c r="AE80" i="16"/>
  <c r="AE92" i="16"/>
  <c r="AE101" i="16"/>
  <c r="AE102" i="16"/>
  <c r="AE103" i="16"/>
  <c r="AE104" i="16"/>
  <c r="AE105" i="16"/>
  <c r="AE107" i="16" s="1"/>
  <c r="AD121" i="16"/>
  <c r="AD57" i="16"/>
  <c r="AC121" i="16"/>
  <c r="AC57" i="16"/>
  <c r="AB57" i="16"/>
  <c r="R121" i="16"/>
  <c r="BD19" i="17" l="1"/>
  <c r="Q251" i="18"/>
  <c r="P252" i="18"/>
  <c r="T246" i="18"/>
  <c r="AB107" i="17"/>
  <c r="AB97" i="17"/>
  <c r="AB99" i="17" s="1"/>
  <c r="AB100" i="17" s="1"/>
  <c r="AB7" i="17" s="1"/>
  <c r="W5" i="17"/>
  <c r="Y97" i="17"/>
  <c r="Y99" i="17" s="1"/>
  <c r="T107" i="17"/>
  <c r="T108" i="17" s="1"/>
  <c r="T97" i="17"/>
  <c r="T99" i="17" s="1"/>
  <c r="BB19" i="17"/>
  <c r="R5" i="17"/>
  <c r="V107" i="17"/>
  <c r="BD23" i="17" s="1"/>
  <c r="BH23" i="17"/>
  <c r="F107" i="17"/>
  <c r="AQ23" i="17" s="1"/>
  <c r="AG99" i="17"/>
  <c r="AA97" i="17"/>
  <c r="AA99" i="17" s="1"/>
  <c r="E107" i="17"/>
  <c r="AP23" i="17" s="1"/>
  <c r="BH22" i="17"/>
  <c r="X107" i="17"/>
  <c r="BJ23" i="17"/>
  <c r="Z107" i="17"/>
  <c r="BF23" i="17" s="1"/>
  <c r="I107" i="17"/>
  <c r="Y107" i="17"/>
  <c r="Y108" i="17" s="1"/>
  <c r="BJ19" i="17"/>
  <c r="BJ22" i="17" s="1"/>
  <c r="R107" i="17"/>
  <c r="AZ23" i="17" s="1"/>
  <c r="S107" i="17"/>
  <c r="AA107" i="17"/>
  <c r="AA108" i="17" s="1"/>
  <c r="BG18" i="17"/>
  <c r="BG22" i="17" s="1"/>
  <c r="AG6" i="17"/>
  <c r="S97" i="17"/>
  <c r="S99" i="17" s="1"/>
  <c r="R97" i="17"/>
  <c r="R99" i="17" s="1"/>
  <c r="R100" i="17" s="1"/>
  <c r="R7" i="17" s="1"/>
  <c r="Q107" i="17"/>
  <c r="AY23" i="17" s="1"/>
  <c r="P5" i="17"/>
  <c r="O5" i="17"/>
  <c r="P107" i="17"/>
  <c r="AX23" i="17" s="1"/>
  <c r="AX22" i="17"/>
  <c r="AW19" i="17"/>
  <c r="N107" i="17"/>
  <c r="AV23" i="17" s="1"/>
  <c r="L5" i="17"/>
  <c r="M107" i="17"/>
  <c r="AU23" i="17" s="1"/>
  <c r="AI102" i="17"/>
  <c r="AH105" i="17"/>
  <c r="L108" i="17"/>
  <c r="L97" i="17"/>
  <c r="L99" i="17" s="1"/>
  <c r="L100" i="17" s="1"/>
  <c r="L7" i="17" s="1"/>
  <c r="K107" i="17"/>
  <c r="AT23" i="17" s="1"/>
  <c r="AT19" i="17"/>
  <c r="J5" i="17"/>
  <c r="K97" i="17"/>
  <c r="K99" i="17" s="1"/>
  <c r="J107" i="17"/>
  <c r="J108" i="17" s="1"/>
  <c r="H5" i="17"/>
  <c r="I97" i="17"/>
  <c r="I99" i="17" s="1"/>
  <c r="I100" i="17" s="1"/>
  <c r="I7" i="17" s="1"/>
  <c r="H107" i="17"/>
  <c r="H108" i="17" s="1"/>
  <c r="H97" i="17"/>
  <c r="H99" i="17" s="1"/>
  <c r="H100" i="17" s="1"/>
  <c r="H7" i="17" s="1"/>
  <c r="F5" i="17"/>
  <c r="AI62" i="17"/>
  <c r="G97" i="17"/>
  <c r="G99" i="17" s="1"/>
  <c r="AR16" i="17"/>
  <c r="AR22" i="17" s="1"/>
  <c r="E5" i="17"/>
  <c r="D5" i="17"/>
  <c r="AP17" i="17"/>
  <c r="AP22" i="17" s="1"/>
  <c r="AP24" i="17" s="1"/>
  <c r="AI57" i="17"/>
  <c r="AH57" i="17"/>
  <c r="C5" i="17"/>
  <c r="D97" i="17"/>
  <c r="D99" i="17" s="1"/>
  <c r="AO22" i="17"/>
  <c r="D107" i="17"/>
  <c r="AI121" i="17"/>
  <c r="C97" i="17"/>
  <c r="C99" i="17" s="1"/>
  <c r="AN16" i="17"/>
  <c r="AN22" i="17" s="1"/>
  <c r="C107" i="17"/>
  <c r="B5" i="17"/>
  <c r="AI104" i="17"/>
  <c r="AH121" i="17"/>
  <c r="B108" i="17"/>
  <c r="B97" i="17"/>
  <c r="B99" i="17" s="1"/>
  <c r="B100" i="17" s="1"/>
  <c r="AH80" i="17"/>
  <c r="AI80" i="17"/>
  <c r="AH103" i="17"/>
  <c r="AL13" i="17"/>
  <c r="E97" i="17"/>
  <c r="E99" i="17" s="1"/>
  <c r="E100" i="17" s="1"/>
  <c r="E7" i="17" s="1"/>
  <c r="M97" i="17"/>
  <c r="M99" i="17" s="1"/>
  <c r="U97" i="17"/>
  <c r="U99" i="17" s="1"/>
  <c r="BG84" i="17" a="1"/>
  <c r="AB108" i="17"/>
  <c r="BG23" i="17"/>
  <c r="N97" i="17"/>
  <c r="N99" i="17" s="1"/>
  <c r="N100" i="17" s="1"/>
  <c r="N7" i="17" s="1"/>
  <c r="O97" i="17"/>
  <c r="O99" i="17" s="1"/>
  <c r="AW16" i="17"/>
  <c r="AW22" i="17" s="1"/>
  <c r="AM18" i="17"/>
  <c r="J97" i="17"/>
  <c r="J99" i="17" s="1"/>
  <c r="AH76" i="17"/>
  <c r="E108" i="17"/>
  <c r="AS23" i="17"/>
  <c r="I108" i="17"/>
  <c r="AI92" i="17"/>
  <c r="AH92" i="17"/>
  <c r="AI103" i="17"/>
  <c r="BA16" i="17"/>
  <c r="BA22" i="17" s="1"/>
  <c r="AM19" i="17"/>
  <c r="V97" i="17"/>
  <c r="V99" i="17" s="1"/>
  <c r="AF5" i="17"/>
  <c r="AS22" i="17"/>
  <c r="BC16" i="17"/>
  <c r="BC22" i="17" s="1"/>
  <c r="BF19" i="17"/>
  <c r="BF22" i="17" s="1"/>
  <c r="W97" i="17"/>
  <c r="W99" i="17" s="1"/>
  <c r="Z97" i="17"/>
  <c r="Z99" i="17" s="1"/>
  <c r="Z100" i="17" s="1"/>
  <c r="Z7" i="17" s="1"/>
  <c r="I5" i="17"/>
  <c r="Q5" i="17"/>
  <c r="Y5" i="17"/>
  <c r="AT16" i="17"/>
  <c r="BD16" i="17"/>
  <c r="BD22" i="17" s="1"/>
  <c r="P97" i="17"/>
  <c r="P99" i="17" s="1"/>
  <c r="P100" i="17" s="1"/>
  <c r="P7" i="17" s="1"/>
  <c r="X97" i="17"/>
  <c r="X99" i="17" s="1"/>
  <c r="BE16" i="17"/>
  <c r="BE22" i="17" s="1"/>
  <c r="AF7" i="17"/>
  <c r="AI76" i="17"/>
  <c r="F97" i="17"/>
  <c r="F99" i="17" s="1"/>
  <c r="F100" i="17" s="1"/>
  <c r="F7" i="17" s="1"/>
  <c r="AQ16" i="17"/>
  <c r="AQ22" i="17" s="1"/>
  <c r="AQ24" i="17" s="1"/>
  <c r="AH101" i="17"/>
  <c r="AD7" i="17"/>
  <c r="AU16" i="17"/>
  <c r="AU22" i="17" s="1"/>
  <c r="AU24" i="17" s="1"/>
  <c r="Q97" i="17"/>
  <c r="Q99" i="17" s="1"/>
  <c r="Q100" i="17" s="1"/>
  <c r="Q7" i="17" s="1"/>
  <c r="AY16" i="17"/>
  <c r="AY22" i="17" s="1"/>
  <c r="AY24" i="17" s="1"/>
  <c r="AG97" i="17"/>
  <c r="AH62" i="17"/>
  <c r="AV16" i="17"/>
  <c r="AV22" i="17" s="1"/>
  <c r="AV24" i="17" s="1"/>
  <c r="BB18" i="17"/>
  <c r="AZ19" i="17"/>
  <c r="AZ22" i="17" s="1"/>
  <c r="AZ24" i="17" s="1"/>
  <c r="AH58" i="17"/>
  <c r="AI58" i="17"/>
  <c r="Q108" i="17"/>
  <c r="AI101" i="17"/>
  <c r="AH102" i="17"/>
  <c r="AH104" i="17"/>
  <c r="AI105" i="17"/>
  <c r="F108" i="17"/>
  <c r="N108" i="17"/>
  <c r="U107" i="17"/>
  <c r="BC23" i="17" s="1"/>
  <c r="AC7" i="17"/>
  <c r="D252" i="17"/>
  <c r="G246" i="17"/>
  <c r="D118" i="17"/>
  <c r="E251" i="17"/>
  <c r="E252" i="17" s="1"/>
  <c r="BI19" i="17"/>
  <c r="BI22" i="17" s="1"/>
  <c r="G107" i="17"/>
  <c r="AR23" i="17" s="1"/>
  <c r="O107" i="17"/>
  <c r="AW23" i="17" s="1"/>
  <c r="W107" i="17"/>
  <c r="W108" i="17" s="1"/>
  <c r="BI23" i="17"/>
  <c r="AE97" i="16"/>
  <c r="AE99" i="16" s="1"/>
  <c r="AE100" i="16" s="1"/>
  <c r="AE108" i="16"/>
  <c r="BF24" i="17" l="1"/>
  <c r="BB23" i="17"/>
  <c r="T100" i="17"/>
  <c r="T7" i="17" s="1"/>
  <c r="S100" i="17"/>
  <c r="S7" i="17" s="1"/>
  <c r="U246" i="18"/>
  <c r="R251" i="18"/>
  <c r="Q118" i="18"/>
  <c r="Q252" i="18"/>
  <c r="BJ24" i="17"/>
  <c r="BH24" i="17"/>
  <c r="BG24" i="17"/>
  <c r="V100" i="17"/>
  <c r="V7" i="17" s="1"/>
  <c r="V108" i="17"/>
  <c r="BD24" i="17"/>
  <c r="BB22" i="17"/>
  <c r="BB24" i="17" s="1"/>
  <c r="X108" i="17"/>
  <c r="BE23" i="17"/>
  <c r="BE24" i="17" s="1"/>
  <c r="BA23" i="17"/>
  <c r="BA24" i="17" s="1"/>
  <c r="S108" i="17"/>
  <c r="J100" i="17"/>
  <c r="J7" i="17" s="1"/>
  <c r="M100" i="17"/>
  <c r="M7" i="17" s="1"/>
  <c r="X100" i="17"/>
  <c r="X7" i="17" s="1"/>
  <c r="AT22" i="17"/>
  <c r="AT24" i="17" s="1"/>
  <c r="R108" i="17"/>
  <c r="Y100" i="17"/>
  <c r="Y7" i="17" s="1"/>
  <c r="K100" i="17"/>
  <c r="K7" i="17" s="1"/>
  <c r="AX24" i="17"/>
  <c r="Z108" i="17"/>
  <c r="BI24" i="17"/>
  <c r="AA100" i="17"/>
  <c r="AA7" i="17" s="1"/>
  <c r="P108" i="17"/>
  <c r="O100" i="17"/>
  <c r="O7" i="17" s="1"/>
  <c r="O108" i="17"/>
  <c r="AW24" i="17"/>
  <c r="M108" i="17"/>
  <c r="K108" i="17"/>
  <c r="AS24" i="17"/>
  <c r="G108" i="17"/>
  <c r="G100" i="17"/>
  <c r="G7" i="17" s="1"/>
  <c r="AR24" i="17"/>
  <c r="D108" i="17"/>
  <c r="AO23" i="17"/>
  <c r="AO24" i="17"/>
  <c r="D100" i="17"/>
  <c r="D7" i="17" s="1"/>
  <c r="AN23" i="17"/>
  <c r="AN24" i="17" s="1"/>
  <c r="C108" i="17"/>
  <c r="C100" i="17"/>
  <c r="C7" i="17" s="1"/>
  <c r="AM22" i="17"/>
  <c r="AE7" i="17"/>
  <c r="F251" i="17"/>
  <c r="E118" i="17"/>
  <c r="B256" i="17"/>
  <c r="W100" i="17"/>
  <c r="W7" i="17" s="1"/>
  <c r="U108" i="17"/>
  <c r="H246" i="17"/>
  <c r="AH107" i="17"/>
  <c r="AM23" i="17"/>
  <c r="AI107" i="17"/>
  <c r="BC24" i="17"/>
  <c r="C256" i="17"/>
  <c r="BJ107" i="17"/>
  <c r="BH106" i="17"/>
  <c r="BL104" i="17"/>
  <c r="BJ103" i="17"/>
  <c r="BH102" i="17"/>
  <c r="BL100" i="17"/>
  <c r="BJ99" i="17"/>
  <c r="BH98" i="17"/>
  <c r="BL96" i="17"/>
  <c r="BJ95" i="17"/>
  <c r="BH94" i="17"/>
  <c r="BL92" i="17"/>
  <c r="BJ91" i="17"/>
  <c r="BH90" i="17"/>
  <c r="BL88" i="17"/>
  <c r="BJ87" i="17"/>
  <c r="BH86" i="17"/>
  <c r="BL84" i="17"/>
  <c r="BK106" i="17"/>
  <c r="BI105" i="17"/>
  <c r="BG104" i="17"/>
  <c r="BK102" i="17"/>
  <c r="BI101" i="17"/>
  <c r="BG100" i="17"/>
  <c r="BK98" i="17"/>
  <c r="BI97" i="17"/>
  <c r="BG96" i="17"/>
  <c r="BK94" i="17"/>
  <c r="BI93" i="17"/>
  <c r="BG92" i="17"/>
  <c r="BK90" i="17"/>
  <c r="BI89" i="17"/>
  <c r="BG88" i="17"/>
  <c r="BK86" i="17"/>
  <c r="BI85" i="17"/>
  <c r="BG84" i="17"/>
  <c r="BH107" i="17"/>
  <c r="BJ105" i="17"/>
  <c r="BK103" i="17"/>
  <c r="BL101" i="17"/>
  <c r="BH100" i="17"/>
  <c r="BI98" i="17"/>
  <c r="BJ96" i="17"/>
  <c r="BL94" i="17"/>
  <c r="BG93" i="17"/>
  <c r="BH91" i="17"/>
  <c r="BJ89" i="17"/>
  <c r="BK87" i="17"/>
  <c r="BL85" i="17"/>
  <c r="BH84" i="17"/>
  <c r="BG107" i="17"/>
  <c r="BH105" i="17"/>
  <c r="BI103" i="17"/>
  <c r="BK101" i="17"/>
  <c r="BL99" i="17"/>
  <c r="BG98" i="17"/>
  <c r="BI96" i="17"/>
  <c r="BJ94" i="17"/>
  <c r="BK92" i="17"/>
  <c r="BG91" i="17"/>
  <c r="BH89" i="17"/>
  <c r="BK85" i="17"/>
  <c r="BI87" i="17"/>
  <c r="BL106" i="17"/>
  <c r="BG105" i="17"/>
  <c r="BH103" i="17"/>
  <c r="BJ101" i="17"/>
  <c r="BK99" i="17"/>
  <c r="BL97" i="17"/>
  <c r="BH96" i="17"/>
  <c r="BI94" i="17"/>
  <c r="BJ92" i="17"/>
  <c r="BL90" i="17"/>
  <c r="BG89" i="17"/>
  <c r="BH87" i="17"/>
  <c r="BJ85" i="17"/>
  <c r="BJ106" i="17"/>
  <c r="BI106" i="17"/>
  <c r="BJ104" i="17"/>
  <c r="BL102" i="17"/>
  <c r="BG101" i="17"/>
  <c r="BH99" i="17"/>
  <c r="BJ97" i="17"/>
  <c r="BK95" i="17"/>
  <c r="BL93" i="17"/>
  <c r="BH92" i="17"/>
  <c r="BI90" i="17"/>
  <c r="BJ88" i="17"/>
  <c r="BL86" i="17"/>
  <c r="BG85" i="17"/>
  <c r="BL107" i="17"/>
  <c r="BG106" i="17"/>
  <c r="BI104" i="17"/>
  <c r="BJ102" i="17"/>
  <c r="BK100" i="17"/>
  <c r="BG99" i="17"/>
  <c r="BH97" i="17"/>
  <c r="BI95" i="17"/>
  <c r="BK93" i="17"/>
  <c r="BL91" i="17"/>
  <c r="BG90" i="17"/>
  <c r="BI88" i="17"/>
  <c r="BJ86" i="17"/>
  <c r="BK84" i="17"/>
  <c r="BK105" i="17"/>
  <c r="BJ100" i="17"/>
  <c r="BL95" i="17"/>
  <c r="BI91" i="17"/>
  <c r="BI86" i="17"/>
  <c r="BI107" i="17"/>
  <c r="BG97" i="17"/>
  <c r="BL87" i="17"/>
  <c r="BL105" i="17"/>
  <c r="BK96" i="17"/>
  <c r="BG87" i="17"/>
  <c r="BK104" i="17"/>
  <c r="BI100" i="17"/>
  <c r="BH95" i="17"/>
  <c r="BJ90" i="17"/>
  <c r="BG86" i="17"/>
  <c r="BH104" i="17"/>
  <c r="BI99" i="17"/>
  <c r="BG95" i="17"/>
  <c r="BL89" i="17"/>
  <c r="BH85" i="17"/>
  <c r="BG102" i="17"/>
  <c r="BI92" i="17"/>
  <c r="BH101" i="17"/>
  <c r="BK91" i="17"/>
  <c r="BL103" i="17"/>
  <c r="BL98" i="17"/>
  <c r="BG94" i="17"/>
  <c r="BK89" i="17"/>
  <c r="BJ84" i="17"/>
  <c r="BG103" i="17"/>
  <c r="BJ98" i="17"/>
  <c r="BJ93" i="17"/>
  <c r="BK88" i="17"/>
  <c r="BI84" i="17"/>
  <c r="BK107" i="17"/>
  <c r="BI102" i="17"/>
  <c r="BK97" i="17"/>
  <c r="BH93" i="17"/>
  <c r="BH88" i="17"/>
  <c r="AI97" i="17"/>
  <c r="AH97" i="17"/>
  <c r="U100" i="17"/>
  <c r="U7" i="17" s="1"/>
  <c r="S251" i="18" l="1"/>
  <c r="R252" i="18"/>
  <c r="R118" i="18"/>
  <c r="V246" i="18"/>
  <c r="AM24" i="17"/>
  <c r="AT8" i="17"/>
  <c r="AI108" i="17"/>
  <c r="AT9" i="17"/>
  <c r="K6" i="17"/>
  <c r="G251" i="17"/>
  <c r="F118" i="17"/>
  <c r="F252" i="17"/>
  <c r="AH99" i="17"/>
  <c r="AI99" i="17"/>
  <c r="AH108" i="17"/>
  <c r="I246" i="17"/>
  <c r="W246" i="18" l="1"/>
  <c r="T251" i="18"/>
  <c r="S252" i="18"/>
  <c r="S118" i="18"/>
  <c r="J246" i="17"/>
  <c r="AH100" i="17"/>
  <c r="B7" i="17"/>
  <c r="A7" i="17" s="1"/>
  <c r="AI100" i="17"/>
  <c r="H251" i="17"/>
  <c r="G252" i="17"/>
  <c r="G118" i="17"/>
  <c r="U251" i="18" l="1"/>
  <c r="T252" i="18"/>
  <c r="T118" i="18"/>
  <c r="X246" i="18"/>
  <c r="I251" i="17"/>
  <c r="H118" i="17"/>
  <c r="H252" i="17"/>
  <c r="K246" i="17"/>
  <c r="Y246" i="18" l="1"/>
  <c r="V251" i="18"/>
  <c r="U118" i="18"/>
  <c r="U252" i="18"/>
  <c r="L246" i="17"/>
  <c r="J251" i="17"/>
  <c r="I252" i="17"/>
  <c r="I118" i="17"/>
  <c r="W251" i="18" l="1"/>
  <c r="V252" i="18"/>
  <c r="Z246" i="18"/>
  <c r="K251" i="17"/>
  <c r="J252" i="17"/>
  <c r="J118" i="17"/>
  <c r="M246" i="17"/>
  <c r="AA246" i="18" l="1"/>
  <c r="X251" i="18"/>
  <c r="W252" i="18"/>
  <c r="N246" i="17"/>
  <c r="L251" i="17"/>
  <c r="K252" i="17"/>
  <c r="K118" i="17"/>
  <c r="Y251" i="18" l="1"/>
  <c r="X252" i="18"/>
  <c r="AB246" i="18"/>
  <c r="M251" i="17"/>
  <c r="L118" i="17"/>
  <c r="L252" i="17"/>
  <c r="O246" i="17"/>
  <c r="AC246" i="18" l="1"/>
  <c r="Z251" i="18"/>
  <c r="Y252" i="18"/>
  <c r="P246" i="17"/>
  <c r="N251" i="17"/>
  <c r="M118" i="17"/>
  <c r="M252" i="17"/>
  <c r="AA251" i="18" l="1"/>
  <c r="Z252" i="18"/>
  <c r="AD246" i="18"/>
  <c r="O251" i="17"/>
  <c r="N252" i="17"/>
  <c r="N118" i="17"/>
  <c r="Q246" i="17"/>
  <c r="AE246" i="18" l="1"/>
  <c r="AB251" i="18"/>
  <c r="AA252" i="18"/>
  <c r="P251" i="17"/>
  <c r="O252" i="17"/>
  <c r="O118" i="17"/>
  <c r="R246" i="17"/>
  <c r="AC251" i="18" l="1"/>
  <c r="AB252" i="18"/>
  <c r="AB118" i="18"/>
  <c r="AF246" i="18"/>
  <c r="S246" i="17"/>
  <c r="Q251" i="17"/>
  <c r="P252" i="17"/>
  <c r="B246" i="18" l="1"/>
  <c r="AD251" i="18"/>
  <c r="AC252" i="18"/>
  <c r="AC118" i="18"/>
  <c r="T246" i="17"/>
  <c r="R251" i="17"/>
  <c r="Q252" i="17"/>
  <c r="Q118" i="17"/>
  <c r="AE251" i="18" l="1"/>
  <c r="AD252" i="18"/>
  <c r="AD118" i="18"/>
  <c r="S251" i="17"/>
  <c r="R252" i="17"/>
  <c r="R118" i="17"/>
  <c r="U246" i="17"/>
  <c r="AF251" i="18" l="1"/>
  <c r="AE252" i="18"/>
  <c r="AE118" i="18"/>
  <c r="T251" i="17"/>
  <c r="S252" i="17"/>
  <c r="S118" i="17"/>
  <c r="V246" i="17"/>
  <c r="B251" i="18" l="1"/>
  <c r="AF252" i="18"/>
  <c r="AF118" i="18"/>
  <c r="W246" i="17"/>
  <c r="U251" i="17"/>
  <c r="T252" i="17"/>
  <c r="T118" i="17"/>
  <c r="B252" i="18" l="1"/>
  <c r="V251" i="17"/>
  <c r="U118" i="17"/>
  <c r="U252" i="17"/>
  <c r="X246" i="17"/>
  <c r="AH118" i="18" l="1"/>
  <c r="AI118" i="18"/>
  <c r="Y246" i="17"/>
  <c r="W251" i="17"/>
  <c r="V252" i="17"/>
  <c r="V118" i="17"/>
  <c r="X251" i="17" l="1"/>
  <c r="W252" i="17"/>
  <c r="W118" i="17"/>
  <c r="Z246" i="17"/>
  <c r="AA246" i="17" l="1"/>
  <c r="Y251" i="17"/>
  <c r="X118" i="17"/>
  <c r="X252" i="17"/>
  <c r="Z251" i="17" l="1"/>
  <c r="Y252" i="17"/>
  <c r="AB246" i="17"/>
  <c r="AC246" i="17" l="1"/>
  <c r="AA251" i="17"/>
  <c r="Z252" i="17"/>
  <c r="AB251" i="17" l="1"/>
  <c r="AA252" i="17"/>
  <c r="AA118" i="17"/>
  <c r="AD246" i="17"/>
  <c r="AE246" i="17" l="1"/>
  <c r="AC251" i="17"/>
  <c r="AB252" i="17"/>
  <c r="AD251" i="17" l="1"/>
  <c r="AC252" i="17"/>
  <c r="AF246" i="17"/>
  <c r="B246" i="17" l="1"/>
  <c r="AE251" i="17"/>
  <c r="AD252" i="17"/>
  <c r="AF251" i="17" l="1"/>
  <c r="AE252" i="17"/>
  <c r="B251" i="17" l="1"/>
  <c r="B118" i="17" s="1"/>
  <c r="AF252" i="17"/>
  <c r="B252" i="17" l="1"/>
  <c r="AI118" i="17" l="1"/>
  <c r="AH118" i="17"/>
  <c r="P121" i="16" l="1"/>
  <c r="O57" i="16"/>
  <c r="P57" i="16"/>
  <c r="N57" i="16" l="1"/>
  <c r="M57" i="16" l="1"/>
  <c r="L121" i="16"/>
  <c r="L57" i="16"/>
  <c r="K121" i="16"/>
  <c r="K57" i="16"/>
  <c r="I121" i="16"/>
  <c r="J121" i="16"/>
  <c r="J57" i="16"/>
  <c r="I57" i="16"/>
  <c r="H57" i="16"/>
  <c r="G57" i="16"/>
  <c r="F121" i="16"/>
  <c r="F57" i="16"/>
  <c r="E121" i="16"/>
  <c r="E57" i="16"/>
  <c r="AH125" i="16" l="1"/>
  <c r="AI125" i="16"/>
  <c r="AH124" i="16"/>
  <c r="AI124" i="16"/>
  <c r="D121" i="16"/>
  <c r="AI121" i="16" s="1"/>
  <c r="D57" i="16"/>
  <c r="C58" i="16"/>
  <c r="C62" i="16"/>
  <c r="C76" i="16"/>
  <c r="AN18" i="16" s="1"/>
  <c r="C80" i="16"/>
  <c r="C92" i="16"/>
  <c r="AN19" i="16" s="1"/>
  <c r="C101" i="16"/>
  <c r="C102" i="16"/>
  <c r="C107" i="16" s="1"/>
  <c r="AN23" i="16" s="1"/>
  <c r="C103" i="16"/>
  <c r="C104" i="16"/>
  <c r="C105" i="16"/>
  <c r="C118" i="16"/>
  <c r="B140" i="15"/>
  <c r="B118" i="16"/>
  <c r="B105" i="16"/>
  <c r="B104" i="16"/>
  <c r="B103" i="16"/>
  <c r="B102" i="16"/>
  <c r="B101" i="16"/>
  <c r="B92" i="16"/>
  <c r="AM19" i="16" s="1"/>
  <c r="B80" i="16"/>
  <c r="B76" i="16"/>
  <c r="B62" i="16"/>
  <c r="B58" i="16"/>
  <c r="AG252" i="16"/>
  <c r="C252" i="16"/>
  <c r="D251" i="16"/>
  <c r="K250" i="16"/>
  <c r="L250" i="16" s="1"/>
  <c r="M250" i="16" s="1"/>
  <c r="N250" i="16" s="1"/>
  <c r="O250" i="16" s="1"/>
  <c r="P250" i="16" s="1"/>
  <c r="Q250" i="16" s="1"/>
  <c r="R250" i="16" s="1"/>
  <c r="S250" i="16" s="1"/>
  <c r="T250" i="16" s="1"/>
  <c r="U250" i="16" s="1"/>
  <c r="V250" i="16" s="1"/>
  <c r="W250" i="16" s="1"/>
  <c r="X250" i="16" s="1"/>
  <c r="Y250" i="16" s="1"/>
  <c r="Z250" i="16" s="1"/>
  <c r="AA250" i="16" s="1"/>
  <c r="AB250" i="16" s="1"/>
  <c r="AC250" i="16" s="1"/>
  <c r="AD250" i="16" s="1"/>
  <c r="AE250" i="16" s="1"/>
  <c r="AF250" i="16" s="1"/>
  <c r="B250" i="16" s="1"/>
  <c r="J250" i="16"/>
  <c r="E250" i="16"/>
  <c r="F250" i="16" s="1"/>
  <c r="G250" i="16" s="1"/>
  <c r="H250" i="16" s="1"/>
  <c r="I250" i="16" s="1"/>
  <c r="D250" i="16"/>
  <c r="F249" i="16"/>
  <c r="G249" i="16" s="1"/>
  <c r="H249" i="16" s="1"/>
  <c r="I249" i="16" s="1"/>
  <c r="J249" i="16" s="1"/>
  <c r="K249" i="16" s="1"/>
  <c r="L249" i="16" s="1"/>
  <c r="M249" i="16" s="1"/>
  <c r="N249" i="16" s="1"/>
  <c r="O249" i="16" s="1"/>
  <c r="P249" i="16" s="1"/>
  <c r="Q249" i="16" s="1"/>
  <c r="R249" i="16" s="1"/>
  <c r="S249" i="16" s="1"/>
  <c r="T249" i="16" s="1"/>
  <c r="U249" i="16" s="1"/>
  <c r="V249" i="16" s="1"/>
  <c r="W249" i="16" s="1"/>
  <c r="X249" i="16" s="1"/>
  <c r="Y249" i="16" s="1"/>
  <c r="Z249" i="16" s="1"/>
  <c r="AA249" i="16" s="1"/>
  <c r="AB249" i="16" s="1"/>
  <c r="AC249" i="16" s="1"/>
  <c r="AD249" i="16" s="1"/>
  <c r="AE249" i="16" s="1"/>
  <c r="AF249" i="16" s="1"/>
  <c r="B249" i="16" s="1"/>
  <c r="E249" i="16"/>
  <c r="D249" i="16"/>
  <c r="D248" i="16"/>
  <c r="E248" i="16" s="1"/>
  <c r="F248" i="16" s="1"/>
  <c r="G248" i="16" s="1"/>
  <c r="H248" i="16" s="1"/>
  <c r="I248" i="16" s="1"/>
  <c r="J248" i="16" s="1"/>
  <c r="K248" i="16" s="1"/>
  <c r="L248" i="16" s="1"/>
  <c r="M248" i="16" s="1"/>
  <c r="N248" i="16" s="1"/>
  <c r="O248" i="16" s="1"/>
  <c r="P248" i="16" s="1"/>
  <c r="Q248" i="16" s="1"/>
  <c r="R248" i="16" s="1"/>
  <c r="S248" i="16" s="1"/>
  <c r="T248" i="16" s="1"/>
  <c r="U248" i="16" s="1"/>
  <c r="V248" i="16" s="1"/>
  <c r="W248" i="16" s="1"/>
  <c r="X248" i="16" s="1"/>
  <c r="Y248" i="16" s="1"/>
  <c r="Z248" i="16" s="1"/>
  <c r="AA248" i="16" s="1"/>
  <c r="AB248" i="16" s="1"/>
  <c r="AC248" i="16" s="1"/>
  <c r="AD248" i="16" s="1"/>
  <c r="AE248" i="16" s="1"/>
  <c r="AF248" i="16" s="1"/>
  <c r="B248" i="16" s="1"/>
  <c r="D247" i="16"/>
  <c r="E247" i="16" s="1"/>
  <c r="E246" i="16"/>
  <c r="F246" i="16" s="1"/>
  <c r="G246" i="16" s="1"/>
  <c r="D246" i="16"/>
  <c r="D252" i="16" s="1"/>
  <c r="AG244" i="16"/>
  <c r="AF244" i="16"/>
  <c r="AE244" i="16"/>
  <c r="AD244" i="16"/>
  <c r="AC244" i="16"/>
  <c r="AB244" i="16"/>
  <c r="AA244" i="16"/>
  <c r="Z244" i="16"/>
  <c r="Z118" i="16" s="1"/>
  <c r="Y244" i="16"/>
  <c r="Y118" i="16" s="1"/>
  <c r="X244" i="16"/>
  <c r="W244" i="16"/>
  <c r="V244" i="16"/>
  <c r="U244" i="16"/>
  <c r="T244" i="16"/>
  <c r="S244" i="16"/>
  <c r="R244" i="16"/>
  <c r="Q244" i="16"/>
  <c r="P244" i="16"/>
  <c r="O244" i="16"/>
  <c r="N244" i="16"/>
  <c r="M244" i="16"/>
  <c r="L244" i="16"/>
  <c r="K244" i="16"/>
  <c r="J244" i="16"/>
  <c r="I244" i="16"/>
  <c r="H244" i="16"/>
  <c r="G244" i="16"/>
  <c r="F244" i="16"/>
  <c r="E244" i="16"/>
  <c r="D244" i="16"/>
  <c r="C244" i="16"/>
  <c r="B244" i="16"/>
  <c r="AI130" i="16"/>
  <c r="AH130" i="16"/>
  <c r="AI129" i="16"/>
  <c r="AH129" i="16"/>
  <c r="AI128" i="16"/>
  <c r="AH128" i="16"/>
  <c r="AI127" i="16"/>
  <c r="AH127" i="16"/>
  <c r="AI126" i="16"/>
  <c r="AH126" i="16"/>
  <c r="AI123" i="16"/>
  <c r="AH123" i="16"/>
  <c r="AI122" i="16"/>
  <c r="AH122" i="16"/>
  <c r="AH121" i="16"/>
  <c r="AI120" i="16"/>
  <c r="AH120" i="16"/>
  <c r="AI119" i="16"/>
  <c r="AH119" i="16"/>
  <c r="AI117" i="16"/>
  <c r="AH117" i="16"/>
  <c r="AI116" i="16"/>
  <c r="AH116" i="16"/>
  <c r="AI115" i="16"/>
  <c r="AH115" i="16"/>
  <c r="AI114" i="16"/>
  <c r="AH114" i="16"/>
  <c r="AI113" i="16"/>
  <c r="AH113" i="16"/>
  <c r="AI112" i="16"/>
  <c r="AH112" i="16"/>
  <c r="AI111" i="16"/>
  <c r="AH111" i="16"/>
  <c r="AI110" i="16"/>
  <c r="AH110" i="16"/>
  <c r="AI109" i="16"/>
  <c r="AH109" i="16"/>
  <c r="AI106" i="16"/>
  <c r="AH106" i="16"/>
  <c r="AF105" i="16"/>
  <c r="AD105" i="16"/>
  <c r="AC105" i="16"/>
  <c r="AB105" i="16"/>
  <c r="AA105" i="16"/>
  <c r="Z105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AF104" i="16"/>
  <c r="AD104" i="16"/>
  <c r="AC104" i="16"/>
  <c r="AB104" i="16"/>
  <c r="AA104" i="16"/>
  <c r="Z104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AF103" i="16"/>
  <c r="AD103" i="16"/>
  <c r="AC103" i="16"/>
  <c r="AB103" i="16"/>
  <c r="AA103" i="16"/>
  <c r="Z103" i="16"/>
  <c r="Y103" i="16"/>
  <c r="X103" i="16"/>
  <c r="W103" i="16"/>
  <c r="V103" i="16"/>
  <c r="U103" i="16"/>
  <c r="T103" i="16"/>
  <c r="S103" i="16"/>
  <c r="R103" i="16"/>
  <c r="Q103" i="16"/>
  <c r="P103" i="16"/>
  <c r="O103" i="16"/>
  <c r="N103" i="16"/>
  <c r="M103" i="16"/>
  <c r="L103" i="16"/>
  <c r="K103" i="16"/>
  <c r="J103" i="16"/>
  <c r="I103" i="16"/>
  <c r="H103" i="16"/>
  <c r="G103" i="16"/>
  <c r="F103" i="16"/>
  <c r="E103" i="16"/>
  <c r="D103" i="16"/>
  <c r="AF102" i="16"/>
  <c r="AD102" i="16"/>
  <c r="AC102" i="16"/>
  <c r="AB102" i="16"/>
  <c r="AA102" i="16"/>
  <c r="Z102" i="16"/>
  <c r="Y102" i="16"/>
  <c r="X102" i="16"/>
  <c r="W102" i="16"/>
  <c r="V102" i="16"/>
  <c r="U102" i="16"/>
  <c r="T102" i="16"/>
  <c r="S102" i="16"/>
  <c r="R102" i="16"/>
  <c r="Q102" i="16"/>
  <c r="P102" i="16"/>
  <c r="O102" i="16"/>
  <c r="N102" i="16"/>
  <c r="M102" i="16"/>
  <c r="L102" i="16"/>
  <c r="K102" i="16"/>
  <c r="J102" i="16"/>
  <c r="I102" i="16"/>
  <c r="H102" i="16"/>
  <c r="G102" i="16"/>
  <c r="F102" i="16"/>
  <c r="E102" i="16"/>
  <c r="D102" i="16"/>
  <c r="D107" i="16" s="1"/>
  <c r="AF101" i="16"/>
  <c r="AD101" i="16"/>
  <c r="AC101" i="16"/>
  <c r="AB101" i="16"/>
  <c r="AA101" i="16"/>
  <c r="Z101" i="16"/>
  <c r="Y101" i="16"/>
  <c r="X101" i="16"/>
  <c r="W101" i="16"/>
  <c r="V101" i="16"/>
  <c r="U101" i="16"/>
  <c r="T101" i="16"/>
  <c r="S101" i="16"/>
  <c r="R101" i="16"/>
  <c r="Q101" i="16"/>
  <c r="P101" i="16"/>
  <c r="O101" i="16"/>
  <c r="N101" i="16"/>
  <c r="M101" i="16"/>
  <c r="L101" i="16"/>
  <c r="K101" i="16"/>
  <c r="K107" i="16" s="1"/>
  <c r="AT23" i="16" s="1"/>
  <c r="J101" i="16"/>
  <c r="I101" i="16"/>
  <c r="H101" i="16"/>
  <c r="G101" i="16"/>
  <c r="F101" i="16"/>
  <c r="E101" i="16"/>
  <c r="D101" i="16"/>
  <c r="AI98" i="16"/>
  <c r="AH98" i="16"/>
  <c r="AI96" i="16"/>
  <c r="AH96" i="16"/>
  <c r="AG96" i="16"/>
  <c r="AG99" i="16" s="1"/>
  <c r="AI95" i="16"/>
  <c r="AH95" i="16"/>
  <c r="AI94" i="16"/>
  <c r="AH94" i="16"/>
  <c r="AI93" i="16"/>
  <c r="AH93" i="16"/>
  <c r="AG92" i="16"/>
  <c r="AF92" i="16"/>
  <c r="AE5" i="16" s="1"/>
  <c r="AD92" i="16"/>
  <c r="BH19" i="16" s="1"/>
  <c r="AC92" i="16"/>
  <c r="AB92" i="16"/>
  <c r="AA5" i="16" s="1"/>
  <c r="AA92" i="16"/>
  <c r="Z92" i="16"/>
  <c r="BF19" i="16" s="1"/>
  <c r="Y92" i="16"/>
  <c r="X92" i="16"/>
  <c r="W5" i="16" s="1"/>
  <c r="W92" i="16"/>
  <c r="V5" i="16" s="1"/>
  <c r="V92" i="16"/>
  <c r="BD19" i="16" s="1"/>
  <c r="U92" i="16"/>
  <c r="T92" i="16"/>
  <c r="S5" i="16" s="1"/>
  <c r="S92" i="16"/>
  <c r="R92" i="16"/>
  <c r="AZ19" i="16" s="1"/>
  <c r="Q92" i="16"/>
  <c r="AY19" i="16" s="1"/>
  <c r="P92" i="16"/>
  <c r="O92" i="16"/>
  <c r="N92" i="16"/>
  <c r="AV19" i="16" s="1"/>
  <c r="M92" i="16"/>
  <c r="L92" i="16"/>
  <c r="K92" i="16"/>
  <c r="J92" i="16"/>
  <c r="I92" i="16"/>
  <c r="AS19" i="16" s="1"/>
  <c r="H92" i="16"/>
  <c r="G5" i="16" s="1"/>
  <c r="G92" i="16"/>
  <c r="F5" i="16" s="1"/>
  <c r="F92" i="16"/>
  <c r="AQ19" i="16" s="1"/>
  <c r="E92" i="16"/>
  <c r="AP19" i="16" s="1"/>
  <c r="D92" i="16"/>
  <c r="D108" i="16" s="1"/>
  <c r="AI91" i="16"/>
  <c r="AH91" i="16"/>
  <c r="AI90" i="16"/>
  <c r="AH90" i="16"/>
  <c r="AI89" i="16"/>
  <c r="AH89" i="16"/>
  <c r="AI88" i="16"/>
  <c r="AH88" i="16"/>
  <c r="AI87" i="16"/>
  <c r="AH87" i="16"/>
  <c r="AI86" i="16"/>
  <c r="AH86" i="16"/>
  <c r="AI85" i="16"/>
  <c r="AH85" i="16"/>
  <c r="AI84" i="16"/>
  <c r="AH84" i="16"/>
  <c r="AI83" i="16"/>
  <c r="AH83" i="16"/>
  <c r="AI82" i="16"/>
  <c r="AH82" i="16"/>
  <c r="AI81" i="16"/>
  <c r="AH81" i="16"/>
  <c r="BO80" i="16"/>
  <c r="BH80" i="16"/>
  <c r="BG80" i="16"/>
  <c r="AG80" i="16"/>
  <c r="AF80" i="16"/>
  <c r="AD80" i="16"/>
  <c r="BH20" i="16" s="1"/>
  <c r="AC80" i="16"/>
  <c r="AB80" i="16"/>
  <c r="AA80" i="16"/>
  <c r="Z80" i="16"/>
  <c r="Y80" i="16"/>
  <c r="X80" i="16"/>
  <c r="BE20" i="16" s="1"/>
  <c r="W80" i="16"/>
  <c r="V80" i="16"/>
  <c r="U80" i="16"/>
  <c r="T80" i="16"/>
  <c r="S80" i="16"/>
  <c r="R80" i="16"/>
  <c r="Q80" i="16"/>
  <c r="AY20" i="16" s="1"/>
  <c r="P80" i="16"/>
  <c r="O80" i="16"/>
  <c r="N80" i="16"/>
  <c r="AV20" i="16" s="1"/>
  <c r="M80" i="16"/>
  <c r="L80" i="16"/>
  <c r="K80" i="16"/>
  <c r="J80" i="16"/>
  <c r="I80" i="16"/>
  <c r="AS20" i="16" s="1"/>
  <c r="H80" i="16"/>
  <c r="G80" i="16"/>
  <c r="AR20" i="16" s="1"/>
  <c r="F80" i="16"/>
  <c r="AQ20" i="16" s="1"/>
  <c r="E80" i="16"/>
  <c r="D80" i="16"/>
  <c r="AO20" i="16" s="1"/>
  <c r="BR79" i="16"/>
  <c r="BL79" i="16"/>
  <c r="AI79" i="16"/>
  <c r="AH79" i="16"/>
  <c r="BV78" i="16"/>
  <c r="BT78" i="16"/>
  <c r="BL78" i="16"/>
  <c r="BF78" i="16"/>
  <c r="AI78" i="16"/>
  <c r="AH78" i="16"/>
  <c r="BV77" i="16"/>
  <c r="AI77" i="16"/>
  <c r="AH77" i="16"/>
  <c r="BQ76" i="16"/>
  <c r="BP76" i="16"/>
  <c r="BH76" i="16"/>
  <c r="BG76" i="16"/>
  <c r="BB76" i="16"/>
  <c r="AG76" i="16"/>
  <c r="AG3" i="16" s="1"/>
  <c r="AG6" i="16" s="1"/>
  <c r="AF76" i="16"/>
  <c r="BI18" i="16"/>
  <c r="AD76" i="16"/>
  <c r="BH18" i="16" s="1"/>
  <c r="AC76" i="16"/>
  <c r="AB76" i="16"/>
  <c r="BG18" i="16" s="1"/>
  <c r="AA76" i="16"/>
  <c r="Z76" i="16"/>
  <c r="Y76" i="16"/>
  <c r="X76" i="16"/>
  <c r="W76" i="16"/>
  <c r="V76" i="16"/>
  <c r="BD18" i="16" s="1"/>
  <c r="U76" i="16"/>
  <c r="T76" i="16"/>
  <c r="S76" i="16"/>
  <c r="BA18" i="16" s="1"/>
  <c r="R76" i="16"/>
  <c r="AZ18" i="16" s="1"/>
  <c r="Q76" i="16"/>
  <c r="P76" i="16"/>
  <c r="AX18" i="16" s="1"/>
  <c r="O76" i="16"/>
  <c r="N76" i="16"/>
  <c r="AV18" i="16" s="1"/>
  <c r="M76" i="16"/>
  <c r="L76" i="16"/>
  <c r="K76" i="16"/>
  <c r="AT18" i="16" s="1"/>
  <c r="J76" i="16"/>
  <c r="I76" i="16"/>
  <c r="AS18" i="16" s="1"/>
  <c r="H76" i="16"/>
  <c r="G76" i="16"/>
  <c r="F76" i="16"/>
  <c r="AQ18" i="16" s="1"/>
  <c r="E76" i="16"/>
  <c r="D76" i="16"/>
  <c r="AM18" i="16"/>
  <c r="BT75" i="16"/>
  <c r="BH75" i="16"/>
  <c r="BE75" i="16"/>
  <c r="BA75" i="16"/>
  <c r="AI75" i="16"/>
  <c r="AH75" i="16"/>
  <c r="AG75" i="16"/>
  <c r="AI74" i="16"/>
  <c r="AH74" i="16"/>
  <c r="BW73" i="16"/>
  <c r="BW80" i="16" s="1"/>
  <c r="BV73" i="16"/>
  <c r="BV80" i="16" s="1"/>
  <c r="BU73" i="16"/>
  <c r="BU80" i="16" s="1"/>
  <c r="BT73" i="16"/>
  <c r="BT80" i="16" s="1"/>
  <c r="BS73" i="16"/>
  <c r="BS80" i="16" s="1"/>
  <c r="BR73" i="16"/>
  <c r="BR80" i="16" s="1"/>
  <c r="BQ73" i="16"/>
  <c r="BQ80" i="16" s="1"/>
  <c r="BP73" i="16"/>
  <c r="BP80" i="16" s="1"/>
  <c r="BO73" i="16"/>
  <c r="BN73" i="16"/>
  <c r="BN80" i="16" s="1"/>
  <c r="BM73" i="16"/>
  <c r="BM80" i="16" s="1"/>
  <c r="BL73" i="16"/>
  <c r="BL80" i="16" s="1"/>
  <c r="BK73" i="16"/>
  <c r="BK80" i="16" s="1"/>
  <c r="BJ73" i="16"/>
  <c r="BJ80" i="16" s="1"/>
  <c r="BI73" i="16"/>
  <c r="BI80" i="16" s="1"/>
  <c r="BH73" i="16"/>
  <c r="BG73" i="16"/>
  <c r="BF73" i="16"/>
  <c r="BF80" i="16" s="1"/>
  <c r="BE73" i="16"/>
  <c r="BE80" i="16" s="1"/>
  <c r="BD73" i="16"/>
  <c r="BD80" i="16" s="1"/>
  <c r="BC73" i="16"/>
  <c r="BC80" i="16" s="1"/>
  <c r="BB73" i="16"/>
  <c r="BB80" i="16" s="1"/>
  <c r="BA73" i="16"/>
  <c r="BA80" i="16" s="1"/>
  <c r="AZ73" i="16"/>
  <c r="AZ80" i="16" s="1"/>
  <c r="AI73" i="16"/>
  <c r="AH73" i="16"/>
  <c r="BW72" i="16"/>
  <c r="BW79" i="16" s="1"/>
  <c r="BV72" i="16"/>
  <c r="BV79" i="16" s="1"/>
  <c r="BU72" i="16"/>
  <c r="BU79" i="16" s="1"/>
  <c r="BT72" i="16"/>
  <c r="BT79" i="16" s="1"/>
  <c r="BS72" i="16"/>
  <c r="BS79" i="16" s="1"/>
  <c r="BR72" i="16"/>
  <c r="BQ72" i="16"/>
  <c r="BQ79" i="16" s="1"/>
  <c r="BP72" i="16"/>
  <c r="BP79" i="16" s="1"/>
  <c r="BO72" i="16"/>
  <c r="BO79" i="16" s="1"/>
  <c r="BN72" i="16"/>
  <c r="BN79" i="16" s="1"/>
  <c r="BM72" i="16"/>
  <c r="BM79" i="16" s="1"/>
  <c r="BL72" i="16"/>
  <c r="BK72" i="16"/>
  <c r="BK79" i="16" s="1"/>
  <c r="BJ72" i="16"/>
  <c r="BJ79" i="16" s="1"/>
  <c r="BI72" i="16"/>
  <c r="BI79" i="16" s="1"/>
  <c r="BH72" i="16"/>
  <c r="BH79" i="16" s="1"/>
  <c r="BG72" i="16"/>
  <c r="BG79" i="16" s="1"/>
  <c r="BF72" i="16"/>
  <c r="BF79" i="16" s="1"/>
  <c r="BE72" i="16"/>
  <c r="BE79" i="16" s="1"/>
  <c r="BD72" i="16"/>
  <c r="BD79" i="16" s="1"/>
  <c r="BC72" i="16"/>
  <c r="BC79" i="16" s="1"/>
  <c r="BB72" i="16"/>
  <c r="BB79" i="16" s="1"/>
  <c r="BA72" i="16"/>
  <c r="BA79" i="16" s="1"/>
  <c r="AZ72" i="16"/>
  <c r="AZ79" i="16" s="1"/>
  <c r="AI72" i="16"/>
  <c r="AH72" i="16"/>
  <c r="BW71" i="16"/>
  <c r="BW78" i="16" s="1"/>
  <c r="BV71" i="16"/>
  <c r="BU71" i="16"/>
  <c r="BU78" i="16" s="1"/>
  <c r="BT71" i="16"/>
  <c r="BS71" i="16"/>
  <c r="BS78" i="16" s="1"/>
  <c r="BR71" i="16"/>
  <c r="BR78" i="16" s="1"/>
  <c r="BQ71" i="16"/>
  <c r="BQ78" i="16" s="1"/>
  <c r="BP71" i="16"/>
  <c r="BP78" i="16" s="1"/>
  <c r="BO71" i="16"/>
  <c r="BO78" i="16" s="1"/>
  <c r="BN71" i="16"/>
  <c r="BN78" i="16" s="1"/>
  <c r="BM71" i="16"/>
  <c r="BM78" i="16" s="1"/>
  <c r="BL71" i="16"/>
  <c r="BK71" i="16"/>
  <c r="BK78" i="16" s="1"/>
  <c r="BJ71" i="16"/>
  <c r="BJ78" i="16" s="1"/>
  <c r="BI71" i="16"/>
  <c r="BI78" i="16" s="1"/>
  <c r="BH71" i="16"/>
  <c r="BH78" i="16" s="1"/>
  <c r="BG71" i="16"/>
  <c r="BG78" i="16" s="1"/>
  <c r="BF71" i="16"/>
  <c r="BE71" i="16"/>
  <c r="BE78" i="16" s="1"/>
  <c r="BD71" i="16"/>
  <c r="BD78" i="16" s="1"/>
  <c r="BC71" i="16"/>
  <c r="BC78" i="16" s="1"/>
  <c r="BB71" i="16"/>
  <c r="BB78" i="16" s="1"/>
  <c r="BA71" i="16"/>
  <c r="BA78" i="16" s="1"/>
  <c r="AZ71" i="16"/>
  <c r="AZ78" i="16" s="1"/>
  <c r="AI71" i="16"/>
  <c r="AH71" i="16"/>
  <c r="BW70" i="16"/>
  <c r="BW77" i="16" s="1"/>
  <c r="BV70" i="16"/>
  <c r="BU70" i="16"/>
  <c r="BU77" i="16" s="1"/>
  <c r="BT70" i="16"/>
  <c r="BT77" i="16" s="1"/>
  <c r="BS70" i="16"/>
  <c r="BS77" i="16" s="1"/>
  <c r="BR70" i="16"/>
  <c r="BR77" i="16" s="1"/>
  <c r="BQ70" i="16"/>
  <c r="BQ77" i="16" s="1"/>
  <c r="BP70" i="16"/>
  <c r="BP77" i="16" s="1"/>
  <c r="BO70" i="16"/>
  <c r="BO77" i="16" s="1"/>
  <c r="BN70" i="16"/>
  <c r="BN77" i="16" s="1"/>
  <c r="BM70" i="16"/>
  <c r="BM77" i="16" s="1"/>
  <c r="BL70" i="16"/>
  <c r="BL77" i="16" s="1"/>
  <c r="BK70" i="16"/>
  <c r="BK77" i="16" s="1"/>
  <c r="BJ70" i="16"/>
  <c r="BJ77" i="16" s="1"/>
  <c r="BI70" i="16"/>
  <c r="BI77" i="16" s="1"/>
  <c r="BH70" i="16"/>
  <c r="BH77" i="16" s="1"/>
  <c r="BG70" i="16"/>
  <c r="BG77" i="16" s="1"/>
  <c r="BF70" i="16"/>
  <c r="BF77" i="16" s="1"/>
  <c r="BE70" i="16"/>
  <c r="BE77" i="16" s="1"/>
  <c r="BD70" i="16"/>
  <c r="BD77" i="16" s="1"/>
  <c r="BC70" i="16"/>
  <c r="BC77" i="16" s="1"/>
  <c r="BB70" i="16"/>
  <c r="BB77" i="16" s="1"/>
  <c r="BA70" i="16"/>
  <c r="BA77" i="16" s="1"/>
  <c r="AZ70" i="16"/>
  <c r="AZ77" i="16" s="1"/>
  <c r="AI70" i="16"/>
  <c r="AH70" i="16"/>
  <c r="BW69" i="16"/>
  <c r="BW76" i="16" s="1"/>
  <c r="BV69" i="16"/>
  <c r="BV76" i="16" s="1"/>
  <c r="BU69" i="16"/>
  <c r="BU76" i="16" s="1"/>
  <c r="BT69" i="16"/>
  <c r="BT76" i="16" s="1"/>
  <c r="BS69" i="16"/>
  <c r="BS76" i="16" s="1"/>
  <c r="BR69" i="16"/>
  <c r="BR76" i="16" s="1"/>
  <c r="BQ69" i="16"/>
  <c r="BP69" i="16"/>
  <c r="BO69" i="16"/>
  <c r="BO76" i="16" s="1"/>
  <c r="BN69" i="16"/>
  <c r="BN76" i="16" s="1"/>
  <c r="BM69" i="16"/>
  <c r="BM76" i="16" s="1"/>
  <c r="BL69" i="16"/>
  <c r="BL76" i="16" s="1"/>
  <c r="BK69" i="16"/>
  <c r="BK76" i="16" s="1"/>
  <c r="BJ69" i="16"/>
  <c r="BJ76" i="16" s="1"/>
  <c r="BI69" i="16"/>
  <c r="BI76" i="16" s="1"/>
  <c r="BH69" i="16"/>
  <c r="BG69" i="16"/>
  <c r="BF69" i="16"/>
  <c r="BF76" i="16" s="1"/>
  <c r="BE69" i="16"/>
  <c r="BE76" i="16" s="1"/>
  <c r="BD69" i="16"/>
  <c r="BD76" i="16" s="1"/>
  <c r="BC69" i="16"/>
  <c r="BC76" i="16" s="1"/>
  <c r="BB69" i="16"/>
  <c r="BA69" i="16"/>
  <c r="BA76" i="16" s="1"/>
  <c r="AZ69" i="16"/>
  <c r="AZ76" i="16" s="1"/>
  <c r="AI69" i="16"/>
  <c r="AH69" i="16"/>
  <c r="BW68" i="16"/>
  <c r="BW75" i="16" s="1"/>
  <c r="BV68" i="16"/>
  <c r="BV75" i="16" s="1"/>
  <c r="BU68" i="16"/>
  <c r="BU75" i="16" s="1"/>
  <c r="BT68" i="16"/>
  <c r="BS68" i="16"/>
  <c r="BS75" i="16" s="1"/>
  <c r="BR68" i="16"/>
  <c r="BR75" i="16" s="1"/>
  <c r="BQ68" i="16"/>
  <c r="BQ75" i="16" s="1"/>
  <c r="BP68" i="16"/>
  <c r="BP75" i="16" s="1"/>
  <c r="BO68" i="16"/>
  <c r="BO75" i="16" s="1"/>
  <c r="BN68" i="16"/>
  <c r="BN75" i="16" s="1"/>
  <c r="BM68" i="16"/>
  <c r="BM75" i="16" s="1"/>
  <c r="BL68" i="16"/>
  <c r="BL75" i="16" s="1"/>
  <c r="BK68" i="16"/>
  <c r="BK75" i="16" s="1"/>
  <c r="BJ68" i="16"/>
  <c r="BJ75" i="16" s="1"/>
  <c r="BI68" i="16"/>
  <c r="BI75" i="16" s="1"/>
  <c r="BH68" i="16"/>
  <c r="BG68" i="16"/>
  <c r="BG75" i="16" s="1"/>
  <c r="BF68" i="16"/>
  <c r="BF75" i="16" s="1"/>
  <c r="BE68" i="16"/>
  <c r="BD68" i="16"/>
  <c r="BD75" i="16" s="1"/>
  <c r="BC68" i="16"/>
  <c r="BC75" i="16" s="1"/>
  <c r="BB68" i="16"/>
  <c r="BB75" i="16" s="1"/>
  <c r="BA68" i="16"/>
  <c r="AZ68" i="16"/>
  <c r="AZ75" i="16" s="1"/>
  <c r="AI68" i="16"/>
  <c r="AH68" i="16"/>
  <c r="AI67" i="16"/>
  <c r="AH67" i="16"/>
  <c r="AI66" i="16"/>
  <c r="AH66" i="16"/>
  <c r="AI65" i="16"/>
  <c r="AH65" i="16"/>
  <c r="AI64" i="16"/>
  <c r="AH64" i="16"/>
  <c r="AI63" i="16"/>
  <c r="AH63" i="16"/>
  <c r="AG62" i="16"/>
  <c r="AF62" i="16"/>
  <c r="BJ17" i="16" s="1"/>
  <c r="BI17" i="16"/>
  <c r="AD62" i="16"/>
  <c r="BH17" i="16" s="1"/>
  <c r="AC62" i="16"/>
  <c r="AB62" i="16"/>
  <c r="BG17" i="16" s="1"/>
  <c r="AA62" i="16"/>
  <c r="Z62" i="16"/>
  <c r="Y62" i="16"/>
  <c r="X62" i="16"/>
  <c r="BE17" i="16" s="1"/>
  <c r="W62" i="16"/>
  <c r="V62" i="16"/>
  <c r="U62" i="16"/>
  <c r="T62" i="16"/>
  <c r="S62" i="16"/>
  <c r="BA17" i="16" s="1"/>
  <c r="R62" i="16"/>
  <c r="AZ17" i="16" s="1"/>
  <c r="Q62" i="16"/>
  <c r="P62" i="16"/>
  <c r="AX17" i="16" s="1"/>
  <c r="O62" i="16"/>
  <c r="AW17" i="16" s="1"/>
  <c r="N62" i="16"/>
  <c r="M62" i="16"/>
  <c r="L62" i="16"/>
  <c r="K62" i="16"/>
  <c r="AT17" i="16" s="1"/>
  <c r="J62" i="16"/>
  <c r="I62" i="16"/>
  <c r="AS17" i="16" s="1"/>
  <c r="H62" i="16"/>
  <c r="G62" i="16"/>
  <c r="AR17" i="16" s="1"/>
  <c r="F62" i="16"/>
  <c r="E62" i="16"/>
  <c r="AP17" i="16" s="1"/>
  <c r="D62" i="16"/>
  <c r="AO17" i="16" s="1"/>
  <c r="AI61" i="16"/>
  <c r="AH61" i="16"/>
  <c r="AI60" i="16"/>
  <c r="AH60" i="16"/>
  <c r="AI59" i="16"/>
  <c r="AH59" i="16"/>
  <c r="AG58" i="16"/>
  <c r="AG97" i="16" s="1"/>
  <c r="AF58" i="16"/>
  <c r="AE7" i="16"/>
  <c r="AD58" i="16"/>
  <c r="AC58" i="16"/>
  <c r="AB58" i="16"/>
  <c r="AA58" i="16"/>
  <c r="Z58" i="16"/>
  <c r="Y58" i="16"/>
  <c r="X58" i="16"/>
  <c r="BE16" i="16" s="1"/>
  <c r="W58" i="16"/>
  <c r="V58" i="16"/>
  <c r="U58" i="16"/>
  <c r="T58" i="16"/>
  <c r="S58" i="16"/>
  <c r="R58" i="16"/>
  <c r="Q58" i="16"/>
  <c r="P58" i="16"/>
  <c r="O58" i="16"/>
  <c r="N58" i="16"/>
  <c r="M58" i="16"/>
  <c r="L58" i="16"/>
  <c r="K58" i="16"/>
  <c r="J58" i="16"/>
  <c r="I58" i="16"/>
  <c r="H58" i="16"/>
  <c r="G58" i="16"/>
  <c r="AR16" i="16" s="1"/>
  <c r="F58" i="16"/>
  <c r="E58" i="16"/>
  <c r="AP16" i="16" s="1"/>
  <c r="D58" i="16"/>
  <c r="AN16" i="16"/>
  <c r="AI57" i="16"/>
  <c r="AH57" i="16"/>
  <c r="AI56" i="16"/>
  <c r="AH56" i="16"/>
  <c r="AI55" i="16"/>
  <c r="AH55" i="16"/>
  <c r="AI54" i="16"/>
  <c r="AH54" i="16"/>
  <c r="AI53" i="16"/>
  <c r="AH53" i="16"/>
  <c r="AI52" i="16"/>
  <c r="AH52" i="16"/>
  <c r="AI51" i="16"/>
  <c r="AH51" i="16"/>
  <c r="AI50" i="16"/>
  <c r="AH50" i="16"/>
  <c r="AI49" i="16"/>
  <c r="AH49" i="16"/>
  <c r="AI48" i="16"/>
  <c r="AH48" i="16"/>
  <c r="AI47" i="16"/>
  <c r="AH47" i="16"/>
  <c r="AI46" i="16"/>
  <c r="AH46" i="16"/>
  <c r="AI45" i="16"/>
  <c r="AH45" i="16"/>
  <c r="AI44" i="16"/>
  <c r="AH44" i="16"/>
  <c r="AI43" i="16"/>
  <c r="AH43" i="16"/>
  <c r="AI42" i="16"/>
  <c r="AH42" i="16"/>
  <c r="AI41" i="16"/>
  <c r="AH41" i="16"/>
  <c r="AI40" i="16"/>
  <c r="AH40" i="16"/>
  <c r="AI39" i="16"/>
  <c r="AH39" i="16"/>
  <c r="AI38" i="16"/>
  <c r="AH38" i="16"/>
  <c r="AI37" i="16"/>
  <c r="AH37" i="16"/>
  <c r="AI36" i="16"/>
  <c r="AH36" i="16"/>
  <c r="AI35" i="16"/>
  <c r="AH35" i="16"/>
  <c r="AI34" i="16"/>
  <c r="AH34" i="16"/>
  <c r="AI33" i="16"/>
  <c r="AH33" i="16"/>
  <c r="AI32" i="16"/>
  <c r="AH32" i="16"/>
  <c r="AI31" i="16"/>
  <c r="AH31" i="16"/>
  <c r="AI30" i="16"/>
  <c r="AH30" i="16"/>
  <c r="AI29" i="16"/>
  <c r="AH29" i="16"/>
  <c r="AI28" i="16"/>
  <c r="AH28" i="16"/>
  <c r="AI27" i="16"/>
  <c r="AH27" i="16"/>
  <c r="AI26" i="16"/>
  <c r="AH26" i="16"/>
  <c r="AI25" i="16"/>
  <c r="AH25" i="16"/>
  <c r="AI24" i="16"/>
  <c r="AH24" i="16"/>
  <c r="BI23" i="16"/>
  <c r="AO23" i="16"/>
  <c r="AI23" i="16"/>
  <c r="AH23" i="16"/>
  <c r="AI22" i="16"/>
  <c r="AH22" i="16"/>
  <c r="BJ21" i="16"/>
  <c r="BI21" i="16"/>
  <c r="BH21" i="16"/>
  <c r="BG21" i="16"/>
  <c r="BF21" i="16"/>
  <c r="BE21" i="16"/>
  <c r="BD21" i="16"/>
  <c r="BC21" i="16"/>
  <c r="BB21" i="16"/>
  <c r="BA21" i="16"/>
  <c r="AZ21" i="16"/>
  <c r="AY21" i="16"/>
  <c r="AX21" i="16"/>
  <c r="AW21" i="16"/>
  <c r="AV21" i="16"/>
  <c r="AU21" i="16"/>
  <c r="AT21" i="16"/>
  <c r="AS21" i="16"/>
  <c r="AR21" i="16"/>
  <c r="AQ21" i="16"/>
  <c r="AP21" i="16"/>
  <c r="AO21" i="16"/>
  <c r="AN21" i="16"/>
  <c r="AM21" i="16"/>
  <c r="AI21" i="16"/>
  <c r="AH21" i="16"/>
  <c r="BJ20" i="16"/>
  <c r="BI20" i="16"/>
  <c r="BG20" i="16"/>
  <c r="BF20" i="16"/>
  <c r="BD20" i="16"/>
  <c r="BC20" i="16"/>
  <c r="BB20" i="16"/>
  <c r="BA20" i="16"/>
  <c r="AZ20" i="16"/>
  <c r="AX20" i="16"/>
  <c r="AW20" i="16"/>
  <c r="AU20" i="16"/>
  <c r="AT20" i="16"/>
  <c r="AP20" i="16"/>
  <c r="AN20" i="16"/>
  <c r="AM20" i="16"/>
  <c r="AI20" i="16"/>
  <c r="AH20" i="16"/>
  <c r="BI19" i="16"/>
  <c r="AW19" i="16"/>
  <c r="AI19" i="16"/>
  <c r="AH19" i="16"/>
  <c r="BJ18" i="16"/>
  <c r="BF18" i="16"/>
  <c r="BE18" i="16"/>
  <c r="BC18" i="16"/>
  <c r="BB18" i="16"/>
  <c r="AY18" i="16"/>
  <c r="AW18" i="16"/>
  <c r="AU18" i="16"/>
  <c r="AR18" i="16"/>
  <c r="AP18" i="16"/>
  <c r="AO18" i="16"/>
  <c r="AI18" i="16"/>
  <c r="AH18" i="16"/>
  <c r="BF17" i="16"/>
  <c r="BD17" i="16"/>
  <c r="BC17" i="16"/>
  <c r="BB17" i="16"/>
  <c r="AY17" i="16"/>
  <c r="AV17" i="16"/>
  <c r="AU17" i="16"/>
  <c r="AQ17" i="16"/>
  <c r="AN17" i="16"/>
  <c r="AI17" i="16"/>
  <c r="AH17" i="16"/>
  <c r="BF16" i="16"/>
  <c r="BC16" i="16"/>
  <c r="BB16" i="16"/>
  <c r="BA16" i="16"/>
  <c r="AZ16" i="16"/>
  <c r="AX16" i="16"/>
  <c r="AU16" i="16"/>
  <c r="AT16" i="16"/>
  <c r="AS16" i="16"/>
  <c r="AI16" i="16"/>
  <c r="AH16" i="16"/>
  <c r="AI15" i="16"/>
  <c r="AH15" i="16"/>
  <c r="AI14" i="16"/>
  <c r="AH14" i="16"/>
  <c r="AI13" i="16"/>
  <c r="AH13" i="16"/>
  <c r="AL12" i="16"/>
  <c r="AI12" i="16"/>
  <c r="AH12" i="16"/>
  <c r="AI11" i="16"/>
  <c r="AH11" i="16"/>
  <c r="AD5" i="16"/>
  <c r="AB5" i="16"/>
  <c r="Y5" i="16"/>
  <c r="X5" i="16"/>
  <c r="R5" i="16"/>
  <c r="N5" i="16"/>
  <c r="K5" i="16"/>
  <c r="J5" i="16"/>
  <c r="I5" i="16"/>
  <c r="D5" i="16"/>
  <c r="B5" i="16"/>
  <c r="AG4" i="16"/>
  <c r="K4" i="16"/>
  <c r="E4" i="16"/>
  <c r="H4" i="16" s="1"/>
  <c r="B4" i="16"/>
  <c r="D258" i="16" s="1"/>
  <c r="AG2" i="16"/>
  <c r="AF58" i="15"/>
  <c r="AF62" i="15"/>
  <c r="AF76" i="15"/>
  <c r="AF80" i="15"/>
  <c r="AF92" i="15"/>
  <c r="AF101" i="15"/>
  <c r="AF107" i="15" s="1"/>
  <c r="AF102" i="15"/>
  <c r="AF103" i="15"/>
  <c r="AF104" i="15"/>
  <c r="AF105" i="15"/>
  <c r="AF118" i="15"/>
  <c r="AE58" i="15"/>
  <c r="AE62" i="15"/>
  <c r="AE76" i="15"/>
  <c r="AE80" i="15"/>
  <c r="AE92" i="15"/>
  <c r="AE101" i="15"/>
  <c r="AE102" i="15"/>
  <c r="AE103" i="15"/>
  <c r="AE104" i="15"/>
  <c r="AE105" i="15"/>
  <c r="AE107" i="15" s="1"/>
  <c r="AE118" i="15"/>
  <c r="AD57" i="15"/>
  <c r="AD58" i="15"/>
  <c r="AD62" i="15"/>
  <c r="AD76" i="15"/>
  <c r="AD80" i="15"/>
  <c r="AD92" i="15"/>
  <c r="AD101" i="15"/>
  <c r="AD107" i="15" s="1"/>
  <c r="AD102" i="15"/>
  <c r="AD103" i="15"/>
  <c r="AD104" i="15"/>
  <c r="AD105" i="15"/>
  <c r="AD118" i="15"/>
  <c r="AC57" i="15"/>
  <c r="AC58" i="15"/>
  <c r="AC62" i="15"/>
  <c r="AC76" i="15"/>
  <c r="AC80" i="15"/>
  <c r="AC92" i="15"/>
  <c r="AC101" i="15"/>
  <c r="AC102" i="15"/>
  <c r="AC103" i="15"/>
  <c r="AC104" i="15"/>
  <c r="AC105" i="15"/>
  <c r="AC118" i="15"/>
  <c r="AF107" i="16" l="1"/>
  <c r="BJ23" i="16" s="1"/>
  <c r="BJ19" i="16"/>
  <c r="AF97" i="16"/>
  <c r="AF99" i="16" s="1"/>
  <c r="AF100" i="16" s="1"/>
  <c r="AF7" i="16" s="1"/>
  <c r="BJ16" i="16"/>
  <c r="BJ22" i="16" s="1"/>
  <c r="BJ24" i="16" s="1"/>
  <c r="AC5" i="16"/>
  <c r="AD97" i="16"/>
  <c r="AD99" i="16" s="1"/>
  <c r="AC107" i="16"/>
  <c r="AC108" i="16" s="1"/>
  <c r="AC97" i="16"/>
  <c r="AC99" i="16" s="1"/>
  <c r="AB97" i="16"/>
  <c r="AB99" i="16" s="1"/>
  <c r="BG16" i="16"/>
  <c r="AA107" i="16"/>
  <c r="AA108" i="16" s="1"/>
  <c r="Z5" i="16"/>
  <c r="Z107" i="16"/>
  <c r="BF23" i="16" s="1"/>
  <c r="Z108" i="16"/>
  <c r="BF22" i="16"/>
  <c r="BF24" i="16" s="1"/>
  <c r="Z97" i="16"/>
  <c r="Z99" i="16" s="1"/>
  <c r="Z100" i="16" s="1"/>
  <c r="Z7" i="16" s="1"/>
  <c r="Y107" i="16"/>
  <c r="Y108" i="16" s="1"/>
  <c r="Y97" i="16"/>
  <c r="Y99" i="16" s="1"/>
  <c r="Y100" i="16" s="1"/>
  <c r="Y7" i="16" s="1"/>
  <c r="W97" i="16"/>
  <c r="W99" i="16" s="1"/>
  <c r="W107" i="16"/>
  <c r="U5" i="16"/>
  <c r="V97" i="16"/>
  <c r="V99" i="16" s="1"/>
  <c r="T5" i="16"/>
  <c r="U107" i="16"/>
  <c r="BC23" i="16" s="1"/>
  <c r="BC19" i="16"/>
  <c r="U97" i="16"/>
  <c r="U99" i="16" s="1"/>
  <c r="U100" i="16" s="1"/>
  <c r="U7" i="16" s="1"/>
  <c r="BC22" i="16"/>
  <c r="BC24" i="16" s="1"/>
  <c r="T97" i="16"/>
  <c r="T99" i="16" s="1"/>
  <c r="S107" i="16"/>
  <c r="BA23" i="16" s="1"/>
  <c r="S108" i="16"/>
  <c r="Q5" i="16"/>
  <c r="R107" i="16"/>
  <c r="AZ23" i="16" s="1"/>
  <c r="R97" i="16"/>
  <c r="R99" i="16" s="1"/>
  <c r="AZ22" i="16"/>
  <c r="AZ24" i="16" s="1"/>
  <c r="P5" i="16"/>
  <c r="Q107" i="16"/>
  <c r="Q97" i="16"/>
  <c r="Q99" i="16" s="1"/>
  <c r="Q100" i="16" s="1"/>
  <c r="Q7" i="16" s="1"/>
  <c r="AY16" i="16"/>
  <c r="AY22" i="16" s="1"/>
  <c r="P107" i="16"/>
  <c r="AX23" i="16" s="1"/>
  <c r="O5" i="16"/>
  <c r="AX19" i="16"/>
  <c r="O107" i="16"/>
  <c r="AW23" i="16" s="1"/>
  <c r="P97" i="16"/>
  <c r="P99" i="16" s="1"/>
  <c r="P100" i="16" s="1"/>
  <c r="P7" i="16" s="1"/>
  <c r="O97" i="16"/>
  <c r="O99" i="16" s="1"/>
  <c r="O100" i="16" s="1"/>
  <c r="O7" i="16" s="1"/>
  <c r="AX22" i="16"/>
  <c r="AX24" i="16" s="1"/>
  <c r="M5" i="16"/>
  <c r="N97" i="16"/>
  <c r="N99" i="16" s="1"/>
  <c r="M107" i="16"/>
  <c r="AU23" i="16" s="1"/>
  <c r="M108" i="16"/>
  <c r="M97" i="16"/>
  <c r="M99" i="16" s="1"/>
  <c r="AU19" i="16"/>
  <c r="L5" i="16"/>
  <c r="AU22" i="16"/>
  <c r="AU24" i="16" s="1"/>
  <c r="L97" i="16"/>
  <c r="L99" i="16" s="1"/>
  <c r="K108" i="16"/>
  <c r="J107" i="16"/>
  <c r="J108" i="16" s="1"/>
  <c r="J97" i="16"/>
  <c r="J99" i="16" s="1"/>
  <c r="J100" i="16" s="1"/>
  <c r="J7" i="16" s="1"/>
  <c r="H5" i="16"/>
  <c r="I107" i="16"/>
  <c r="AS22" i="16"/>
  <c r="I97" i="16"/>
  <c r="I99" i="16" s="1"/>
  <c r="I100" i="16" s="1"/>
  <c r="I7" i="16" s="1"/>
  <c r="H107" i="16"/>
  <c r="H108" i="16" s="1"/>
  <c r="H97" i="16"/>
  <c r="H99" i="16" s="1"/>
  <c r="H100" i="16" s="1"/>
  <c r="H7" i="16" s="1"/>
  <c r="AR19" i="16"/>
  <c r="G107" i="16"/>
  <c r="AR23" i="16" s="1"/>
  <c r="AR22" i="16"/>
  <c r="AH58" i="16"/>
  <c r="AI104" i="16"/>
  <c r="E5" i="16"/>
  <c r="F97" i="16"/>
  <c r="F99" i="16" s="1"/>
  <c r="E107" i="16"/>
  <c r="AP23" i="16" s="1"/>
  <c r="E108" i="16"/>
  <c r="AP22" i="16"/>
  <c r="AP24" i="16" s="1"/>
  <c r="E97" i="16"/>
  <c r="E99" i="16" s="1"/>
  <c r="E100" i="16" s="1"/>
  <c r="E7" i="16" s="1"/>
  <c r="D118" i="16"/>
  <c r="AH103" i="16"/>
  <c r="AO19" i="16"/>
  <c r="C5" i="16"/>
  <c r="AI62" i="16"/>
  <c r="AH62" i="16"/>
  <c r="D97" i="16"/>
  <c r="D99" i="16" s="1"/>
  <c r="D100" i="16" s="1"/>
  <c r="D7" i="16" s="1"/>
  <c r="AI105" i="16"/>
  <c r="C97" i="16"/>
  <c r="C99" i="16" s="1"/>
  <c r="C100" i="16" s="1"/>
  <c r="C7" i="16" s="1"/>
  <c r="C108" i="16"/>
  <c r="AN22" i="16"/>
  <c r="AN24" i="16" s="1"/>
  <c r="AI103" i="16"/>
  <c r="B107" i="16"/>
  <c r="AM23" i="16" s="1"/>
  <c r="B97" i="16"/>
  <c r="B99" i="16" s="1"/>
  <c r="BG84" i="16" a="1"/>
  <c r="BJ107" i="16" s="1"/>
  <c r="AM16" i="16"/>
  <c r="AM22" i="16" s="1"/>
  <c r="AM17" i="16"/>
  <c r="AL13" i="16"/>
  <c r="AS23" i="16"/>
  <c r="I108" i="16"/>
  <c r="Q108" i="16"/>
  <c r="AY23" i="16"/>
  <c r="F247" i="16"/>
  <c r="E252" i="16"/>
  <c r="BI16" i="16"/>
  <c r="BI22" i="16" s="1"/>
  <c r="BI24" i="16" s="1"/>
  <c r="AH92" i="16"/>
  <c r="AF108" i="16"/>
  <c r="AI76" i="16"/>
  <c r="AH80" i="16"/>
  <c r="AI80" i="16"/>
  <c r="AH101" i="16"/>
  <c r="X107" i="16"/>
  <c r="BE23" i="16" s="1"/>
  <c r="X97" i="16"/>
  <c r="X99" i="16" s="1"/>
  <c r="X100" i="16" s="1"/>
  <c r="X7" i="16" s="1"/>
  <c r="AI101" i="16"/>
  <c r="AI102" i="16"/>
  <c r="H246" i="16"/>
  <c r="AH76" i="16"/>
  <c r="AI92" i="16"/>
  <c r="BE19" i="16"/>
  <c r="BE22" i="16" s="1"/>
  <c r="AV16" i="16"/>
  <c r="AV22" i="16" s="1"/>
  <c r="BD16" i="16"/>
  <c r="BD22" i="16" s="1"/>
  <c r="AO16" i="16"/>
  <c r="AO22" i="16" s="1"/>
  <c r="AO24" i="16" s="1"/>
  <c r="AW16" i="16"/>
  <c r="AW22" i="16" s="1"/>
  <c r="AW24" i="16" s="1"/>
  <c r="BG19" i="16"/>
  <c r="BG22" i="16" s="1"/>
  <c r="S97" i="16"/>
  <c r="S99" i="16" s="1"/>
  <c r="S100" i="16" s="1"/>
  <c r="S7" i="16" s="1"/>
  <c r="G108" i="16"/>
  <c r="O108" i="16"/>
  <c r="W108" i="16"/>
  <c r="L107" i="16"/>
  <c r="L108" i="16" s="1"/>
  <c r="T107" i="16"/>
  <c r="BB23" i="16" s="1"/>
  <c r="AB107" i="16"/>
  <c r="BG23" i="16" s="1"/>
  <c r="G97" i="16"/>
  <c r="G99" i="16" s="1"/>
  <c r="K97" i="16"/>
  <c r="K99" i="16" s="1"/>
  <c r="K100" i="16" s="1"/>
  <c r="K7" i="16" s="1"/>
  <c r="AA97" i="16"/>
  <c r="AA99" i="16" s="1"/>
  <c r="AA100" i="16" s="1"/>
  <c r="AA7" i="16" s="1"/>
  <c r="AI58" i="16"/>
  <c r="AQ16" i="16"/>
  <c r="AQ22" i="16" s="1"/>
  <c r="BA19" i="16"/>
  <c r="BA22" i="16" s="1"/>
  <c r="BA24" i="16" s="1"/>
  <c r="AF5" i="16"/>
  <c r="BH16" i="16"/>
  <c r="BH22" i="16" s="1"/>
  <c r="AT19" i="16"/>
  <c r="AT22" i="16" s="1"/>
  <c r="AT24" i="16" s="1"/>
  <c r="BB19" i="16"/>
  <c r="BB22" i="16" s="1"/>
  <c r="BB24" i="16" s="1"/>
  <c r="F107" i="16"/>
  <c r="N107" i="16"/>
  <c r="AV23" i="16" s="1"/>
  <c r="V107" i="16"/>
  <c r="BD23" i="16" s="1"/>
  <c r="AD107" i="16"/>
  <c r="BH23" i="16" s="1"/>
  <c r="E251" i="16"/>
  <c r="AH102" i="16"/>
  <c r="AH104" i="16"/>
  <c r="AH105" i="16"/>
  <c r="AF108" i="15"/>
  <c r="AF97" i="15"/>
  <c r="AF99" i="15" s="1"/>
  <c r="AF100" i="15" s="1"/>
  <c r="AE97" i="15"/>
  <c r="AE99" i="15" s="1"/>
  <c r="AE100" i="15" s="1"/>
  <c r="AE108" i="15"/>
  <c r="AD97" i="15"/>
  <c r="AD99" i="15" s="1"/>
  <c r="AD100" i="15" s="1"/>
  <c r="AD108" i="15"/>
  <c r="AC107" i="15"/>
  <c r="AC108" i="15" s="1"/>
  <c r="AC97" i="15"/>
  <c r="AC99" i="15" s="1"/>
  <c r="AC100" i="15" s="1"/>
  <c r="BH24" i="16" l="1"/>
  <c r="AC100" i="16"/>
  <c r="AC7" i="16" s="1"/>
  <c r="BG24" i="16"/>
  <c r="AB108" i="16"/>
  <c r="BE24" i="16"/>
  <c r="W100" i="16"/>
  <c r="W7" i="16" s="1"/>
  <c r="U108" i="16"/>
  <c r="R100" i="16"/>
  <c r="R7" i="16" s="1"/>
  <c r="R108" i="16"/>
  <c r="AS24" i="16"/>
  <c r="AY24" i="16"/>
  <c r="P108" i="16"/>
  <c r="M100" i="16"/>
  <c r="M7" i="16" s="1"/>
  <c r="AR24" i="16"/>
  <c r="B100" i="16"/>
  <c r="B108" i="16"/>
  <c r="BH95" i="16"/>
  <c r="BH99" i="16"/>
  <c r="BJ106" i="16"/>
  <c r="BK99" i="16"/>
  <c r="BH105" i="16"/>
  <c r="BH84" i="16"/>
  <c r="BJ98" i="16"/>
  <c r="BK97" i="16"/>
  <c r="BH106" i="16"/>
  <c r="BJ84" i="16"/>
  <c r="BJ88" i="16"/>
  <c r="BJ102" i="16"/>
  <c r="BG89" i="16"/>
  <c r="BG84" i="16"/>
  <c r="BL87" i="16"/>
  <c r="BI100" i="16"/>
  <c r="BH98" i="16"/>
  <c r="BI90" i="16"/>
  <c r="BG106" i="16"/>
  <c r="BL91" i="16"/>
  <c r="BG105" i="16"/>
  <c r="BL85" i="16"/>
  <c r="BJ89" i="16"/>
  <c r="BG91" i="16"/>
  <c r="BK101" i="16"/>
  <c r="BL88" i="16"/>
  <c r="BJ99" i="16"/>
  <c r="BG88" i="16"/>
  <c r="BI102" i="16"/>
  <c r="BG92" i="16"/>
  <c r="BI106" i="16"/>
  <c r="BH85" i="16"/>
  <c r="BI99" i="16"/>
  <c r="BI95" i="16"/>
  <c r="BJ92" i="16"/>
  <c r="BK106" i="16"/>
  <c r="BG98" i="16"/>
  <c r="BK87" i="16"/>
  <c r="BL101" i="16"/>
  <c r="BI91" i="16"/>
  <c r="BJ105" i="16"/>
  <c r="BI92" i="16"/>
  <c r="BG103" i="16"/>
  <c r="BH90" i="16"/>
  <c r="BL100" i="16"/>
  <c r="BH97" i="16"/>
  <c r="BH88" i="16"/>
  <c r="BG85" i="16"/>
  <c r="BH92" i="16"/>
  <c r="BI85" i="16"/>
  <c r="BK94" i="16"/>
  <c r="BG87" i="16"/>
  <c r="BL84" i="16"/>
  <c r="BJ95" i="16"/>
  <c r="BK98" i="16"/>
  <c r="BK102" i="16"/>
  <c r="BL95" i="16"/>
  <c r="BH103" i="16"/>
  <c r="BJ94" i="16"/>
  <c r="BI98" i="16"/>
  <c r="BG102" i="16"/>
  <c r="BK89" i="16"/>
  <c r="BJ87" i="16"/>
  <c r="BI86" i="16"/>
  <c r="BJ100" i="16"/>
  <c r="BJ104" i="16"/>
  <c r="BJ97" i="16"/>
  <c r="BK90" i="16"/>
  <c r="BH96" i="16"/>
  <c r="BG100" i="16"/>
  <c r="BL103" i="16"/>
  <c r="BL89" i="16"/>
  <c r="BG104" i="16"/>
  <c r="BL93" i="16"/>
  <c r="BJ86" i="16"/>
  <c r="BL86" i="16"/>
  <c r="BH101" i="16"/>
  <c r="BL98" i="16"/>
  <c r="BI94" i="16"/>
  <c r="BJ85" i="16"/>
  <c r="BL99" i="16"/>
  <c r="BI89" i="16"/>
  <c r="BK103" i="16"/>
  <c r="BH93" i="16"/>
  <c r="BI107" i="16"/>
  <c r="BK93" i="16"/>
  <c r="BI104" i="16"/>
  <c r="BJ91" i="16"/>
  <c r="BH102" i="16"/>
  <c r="BK91" i="16"/>
  <c r="BL105" i="16"/>
  <c r="BK95" i="16"/>
  <c r="BG90" i="16"/>
  <c r="BK88" i="16"/>
  <c r="BL102" i="16"/>
  <c r="BH104" i="16"/>
  <c r="BG96" i="16"/>
  <c r="BI87" i="16"/>
  <c r="BJ101" i="16"/>
  <c r="BH91" i="16"/>
  <c r="BI105" i="16"/>
  <c r="BL94" i="16"/>
  <c r="BI84" i="16"/>
  <c r="BG95" i="16"/>
  <c r="BK105" i="16"/>
  <c r="BL92" i="16"/>
  <c r="BJ103" i="16"/>
  <c r="BI93" i="16"/>
  <c r="BK107" i="16"/>
  <c r="BI97" i="16"/>
  <c r="BJ93" i="16"/>
  <c r="BJ90" i="16"/>
  <c r="BK104" i="16"/>
  <c r="BL107" i="16"/>
  <c r="BL97" i="16"/>
  <c r="BH89" i="16"/>
  <c r="BI103" i="16"/>
  <c r="BG93" i="16"/>
  <c r="BH107" i="16"/>
  <c r="BK96" i="16"/>
  <c r="BK85" i="16"/>
  <c r="BI96" i="16"/>
  <c r="BG107" i="16"/>
  <c r="BH94" i="16"/>
  <c r="BL104" i="16"/>
  <c r="BL90" i="16"/>
  <c r="BG97" i="16"/>
  <c r="BK86" i="16"/>
  <c r="BG101" i="16"/>
  <c r="BK100" i="16"/>
  <c r="BG94" i="16"/>
  <c r="BK84" i="16"/>
  <c r="BH87" i="16"/>
  <c r="BI101" i="16"/>
  <c r="BK92" i="16"/>
  <c r="BL106" i="16"/>
  <c r="BJ96" i="16"/>
  <c r="BG86" i="16"/>
  <c r="BH100" i="16"/>
  <c r="BI88" i="16"/>
  <c r="BG99" i="16"/>
  <c r="BH86" i="16"/>
  <c r="BL96" i="16"/>
  <c r="V108" i="16"/>
  <c r="AI97" i="16"/>
  <c r="AH97" i="16"/>
  <c r="G247" i="16"/>
  <c r="F251" i="16"/>
  <c r="E118" i="16"/>
  <c r="C256" i="16"/>
  <c r="B256" i="16"/>
  <c r="G100" i="16"/>
  <c r="G7" i="16" s="1"/>
  <c r="AD108" i="16"/>
  <c r="AV24" i="16"/>
  <c r="T100" i="16"/>
  <c r="T7" i="16" s="1"/>
  <c r="AB100" i="16"/>
  <c r="AB7" i="16" s="1"/>
  <c r="AT8" i="16"/>
  <c r="AM24" i="16"/>
  <c r="AI107" i="16"/>
  <c r="AQ23" i="16"/>
  <c r="F108" i="16"/>
  <c r="L100" i="16"/>
  <c r="L7" i="16" s="1"/>
  <c r="AQ24" i="16"/>
  <c r="AD100" i="16"/>
  <c r="AD7" i="16" s="1"/>
  <c r="X108" i="16"/>
  <c r="I246" i="16"/>
  <c r="T108" i="16"/>
  <c r="V100" i="16"/>
  <c r="V7" i="16" s="1"/>
  <c r="F100" i="16"/>
  <c r="F7" i="16" s="1"/>
  <c r="N108" i="16"/>
  <c r="BD24" i="16"/>
  <c r="AH107" i="16"/>
  <c r="N100" i="16"/>
  <c r="N7" i="16" s="1"/>
  <c r="AH108" i="16" l="1"/>
  <c r="AI108" i="16"/>
  <c r="G251" i="16"/>
  <c r="F118" i="16"/>
  <c r="F252" i="16"/>
  <c r="H247" i="16"/>
  <c r="G252" i="16"/>
  <c r="J246" i="16"/>
  <c r="K6" i="16"/>
  <c r="AH99" i="16"/>
  <c r="AI99" i="16"/>
  <c r="AT9" i="16"/>
  <c r="I247" i="16" l="1"/>
  <c r="AH100" i="16"/>
  <c r="B7" i="16"/>
  <c r="A7" i="16" s="1"/>
  <c r="AI100" i="16"/>
  <c r="K246" i="16"/>
  <c r="H251" i="16"/>
  <c r="H252" i="16" s="1"/>
  <c r="G118" i="16"/>
  <c r="L246" i="16" l="1"/>
  <c r="I251" i="16"/>
  <c r="H118" i="16"/>
  <c r="J247" i="16"/>
  <c r="I252" i="16"/>
  <c r="J251" i="16" l="1"/>
  <c r="I118" i="16"/>
  <c r="K247" i="16"/>
  <c r="J252" i="16"/>
  <c r="M246" i="16"/>
  <c r="N246" i="16" l="1"/>
  <c r="L247" i="16"/>
  <c r="K251" i="16"/>
  <c r="J118" i="16"/>
  <c r="M247" i="16" l="1"/>
  <c r="L251" i="16"/>
  <c r="K118" i="16"/>
  <c r="K252" i="16"/>
  <c r="O246" i="16"/>
  <c r="P246" i="16" l="1"/>
  <c r="M251" i="16"/>
  <c r="L118" i="16"/>
  <c r="L252" i="16"/>
  <c r="N247" i="16"/>
  <c r="M252" i="16"/>
  <c r="O247" i="16" l="1"/>
  <c r="N251" i="16"/>
  <c r="M118" i="16"/>
  <c r="Q246" i="16"/>
  <c r="R246" i="16" l="1"/>
  <c r="O251" i="16"/>
  <c r="N118" i="16"/>
  <c r="N252" i="16"/>
  <c r="P247" i="16"/>
  <c r="O252" i="16"/>
  <c r="S246" i="16" l="1"/>
  <c r="Q247" i="16"/>
  <c r="P251" i="16"/>
  <c r="Q251" i="16" s="1"/>
  <c r="O118" i="16"/>
  <c r="T246" i="16" l="1"/>
  <c r="R251" i="16"/>
  <c r="Q118" i="16"/>
  <c r="P252" i="16"/>
  <c r="R247" i="16"/>
  <c r="Q252" i="16"/>
  <c r="U246" i="16" l="1"/>
  <c r="S247" i="16"/>
  <c r="R252" i="16"/>
  <c r="S251" i="16"/>
  <c r="R118" i="16"/>
  <c r="T251" i="16" l="1"/>
  <c r="S118" i="16"/>
  <c r="T247" i="16"/>
  <c r="S252" i="16"/>
  <c r="V246" i="16"/>
  <c r="W246" i="16" l="1"/>
  <c r="U247" i="16"/>
  <c r="T252" i="16"/>
  <c r="U251" i="16"/>
  <c r="T118" i="16"/>
  <c r="V251" i="16" l="1"/>
  <c r="U118" i="16"/>
  <c r="V247" i="16"/>
  <c r="U252" i="16"/>
  <c r="X246" i="16"/>
  <c r="Y246" i="16" l="1"/>
  <c r="W247" i="16"/>
  <c r="V252" i="16"/>
  <c r="W251" i="16"/>
  <c r="V118" i="16"/>
  <c r="X251" i="16" l="1"/>
  <c r="W118" i="16"/>
  <c r="X247" i="16"/>
  <c r="W252" i="16"/>
  <c r="Z246" i="16"/>
  <c r="AA246" i="16" l="1"/>
  <c r="Y247" i="16"/>
  <c r="X252" i="16"/>
  <c r="Y251" i="16"/>
  <c r="Z251" i="16" s="1"/>
  <c r="AA251" i="16" s="1"/>
  <c r="AB251" i="16" s="1"/>
  <c r="AC251" i="16" s="1"/>
  <c r="AD251" i="16" s="1"/>
  <c r="AE251" i="16" s="1"/>
  <c r="AF251" i="16" s="1"/>
  <c r="B251" i="16" s="1"/>
  <c r="X118" i="16"/>
  <c r="Z247" i="16" l="1"/>
  <c r="Y252" i="16"/>
  <c r="AA118" i="16"/>
  <c r="AB246" i="16"/>
  <c r="R107" i="15"/>
  <c r="R58" i="15"/>
  <c r="R62" i="15"/>
  <c r="R76" i="15"/>
  <c r="R80" i="15"/>
  <c r="R92" i="15"/>
  <c r="R101" i="15"/>
  <c r="R102" i="15"/>
  <c r="R103" i="15"/>
  <c r="R104" i="15"/>
  <c r="R105" i="15"/>
  <c r="R118" i="15"/>
  <c r="Q58" i="15"/>
  <c r="Q62" i="15"/>
  <c r="Q76" i="15"/>
  <c r="Q80" i="15"/>
  <c r="Q92" i="15"/>
  <c r="Q101" i="15"/>
  <c r="Q102" i="15"/>
  <c r="Q103" i="15"/>
  <c r="Q104" i="15"/>
  <c r="Q105" i="15"/>
  <c r="Q118" i="15"/>
  <c r="P58" i="15"/>
  <c r="P62" i="15"/>
  <c r="P76" i="15"/>
  <c r="P80" i="15"/>
  <c r="P92" i="15"/>
  <c r="P101" i="15"/>
  <c r="P102" i="15"/>
  <c r="P103" i="15"/>
  <c r="P104" i="15"/>
  <c r="P105" i="15"/>
  <c r="O58" i="15"/>
  <c r="O62" i="15"/>
  <c r="O76" i="15"/>
  <c r="O80" i="15"/>
  <c r="O92" i="15"/>
  <c r="O101" i="15"/>
  <c r="O102" i="15"/>
  <c r="O103" i="15"/>
  <c r="O104" i="15"/>
  <c r="O105" i="15"/>
  <c r="N58" i="15"/>
  <c r="N62" i="15"/>
  <c r="N76" i="15"/>
  <c r="N80" i="15"/>
  <c r="N92" i="15"/>
  <c r="N101" i="15"/>
  <c r="N102" i="15"/>
  <c r="N103" i="15"/>
  <c r="N104" i="15"/>
  <c r="N105" i="15"/>
  <c r="M58" i="15"/>
  <c r="M62" i="15"/>
  <c r="M76" i="15"/>
  <c r="M80" i="15"/>
  <c r="M92" i="15"/>
  <c r="M101" i="15"/>
  <c r="M102" i="15"/>
  <c r="M103" i="15"/>
  <c r="M104" i="15"/>
  <c r="M105" i="15"/>
  <c r="J58" i="15"/>
  <c r="J62" i="15"/>
  <c r="J76" i="15"/>
  <c r="J80" i="15"/>
  <c r="E62" i="15"/>
  <c r="AH125" i="15"/>
  <c r="AI125" i="15"/>
  <c r="AH124" i="15"/>
  <c r="AI124" i="15"/>
  <c r="AB118" i="16" l="1"/>
  <c r="AC246" i="16"/>
  <c r="AA247" i="16"/>
  <c r="Z252" i="16"/>
  <c r="R97" i="15"/>
  <c r="R99" i="15" s="1"/>
  <c r="R100" i="15" s="1"/>
  <c r="R108" i="15"/>
  <c r="Q107" i="15"/>
  <c r="Q108" i="15"/>
  <c r="Q97" i="15"/>
  <c r="Q99" i="15" s="1"/>
  <c r="Q100" i="15" s="1"/>
  <c r="P107" i="15"/>
  <c r="P108" i="15" s="1"/>
  <c r="P97" i="15"/>
  <c r="P99" i="15" s="1"/>
  <c r="O107" i="15"/>
  <c r="O108" i="15" s="1"/>
  <c r="O97" i="15"/>
  <c r="O99" i="15" s="1"/>
  <c r="N107" i="15"/>
  <c r="N108" i="15" s="1"/>
  <c r="N97" i="15"/>
  <c r="N99" i="15" s="1"/>
  <c r="M107" i="15"/>
  <c r="M108" i="15" s="1"/>
  <c r="M97" i="15"/>
  <c r="M99" i="15" s="1"/>
  <c r="AG252" i="15"/>
  <c r="C252" i="15"/>
  <c r="D251" i="15"/>
  <c r="D250" i="15"/>
  <c r="E250" i="15" s="1"/>
  <c r="F250" i="15" s="1"/>
  <c r="G250" i="15" s="1"/>
  <c r="H250" i="15" s="1"/>
  <c r="I250" i="15" s="1"/>
  <c r="J250" i="15" s="1"/>
  <c r="K250" i="15" s="1"/>
  <c r="L250" i="15" s="1"/>
  <c r="M250" i="15" s="1"/>
  <c r="N250" i="15" s="1"/>
  <c r="O250" i="15" s="1"/>
  <c r="P250" i="15" s="1"/>
  <c r="Q250" i="15" s="1"/>
  <c r="R250" i="15" s="1"/>
  <c r="S250" i="15" s="1"/>
  <c r="T250" i="15" s="1"/>
  <c r="U250" i="15" s="1"/>
  <c r="V250" i="15" s="1"/>
  <c r="W250" i="15" s="1"/>
  <c r="X250" i="15" s="1"/>
  <c r="Y250" i="15" s="1"/>
  <c r="Z250" i="15" s="1"/>
  <c r="AA250" i="15" s="1"/>
  <c r="AB250" i="15" s="1"/>
  <c r="AC250" i="15" s="1"/>
  <c r="AD250" i="15" s="1"/>
  <c r="AE250" i="15" s="1"/>
  <c r="AF250" i="15" s="1"/>
  <c r="B250" i="15" s="1"/>
  <c r="D249" i="15"/>
  <c r="E249" i="15" s="1"/>
  <c r="F249" i="15" s="1"/>
  <c r="G249" i="15" s="1"/>
  <c r="H249" i="15" s="1"/>
  <c r="I249" i="15" s="1"/>
  <c r="J249" i="15" s="1"/>
  <c r="K249" i="15" s="1"/>
  <c r="L249" i="15" s="1"/>
  <c r="M249" i="15" s="1"/>
  <c r="N249" i="15" s="1"/>
  <c r="O249" i="15" s="1"/>
  <c r="P249" i="15" s="1"/>
  <c r="Q249" i="15" s="1"/>
  <c r="R249" i="15" s="1"/>
  <c r="S249" i="15" s="1"/>
  <c r="T249" i="15" s="1"/>
  <c r="U249" i="15" s="1"/>
  <c r="V249" i="15" s="1"/>
  <c r="W249" i="15" s="1"/>
  <c r="X249" i="15" s="1"/>
  <c r="Y249" i="15" s="1"/>
  <c r="Z249" i="15" s="1"/>
  <c r="AA249" i="15" s="1"/>
  <c r="AB249" i="15" s="1"/>
  <c r="AC249" i="15" s="1"/>
  <c r="AD249" i="15" s="1"/>
  <c r="AE249" i="15" s="1"/>
  <c r="AF249" i="15" s="1"/>
  <c r="B249" i="15" s="1"/>
  <c r="D248" i="15"/>
  <c r="E248" i="15" s="1"/>
  <c r="F248" i="15" s="1"/>
  <c r="G248" i="15" s="1"/>
  <c r="H248" i="15" s="1"/>
  <c r="I248" i="15" s="1"/>
  <c r="J248" i="15" s="1"/>
  <c r="K248" i="15" s="1"/>
  <c r="L248" i="15" s="1"/>
  <c r="M248" i="15" s="1"/>
  <c r="N248" i="15" s="1"/>
  <c r="O248" i="15" s="1"/>
  <c r="P248" i="15" s="1"/>
  <c r="Q248" i="15" s="1"/>
  <c r="R248" i="15" s="1"/>
  <c r="S248" i="15" s="1"/>
  <c r="T248" i="15" s="1"/>
  <c r="U248" i="15" s="1"/>
  <c r="V248" i="15" s="1"/>
  <c r="W248" i="15" s="1"/>
  <c r="X248" i="15" s="1"/>
  <c r="Y248" i="15" s="1"/>
  <c r="Z248" i="15" s="1"/>
  <c r="AA248" i="15" s="1"/>
  <c r="AB248" i="15" s="1"/>
  <c r="AC248" i="15" s="1"/>
  <c r="AD248" i="15" s="1"/>
  <c r="AE248" i="15" s="1"/>
  <c r="AF248" i="15" s="1"/>
  <c r="B248" i="15" s="1"/>
  <c r="D247" i="15"/>
  <c r="E247" i="15" s="1"/>
  <c r="F247" i="15" s="1"/>
  <c r="G247" i="15" s="1"/>
  <c r="H247" i="15" s="1"/>
  <c r="I247" i="15" s="1"/>
  <c r="J247" i="15" s="1"/>
  <c r="K247" i="15" s="1"/>
  <c r="L247" i="15" s="1"/>
  <c r="M247" i="15" s="1"/>
  <c r="N247" i="15" s="1"/>
  <c r="O247" i="15" s="1"/>
  <c r="P247" i="15" s="1"/>
  <c r="Q247" i="15" s="1"/>
  <c r="R247" i="15" s="1"/>
  <c r="S247" i="15" s="1"/>
  <c r="T247" i="15" s="1"/>
  <c r="U247" i="15" s="1"/>
  <c r="V247" i="15" s="1"/>
  <c r="W247" i="15" s="1"/>
  <c r="X247" i="15" s="1"/>
  <c r="Y247" i="15" s="1"/>
  <c r="Z247" i="15" s="1"/>
  <c r="AA247" i="15" s="1"/>
  <c r="AB247" i="15" s="1"/>
  <c r="AC247" i="15" s="1"/>
  <c r="AD247" i="15" s="1"/>
  <c r="AE247" i="15" s="1"/>
  <c r="AF247" i="15" s="1"/>
  <c r="B247" i="15" s="1"/>
  <c r="D246" i="15"/>
  <c r="AG244" i="15"/>
  <c r="AF244" i="15"/>
  <c r="AE244" i="15"/>
  <c r="AD244" i="15"/>
  <c r="AC244" i="15"/>
  <c r="AB244" i="15"/>
  <c r="AA244" i="15"/>
  <c r="Z244" i="15"/>
  <c r="Z118" i="15" s="1"/>
  <c r="Y244" i="15"/>
  <c r="Y118" i="15" s="1"/>
  <c r="X244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AI130" i="15"/>
  <c r="AH130" i="15"/>
  <c r="AI129" i="15"/>
  <c r="AH129" i="15"/>
  <c r="AI128" i="15"/>
  <c r="AH128" i="15"/>
  <c r="AI127" i="15"/>
  <c r="AH127" i="15"/>
  <c r="AI126" i="15"/>
  <c r="AH126" i="15"/>
  <c r="AI123" i="15"/>
  <c r="AH123" i="15"/>
  <c r="AI122" i="15"/>
  <c r="AH122" i="15"/>
  <c r="AI121" i="15"/>
  <c r="AH121" i="15"/>
  <c r="AI120" i="15"/>
  <c r="AH120" i="15"/>
  <c r="AI119" i="15"/>
  <c r="AH119" i="15"/>
  <c r="C118" i="15"/>
  <c r="AI117" i="15"/>
  <c r="AH117" i="15"/>
  <c r="AI116" i="15"/>
  <c r="AH116" i="15"/>
  <c r="AI115" i="15"/>
  <c r="AH115" i="15"/>
  <c r="AI114" i="15"/>
  <c r="AH114" i="15"/>
  <c r="AI113" i="15"/>
  <c r="AH113" i="15"/>
  <c r="AI112" i="15"/>
  <c r="AH112" i="15"/>
  <c r="AI111" i="15"/>
  <c r="AH111" i="15"/>
  <c r="AI110" i="15"/>
  <c r="AH110" i="15"/>
  <c r="AI109" i="15"/>
  <c r="AH109" i="15"/>
  <c r="AI106" i="15"/>
  <c r="AH106" i="15"/>
  <c r="AB105" i="15"/>
  <c r="AA105" i="15"/>
  <c r="Z105" i="15"/>
  <c r="Y105" i="15"/>
  <c r="X105" i="15"/>
  <c r="W105" i="15"/>
  <c r="V105" i="15"/>
  <c r="U105" i="15"/>
  <c r="T105" i="15"/>
  <c r="S105" i="15"/>
  <c r="L105" i="15"/>
  <c r="K105" i="15"/>
  <c r="J105" i="15"/>
  <c r="I105" i="15"/>
  <c r="H105" i="15"/>
  <c r="G105" i="15"/>
  <c r="F105" i="15"/>
  <c r="E105" i="15"/>
  <c r="D105" i="15"/>
  <c r="C105" i="15"/>
  <c r="B105" i="15"/>
  <c r="AB104" i="15"/>
  <c r="AA104" i="15"/>
  <c r="Z104" i="15"/>
  <c r="Y104" i="15"/>
  <c r="X104" i="15"/>
  <c r="W104" i="15"/>
  <c r="V104" i="15"/>
  <c r="U104" i="15"/>
  <c r="T104" i="15"/>
  <c r="S104" i="15"/>
  <c r="L104" i="15"/>
  <c r="K104" i="15"/>
  <c r="J104" i="15"/>
  <c r="I104" i="15"/>
  <c r="H104" i="15"/>
  <c r="G104" i="15"/>
  <c r="F104" i="15"/>
  <c r="E104" i="15"/>
  <c r="D104" i="15"/>
  <c r="C104" i="15"/>
  <c r="B104" i="15"/>
  <c r="AB103" i="15"/>
  <c r="AA103" i="15"/>
  <c r="Z103" i="15"/>
  <c r="Y103" i="15"/>
  <c r="X103" i="15"/>
  <c r="W103" i="15"/>
  <c r="V103" i="15"/>
  <c r="U103" i="15"/>
  <c r="T103" i="15"/>
  <c r="S103" i="15"/>
  <c r="L103" i="15"/>
  <c r="K103" i="15"/>
  <c r="J103" i="15"/>
  <c r="I103" i="15"/>
  <c r="H103" i="15"/>
  <c r="G103" i="15"/>
  <c r="F103" i="15"/>
  <c r="E103" i="15"/>
  <c r="D103" i="15"/>
  <c r="C103" i="15"/>
  <c r="B103" i="15"/>
  <c r="AB102" i="15"/>
  <c r="AA102" i="15"/>
  <c r="Z102" i="15"/>
  <c r="Y102" i="15"/>
  <c r="X102" i="15"/>
  <c r="W102" i="15"/>
  <c r="V102" i="15"/>
  <c r="U102" i="15"/>
  <c r="T102" i="15"/>
  <c r="S102" i="15"/>
  <c r="AW23" i="15"/>
  <c r="L102" i="15"/>
  <c r="K102" i="15"/>
  <c r="J102" i="15"/>
  <c r="I102" i="15"/>
  <c r="H102" i="15"/>
  <c r="G102" i="15"/>
  <c r="F102" i="15"/>
  <c r="E102" i="15"/>
  <c r="D102" i="15"/>
  <c r="C102" i="15"/>
  <c r="B102" i="15"/>
  <c r="AB101" i="15"/>
  <c r="AA101" i="15"/>
  <c r="Z101" i="15"/>
  <c r="Y101" i="15"/>
  <c r="X101" i="15"/>
  <c r="W101" i="15"/>
  <c r="V101" i="15"/>
  <c r="U101" i="15"/>
  <c r="T101" i="15"/>
  <c r="S101" i="15"/>
  <c r="L101" i="15"/>
  <c r="K101" i="15"/>
  <c r="J101" i="15"/>
  <c r="I101" i="15"/>
  <c r="H101" i="15"/>
  <c r="G101" i="15"/>
  <c r="F101" i="15"/>
  <c r="E101" i="15"/>
  <c r="D101" i="15"/>
  <c r="C101" i="15"/>
  <c r="B101" i="15"/>
  <c r="AI98" i="15"/>
  <c r="AH98" i="15"/>
  <c r="AI96" i="15"/>
  <c r="AH96" i="15"/>
  <c r="AG96" i="15"/>
  <c r="AI95" i="15"/>
  <c r="AH95" i="15"/>
  <c r="AI94" i="15"/>
  <c r="AH94" i="15"/>
  <c r="AI93" i="15"/>
  <c r="AH93" i="15"/>
  <c r="AG92" i="15"/>
  <c r="AC5" i="15"/>
  <c r="AB92" i="15"/>
  <c r="BG19" i="15" s="1"/>
  <c r="AA92" i="15"/>
  <c r="Z5" i="15" s="1"/>
  <c r="Z92" i="15"/>
  <c r="Y5" i="15" s="1"/>
  <c r="Y92" i="15"/>
  <c r="X5" i="15" s="1"/>
  <c r="X92" i="15"/>
  <c r="BE19" i="15" s="1"/>
  <c r="W92" i="15"/>
  <c r="V5" i="15" s="1"/>
  <c r="V92" i="15"/>
  <c r="U92" i="15"/>
  <c r="BC19" i="15" s="1"/>
  <c r="T92" i="15"/>
  <c r="S5" i="15" s="1"/>
  <c r="S92" i="15"/>
  <c r="R5" i="15" s="1"/>
  <c r="AZ19" i="15"/>
  <c r="AX19" i="15"/>
  <c r="L92" i="15"/>
  <c r="K5" i="15" s="1"/>
  <c r="K92" i="15"/>
  <c r="AT19" i="15" s="1"/>
  <c r="J92" i="15"/>
  <c r="J97" i="15" s="1"/>
  <c r="J99" i="15" s="1"/>
  <c r="I92" i="15"/>
  <c r="H5" i="15" s="1"/>
  <c r="H92" i="15"/>
  <c r="G5" i="15" s="1"/>
  <c r="G92" i="15"/>
  <c r="F5" i="15" s="1"/>
  <c r="F92" i="15"/>
  <c r="E92" i="15"/>
  <c r="AP19" i="15" s="1"/>
  <c r="D92" i="15"/>
  <c r="AO19" i="15" s="1"/>
  <c r="C92" i="15"/>
  <c r="B5" i="15" s="1"/>
  <c r="B92" i="15"/>
  <c r="AF5" i="15" s="1"/>
  <c r="AI91" i="15"/>
  <c r="AH91" i="15"/>
  <c r="AI90" i="15"/>
  <c r="AH90" i="15"/>
  <c r="AI89" i="15"/>
  <c r="AH89" i="15"/>
  <c r="AI88" i="15"/>
  <c r="AH88" i="15"/>
  <c r="AI87" i="15"/>
  <c r="AH87" i="15"/>
  <c r="AI86" i="15"/>
  <c r="AH86" i="15"/>
  <c r="AI85" i="15"/>
  <c r="AH85" i="15"/>
  <c r="AI84" i="15"/>
  <c r="AH84" i="15"/>
  <c r="AI83" i="15"/>
  <c r="AH83" i="15"/>
  <c r="AI82" i="15"/>
  <c r="AH82" i="15"/>
  <c r="AI81" i="15"/>
  <c r="AH81" i="15"/>
  <c r="AG80" i="15"/>
  <c r="BJ20" i="15"/>
  <c r="BH20" i="15"/>
  <c r="AB80" i="15"/>
  <c r="AA80" i="15"/>
  <c r="Z80" i="15"/>
  <c r="BF20" i="15" s="1"/>
  <c r="Y80" i="15"/>
  <c r="X80" i="15"/>
  <c r="BE20" i="15" s="1"/>
  <c r="W80" i="15"/>
  <c r="V80" i="15"/>
  <c r="U80" i="15"/>
  <c r="BC20" i="15" s="1"/>
  <c r="T80" i="15"/>
  <c r="BB20" i="15" s="1"/>
  <c r="S80" i="15"/>
  <c r="BA20" i="15" s="1"/>
  <c r="AZ20" i="15"/>
  <c r="AW20" i="15"/>
  <c r="AU20" i="15"/>
  <c r="L80" i="15"/>
  <c r="K80" i="15"/>
  <c r="AT20" i="15" s="1"/>
  <c r="I80" i="15"/>
  <c r="AS20" i="15" s="1"/>
  <c r="H80" i="15"/>
  <c r="G80" i="15"/>
  <c r="AR20" i="15" s="1"/>
  <c r="F80" i="15"/>
  <c r="AQ20" i="15" s="1"/>
  <c r="E80" i="15"/>
  <c r="AP20" i="15" s="1"/>
  <c r="D80" i="15"/>
  <c r="C80" i="15"/>
  <c r="B80" i="15"/>
  <c r="AI79" i="15"/>
  <c r="AH79" i="15"/>
  <c r="AI78" i="15"/>
  <c r="AH78" i="15"/>
  <c r="AI77" i="15"/>
  <c r="AH77" i="15"/>
  <c r="BH18" i="15"/>
  <c r="AB76" i="15"/>
  <c r="BG18" i="15" s="1"/>
  <c r="AA76" i="15"/>
  <c r="Z76" i="15"/>
  <c r="BF18" i="15" s="1"/>
  <c r="Y76" i="15"/>
  <c r="X76" i="15"/>
  <c r="BE18" i="15" s="1"/>
  <c r="W76" i="15"/>
  <c r="V76" i="15"/>
  <c r="BD18" i="15" s="1"/>
  <c r="U76" i="15"/>
  <c r="BC18" i="15" s="1"/>
  <c r="T76" i="15"/>
  <c r="BB18" i="15" s="1"/>
  <c r="S76" i="15"/>
  <c r="BA18" i="15" s="1"/>
  <c r="AZ18" i="15"/>
  <c r="AX18" i="15"/>
  <c r="L76" i="15"/>
  <c r="K76" i="15"/>
  <c r="AT18" i="15" s="1"/>
  <c r="I76" i="15"/>
  <c r="AS18" i="15" s="1"/>
  <c r="H76" i="15"/>
  <c r="G76" i="15"/>
  <c r="F76" i="15"/>
  <c r="AQ18" i="15" s="1"/>
  <c r="E76" i="15"/>
  <c r="AP18" i="15" s="1"/>
  <c r="D76" i="15"/>
  <c r="AO18" i="15" s="1"/>
  <c r="C76" i="15"/>
  <c r="AN18" i="15" s="1"/>
  <c r="B76" i="15"/>
  <c r="AI75" i="15"/>
  <c r="AH75" i="15"/>
  <c r="AG75" i="15"/>
  <c r="AG76" i="15" s="1"/>
  <c r="AG3" i="15" s="1"/>
  <c r="AI74" i="15"/>
  <c r="AH74" i="15"/>
  <c r="BW73" i="15"/>
  <c r="BW80" i="15" s="1"/>
  <c r="BV73" i="15"/>
  <c r="BV80" i="15" s="1"/>
  <c r="BU73" i="15"/>
  <c r="BU80" i="15" s="1"/>
  <c r="BT73" i="15"/>
  <c r="BT80" i="15" s="1"/>
  <c r="BS73" i="15"/>
  <c r="BS80" i="15" s="1"/>
  <c r="BR73" i="15"/>
  <c r="BR80" i="15" s="1"/>
  <c r="BQ73" i="15"/>
  <c r="BQ80" i="15" s="1"/>
  <c r="BP73" i="15"/>
  <c r="BP80" i="15" s="1"/>
  <c r="BO73" i="15"/>
  <c r="BO80" i="15" s="1"/>
  <c r="BN73" i="15"/>
  <c r="BN80" i="15" s="1"/>
  <c r="BM73" i="15"/>
  <c r="BM80" i="15" s="1"/>
  <c r="BL73" i="15"/>
  <c r="BL80" i="15" s="1"/>
  <c r="BK73" i="15"/>
  <c r="BK80" i="15" s="1"/>
  <c r="BJ73" i="15"/>
  <c r="BJ80" i="15" s="1"/>
  <c r="BI73" i="15"/>
  <c r="BI80" i="15" s="1"/>
  <c r="BH73" i="15"/>
  <c r="BH80" i="15" s="1"/>
  <c r="BG73" i="15"/>
  <c r="BG80" i="15" s="1"/>
  <c r="BF73" i="15"/>
  <c r="BF80" i="15" s="1"/>
  <c r="BE73" i="15"/>
  <c r="BE80" i="15" s="1"/>
  <c r="BD73" i="15"/>
  <c r="BD80" i="15" s="1"/>
  <c r="BC73" i="15"/>
  <c r="BC80" i="15" s="1"/>
  <c r="BB73" i="15"/>
  <c r="BB80" i="15" s="1"/>
  <c r="BA73" i="15"/>
  <c r="BA80" i="15" s="1"/>
  <c r="AZ73" i="15"/>
  <c r="AZ80" i="15" s="1"/>
  <c r="AI73" i="15"/>
  <c r="AH73" i="15"/>
  <c r="BW72" i="15"/>
  <c r="BW79" i="15" s="1"/>
  <c r="BV72" i="15"/>
  <c r="BV79" i="15" s="1"/>
  <c r="BU72" i="15"/>
  <c r="BU79" i="15" s="1"/>
  <c r="BT72" i="15"/>
  <c r="BT79" i="15" s="1"/>
  <c r="BS72" i="15"/>
  <c r="BS79" i="15" s="1"/>
  <c r="BR72" i="15"/>
  <c r="BR79" i="15" s="1"/>
  <c r="BQ72" i="15"/>
  <c r="BQ79" i="15" s="1"/>
  <c r="BP72" i="15"/>
  <c r="BP79" i="15" s="1"/>
  <c r="BO72" i="15"/>
  <c r="BO79" i="15" s="1"/>
  <c r="BN72" i="15"/>
  <c r="BN79" i="15" s="1"/>
  <c r="BM72" i="15"/>
  <c r="BM79" i="15" s="1"/>
  <c r="BL72" i="15"/>
  <c r="BL79" i="15" s="1"/>
  <c r="BK72" i="15"/>
  <c r="BK79" i="15" s="1"/>
  <c r="BJ72" i="15"/>
  <c r="BJ79" i="15" s="1"/>
  <c r="BI72" i="15"/>
  <c r="BI79" i="15" s="1"/>
  <c r="BH72" i="15"/>
  <c r="BH79" i="15" s="1"/>
  <c r="BG72" i="15"/>
  <c r="BG79" i="15" s="1"/>
  <c r="BF72" i="15"/>
  <c r="BF79" i="15" s="1"/>
  <c r="BE72" i="15"/>
  <c r="BE79" i="15" s="1"/>
  <c r="BD72" i="15"/>
  <c r="BD79" i="15" s="1"/>
  <c r="BC72" i="15"/>
  <c r="BC79" i="15" s="1"/>
  <c r="BB72" i="15"/>
  <c r="BB79" i="15" s="1"/>
  <c r="BA72" i="15"/>
  <c r="BA79" i="15" s="1"/>
  <c r="AZ72" i="15"/>
  <c r="AZ79" i="15" s="1"/>
  <c r="AI72" i="15"/>
  <c r="AH72" i="15"/>
  <c r="BW71" i="15"/>
  <c r="BW78" i="15" s="1"/>
  <c r="BV71" i="15"/>
  <c r="BV78" i="15" s="1"/>
  <c r="BU71" i="15"/>
  <c r="BU78" i="15" s="1"/>
  <c r="BT71" i="15"/>
  <c r="BT78" i="15" s="1"/>
  <c r="BS71" i="15"/>
  <c r="BS78" i="15" s="1"/>
  <c r="BR71" i="15"/>
  <c r="BR78" i="15" s="1"/>
  <c r="BQ71" i="15"/>
  <c r="BQ78" i="15" s="1"/>
  <c r="BP71" i="15"/>
  <c r="BP78" i="15" s="1"/>
  <c r="BO71" i="15"/>
  <c r="BO78" i="15" s="1"/>
  <c r="BN71" i="15"/>
  <c r="BN78" i="15" s="1"/>
  <c r="BM71" i="15"/>
  <c r="BM78" i="15" s="1"/>
  <c r="BL71" i="15"/>
  <c r="BL78" i="15" s="1"/>
  <c r="BK71" i="15"/>
  <c r="BK78" i="15" s="1"/>
  <c r="BJ71" i="15"/>
  <c r="BJ78" i="15" s="1"/>
  <c r="BI71" i="15"/>
  <c r="BI78" i="15" s="1"/>
  <c r="BH71" i="15"/>
  <c r="BH78" i="15" s="1"/>
  <c r="BG71" i="15"/>
  <c r="BG78" i="15" s="1"/>
  <c r="BF71" i="15"/>
  <c r="BF78" i="15" s="1"/>
  <c r="BE71" i="15"/>
  <c r="BE78" i="15" s="1"/>
  <c r="BD71" i="15"/>
  <c r="BD78" i="15" s="1"/>
  <c r="BC71" i="15"/>
  <c r="BC78" i="15" s="1"/>
  <c r="BB71" i="15"/>
  <c r="BB78" i="15" s="1"/>
  <c r="BA71" i="15"/>
  <c r="BA78" i="15" s="1"/>
  <c r="AZ71" i="15"/>
  <c r="AZ78" i="15" s="1"/>
  <c r="AI71" i="15"/>
  <c r="AH71" i="15"/>
  <c r="BW70" i="15"/>
  <c r="BW77" i="15" s="1"/>
  <c r="BV70" i="15"/>
  <c r="BV77" i="15" s="1"/>
  <c r="BU70" i="15"/>
  <c r="BU77" i="15" s="1"/>
  <c r="BT70" i="15"/>
  <c r="BT77" i="15" s="1"/>
  <c r="BS70" i="15"/>
  <c r="BS77" i="15" s="1"/>
  <c r="BR70" i="15"/>
  <c r="BR77" i="15" s="1"/>
  <c r="BQ70" i="15"/>
  <c r="BQ77" i="15" s="1"/>
  <c r="BP70" i="15"/>
  <c r="BP77" i="15" s="1"/>
  <c r="BO70" i="15"/>
  <c r="BO77" i="15" s="1"/>
  <c r="BN70" i="15"/>
  <c r="BN77" i="15" s="1"/>
  <c r="BM70" i="15"/>
  <c r="BM77" i="15" s="1"/>
  <c r="BL70" i="15"/>
  <c r="BL77" i="15" s="1"/>
  <c r="BK70" i="15"/>
  <c r="BK77" i="15" s="1"/>
  <c r="BJ70" i="15"/>
  <c r="BJ77" i="15" s="1"/>
  <c r="BI70" i="15"/>
  <c r="BI77" i="15" s="1"/>
  <c r="BH70" i="15"/>
  <c r="BH77" i="15" s="1"/>
  <c r="BG70" i="15"/>
  <c r="BG77" i="15" s="1"/>
  <c r="BF70" i="15"/>
  <c r="BF77" i="15" s="1"/>
  <c r="BE70" i="15"/>
  <c r="BE77" i="15" s="1"/>
  <c r="BD70" i="15"/>
  <c r="BD77" i="15" s="1"/>
  <c r="BC70" i="15"/>
  <c r="BC77" i="15" s="1"/>
  <c r="BB70" i="15"/>
  <c r="BB77" i="15" s="1"/>
  <c r="BA70" i="15"/>
  <c r="BA77" i="15" s="1"/>
  <c r="AZ70" i="15"/>
  <c r="AZ77" i="15" s="1"/>
  <c r="AI70" i="15"/>
  <c r="AH70" i="15"/>
  <c r="BW69" i="15"/>
  <c r="BW76" i="15" s="1"/>
  <c r="BV69" i="15"/>
  <c r="BV76" i="15" s="1"/>
  <c r="BU69" i="15"/>
  <c r="BU76" i="15" s="1"/>
  <c r="BT69" i="15"/>
  <c r="BT76" i="15" s="1"/>
  <c r="BS69" i="15"/>
  <c r="BS76" i="15" s="1"/>
  <c r="BR69" i="15"/>
  <c r="BR76" i="15" s="1"/>
  <c r="BQ69" i="15"/>
  <c r="BQ76" i="15" s="1"/>
  <c r="BP69" i="15"/>
  <c r="BP76" i="15" s="1"/>
  <c r="BO69" i="15"/>
  <c r="BO76" i="15" s="1"/>
  <c r="BN69" i="15"/>
  <c r="BN76" i="15" s="1"/>
  <c r="BM69" i="15"/>
  <c r="BM76" i="15" s="1"/>
  <c r="BL69" i="15"/>
  <c r="BL76" i="15" s="1"/>
  <c r="BK69" i="15"/>
  <c r="BK76" i="15" s="1"/>
  <c r="BJ69" i="15"/>
  <c r="BJ76" i="15" s="1"/>
  <c r="BI69" i="15"/>
  <c r="BI76" i="15" s="1"/>
  <c r="BH69" i="15"/>
  <c r="BH76" i="15" s="1"/>
  <c r="BG69" i="15"/>
  <c r="BG76" i="15" s="1"/>
  <c r="BF69" i="15"/>
  <c r="BF76" i="15" s="1"/>
  <c r="BE69" i="15"/>
  <c r="BE76" i="15" s="1"/>
  <c r="BD69" i="15"/>
  <c r="BD76" i="15" s="1"/>
  <c r="BC69" i="15"/>
  <c r="BC76" i="15" s="1"/>
  <c r="BB69" i="15"/>
  <c r="BB76" i="15" s="1"/>
  <c r="BA69" i="15"/>
  <c r="BA76" i="15" s="1"/>
  <c r="AZ69" i="15"/>
  <c r="AZ76" i="15" s="1"/>
  <c r="AI69" i="15"/>
  <c r="AH69" i="15"/>
  <c r="BW68" i="15"/>
  <c r="BW75" i="15" s="1"/>
  <c r="BV68" i="15"/>
  <c r="BV75" i="15" s="1"/>
  <c r="BU68" i="15"/>
  <c r="BU75" i="15" s="1"/>
  <c r="BT68" i="15"/>
  <c r="BT75" i="15" s="1"/>
  <c r="BS68" i="15"/>
  <c r="BS75" i="15" s="1"/>
  <c r="BR68" i="15"/>
  <c r="BR75" i="15" s="1"/>
  <c r="BQ68" i="15"/>
  <c r="BQ75" i="15" s="1"/>
  <c r="BP68" i="15"/>
  <c r="BP75" i="15" s="1"/>
  <c r="BO68" i="15"/>
  <c r="BO75" i="15" s="1"/>
  <c r="BN68" i="15"/>
  <c r="BN75" i="15" s="1"/>
  <c r="BM68" i="15"/>
  <c r="BM75" i="15" s="1"/>
  <c r="BL68" i="15"/>
  <c r="BL75" i="15" s="1"/>
  <c r="BK68" i="15"/>
  <c r="BK75" i="15" s="1"/>
  <c r="BJ68" i="15"/>
  <c r="BJ75" i="15" s="1"/>
  <c r="BI68" i="15"/>
  <c r="BI75" i="15" s="1"/>
  <c r="BH68" i="15"/>
  <c r="BH75" i="15" s="1"/>
  <c r="BG68" i="15"/>
  <c r="BG75" i="15" s="1"/>
  <c r="BF68" i="15"/>
  <c r="BF75" i="15" s="1"/>
  <c r="BE68" i="15"/>
  <c r="BE75" i="15" s="1"/>
  <c r="BD68" i="15"/>
  <c r="BD75" i="15" s="1"/>
  <c r="BC68" i="15"/>
  <c r="BC75" i="15" s="1"/>
  <c r="BB68" i="15"/>
  <c r="BB75" i="15" s="1"/>
  <c r="BA68" i="15"/>
  <c r="BA75" i="15" s="1"/>
  <c r="AZ68" i="15"/>
  <c r="AZ75" i="15" s="1"/>
  <c r="AI68" i="15"/>
  <c r="AH68" i="15"/>
  <c r="AI67" i="15"/>
  <c r="AH67" i="15"/>
  <c r="AI66" i="15"/>
  <c r="AH66" i="15"/>
  <c r="AI65" i="15"/>
  <c r="AH65" i="15"/>
  <c r="AI64" i="15"/>
  <c r="AH64" i="15"/>
  <c r="AI63" i="15"/>
  <c r="AH63" i="15"/>
  <c r="AG62" i="15"/>
  <c r="BJ17" i="15"/>
  <c r="BI17" i="15"/>
  <c r="BH17" i="15"/>
  <c r="AB62" i="15"/>
  <c r="BG17" i="15" s="1"/>
  <c r="AA62" i="15"/>
  <c r="Z62" i="15"/>
  <c r="BF17" i="15" s="1"/>
  <c r="Y62" i="15"/>
  <c r="X62" i="15"/>
  <c r="W62" i="15"/>
  <c r="V62" i="15"/>
  <c r="U62" i="15"/>
  <c r="BC17" i="15" s="1"/>
  <c r="T62" i="15"/>
  <c r="BB17" i="15" s="1"/>
  <c r="S62" i="15"/>
  <c r="BA17" i="15" s="1"/>
  <c r="AZ17" i="15"/>
  <c r="AY17" i="15"/>
  <c r="AW17" i="15"/>
  <c r="AU17" i="15"/>
  <c r="L62" i="15"/>
  <c r="K62" i="15"/>
  <c r="AT17" i="15" s="1"/>
  <c r="I62" i="15"/>
  <c r="H62" i="15"/>
  <c r="G62" i="15"/>
  <c r="F62" i="15"/>
  <c r="AQ17" i="15" s="1"/>
  <c r="D62" i="15"/>
  <c r="AO17" i="15" s="1"/>
  <c r="C62" i="15"/>
  <c r="AN17" i="15" s="1"/>
  <c r="B62" i="15"/>
  <c r="AM17" i="15" s="1"/>
  <c r="AI61" i="15"/>
  <c r="AH61" i="15"/>
  <c r="AI60" i="15"/>
  <c r="AH60" i="15"/>
  <c r="AI59" i="15"/>
  <c r="AH59" i="15"/>
  <c r="AG58" i="15"/>
  <c r="BJ16" i="15"/>
  <c r="AB58" i="15"/>
  <c r="BG16" i="15" s="1"/>
  <c r="AA58" i="15"/>
  <c r="Z58" i="15"/>
  <c r="Y58" i="15"/>
  <c r="X58" i="15"/>
  <c r="W58" i="15"/>
  <c r="V58" i="15"/>
  <c r="U58" i="15"/>
  <c r="T58" i="15"/>
  <c r="S58" i="15"/>
  <c r="AY16" i="15"/>
  <c r="AX16" i="15"/>
  <c r="L58" i="15"/>
  <c r="K58" i="15"/>
  <c r="I58" i="15"/>
  <c r="H58" i="15"/>
  <c r="G58" i="15"/>
  <c r="AR16" i="15" s="1"/>
  <c r="F58" i="15"/>
  <c r="AQ16" i="15" s="1"/>
  <c r="E58" i="15"/>
  <c r="D58" i="15"/>
  <c r="C58" i="15"/>
  <c r="B58" i="15"/>
  <c r="AM16" i="15" s="1"/>
  <c r="AI57" i="15"/>
  <c r="AH57" i="15"/>
  <c r="AI56" i="15"/>
  <c r="AH56" i="15"/>
  <c r="AI55" i="15"/>
  <c r="AH55" i="15"/>
  <c r="AI54" i="15"/>
  <c r="AH54" i="15"/>
  <c r="AI53" i="15"/>
  <c r="AH53" i="15"/>
  <c r="AI52" i="15"/>
  <c r="AH52" i="15"/>
  <c r="AI51" i="15"/>
  <c r="AH51" i="15"/>
  <c r="AI50" i="15"/>
  <c r="AH50" i="15"/>
  <c r="AI49" i="15"/>
  <c r="AH49" i="15"/>
  <c r="AI48" i="15"/>
  <c r="AH48" i="15"/>
  <c r="AI47" i="15"/>
  <c r="AH47" i="15"/>
  <c r="AI46" i="15"/>
  <c r="AH46" i="15"/>
  <c r="AI45" i="15"/>
  <c r="AH45" i="15"/>
  <c r="AI44" i="15"/>
  <c r="AH44" i="15"/>
  <c r="AI43" i="15"/>
  <c r="AH43" i="15"/>
  <c r="AI42" i="15"/>
  <c r="AH42" i="15"/>
  <c r="AI41" i="15"/>
  <c r="AH41" i="15"/>
  <c r="AI40" i="15"/>
  <c r="AH40" i="15"/>
  <c r="AI39" i="15"/>
  <c r="AH39" i="15"/>
  <c r="AI38" i="15"/>
  <c r="AH38" i="15"/>
  <c r="AI37" i="15"/>
  <c r="AH37" i="15"/>
  <c r="AI36" i="15"/>
  <c r="AH36" i="15"/>
  <c r="AI35" i="15"/>
  <c r="AH35" i="15"/>
  <c r="AI34" i="15"/>
  <c r="AH34" i="15"/>
  <c r="AI33" i="15"/>
  <c r="AH33" i="15"/>
  <c r="AI32" i="15"/>
  <c r="AH32" i="15"/>
  <c r="AI31" i="15"/>
  <c r="AH31" i="15"/>
  <c r="AI30" i="15"/>
  <c r="AH30" i="15"/>
  <c r="AI29" i="15"/>
  <c r="AH29" i="15"/>
  <c r="AI28" i="15"/>
  <c r="AH28" i="15"/>
  <c r="AI27" i="15"/>
  <c r="AH27" i="15"/>
  <c r="AI26" i="15"/>
  <c r="AH26" i="15"/>
  <c r="AI25" i="15"/>
  <c r="AH25" i="15"/>
  <c r="AI24" i="15"/>
  <c r="AH24" i="15"/>
  <c r="AX23" i="15"/>
  <c r="AI23" i="15"/>
  <c r="AH23" i="15"/>
  <c r="AI22" i="15"/>
  <c r="AH22" i="15"/>
  <c r="BJ21" i="15"/>
  <c r="BI21" i="15"/>
  <c r="BH21" i="15"/>
  <c r="BG21" i="15"/>
  <c r="BF21" i="15"/>
  <c r="BE21" i="15"/>
  <c r="BD21" i="15"/>
  <c r="BC21" i="15"/>
  <c r="BB21" i="15"/>
  <c r="BA21" i="15"/>
  <c r="AZ21" i="15"/>
  <c r="AY21" i="15"/>
  <c r="AX21" i="15"/>
  <c r="AW21" i="15"/>
  <c r="AV21" i="15"/>
  <c r="AU21" i="15"/>
  <c r="AT21" i="15"/>
  <c r="AS21" i="15"/>
  <c r="AR21" i="15"/>
  <c r="AQ21" i="15"/>
  <c r="AP21" i="15"/>
  <c r="AO21" i="15"/>
  <c r="AN21" i="15"/>
  <c r="AM21" i="15"/>
  <c r="AI21" i="15"/>
  <c r="AH21" i="15"/>
  <c r="BI20" i="15"/>
  <c r="BG20" i="15"/>
  <c r="BD20" i="15"/>
  <c r="AY20" i="15"/>
  <c r="AX20" i="15"/>
  <c r="AV20" i="15"/>
  <c r="AO20" i="15"/>
  <c r="AM20" i="15"/>
  <c r="AI20" i="15"/>
  <c r="AH20" i="15"/>
  <c r="BJ19" i="15"/>
  <c r="BI19" i="15"/>
  <c r="BH19" i="15"/>
  <c r="AY19" i="15"/>
  <c r="AW19" i="15"/>
  <c r="AU19" i="15"/>
  <c r="AI19" i="15"/>
  <c r="AH19" i="15"/>
  <c r="BJ18" i="15"/>
  <c r="BI18" i="15"/>
  <c r="AY18" i="15"/>
  <c r="AW18" i="15"/>
  <c r="AV18" i="15"/>
  <c r="AU18" i="15"/>
  <c r="AR18" i="15"/>
  <c r="AI18" i="15"/>
  <c r="AH18" i="15"/>
  <c r="BE17" i="15"/>
  <c r="BD17" i="15"/>
  <c r="AX17" i="15"/>
  <c r="AV17" i="15"/>
  <c r="AS17" i="15"/>
  <c r="AR17" i="15"/>
  <c r="AI17" i="15"/>
  <c r="AH17" i="15"/>
  <c r="BI16" i="15"/>
  <c r="BH16" i="15"/>
  <c r="AZ16" i="15"/>
  <c r="AW16" i="15"/>
  <c r="AI16" i="15"/>
  <c r="AH16" i="15"/>
  <c r="AI15" i="15"/>
  <c r="AH15" i="15"/>
  <c r="AI14" i="15"/>
  <c r="AH14" i="15"/>
  <c r="AI13" i="15"/>
  <c r="AH13" i="15"/>
  <c r="AL12" i="15"/>
  <c r="AI12" i="15"/>
  <c r="AH12" i="15"/>
  <c r="AI11" i="15"/>
  <c r="AH11" i="15"/>
  <c r="AD5" i="15"/>
  <c r="AB5" i="15"/>
  <c r="Q5" i="15"/>
  <c r="P5" i="15"/>
  <c r="N5" i="15"/>
  <c r="L5" i="15"/>
  <c r="J5" i="15"/>
  <c r="D5" i="15"/>
  <c r="C5" i="15"/>
  <c r="AG4" i="15"/>
  <c r="K4" i="15"/>
  <c r="E4" i="15"/>
  <c r="H4" i="15" s="1"/>
  <c r="B4" i="15"/>
  <c r="D258" i="15" s="1"/>
  <c r="AB247" i="16" l="1"/>
  <c r="AA252" i="16"/>
  <c r="AC118" i="16"/>
  <c r="AD246" i="16"/>
  <c r="T5" i="15"/>
  <c r="BA19" i="15"/>
  <c r="AA5" i="15"/>
  <c r="AR19" i="15"/>
  <c r="BB19" i="15"/>
  <c r="T97" i="15"/>
  <c r="T99" i="15" s="1"/>
  <c r="AB97" i="15"/>
  <c r="AB99" i="15" s="1"/>
  <c r="BF19" i="15"/>
  <c r="X107" i="15"/>
  <c r="BE23" i="15" s="1"/>
  <c r="BJ23" i="15"/>
  <c r="AS19" i="15"/>
  <c r="N100" i="15"/>
  <c r="W107" i="15"/>
  <c r="W108" i="15" s="1"/>
  <c r="P100" i="15"/>
  <c r="O100" i="15"/>
  <c r="O7" i="15"/>
  <c r="Z97" i="15"/>
  <c r="Z99" i="15" s="1"/>
  <c r="AY23" i="15"/>
  <c r="Y107" i="15"/>
  <c r="Y108" i="15" s="1"/>
  <c r="AI101" i="15"/>
  <c r="AY22" i="15"/>
  <c r="AY24" i="15" s="1"/>
  <c r="M100" i="15"/>
  <c r="L97" i="15"/>
  <c r="L99" i="15" s="1"/>
  <c r="I5" i="15"/>
  <c r="I107" i="15"/>
  <c r="AS23" i="15" s="1"/>
  <c r="I97" i="15"/>
  <c r="I99" i="15" s="1"/>
  <c r="AS16" i="15"/>
  <c r="AS22" i="15" s="1"/>
  <c r="BI22" i="15"/>
  <c r="AG99" i="15"/>
  <c r="W97" i="15"/>
  <c r="W99" i="15" s="1"/>
  <c r="W100" i="15" s="1"/>
  <c r="W7" i="15" s="1"/>
  <c r="AH102" i="15"/>
  <c r="AW22" i="15"/>
  <c r="AW24" i="15" s="1"/>
  <c r="AG97" i="15"/>
  <c r="AU23" i="15"/>
  <c r="U107" i="15"/>
  <c r="BC23" i="15" s="1"/>
  <c r="BG22" i="15"/>
  <c r="AV23" i="15"/>
  <c r="V107" i="15"/>
  <c r="BD23" i="15" s="1"/>
  <c r="BH23" i="15"/>
  <c r="BI23" i="15"/>
  <c r="Q7" i="15"/>
  <c r="Y97" i="15"/>
  <c r="Y99" i="15" s="1"/>
  <c r="AG2" i="15"/>
  <c r="AG6" i="15" s="1"/>
  <c r="BF16" i="15"/>
  <c r="K107" i="15"/>
  <c r="AT23" i="15" s="1"/>
  <c r="S107" i="15"/>
  <c r="BA23" i="15" s="1"/>
  <c r="AA107" i="15"/>
  <c r="AA108" i="15" s="1"/>
  <c r="AI62" i="15"/>
  <c r="BJ22" i="15"/>
  <c r="D252" i="15"/>
  <c r="H107" i="15"/>
  <c r="H108" i="15" s="1"/>
  <c r="G107" i="15"/>
  <c r="AR23" i="15" s="1"/>
  <c r="AR22" i="15"/>
  <c r="G97" i="15"/>
  <c r="G99" i="15" s="1"/>
  <c r="F107" i="15"/>
  <c r="AQ23" i="15" s="1"/>
  <c r="E107" i="15"/>
  <c r="AP23" i="15" s="1"/>
  <c r="D97" i="15"/>
  <c r="D99" i="15" s="1"/>
  <c r="AN19" i="15"/>
  <c r="AH76" i="15"/>
  <c r="AM19" i="15"/>
  <c r="B97" i="15"/>
  <c r="B99" i="15" s="1"/>
  <c r="AM18" i="15"/>
  <c r="AI76" i="15"/>
  <c r="AI58" i="15"/>
  <c r="E97" i="15"/>
  <c r="E99" i="15" s="1"/>
  <c r="E100" i="15" s="1"/>
  <c r="E7" i="15" s="1"/>
  <c r="AU16" i="15"/>
  <c r="AU22" i="15" s="1"/>
  <c r="BC16" i="15"/>
  <c r="BC22" i="15" s="1"/>
  <c r="U97" i="15"/>
  <c r="U99" i="15" s="1"/>
  <c r="BG84" i="15" a="1"/>
  <c r="AX22" i="15"/>
  <c r="AX24" i="15" s="1"/>
  <c r="AI80" i="15"/>
  <c r="AN20" i="15"/>
  <c r="AZ22" i="15"/>
  <c r="AQ19" i="15"/>
  <c r="AQ22" i="15" s="1"/>
  <c r="E5" i="15"/>
  <c r="M5" i="15"/>
  <c r="AV19" i="15"/>
  <c r="U5" i="15"/>
  <c r="BD19" i="15"/>
  <c r="AP16" i="15"/>
  <c r="AP17" i="15"/>
  <c r="AH62" i="15"/>
  <c r="BH22" i="15"/>
  <c r="C97" i="15"/>
  <c r="C99" i="15" s="1"/>
  <c r="AN16" i="15"/>
  <c r="K97" i="15"/>
  <c r="K99" i="15" s="1"/>
  <c r="K100" i="15" s="1"/>
  <c r="K7" i="15" s="1"/>
  <c r="AT16" i="15"/>
  <c r="AT22" i="15" s="1"/>
  <c r="S97" i="15"/>
  <c r="S99" i="15" s="1"/>
  <c r="BA16" i="15"/>
  <c r="BA22" i="15" s="1"/>
  <c r="AA97" i="15"/>
  <c r="AA99" i="15" s="1"/>
  <c r="AA100" i="15" s="1"/>
  <c r="AA7" i="15" s="1"/>
  <c r="O5" i="15"/>
  <c r="W5" i="15"/>
  <c r="AE5" i="15"/>
  <c r="I108" i="15"/>
  <c r="AI105" i="15"/>
  <c r="AH105" i="15"/>
  <c r="F97" i="15"/>
  <c r="F99" i="15" s="1"/>
  <c r="N7" i="15"/>
  <c r="V97" i="15"/>
  <c r="V99" i="15" s="1"/>
  <c r="V100" i="15" s="1"/>
  <c r="V7" i="15" s="1"/>
  <c r="BB16" i="15"/>
  <c r="BB22" i="15" s="1"/>
  <c r="AI92" i="15"/>
  <c r="J108" i="15"/>
  <c r="AH92" i="15"/>
  <c r="AI104" i="15"/>
  <c r="X97" i="15"/>
  <c r="X99" i="15" s="1"/>
  <c r="X100" i="15" s="1"/>
  <c r="X7" i="15" s="1"/>
  <c r="B107" i="15"/>
  <c r="B108" i="15" s="1"/>
  <c r="AH101" i="15"/>
  <c r="J107" i="15"/>
  <c r="J100" i="15" s="1"/>
  <c r="J7" i="15" s="1"/>
  <c r="AZ23" i="15"/>
  <c r="Z107" i="15"/>
  <c r="BF23" i="15" s="1"/>
  <c r="AI102" i="15"/>
  <c r="AI103" i="15"/>
  <c r="AH104" i="15"/>
  <c r="C107" i="15"/>
  <c r="AN23" i="15" s="1"/>
  <c r="H97" i="15"/>
  <c r="H99" i="15" s="1"/>
  <c r="AL13" i="15"/>
  <c r="AV16" i="15"/>
  <c r="BD16" i="15"/>
  <c r="D118" i="15"/>
  <c r="E251" i="15"/>
  <c r="F251" i="15" s="1"/>
  <c r="G251" i="15" s="1"/>
  <c r="H251" i="15" s="1"/>
  <c r="I251" i="15" s="1"/>
  <c r="J251" i="15" s="1"/>
  <c r="K251" i="15" s="1"/>
  <c r="L251" i="15" s="1"/>
  <c r="M251" i="15" s="1"/>
  <c r="N251" i="15" s="1"/>
  <c r="O251" i="15" s="1"/>
  <c r="P251" i="15" s="1"/>
  <c r="Q251" i="15" s="1"/>
  <c r="R251" i="15" s="1"/>
  <c r="S251" i="15" s="1"/>
  <c r="T251" i="15" s="1"/>
  <c r="U251" i="15" s="1"/>
  <c r="V251" i="15" s="1"/>
  <c r="W251" i="15" s="1"/>
  <c r="X251" i="15" s="1"/>
  <c r="Y251" i="15" s="1"/>
  <c r="Z251" i="15" s="1"/>
  <c r="AA251" i="15" s="1"/>
  <c r="AB251" i="15" s="1"/>
  <c r="AC251" i="15" s="1"/>
  <c r="AD251" i="15" s="1"/>
  <c r="AE251" i="15" s="1"/>
  <c r="AF251" i="15" s="1"/>
  <c r="B251" i="15" s="1"/>
  <c r="X108" i="15"/>
  <c r="P7" i="15"/>
  <c r="AO16" i="15"/>
  <c r="AO22" i="15" s="1"/>
  <c r="BE16" i="15"/>
  <c r="BE22" i="15" s="1"/>
  <c r="BE24" i="15" s="1"/>
  <c r="AH58" i="15"/>
  <c r="AH80" i="15"/>
  <c r="E108" i="15"/>
  <c r="U108" i="15"/>
  <c r="D107" i="15"/>
  <c r="AO23" i="15" s="1"/>
  <c r="L107" i="15"/>
  <c r="L100" i="15" s="1"/>
  <c r="L7" i="15" s="1"/>
  <c r="T107" i="15"/>
  <c r="BB23" i="15" s="1"/>
  <c r="AB107" i="15"/>
  <c r="BG23" i="15" s="1"/>
  <c r="AH103" i="15"/>
  <c r="E246" i="15"/>
  <c r="AE246" i="16" l="1"/>
  <c r="AD118" i="16"/>
  <c r="AC247" i="16"/>
  <c r="AB252" i="16"/>
  <c r="BH24" i="15"/>
  <c r="BF22" i="15"/>
  <c r="BA24" i="15"/>
  <c r="BG24" i="15"/>
  <c r="Y100" i="15"/>
  <c r="Y7" i="15" s="1"/>
  <c r="H100" i="15"/>
  <c r="H7" i="15" s="1"/>
  <c r="G108" i="15"/>
  <c r="I100" i="15"/>
  <c r="I7" i="15" s="1"/>
  <c r="BJ24" i="15"/>
  <c r="AF7" i="15"/>
  <c r="AM22" i="15"/>
  <c r="G100" i="15"/>
  <c r="G7" i="15" s="1"/>
  <c r="AR24" i="15"/>
  <c r="AD7" i="15"/>
  <c r="V108" i="15"/>
  <c r="AS24" i="15"/>
  <c r="AB100" i="15"/>
  <c r="AB7" i="15" s="1"/>
  <c r="T108" i="15"/>
  <c r="F100" i="15"/>
  <c r="F7" i="15" s="1"/>
  <c r="S100" i="15"/>
  <c r="S7" i="15" s="1"/>
  <c r="BD22" i="15"/>
  <c r="BD24" i="15" s="1"/>
  <c r="T100" i="15"/>
  <c r="T7" i="15" s="1"/>
  <c r="AU24" i="15"/>
  <c r="L108" i="15"/>
  <c r="AT24" i="15"/>
  <c r="AC7" i="15"/>
  <c r="S108" i="15"/>
  <c r="U100" i="15"/>
  <c r="U7" i="15" s="1"/>
  <c r="K108" i="15"/>
  <c r="BI24" i="15"/>
  <c r="Z108" i="15"/>
  <c r="BF24" i="15"/>
  <c r="Z100" i="15"/>
  <c r="Z7" i="15" s="1"/>
  <c r="AQ24" i="15"/>
  <c r="R7" i="15"/>
  <c r="AB108" i="15"/>
  <c r="F108" i="15"/>
  <c r="BC24" i="15"/>
  <c r="AZ24" i="15"/>
  <c r="M7" i="15"/>
  <c r="AE7" i="15"/>
  <c r="AI97" i="15"/>
  <c r="BJ107" i="15"/>
  <c r="BH106" i="15"/>
  <c r="BL104" i="15"/>
  <c r="BJ103" i="15"/>
  <c r="BH102" i="15"/>
  <c r="BL100" i="15"/>
  <c r="BJ99" i="15"/>
  <c r="BH98" i="15"/>
  <c r="BL96" i="15"/>
  <c r="BJ95" i="15"/>
  <c r="BH94" i="15"/>
  <c r="BL92" i="15"/>
  <c r="BJ91" i="15"/>
  <c r="BH90" i="15"/>
  <c r="BL88" i="15"/>
  <c r="BJ87" i="15"/>
  <c r="BH86" i="15"/>
  <c r="BL84" i="15"/>
  <c r="BL106" i="15"/>
  <c r="BJ105" i="15"/>
  <c r="BH104" i="15"/>
  <c r="BL102" i="15"/>
  <c r="BJ101" i="15"/>
  <c r="BH100" i="15"/>
  <c r="BL98" i="15"/>
  <c r="BJ97" i="15"/>
  <c r="BH96" i="15"/>
  <c r="BL94" i="15"/>
  <c r="BJ93" i="15"/>
  <c r="BH92" i="15"/>
  <c r="BL90" i="15"/>
  <c r="BJ89" i="15"/>
  <c r="BH88" i="15"/>
  <c r="BL86" i="15"/>
  <c r="BJ85" i="15"/>
  <c r="BH84" i="15"/>
  <c r="BL107" i="15"/>
  <c r="BI106" i="15"/>
  <c r="BJ104" i="15"/>
  <c r="BK102" i="15"/>
  <c r="BG101" i="15"/>
  <c r="BH99" i="15"/>
  <c r="BI97" i="15"/>
  <c r="BK95" i="15"/>
  <c r="BL93" i="15"/>
  <c r="BG92" i="15"/>
  <c r="BI90" i="15"/>
  <c r="BJ88" i="15"/>
  <c r="BK86" i="15"/>
  <c r="BG85" i="15"/>
  <c r="BH105" i="15"/>
  <c r="BK101" i="15"/>
  <c r="BG98" i="15"/>
  <c r="BJ94" i="15"/>
  <c r="BG91" i="15"/>
  <c r="BH89" i="15"/>
  <c r="BG106" i="15"/>
  <c r="BI104" i="15"/>
  <c r="BJ102" i="15"/>
  <c r="BK100" i="15"/>
  <c r="BG99" i="15"/>
  <c r="BH97" i="15"/>
  <c r="BI95" i="15"/>
  <c r="BK93" i="15"/>
  <c r="BL91" i="15"/>
  <c r="BG90" i="15"/>
  <c r="BI88" i="15"/>
  <c r="BJ86" i="15"/>
  <c r="BK84" i="15"/>
  <c r="BK107" i="15"/>
  <c r="BL105" i="15"/>
  <c r="BG104" i="15"/>
  <c r="BI102" i="15"/>
  <c r="BJ100" i="15"/>
  <c r="BK98" i="15"/>
  <c r="BG97" i="15"/>
  <c r="BH95" i="15"/>
  <c r="BI93" i="15"/>
  <c r="BK91" i="15"/>
  <c r="BL89" i="15"/>
  <c r="BG88" i="15"/>
  <c r="BI86" i="15"/>
  <c r="BJ84" i="15"/>
  <c r="BI107" i="15"/>
  <c r="BK105" i="15"/>
  <c r="BL103" i="15"/>
  <c r="BG102" i="15"/>
  <c r="BI100" i="15"/>
  <c r="BJ98" i="15"/>
  <c r="BK96" i="15"/>
  <c r="BG95" i="15"/>
  <c r="BH93" i="15"/>
  <c r="BI91" i="15"/>
  <c r="BK89" i="15"/>
  <c r="BL87" i="15"/>
  <c r="BG86" i="15"/>
  <c r="BI84" i="15"/>
  <c r="BK87" i="15"/>
  <c r="BG107" i="15"/>
  <c r="BL99" i="15"/>
  <c r="BI96" i="15"/>
  <c r="BH107" i="15"/>
  <c r="BI105" i="15"/>
  <c r="BK103" i="15"/>
  <c r="BL101" i="15"/>
  <c r="BG100" i="15"/>
  <c r="BI98" i="15"/>
  <c r="BJ96" i="15"/>
  <c r="BK94" i="15"/>
  <c r="BG93" i="15"/>
  <c r="BH91" i="15"/>
  <c r="BI89" i="15"/>
  <c r="BL85" i="15"/>
  <c r="BG84" i="15"/>
  <c r="BK106" i="15"/>
  <c r="BG105" i="15"/>
  <c r="BH103" i="15"/>
  <c r="BI101" i="15"/>
  <c r="BK99" i="15"/>
  <c r="BL97" i="15"/>
  <c r="BG96" i="15"/>
  <c r="BI94" i="15"/>
  <c r="BJ92" i="15"/>
  <c r="BK90" i="15"/>
  <c r="BG89" i="15"/>
  <c r="BH87" i="15"/>
  <c r="BI85" i="15"/>
  <c r="BG103" i="15"/>
  <c r="BJ90" i="15"/>
  <c r="BI103" i="15"/>
  <c r="BH101" i="15"/>
  <c r="BK88" i="15"/>
  <c r="BH85" i="15"/>
  <c r="BI99" i="15"/>
  <c r="BI87" i="15"/>
  <c r="BK97" i="15"/>
  <c r="BG87" i="15"/>
  <c r="BL95" i="15"/>
  <c r="BK85" i="15"/>
  <c r="BJ106" i="15"/>
  <c r="BG94" i="15"/>
  <c r="BI92" i="15"/>
  <c r="BK104" i="15"/>
  <c r="BK92" i="15"/>
  <c r="C108" i="15"/>
  <c r="AO24" i="15"/>
  <c r="D108" i="15"/>
  <c r="BB24" i="15"/>
  <c r="D100" i="15"/>
  <c r="D7" i="15" s="1"/>
  <c r="AP22" i="15"/>
  <c r="AP24" i="15" s="1"/>
  <c r="B256" i="15"/>
  <c r="F246" i="15"/>
  <c r="E118" i="15"/>
  <c r="E252" i="15"/>
  <c r="AN22" i="15"/>
  <c r="C256" i="15"/>
  <c r="AH99" i="15"/>
  <c r="B100" i="15"/>
  <c r="AI99" i="15"/>
  <c r="AV22" i="15"/>
  <c r="AV24" i="15" s="1"/>
  <c r="C100" i="15"/>
  <c r="C7" i="15" s="1"/>
  <c r="AI107" i="15"/>
  <c r="AH107" i="15"/>
  <c r="AM23" i="15"/>
  <c r="AH97" i="15"/>
  <c r="AA58" i="14"/>
  <c r="AA62" i="14"/>
  <c r="AA76" i="14"/>
  <c r="AA80" i="14"/>
  <c r="AA92" i="14"/>
  <c r="AA108" i="14" s="1"/>
  <c r="AA101" i="14"/>
  <c r="AA102" i="14"/>
  <c r="AA103" i="14"/>
  <c r="AA104" i="14"/>
  <c r="AA105" i="14"/>
  <c r="Z105" i="14"/>
  <c r="Z104" i="14"/>
  <c r="Z103" i="14"/>
  <c r="Z102" i="14"/>
  <c r="Z101" i="14"/>
  <c r="Z92" i="14"/>
  <c r="Z108" i="14" s="1"/>
  <c r="Z80" i="14"/>
  <c r="Z76" i="14"/>
  <c r="Z62" i="14"/>
  <c r="Z58" i="14"/>
  <c r="Y58" i="14"/>
  <c r="Y62" i="14"/>
  <c r="Y76" i="14"/>
  <c r="Y80" i="14"/>
  <c r="Y92" i="14"/>
  <c r="Y101" i="14"/>
  <c r="Y102" i="14"/>
  <c r="Y103" i="14"/>
  <c r="Y104" i="14"/>
  <c r="Y105" i="14"/>
  <c r="X58" i="14"/>
  <c r="X62" i="14"/>
  <c r="X76" i="14"/>
  <c r="X80" i="14"/>
  <c r="X92" i="14"/>
  <c r="X108" i="14" s="1"/>
  <c r="X101" i="14"/>
  <c r="X102" i="14"/>
  <c r="X103" i="14"/>
  <c r="X104" i="14"/>
  <c r="X105" i="14"/>
  <c r="W58" i="14"/>
  <c r="W62" i="14"/>
  <c r="W76" i="14"/>
  <c r="W80" i="14"/>
  <c r="W92" i="14"/>
  <c r="W101" i="14"/>
  <c r="W102" i="14"/>
  <c r="W103" i="14"/>
  <c r="W104" i="14"/>
  <c r="W105" i="14"/>
  <c r="V58" i="14"/>
  <c r="V62" i="14"/>
  <c r="V76" i="14"/>
  <c r="V80" i="14"/>
  <c r="V92" i="14"/>
  <c r="V101" i="14"/>
  <c r="V102" i="14"/>
  <c r="V103" i="14"/>
  <c r="V104" i="14"/>
  <c r="V105" i="14"/>
  <c r="U58" i="14"/>
  <c r="U62" i="14"/>
  <c r="U76" i="14"/>
  <c r="U80" i="14"/>
  <c r="U92" i="14"/>
  <c r="U101" i="14"/>
  <c r="U102" i="14"/>
  <c r="U103" i="14"/>
  <c r="U104" i="14"/>
  <c r="U105" i="14"/>
  <c r="T58" i="14"/>
  <c r="T62" i="14"/>
  <c r="T76" i="14"/>
  <c r="T80" i="14"/>
  <c r="T92" i="14"/>
  <c r="T97" i="14" s="1"/>
  <c r="T101" i="14"/>
  <c r="T102" i="14"/>
  <c r="T103" i="14"/>
  <c r="T104" i="14"/>
  <c r="T105" i="14"/>
  <c r="Q121" i="14"/>
  <c r="AD247" i="16" l="1"/>
  <c r="AC252" i="16"/>
  <c r="AF246" i="16"/>
  <c r="AM24" i="15"/>
  <c r="AI108" i="15"/>
  <c r="AI100" i="15"/>
  <c r="B7" i="15"/>
  <c r="A7" i="15" s="1"/>
  <c r="AH100" i="15"/>
  <c r="G246" i="15"/>
  <c r="F252" i="15"/>
  <c r="F118" i="15"/>
  <c r="AH108" i="15"/>
  <c r="AN24" i="15"/>
  <c r="AT8" i="15"/>
  <c r="K6" i="15"/>
  <c r="Z97" i="14"/>
  <c r="Z99" i="14" s="1"/>
  <c r="Z100" i="14" s="1"/>
  <c r="T107" i="14"/>
  <c r="AA97" i="14"/>
  <c r="AA99" i="14" s="1"/>
  <c r="AA100" i="14" s="1"/>
  <c r="Y97" i="14"/>
  <c r="Y99" i="14" s="1"/>
  <c r="Y100" i="14" s="1"/>
  <c r="Y108" i="14"/>
  <c r="W97" i="14"/>
  <c r="W99" i="14" s="1"/>
  <c r="W100" i="14" s="1"/>
  <c r="X97" i="14"/>
  <c r="X99" i="14" s="1"/>
  <c r="X100" i="14" s="1"/>
  <c r="W108" i="14"/>
  <c r="V107" i="14"/>
  <c r="V108" i="14" s="1"/>
  <c r="V97" i="14"/>
  <c r="V99" i="14" s="1"/>
  <c r="U107" i="14"/>
  <c r="U108" i="14" s="1"/>
  <c r="U97" i="14"/>
  <c r="U99" i="14" s="1"/>
  <c r="T99" i="14"/>
  <c r="T108" i="14"/>
  <c r="M58" i="14"/>
  <c r="M62" i="14"/>
  <c r="AU17" i="14" s="1"/>
  <c r="M76" i="14"/>
  <c r="M80" i="14"/>
  <c r="AU20" i="14" s="1"/>
  <c r="M92" i="14"/>
  <c r="AU19" i="14" s="1"/>
  <c r="M101" i="14"/>
  <c r="M102" i="14"/>
  <c r="M103" i="14"/>
  <c r="M104" i="14"/>
  <c r="M105" i="14"/>
  <c r="K58" i="14"/>
  <c r="J58" i="14"/>
  <c r="AH125" i="14"/>
  <c r="AI125" i="14"/>
  <c r="AH124" i="14"/>
  <c r="AI124" i="14"/>
  <c r="D58" i="14"/>
  <c r="D62" i="14"/>
  <c r="AO17" i="14" s="1"/>
  <c r="D76" i="14"/>
  <c r="AO18" i="14" s="1"/>
  <c r="D80" i="14"/>
  <c r="AO20" i="14" s="1"/>
  <c r="D92" i="14"/>
  <c r="D108" i="14" s="1"/>
  <c r="D101" i="14"/>
  <c r="D102" i="14"/>
  <c r="D103" i="14"/>
  <c r="D104" i="14"/>
  <c r="D105" i="14"/>
  <c r="C58" i="14"/>
  <c r="C62" i="14"/>
  <c r="AN17" i="14" s="1"/>
  <c r="C76" i="14"/>
  <c r="C80" i="14"/>
  <c r="C92" i="14"/>
  <c r="AN19" i="14" s="1"/>
  <c r="C101" i="14"/>
  <c r="C102" i="14"/>
  <c r="C103" i="14"/>
  <c r="C104" i="14"/>
  <c r="C105" i="14"/>
  <c r="C118" i="14"/>
  <c r="B105" i="14"/>
  <c r="B104" i="14"/>
  <c r="B103" i="14"/>
  <c r="B102" i="14"/>
  <c r="B101" i="14"/>
  <c r="B92" i="14"/>
  <c r="B108" i="14" s="1"/>
  <c r="B80" i="14"/>
  <c r="AM20" i="14" s="1"/>
  <c r="B76" i="14"/>
  <c r="B62" i="14"/>
  <c r="AM17" i="14" s="1"/>
  <c r="B58" i="14"/>
  <c r="AG252" i="14"/>
  <c r="C252" i="14"/>
  <c r="D251" i="14"/>
  <c r="E251" i="14" s="1"/>
  <c r="F251" i="14" s="1"/>
  <c r="G251" i="14" s="1"/>
  <c r="H251" i="14" s="1"/>
  <c r="I251" i="14" s="1"/>
  <c r="J251" i="14" s="1"/>
  <c r="K251" i="14" s="1"/>
  <c r="L251" i="14" s="1"/>
  <c r="M251" i="14" s="1"/>
  <c r="N251" i="14" s="1"/>
  <c r="O251" i="14" s="1"/>
  <c r="P251" i="14" s="1"/>
  <c r="Q251" i="14" s="1"/>
  <c r="R251" i="14" s="1"/>
  <c r="S251" i="14" s="1"/>
  <c r="T251" i="14" s="1"/>
  <c r="U251" i="14" s="1"/>
  <c r="V251" i="14" s="1"/>
  <c r="W251" i="14" s="1"/>
  <c r="X251" i="14" s="1"/>
  <c r="Y251" i="14" s="1"/>
  <c r="Z251" i="14" s="1"/>
  <c r="AA251" i="14" s="1"/>
  <c r="AB251" i="14" s="1"/>
  <c r="AC251" i="14" s="1"/>
  <c r="AD251" i="14" s="1"/>
  <c r="AE251" i="14" s="1"/>
  <c r="AF251" i="14" s="1"/>
  <c r="B251" i="14" s="1"/>
  <c r="D250" i="14"/>
  <c r="E250" i="14" s="1"/>
  <c r="F250" i="14" s="1"/>
  <c r="G250" i="14" s="1"/>
  <c r="H250" i="14" s="1"/>
  <c r="I250" i="14" s="1"/>
  <c r="J250" i="14" s="1"/>
  <c r="K250" i="14" s="1"/>
  <c r="L250" i="14" s="1"/>
  <c r="M250" i="14" s="1"/>
  <c r="N250" i="14" s="1"/>
  <c r="O250" i="14" s="1"/>
  <c r="P250" i="14" s="1"/>
  <c r="Q250" i="14" s="1"/>
  <c r="R250" i="14" s="1"/>
  <c r="S250" i="14" s="1"/>
  <c r="T250" i="14" s="1"/>
  <c r="U250" i="14" s="1"/>
  <c r="V250" i="14" s="1"/>
  <c r="W250" i="14" s="1"/>
  <c r="X250" i="14" s="1"/>
  <c r="Y250" i="14" s="1"/>
  <c r="Z250" i="14" s="1"/>
  <c r="AA250" i="14" s="1"/>
  <c r="AB250" i="14" s="1"/>
  <c r="AC250" i="14" s="1"/>
  <c r="AD250" i="14" s="1"/>
  <c r="AE250" i="14" s="1"/>
  <c r="AF250" i="14" s="1"/>
  <c r="B250" i="14" s="1"/>
  <c r="D249" i="14"/>
  <c r="E249" i="14" s="1"/>
  <c r="F249" i="14" s="1"/>
  <c r="G249" i="14" s="1"/>
  <c r="H249" i="14" s="1"/>
  <c r="I249" i="14" s="1"/>
  <c r="J249" i="14" s="1"/>
  <c r="K249" i="14" s="1"/>
  <c r="L249" i="14" s="1"/>
  <c r="M249" i="14" s="1"/>
  <c r="N249" i="14" s="1"/>
  <c r="O249" i="14" s="1"/>
  <c r="P249" i="14" s="1"/>
  <c r="Q249" i="14" s="1"/>
  <c r="R249" i="14" s="1"/>
  <c r="S249" i="14" s="1"/>
  <c r="T249" i="14" s="1"/>
  <c r="U249" i="14" s="1"/>
  <c r="V249" i="14" s="1"/>
  <c r="W249" i="14" s="1"/>
  <c r="X249" i="14" s="1"/>
  <c r="Y249" i="14" s="1"/>
  <c r="Z249" i="14" s="1"/>
  <c r="AA249" i="14" s="1"/>
  <c r="AB249" i="14" s="1"/>
  <c r="AC249" i="14" s="1"/>
  <c r="AD249" i="14" s="1"/>
  <c r="AE249" i="14" s="1"/>
  <c r="AF249" i="14" s="1"/>
  <c r="B249" i="14" s="1"/>
  <c r="D248" i="14"/>
  <c r="E248" i="14" s="1"/>
  <c r="F248" i="14" s="1"/>
  <c r="G248" i="14" s="1"/>
  <c r="H248" i="14" s="1"/>
  <c r="I248" i="14" s="1"/>
  <c r="J248" i="14" s="1"/>
  <c r="K248" i="14" s="1"/>
  <c r="L248" i="14" s="1"/>
  <c r="M248" i="14" s="1"/>
  <c r="N248" i="14" s="1"/>
  <c r="O248" i="14" s="1"/>
  <c r="P248" i="14" s="1"/>
  <c r="Q248" i="14" s="1"/>
  <c r="R248" i="14" s="1"/>
  <c r="S248" i="14" s="1"/>
  <c r="T248" i="14" s="1"/>
  <c r="U248" i="14" s="1"/>
  <c r="V248" i="14" s="1"/>
  <c r="W248" i="14" s="1"/>
  <c r="X248" i="14" s="1"/>
  <c r="Y248" i="14" s="1"/>
  <c r="Z248" i="14" s="1"/>
  <c r="AA248" i="14" s="1"/>
  <c r="AB248" i="14" s="1"/>
  <c r="AC248" i="14" s="1"/>
  <c r="AD248" i="14" s="1"/>
  <c r="AE248" i="14" s="1"/>
  <c r="AF248" i="14" s="1"/>
  <c r="B248" i="14" s="1"/>
  <c r="D247" i="14"/>
  <c r="E247" i="14" s="1"/>
  <c r="F247" i="14" s="1"/>
  <c r="G247" i="14" s="1"/>
  <c r="H247" i="14" s="1"/>
  <c r="I247" i="14" s="1"/>
  <c r="J247" i="14" s="1"/>
  <c r="K247" i="14" s="1"/>
  <c r="L247" i="14" s="1"/>
  <c r="M247" i="14" s="1"/>
  <c r="N247" i="14" s="1"/>
  <c r="O247" i="14" s="1"/>
  <c r="P247" i="14" s="1"/>
  <c r="Q247" i="14" s="1"/>
  <c r="R247" i="14" s="1"/>
  <c r="S247" i="14" s="1"/>
  <c r="T247" i="14" s="1"/>
  <c r="U247" i="14" s="1"/>
  <c r="V247" i="14" s="1"/>
  <c r="W247" i="14" s="1"/>
  <c r="X247" i="14" s="1"/>
  <c r="Y247" i="14" s="1"/>
  <c r="Z247" i="14" s="1"/>
  <c r="AA247" i="14" s="1"/>
  <c r="AB247" i="14" s="1"/>
  <c r="AC247" i="14" s="1"/>
  <c r="AD247" i="14" s="1"/>
  <c r="AE247" i="14" s="1"/>
  <c r="AF247" i="14" s="1"/>
  <c r="B247" i="14" s="1"/>
  <c r="D246" i="14"/>
  <c r="AG244" i="14"/>
  <c r="AF244" i="14"/>
  <c r="AE244" i="14"/>
  <c r="AD244" i="14"/>
  <c r="AC244" i="14"/>
  <c r="AB244" i="14"/>
  <c r="AA244" i="14"/>
  <c r="Z244" i="14"/>
  <c r="Y244" i="14"/>
  <c r="X244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AI130" i="14"/>
  <c r="AH130" i="14"/>
  <c r="AI129" i="14"/>
  <c r="AH129" i="14"/>
  <c r="AI128" i="14"/>
  <c r="AH128" i="14"/>
  <c r="AI127" i="14"/>
  <c r="AH127" i="14"/>
  <c r="AI126" i="14"/>
  <c r="AH126" i="14"/>
  <c r="AI123" i="14"/>
  <c r="AH123" i="14"/>
  <c r="AI122" i="14"/>
  <c r="AH122" i="14"/>
  <c r="AI121" i="14"/>
  <c r="AH121" i="14"/>
  <c r="AI120" i="14"/>
  <c r="AH120" i="14"/>
  <c r="AI119" i="14"/>
  <c r="AH119" i="14"/>
  <c r="AI117" i="14"/>
  <c r="AH117" i="14"/>
  <c r="AI116" i="14"/>
  <c r="AH116" i="14"/>
  <c r="AI115" i="14"/>
  <c r="AH115" i="14"/>
  <c r="AI114" i="14"/>
  <c r="AH114" i="14"/>
  <c r="AI113" i="14"/>
  <c r="AH113" i="14"/>
  <c r="AI112" i="14"/>
  <c r="AH112" i="14"/>
  <c r="AI111" i="14"/>
  <c r="AH111" i="14"/>
  <c r="AI110" i="14"/>
  <c r="AH110" i="14"/>
  <c r="AI109" i="14"/>
  <c r="AH109" i="14"/>
  <c r="AI106" i="14"/>
  <c r="AH106" i="14"/>
  <c r="AF105" i="14"/>
  <c r="AE105" i="14"/>
  <c r="AD105" i="14"/>
  <c r="AC105" i="14"/>
  <c r="AB105" i="14"/>
  <c r="S105" i="14"/>
  <c r="R105" i="14"/>
  <c r="Q105" i="14"/>
  <c r="P105" i="14"/>
  <c r="O105" i="14"/>
  <c r="N105" i="14"/>
  <c r="L105" i="14"/>
  <c r="K105" i="14"/>
  <c r="J105" i="14"/>
  <c r="I105" i="14"/>
  <c r="H105" i="14"/>
  <c r="G105" i="14"/>
  <c r="F105" i="14"/>
  <c r="E105" i="14"/>
  <c r="AF104" i="14"/>
  <c r="AE104" i="14"/>
  <c r="AD104" i="14"/>
  <c r="AC104" i="14"/>
  <c r="AB104" i="14"/>
  <c r="S104" i="14"/>
  <c r="R104" i="14"/>
  <c r="Q104" i="14"/>
  <c r="P104" i="14"/>
  <c r="O104" i="14"/>
  <c r="N104" i="14"/>
  <c r="L104" i="14"/>
  <c r="K104" i="14"/>
  <c r="J104" i="14"/>
  <c r="I104" i="14"/>
  <c r="H104" i="14"/>
  <c r="G104" i="14"/>
  <c r="F104" i="14"/>
  <c r="E104" i="14"/>
  <c r="AF103" i="14"/>
  <c r="AE103" i="14"/>
  <c r="AD103" i="14"/>
  <c r="AC103" i="14"/>
  <c r="AB103" i="14"/>
  <c r="S103" i="14"/>
  <c r="R103" i="14"/>
  <c r="Q103" i="14"/>
  <c r="P103" i="14"/>
  <c r="O103" i="14"/>
  <c r="N103" i="14"/>
  <c r="L103" i="14"/>
  <c r="K103" i="14"/>
  <c r="J103" i="14"/>
  <c r="I103" i="14"/>
  <c r="H103" i="14"/>
  <c r="G103" i="14"/>
  <c r="F103" i="14"/>
  <c r="E103" i="14"/>
  <c r="AF102" i="14"/>
  <c r="AE102" i="14"/>
  <c r="AD102" i="14"/>
  <c r="AC102" i="14"/>
  <c r="AB102" i="14"/>
  <c r="S102" i="14"/>
  <c r="R102" i="14"/>
  <c r="Q102" i="14"/>
  <c r="P102" i="14"/>
  <c r="O102" i="14"/>
  <c r="N102" i="14"/>
  <c r="L102" i="14"/>
  <c r="K102" i="14"/>
  <c r="J102" i="14"/>
  <c r="I102" i="14"/>
  <c r="H102" i="14"/>
  <c r="G102" i="14"/>
  <c r="F102" i="14"/>
  <c r="E102" i="14"/>
  <c r="AN23" i="14"/>
  <c r="AF101" i="14"/>
  <c r="AE101" i="14"/>
  <c r="AD101" i="14"/>
  <c r="AC101" i="14"/>
  <c r="AB101" i="14"/>
  <c r="S101" i="14"/>
  <c r="R101" i="14"/>
  <c r="Q101" i="14"/>
  <c r="P101" i="14"/>
  <c r="O101" i="14"/>
  <c r="N101" i="14"/>
  <c r="L101" i="14"/>
  <c r="K101" i="14"/>
  <c r="J101" i="14"/>
  <c r="I101" i="14"/>
  <c r="H101" i="14"/>
  <c r="G101" i="14"/>
  <c r="F101" i="14"/>
  <c r="E101" i="14"/>
  <c r="AI98" i="14"/>
  <c r="AH98" i="14"/>
  <c r="AI96" i="14"/>
  <c r="AH96" i="14"/>
  <c r="AG96" i="14"/>
  <c r="AI95" i="14"/>
  <c r="AH95" i="14"/>
  <c r="AI94" i="14"/>
  <c r="AH94" i="14"/>
  <c r="AI93" i="14"/>
  <c r="AH93" i="14"/>
  <c r="AG92" i="14"/>
  <c r="AF92" i="14"/>
  <c r="BJ19" i="14" s="1"/>
  <c r="AE92" i="14"/>
  <c r="AD5" i="14" s="1"/>
  <c r="AD92" i="14"/>
  <c r="BH19" i="14" s="1"/>
  <c r="AC92" i="14"/>
  <c r="AB92" i="14"/>
  <c r="BG19" i="14" s="1"/>
  <c r="Z5" i="14"/>
  <c r="BE19" i="14"/>
  <c r="BD19" i="14"/>
  <c r="BB19" i="14"/>
  <c r="S92" i="14"/>
  <c r="BA19" i="14" s="1"/>
  <c r="R92" i="14"/>
  <c r="AZ19" i="14" s="1"/>
  <c r="Q92" i="14"/>
  <c r="P92" i="14"/>
  <c r="O5" i="14" s="1"/>
  <c r="O92" i="14"/>
  <c r="AW19" i="14" s="1"/>
  <c r="N92" i="14"/>
  <c r="AV19" i="14" s="1"/>
  <c r="L92" i="14"/>
  <c r="K5" i="14" s="1"/>
  <c r="K92" i="14"/>
  <c r="AT19" i="14" s="1"/>
  <c r="J92" i="14"/>
  <c r="I92" i="14"/>
  <c r="H92" i="14"/>
  <c r="G5" i="14" s="1"/>
  <c r="G92" i="14"/>
  <c r="F5" i="14" s="1"/>
  <c r="F92" i="14"/>
  <c r="E5" i="14" s="1"/>
  <c r="E92" i="14"/>
  <c r="AP19" i="14" s="1"/>
  <c r="AI91" i="14"/>
  <c r="AH91" i="14"/>
  <c r="AI90" i="14"/>
  <c r="AH90" i="14"/>
  <c r="AI89" i="14"/>
  <c r="AH89" i="14"/>
  <c r="AI88" i="14"/>
  <c r="AH88" i="14"/>
  <c r="AI87" i="14"/>
  <c r="AH87" i="14"/>
  <c r="AI86" i="14"/>
  <c r="AH86" i="14"/>
  <c r="AI85" i="14"/>
  <c r="AH85" i="14"/>
  <c r="AI84" i="14"/>
  <c r="AH84" i="14"/>
  <c r="AI83" i="14"/>
  <c r="AH83" i="14"/>
  <c r="AI82" i="14"/>
  <c r="AH82" i="14"/>
  <c r="AI81" i="14"/>
  <c r="AH81" i="14"/>
  <c r="AG80" i="14"/>
  <c r="AF80" i="14"/>
  <c r="BJ20" i="14" s="1"/>
  <c r="AE80" i="14"/>
  <c r="AD80" i="14"/>
  <c r="BH20" i="14" s="1"/>
  <c r="AC80" i="14"/>
  <c r="AB80" i="14"/>
  <c r="BG20" i="14" s="1"/>
  <c r="BD20" i="14"/>
  <c r="BB20" i="14"/>
  <c r="S80" i="14"/>
  <c r="BA20" i="14" s="1"/>
  <c r="R80" i="14"/>
  <c r="AZ20" i="14" s="1"/>
  <c r="Q80" i="14"/>
  <c r="AY20" i="14" s="1"/>
  <c r="P80" i="14"/>
  <c r="AX20" i="14" s="1"/>
  <c r="O80" i="14"/>
  <c r="AW20" i="14" s="1"/>
  <c r="N80" i="14"/>
  <c r="AV20" i="14" s="1"/>
  <c r="L80" i="14"/>
  <c r="K80" i="14"/>
  <c r="AT20" i="14" s="1"/>
  <c r="J80" i="14"/>
  <c r="I80" i="14"/>
  <c r="AS20" i="14" s="1"/>
  <c r="H80" i="14"/>
  <c r="G80" i="14"/>
  <c r="AR20" i="14" s="1"/>
  <c r="F80" i="14"/>
  <c r="AQ20" i="14" s="1"/>
  <c r="E80" i="14"/>
  <c r="AP20" i="14" s="1"/>
  <c r="AI79" i="14"/>
  <c r="AH79" i="14"/>
  <c r="AI78" i="14"/>
  <c r="AH78" i="14"/>
  <c r="AI77" i="14"/>
  <c r="AH77" i="14"/>
  <c r="AF76" i="14"/>
  <c r="AE76" i="14"/>
  <c r="BI18" i="14" s="1"/>
  <c r="AD76" i="14"/>
  <c r="BH18" i="14" s="1"/>
  <c r="AC76" i="14"/>
  <c r="AB76" i="14"/>
  <c r="BG18" i="14" s="1"/>
  <c r="BF18" i="14"/>
  <c r="BD18" i="14"/>
  <c r="BC18" i="14"/>
  <c r="BB18" i="14"/>
  <c r="S76" i="14"/>
  <c r="BA18" i="14" s="1"/>
  <c r="R76" i="14"/>
  <c r="Q76" i="14"/>
  <c r="AY18" i="14" s="1"/>
  <c r="P76" i="14"/>
  <c r="AX18" i="14" s="1"/>
  <c r="O76" i="14"/>
  <c r="AW18" i="14" s="1"/>
  <c r="N76" i="14"/>
  <c r="AV18" i="14" s="1"/>
  <c r="AU18" i="14"/>
  <c r="L76" i="14"/>
  <c r="K76" i="14"/>
  <c r="J76" i="14"/>
  <c r="I76" i="14"/>
  <c r="AS18" i="14" s="1"/>
  <c r="H76" i="14"/>
  <c r="G76" i="14"/>
  <c r="AR18" i="14" s="1"/>
  <c r="F76" i="14"/>
  <c r="AQ18" i="14" s="1"/>
  <c r="E76" i="14"/>
  <c r="AP18" i="14" s="1"/>
  <c r="AN18" i="14"/>
  <c r="AI75" i="14"/>
  <c r="AH75" i="14"/>
  <c r="AG75" i="14"/>
  <c r="AG76" i="14" s="1"/>
  <c r="AG3" i="14" s="1"/>
  <c r="AI74" i="14"/>
  <c r="AH74" i="14"/>
  <c r="BW73" i="14"/>
  <c r="BW80" i="14" s="1"/>
  <c r="BV73" i="14"/>
  <c r="BV80" i="14" s="1"/>
  <c r="BU73" i="14"/>
  <c r="BU80" i="14" s="1"/>
  <c r="BT73" i="14"/>
  <c r="BT80" i="14" s="1"/>
  <c r="BS73" i="14"/>
  <c r="BS80" i="14" s="1"/>
  <c r="BR73" i="14"/>
  <c r="BR80" i="14" s="1"/>
  <c r="BQ73" i="14"/>
  <c r="BQ80" i="14" s="1"/>
  <c r="BP73" i="14"/>
  <c r="BP80" i="14" s="1"/>
  <c r="BO73" i="14"/>
  <c r="BO80" i="14" s="1"/>
  <c r="BN73" i="14"/>
  <c r="BN80" i="14" s="1"/>
  <c r="BM73" i="14"/>
  <c r="BM80" i="14" s="1"/>
  <c r="BL73" i="14"/>
  <c r="BL80" i="14" s="1"/>
  <c r="BK73" i="14"/>
  <c r="BK80" i="14" s="1"/>
  <c r="BJ73" i="14"/>
  <c r="BJ80" i="14" s="1"/>
  <c r="BI73" i="14"/>
  <c r="BI80" i="14" s="1"/>
  <c r="BH73" i="14"/>
  <c r="BH80" i="14" s="1"/>
  <c r="BG73" i="14"/>
  <c r="BG80" i="14" s="1"/>
  <c r="BF73" i="14"/>
  <c r="BF80" i="14" s="1"/>
  <c r="BE73" i="14"/>
  <c r="BE80" i="14" s="1"/>
  <c r="BD73" i="14"/>
  <c r="BD80" i="14" s="1"/>
  <c r="BC73" i="14"/>
  <c r="BC80" i="14" s="1"/>
  <c r="BB73" i="14"/>
  <c r="BB80" i="14" s="1"/>
  <c r="BA73" i="14"/>
  <c r="BA80" i="14" s="1"/>
  <c r="AZ73" i="14"/>
  <c r="AZ80" i="14" s="1"/>
  <c r="AI73" i="14"/>
  <c r="AH73" i="14"/>
  <c r="BW72" i="14"/>
  <c r="BW79" i="14" s="1"/>
  <c r="BV72" i="14"/>
  <c r="BV79" i="14" s="1"/>
  <c r="BU72" i="14"/>
  <c r="BU79" i="14" s="1"/>
  <c r="BT72" i="14"/>
  <c r="BT79" i="14" s="1"/>
  <c r="BS72" i="14"/>
  <c r="BS79" i="14" s="1"/>
  <c r="BR72" i="14"/>
  <c r="BR79" i="14" s="1"/>
  <c r="BQ72" i="14"/>
  <c r="BQ79" i="14" s="1"/>
  <c r="BP72" i="14"/>
  <c r="BP79" i="14" s="1"/>
  <c r="BO72" i="14"/>
  <c r="BO79" i="14" s="1"/>
  <c r="BN72" i="14"/>
  <c r="BN79" i="14" s="1"/>
  <c r="BM72" i="14"/>
  <c r="BM79" i="14" s="1"/>
  <c r="BL72" i="14"/>
  <c r="BL79" i="14" s="1"/>
  <c r="BK72" i="14"/>
  <c r="BK79" i="14" s="1"/>
  <c r="BJ72" i="14"/>
  <c r="BJ79" i="14" s="1"/>
  <c r="BI72" i="14"/>
  <c r="BI79" i="14" s="1"/>
  <c r="BH72" i="14"/>
  <c r="BH79" i="14" s="1"/>
  <c r="BG72" i="14"/>
  <c r="BG79" i="14" s="1"/>
  <c r="BF72" i="14"/>
  <c r="BF79" i="14" s="1"/>
  <c r="BE72" i="14"/>
  <c r="BE79" i="14" s="1"/>
  <c r="BD72" i="14"/>
  <c r="BD79" i="14" s="1"/>
  <c r="BC72" i="14"/>
  <c r="BC79" i="14" s="1"/>
  <c r="BB72" i="14"/>
  <c r="BB79" i="14" s="1"/>
  <c r="BA72" i="14"/>
  <c r="BA79" i="14" s="1"/>
  <c r="AZ72" i="14"/>
  <c r="AZ79" i="14" s="1"/>
  <c r="AI72" i="14"/>
  <c r="AH72" i="14"/>
  <c r="BW71" i="14"/>
  <c r="BW78" i="14" s="1"/>
  <c r="BV71" i="14"/>
  <c r="BV78" i="14" s="1"/>
  <c r="BU71" i="14"/>
  <c r="BU78" i="14" s="1"/>
  <c r="BT71" i="14"/>
  <c r="BT78" i="14" s="1"/>
  <c r="BS71" i="14"/>
  <c r="BS78" i="14" s="1"/>
  <c r="BR71" i="14"/>
  <c r="BR78" i="14" s="1"/>
  <c r="BQ71" i="14"/>
  <c r="BQ78" i="14" s="1"/>
  <c r="BP71" i="14"/>
  <c r="BP78" i="14" s="1"/>
  <c r="BO71" i="14"/>
  <c r="BO78" i="14" s="1"/>
  <c r="BN71" i="14"/>
  <c r="BN78" i="14" s="1"/>
  <c r="BM71" i="14"/>
  <c r="BM78" i="14" s="1"/>
  <c r="BL71" i="14"/>
  <c r="BL78" i="14" s="1"/>
  <c r="BK71" i="14"/>
  <c r="BK78" i="14" s="1"/>
  <c r="BJ71" i="14"/>
  <c r="BJ78" i="14" s="1"/>
  <c r="BI71" i="14"/>
  <c r="BI78" i="14" s="1"/>
  <c r="BH71" i="14"/>
  <c r="BH78" i="14" s="1"/>
  <c r="BG71" i="14"/>
  <c r="BG78" i="14" s="1"/>
  <c r="BF71" i="14"/>
  <c r="BF78" i="14" s="1"/>
  <c r="BE71" i="14"/>
  <c r="BE78" i="14" s="1"/>
  <c r="BD71" i="14"/>
  <c r="BD78" i="14" s="1"/>
  <c r="BC71" i="14"/>
  <c r="BC78" i="14" s="1"/>
  <c r="BB71" i="14"/>
  <c r="BB78" i="14" s="1"/>
  <c r="BA71" i="14"/>
  <c r="BA78" i="14" s="1"/>
  <c r="AZ71" i="14"/>
  <c r="AZ78" i="14" s="1"/>
  <c r="AI71" i="14"/>
  <c r="AH71" i="14"/>
  <c r="BW70" i="14"/>
  <c r="BW77" i="14" s="1"/>
  <c r="BV70" i="14"/>
  <c r="BV77" i="14" s="1"/>
  <c r="BU70" i="14"/>
  <c r="BU77" i="14" s="1"/>
  <c r="BT70" i="14"/>
  <c r="BT77" i="14" s="1"/>
  <c r="BS70" i="14"/>
  <c r="BS77" i="14" s="1"/>
  <c r="BR70" i="14"/>
  <c r="BR77" i="14" s="1"/>
  <c r="BQ70" i="14"/>
  <c r="BQ77" i="14" s="1"/>
  <c r="BP70" i="14"/>
  <c r="BP77" i="14" s="1"/>
  <c r="BO70" i="14"/>
  <c r="BO77" i="14" s="1"/>
  <c r="BN70" i="14"/>
  <c r="BN77" i="14" s="1"/>
  <c r="BM70" i="14"/>
  <c r="BM77" i="14" s="1"/>
  <c r="BL70" i="14"/>
  <c r="BL77" i="14" s="1"/>
  <c r="BK70" i="14"/>
  <c r="BK77" i="14" s="1"/>
  <c r="BJ70" i="14"/>
  <c r="BJ77" i="14" s="1"/>
  <c r="BI70" i="14"/>
  <c r="BI77" i="14" s="1"/>
  <c r="BH70" i="14"/>
  <c r="BH77" i="14" s="1"/>
  <c r="BG70" i="14"/>
  <c r="BG77" i="14" s="1"/>
  <c r="BF70" i="14"/>
  <c r="BF77" i="14" s="1"/>
  <c r="BE70" i="14"/>
  <c r="BE77" i="14" s="1"/>
  <c r="BD70" i="14"/>
  <c r="BD77" i="14" s="1"/>
  <c r="BC70" i="14"/>
  <c r="BC77" i="14" s="1"/>
  <c r="BB70" i="14"/>
  <c r="BB77" i="14" s="1"/>
  <c r="BA70" i="14"/>
  <c r="BA77" i="14" s="1"/>
  <c r="AZ70" i="14"/>
  <c r="AZ77" i="14" s="1"/>
  <c r="AI70" i="14"/>
  <c r="AH70" i="14"/>
  <c r="BW69" i="14"/>
  <c r="BW76" i="14" s="1"/>
  <c r="BV69" i="14"/>
  <c r="BV76" i="14" s="1"/>
  <c r="BU69" i="14"/>
  <c r="BU76" i="14" s="1"/>
  <c r="BT69" i="14"/>
  <c r="BT76" i="14" s="1"/>
  <c r="BS69" i="14"/>
  <c r="BS76" i="14" s="1"/>
  <c r="BR69" i="14"/>
  <c r="BR76" i="14" s="1"/>
  <c r="BQ69" i="14"/>
  <c r="BQ76" i="14" s="1"/>
  <c r="BP69" i="14"/>
  <c r="BP76" i="14" s="1"/>
  <c r="BO69" i="14"/>
  <c r="BO76" i="14" s="1"/>
  <c r="BN69" i="14"/>
  <c r="BN76" i="14" s="1"/>
  <c r="BM69" i="14"/>
  <c r="BM76" i="14" s="1"/>
  <c r="BL69" i="14"/>
  <c r="BL76" i="14" s="1"/>
  <c r="BK69" i="14"/>
  <c r="BK76" i="14" s="1"/>
  <c r="BJ69" i="14"/>
  <c r="BJ76" i="14" s="1"/>
  <c r="BI69" i="14"/>
  <c r="BI76" i="14" s="1"/>
  <c r="BH69" i="14"/>
  <c r="BH76" i="14" s="1"/>
  <c r="BG69" i="14"/>
  <c r="BG76" i="14" s="1"/>
  <c r="BF69" i="14"/>
  <c r="BF76" i="14" s="1"/>
  <c r="BE69" i="14"/>
  <c r="BE76" i="14" s="1"/>
  <c r="BD69" i="14"/>
  <c r="BD76" i="14" s="1"/>
  <c r="BC69" i="14"/>
  <c r="BC76" i="14" s="1"/>
  <c r="BB69" i="14"/>
  <c r="BB76" i="14" s="1"/>
  <c r="BA69" i="14"/>
  <c r="BA76" i="14" s="1"/>
  <c r="AZ69" i="14"/>
  <c r="AZ76" i="14" s="1"/>
  <c r="AI69" i="14"/>
  <c r="AH69" i="14"/>
  <c r="BW68" i="14"/>
  <c r="BW75" i="14" s="1"/>
  <c r="BV68" i="14"/>
  <c r="BV75" i="14" s="1"/>
  <c r="BU68" i="14"/>
  <c r="BU75" i="14" s="1"/>
  <c r="BT68" i="14"/>
  <c r="BT75" i="14" s="1"/>
  <c r="BS68" i="14"/>
  <c r="BS75" i="14" s="1"/>
  <c r="BR68" i="14"/>
  <c r="BR75" i="14" s="1"/>
  <c r="BQ68" i="14"/>
  <c r="BQ75" i="14" s="1"/>
  <c r="BP68" i="14"/>
  <c r="BP75" i="14" s="1"/>
  <c r="BO68" i="14"/>
  <c r="BO75" i="14" s="1"/>
  <c r="BN68" i="14"/>
  <c r="BN75" i="14" s="1"/>
  <c r="BM68" i="14"/>
  <c r="BM75" i="14" s="1"/>
  <c r="BL68" i="14"/>
  <c r="BL75" i="14" s="1"/>
  <c r="BK68" i="14"/>
  <c r="BK75" i="14" s="1"/>
  <c r="BJ68" i="14"/>
  <c r="BJ75" i="14" s="1"/>
  <c r="BI68" i="14"/>
  <c r="BI75" i="14" s="1"/>
  <c r="BH68" i="14"/>
  <c r="BH75" i="14" s="1"/>
  <c r="BG68" i="14"/>
  <c r="BG75" i="14" s="1"/>
  <c r="BF68" i="14"/>
  <c r="BF75" i="14" s="1"/>
  <c r="BE68" i="14"/>
  <c r="BE75" i="14" s="1"/>
  <c r="BD68" i="14"/>
  <c r="BD75" i="14" s="1"/>
  <c r="BC68" i="14"/>
  <c r="BC75" i="14" s="1"/>
  <c r="BB68" i="14"/>
  <c r="BB75" i="14" s="1"/>
  <c r="BA68" i="14"/>
  <c r="BA75" i="14" s="1"/>
  <c r="AZ68" i="14"/>
  <c r="AI68" i="14"/>
  <c r="AH68" i="14"/>
  <c r="AI67" i="14"/>
  <c r="AH67" i="14"/>
  <c r="AI66" i="14"/>
  <c r="AH66" i="14"/>
  <c r="AI65" i="14"/>
  <c r="AH65" i="14"/>
  <c r="AI64" i="14"/>
  <c r="AH64" i="14"/>
  <c r="AI63" i="14"/>
  <c r="AH63" i="14"/>
  <c r="AG62" i="14"/>
  <c r="AF62" i="14"/>
  <c r="BJ17" i="14" s="1"/>
  <c r="AE62" i="14"/>
  <c r="BI17" i="14" s="1"/>
  <c r="AD62" i="14"/>
  <c r="BH17" i="14" s="1"/>
  <c r="AC62" i="14"/>
  <c r="AB62" i="14"/>
  <c r="BE17" i="14"/>
  <c r="BD17" i="14"/>
  <c r="BC17" i="14"/>
  <c r="BB17" i="14"/>
  <c r="S62" i="14"/>
  <c r="BA17" i="14" s="1"/>
  <c r="R62" i="14"/>
  <c r="AZ17" i="14" s="1"/>
  <c r="Q62" i="14"/>
  <c r="P62" i="14"/>
  <c r="AX17" i="14" s="1"/>
  <c r="O62" i="14"/>
  <c r="AW17" i="14" s="1"/>
  <c r="N62" i="14"/>
  <c r="AV17" i="14" s="1"/>
  <c r="L62" i="14"/>
  <c r="K62" i="14"/>
  <c r="AT17" i="14" s="1"/>
  <c r="J62" i="14"/>
  <c r="I62" i="14"/>
  <c r="AS17" i="14" s="1"/>
  <c r="H62" i="14"/>
  <c r="G62" i="14"/>
  <c r="AR17" i="14" s="1"/>
  <c r="F62" i="14"/>
  <c r="AQ17" i="14" s="1"/>
  <c r="E62" i="14"/>
  <c r="AP17" i="14" s="1"/>
  <c r="AI61" i="14"/>
  <c r="AH61" i="14"/>
  <c r="AI60" i="14"/>
  <c r="AH60" i="14"/>
  <c r="AI59" i="14"/>
  <c r="AH59" i="14"/>
  <c r="AG58" i="14"/>
  <c r="AF58" i="14"/>
  <c r="AE58" i="14"/>
  <c r="BI16" i="14" s="1"/>
  <c r="AD58" i="14"/>
  <c r="AC58" i="14"/>
  <c r="AB58" i="14"/>
  <c r="BG16" i="14" s="1"/>
  <c r="BF16" i="14"/>
  <c r="S58" i="14"/>
  <c r="R58" i="14"/>
  <c r="AZ16" i="14" s="1"/>
  <c r="Q58" i="14"/>
  <c r="AY16" i="14" s="1"/>
  <c r="P58" i="14"/>
  <c r="AX16" i="14" s="1"/>
  <c r="O58" i="14"/>
  <c r="AW16" i="14" s="1"/>
  <c r="N58" i="14"/>
  <c r="L58" i="14"/>
  <c r="AT16" i="14"/>
  <c r="I58" i="14"/>
  <c r="AS16" i="14" s="1"/>
  <c r="H58" i="14"/>
  <c r="G58" i="14"/>
  <c r="AR16" i="14" s="1"/>
  <c r="F58" i="14"/>
  <c r="E58" i="14"/>
  <c r="AP16" i="14" s="1"/>
  <c r="AI57" i="14"/>
  <c r="AH57" i="14"/>
  <c r="AI56" i="14"/>
  <c r="AH56" i="14"/>
  <c r="AI55" i="14"/>
  <c r="AH55" i="14"/>
  <c r="AI54" i="14"/>
  <c r="AH54" i="14"/>
  <c r="AI53" i="14"/>
  <c r="AH53" i="14"/>
  <c r="AI52" i="14"/>
  <c r="AH52" i="14"/>
  <c r="AI51" i="14"/>
  <c r="AH51" i="14"/>
  <c r="AI50" i="14"/>
  <c r="AH50" i="14"/>
  <c r="AI49" i="14"/>
  <c r="AH49" i="14"/>
  <c r="AI48" i="14"/>
  <c r="AH48" i="14"/>
  <c r="AI47" i="14"/>
  <c r="AH47" i="14"/>
  <c r="AI46" i="14"/>
  <c r="AH46" i="14"/>
  <c r="AI45" i="14"/>
  <c r="AH45" i="14"/>
  <c r="AI44" i="14"/>
  <c r="AH44" i="14"/>
  <c r="AI43" i="14"/>
  <c r="AH43" i="14"/>
  <c r="AI42" i="14"/>
  <c r="AH42" i="14"/>
  <c r="AI41" i="14"/>
  <c r="AH41" i="14"/>
  <c r="AI40" i="14"/>
  <c r="AH40" i="14"/>
  <c r="AI39" i="14"/>
  <c r="AH39" i="14"/>
  <c r="AI38" i="14"/>
  <c r="AH38" i="14"/>
  <c r="AI37" i="14"/>
  <c r="AH37" i="14"/>
  <c r="AI36" i="14"/>
  <c r="AH36" i="14"/>
  <c r="AI35" i="14"/>
  <c r="AH35" i="14"/>
  <c r="AI34" i="14"/>
  <c r="AH34" i="14"/>
  <c r="AI33" i="14"/>
  <c r="AH33" i="14"/>
  <c r="AI32" i="14"/>
  <c r="AH32" i="14"/>
  <c r="AI31" i="14"/>
  <c r="AH31" i="14"/>
  <c r="AI30" i="14"/>
  <c r="AH30" i="14"/>
  <c r="AI29" i="14"/>
  <c r="AH29" i="14"/>
  <c r="AI28" i="14"/>
  <c r="AH28" i="14"/>
  <c r="AI27" i="14"/>
  <c r="AH27" i="14"/>
  <c r="AI26" i="14"/>
  <c r="AH26" i="14"/>
  <c r="AI25" i="14"/>
  <c r="AH25" i="14"/>
  <c r="AI24" i="14"/>
  <c r="AH24" i="14"/>
  <c r="AO23" i="14"/>
  <c r="AI23" i="14"/>
  <c r="AH23" i="14"/>
  <c r="AI22" i="14"/>
  <c r="AH22" i="14"/>
  <c r="BJ21" i="14"/>
  <c r="BI21" i="14"/>
  <c r="BH21" i="14"/>
  <c r="BG21" i="14"/>
  <c r="BF21" i="14"/>
  <c r="BE21" i="14"/>
  <c r="BD21" i="14"/>
  <c r="BC21" i="14"/>
  <c r="BB21" i="14"/>
  <c r="BA21" i="14"/>
  <c r="AZ21" i="14"/>
  <c r="AY21" i="14"/>
  <c r="AX21" i="14"/>
  <c r="AW21" i="14"/>
  <c r="AV21" i="14"/>
  <c r="AU21" i="14"/>
  <c r="AT21" i="14"/>
  <c r="AS21" i="14"/>
  <c r="AR21" i="14"/>
  <c r="AQ21" i="14"/>
  <c r="AP21" i="14"/>
  <c r="AO21" i="14"/>
  <c r="AN21" i="14"/>
  <c r="AM21" i="14"/>
  <c r="AI21" i="14"/>
  <c r="AH21" i="14"/>
  <c r="BF20" i="14"/>
  <c r="BE20" i="14"/>
  <c r="BC20" i="14"/>
  <c r="AN20" i="14"/>
  <c r="AI20" i="14"/>
  <c r="AH20" i="14"/>
  <c r="BI19" i="14"/>
  <c r="BF19" i="14"/>
  <c r="BC19" i="14"/>
  <c r="AQ19" i="14"/>
  <c r="AO19" i="14"/>
  <c r="AI19" i="14"/>
  <c r="AH19" i="14"/>
  <c r="BJ18" i="14"/>
  <c r="BE18" i="14"/>
  <c r="AZ18" i="14"/>
  <c r="AM18" i="14"/>
  <c r="AI18" i="14"/>
  <c r="AH18" i="14"/>
  <c r="BG17" i="14"/>
  <c r="BF17" i="14"/>
  <c r="AY17" i="14"/>
  <c r="AI17" i="14"/>
  <c r="AH17" i="14"/>
  <c r="BC16" i="14"/>
  <c r="BB16" i="14"/>
  <c r="BA16" i="14"/>
  <c r="AM16" i="14"/>
  <c r="AI16" i="14"/>
  <c r="AH16" i="14"/>
  <c r="AI15" i="14"/>
  <c r="AH15" i="14"/>
  <c r="AI14" i="14"/>
  <c r="AH14" i="14"/>
  <c r="AI13" i="14"/>
  <c r="AH13" i="14"/>
  <c r="AL12" i="14"/>
  <c r="AI12" i="14"/>
  <c r="AH12" i="14"/>
  <c r="AI11" i="14"/>
  <c r="AH11" i="14"/>
  <c r="AF5" i="14"/>
  <c r="AB5" i="14"/>
  <c r="AA5" i="14"/>
  <c r="Y5" i="14"/>
  <c r="W5" i="14"/>
  <c r="V5" i="14"/>
  <c r="T5" i="14"/>
  <c r="N5" i="14"/>
  <c r="L5" i="14"/>
  <c r="I5" i="14"/>
  <c r="AG4" i="14"/>
  <c r="K4" i="14"/>
  <c r="E4" i="14"/>
  <c r="H4" i="14" s="1"/>
  <c r="B4" i="14"/>
  <c r="D258" i="14" s="1"/>
  <c r="AG2" i="14"/>
  <c r="AF58" i="13"/>
  <c r="AF62" i="13"/>
  <c r="AF76" i="13"/>
  <c r="AF80" i="13"/>
  <c r="AF92" i="13"/>
  <c r="AF108" i="13" s="1"/>
  <c r="AF101" i="13"/>
  <c r="AF102" i="13"/>
  <c r="AF103" i="13"/>
  <c r="AF104" i="13"/>
  <c r="AF105" i="13"/>
  <c r="AF118" i="13"/>
  <c r="AD58" i="13"/>
  <c r="AE58" i="13"/>
  <c r="AD62" i="13"/>
  <c r="AE62" i="13"/>
  <c r="AD76" i="13"/>
  <c r="AE76" i="13"/>
  <c r="AD80" i="13"/>
  <c r="AE80" i="13"/>
  <c r="AD92" i="13"/>
  <c r="AE92" i="13"/>
  <c r="AD101" i="13"/>
  <c r="AE101" i="13"/>
  <c r="AD102" i="13"/>
  <c r="AE102" i="13"/>
  <c r="AD103" i="13"/>
  <c r="AE103" i="13"/>
  <c r="AD104" i="13"/>
  <c r="AE104" i="13"/>
  <c r="AD105" i="13"/>
  <c r="AE105" i="13"/>
  <c r="AD118" i="13"/>
  <c r="AE118" i="13"/>
  <c r="AC58" i="13"/>
  <c r="AC62" i="13"/>
  <c r="AC76" i="13"/>
  <c r="AC80" i="13"/>
  <c r="AC92" i="13"/>
  <c r="AC101" i="13"/>
  <c r="AC107" i="13" s="1"/>
  <c r="AC102" i="13"/>
  <c r="AC103" i="13"/>
  <c r="AC104" i="13"/>
  <c r="AC105" i="13"/>
  <c r="AC118" i="13"/>
  <c r="AA58" i="13"/>
  <c r="AA62" i="13"/>
  <c r="AA76" i="13"/>
  <c r="AA80" i="13"/>
  <c r="AA92" i="13"/>
  <c r="AA101" i="13"/>
  <c r="AA107" i="13" s="1"/>
  <c r="AA102" i="13"/>
  <c r="AA103" i="13"/>
  <c r="AA104" i="13"/>
  <c r="AA105" i="13"/>
  <c r="AA118" i="13"/>
  <c r="Z118" i="13"/>
  <c r="Z105" i="13"/>
  <c r="Z104" i="13"/>
  <c r="Z103" i="13"/>
  <c r="Z102" i="13"/>
  <c r="Z101" i="13"/>
  <c r="Z107" i="13" s="1"/>
  <c r="Z92" i="13"/>
  <c r="Z108" i="13" s="1"/>
  <c r="Z80" i="13"/>
  <c r="Z76" i="13"/>
  <c r="Z62" i="13"/>
  <c r="Z58" i="13"/>
  <c r="Z97" i="13" s="1"/>
  <c r="Z99" i="13" s="1"/>
  <c r="Y58" i="13"/>
  <c r="Y62" i="13"/>
  <c r="Y76" i="13"/>
  <c r="Y80" i="13"/>
  <c r="Y92" i="13"/>
  <c r="Y101" i="13"/>
  <c r="Y102" i="13"/>
  <c r="Y103" i="13"/>
  <c r="Y104" i="13"/>
  <c r="Y105" i="13"/>
  <c r="Y118" i="13"/>
  <c r="X58" i="13"/>
  <c r="X62" i="13"/>
  <c r="X76" i="13"/>
  <c r="X80" i="13"/>
  <c r="X92" i="13"/>
  <c r="X101" i="13"/>
  <c r="X102" i="13"/>
  <c r="X103" i="13"/>
  <c r="X104" i="13"/>
  <c r="X105" i="13"/>
  <c r="X118" i="13"/>
  <c r="W58" i="13"/>
  <c r="W62" i="13"/>
  <c r="W76" i="13"/>
  <c r="W80" i="13"/>
  <c r="W92" i="13"/>
  <c r="W101" i="13"/>
  <c r="W102" i="13"/>
  <c r="W103" i="13"/>
  <c r="W104" i="13"/>
  <c r="W105" i="13"/>
  <c r="W118" i="13"/>
  <c r="V58" i="13"/>
  <c r="V62" i="13"/>
  <c r="V76" i="13"/>
  <c r="V80" i="13"/>
  <c r="V92" i="13"/>
  <c r="V97" i="13" s="1"/>
  <c r="V99" i="13" s="1"/>
  <c r="V101" i="13"/>
  <c r="V102" i="13"/>
  <c r="V103" i="13"/>
  <c r="V104" i="13"/>
  <c r="V105" i="13"/>
  <c r="V118" i="13"/>
  <c r="AT9" i="15" l="1"/>
  <c r="AF118" i="16"/>
  <c r="B246" i="16"/>
  <c r="AE247" i="16"/>
  <c r="AD252" i="16"/>
  <c r="H246" i="15"/>
  <c r="G252" i="15"/>
  <c r="G118" i="15"/>
  <c r="AE5" i="14"/>
  <c r="AC5" i="14"/>
  <c r="T100" i="14"/>
  <c r="D118" i="14"/>
  <c r="AC107" i="14"/>
  <c r="AC108" i="14" s="1"/>
  <c r="AR19" i="14"/>
  <c r="V100" i="14"/>
  <c r="U100" i="14"/>
  <c r="Q5" i="14"/>
  <c r="Q107" i="14"/>
  <c r="AY23" i="14" s="1"/>
  <c r="AX19" i="14"/>
  <c r="M5" i="14"/>
  <c r="M107" i="14"/>
  <c r="M108" i="14" s="1"/>
  <c r="M97" i="14"/>
  <c r="M99" i="14" s="1"/>
  <c r="M100" i="14" s="1"/>
  <c r="M7" i="14" s="1"/>
  <c r="AU16" i="14"/>
  <c r="AW22" i="14"/>
  <c r="R5" i="14"/>
  <c r="AM19" i="14"/>
  <c r="AM22" i="14" s="1"/>
  <c r="J5" i="14"/>
  <c r="S5" i="14"/>
  <c r="H107" i="14"/>
  <c r="P107" i="14"/>
  <c r="AX23" i="14" s="1"/>
  <c r="BE23" i="14"/>
  <c r="AF107" i="14"/>
  <c r="BJ23" i="14" s="1"/>
  <c r="AI103" i="14"/>
  <c r="I107" i="14"/>
  <c r="AS23" i="14" s="1"/>
  <c r="AR22" i="14"/>
  <c r="AU23" i="14"/>
  <c r="AG6" i="14"/>
  <c r="I97" i="14"/>
  <c r="I99" i="14" s="1"/>
  <c r="Q97" i="14"/>
  <c r="Q99" i="14" s="1"/>
  <c r="Q100" i="14" s="1"/>
  <c r="Q7" i="14" s="1"/>
  <c r="Y7" i="14"/>
  <c r="AG97" i="14"/>
  <c r="J107" i="14"/>
  <c r="J108" i="14" s="1"/>
  <c r="R107" i="14"/>
  <c r="BF23" i="14"/>
  <c r="BC22" i="14"/>
  <c r="F107" i="14"/>
  <c r="AQ23" i="14" s="1"/>
  <c r="N107" i="14"/>
  <c r="AV23" i="14" s="1"/>
  <c r="BD23" i="14"/>
  <c r="AD107" i="14"/>
  <c r="BH23" i="14" s="1"/>
  <c r="BF22" i="14"/>
  <c r="BG22" i="14"/>
  <c r="S97" i="14"/>
  <c r="S99" i="14" s="1"/>
  <c r="L107" i="14"/>
  <c r="L108" i="14" s="1"/>
  <c r="BB23" i="14"/>
  <c r="AB107" i="14"/>
  <c r="BG23" i="14" s="1"/>
  <c r="U5" i="14"/>
  <c r="L97" i="14"/>
  <c r="L99" i="14" s="1"/>
  <c r="T7" i="14"/>
  <c r="AB97" i="14"/>
  <c r="AB99" i="14" s="1"/>
  <c r="E107" i="14"/>
  <c r="AP23" i="14" s="1"/>
  <c r="AE97" i="14"/>
  <c r="AE99" i="14" s="1"/>
  <c r="G107" i="14"/>
  <c r="AR23" i="14" s="1"/>
  <c r="O107" i="14"/>
  <c r="AW23" i="14" s="1"/>
  <c r="AE107" i="14"/>
  <c r="BI23" i="14" s="1"/>
  <c r="AI101" i="14"/>
  <c r="AZ22" i="14"/>
  <c r="AA7" i="14"/>
  <c r="H108" i="14"/>
  <c r="K107" i="14"/>
  <c r="AT23" i="14" s="1"/>
  <c r="S107" i="14"/>
  <c r="BA23" i="14" s="1"/>
  <c r="D5" i="14"/>
  <c r="AI76" i="14"/>
  <c r="C5" i="14"/>
  <c r="D97" i="14"/>
  <c r="D99" i="14" s="1"/>
  <c r="D100" i="14" s="1"/>
  <c r="D7" i="14" s="1"/>
  <c r="AH104" i="14"/>
  <c r="AO16" i="14"/>
  <c r="AO22" i="14" s="1"/>
  <c r="AO24" i="14" s="1"/>
  <c r="C97" i="14"/>
  <c r="C99" i="14" s="1"/>
  <c r="C100" i="14" s="1"/>
  <c r="C108" i="14"/>
  <c r="B5" i="14"/>
  <c r="AH76" i="14"/>
  <c r="B97" i="14"/>
  <c r="B99" i="14" s="1"/>
  <c r="B100" i="14" s="1"/>
  <c r="BG84" i="14" a="1"/>
  <c r="AZ75" i="14"/>
  <c r="AU22" i="14"/>
  <c r="BB22" i="14"/>
  <c r="BI20" i="14"/>
  <c r="BI22" i="14" s="1"/>
  <c r="AT18" i="14"/>
  <c r="AT22" i="14" s="1"/>
  <c r="K97" i="14"/>
  <c r="K99" i="14" s="1"/>
  <c r="G97" i="14"/>
  <c r="G99" i="14" s="1"/>
  <c r="AI80" i="14"/>
  <c r="AQ16" i="14"/>
  <c r="AQ22" i="14" s="1"/>
  <c r="F97" i="14"/>
  <c r="F99" i="14" s="1"/>
  <c r="AV16" i="14"/>
  <c r="AV22" i="14" s="1"/>
  <c r="N97" i="14"/>
  <c r="N99" i="14" s="1"/>
  <c r="V7" i="14"/>
  <c r="BD16" i="14"/>
  <c r="BD22" i="14" s="1"/>
  <c r="BH16" i="14"/>
  <c r="BH22" i="14" s="1"/>
  <c r="AD97" i="14"/>
  <c r="AD99" i="14" s="1"/>
  <c r="AX22" i="14"/>
  <c r="O97" i="14"/>
  <c r="O99" i="14" s="1"/>
  <c r="H97" i="14"/>
  <c r="H99" i="14" s="1"/>
  <c r="P97" i="14"/>
  <c r="P99" i="14" s="1"/>
  <c r="X7" i="14"/>
  <c r="BE16" i="14"/>
  <c r="BE22" i="14" s="1"/>
  <c r="AF97" i="14"/>
  <c r="AF99" i="14" s="1"/>
  <c r="BJ16" i="14"/>
  <c r="BJ22" i="14" s="1"/>
  <c r="AH62" i="14"/>
  <c r="AI62" i="14"/>
  <c r="AP22" i="14"/>
  <c r="BA22" i="14"/>
  <c r="AI58" i="14"/>
  <c r="H5" i="14"/>
  <c r="AS19" i="14"/>
  <c r="AS22" i="14" s="1"/>
  <c r="Q108" i="14"/>
  <c r="P5" i="14"/>
  <c r="AY19" i="14"/>
  <c r="AY22" i="14" s="1"/>
  <c r="AY24" i="14" s="1"/>
  <c r="X5" i="14"/>
  <c r="AG99" i="14"/>
  <c r="AI92" i="14"/>
  <c r="AH92" i="14"/>
  <c r="AL13" i="14"/>
  <c r="AN16" i="14"/>
  <c r="AN22" i="14" s="1"/>
  <c r="AN24" i="14" s="1"/>
  <c r="C7" i="14"/>
  <c r="AH102" i="14"/>
  <c r="J97" i="14"/>
  <c r="J99" i="14" s="1"/>
  <c r="R97" i="14"/>
  <c r="R99" i="14" s="1"/>
  <c r="Z7" i="14"/>
  <c r="AH58" i="14"/>
  <c r="E108" i="14"/>
  <c r="AH101" i="14"/>
  <c r="AI102" i="14"/>
  <c r="AH103" i="14"/>
  <c r="AI104" i="14"/>
  <c r="AI105" i="14"/>
  <c r="AH80" i="14"/>
  <c r="AH105" i="14"/>
  <c r="D252" i="14"/>
  <c r="E246" i="14"/>
  <c r="E97" i="14"/>
  <c r="E99" i="14" s="1"/>
  <c r="E100" i="14" s="1"/>
  <c r="E7" i="14" s="1"/>
  <c r="U7" i="14"/>
  <c r="AC97" i="14"/>
  <c r="AC99" i="14" s="1"/>
  <c r="AC100" i="14" s="1"/>
  <c r="AC7" i="14" s="1"/>
  <c r="AF97" i="13"/>
  <c r="AF99" i="13" s="1"/>
  <c r="AF100" i="13" s="1"/>
  <c r="AE108" i="13"/>
  <c r="AE97" i="13"/>
  <c r="AE99" i="13" s="1"/>
  <c r="AE100" i="13" s="1"/>
  <c r="AD108" i="13"/>
  <c r="AD97" i="13"/>
  <c r="AD99" i="13" s="1"/>
  <c r="AD100" i="13" s="1"/>
  <c r="AC97" i="13"/>
  <c r="AC99" i="13" s="1"/>
  <c r="AC100" i="13" s="1"/>
  <c r="AC108" i="13"/>
  <c r="AA97" i="13"/>
  <c r="AA99" i="13" s="1"/>
  <c r="AA100" i="13" s="1"/>
  <c r="AA108" i="13"/>
  <c r="Z100" i="13"/>
  <c r="Y97" i="13"/>
  <c r="Y99" i="13" s="1"/>
  <c r="Y107" i="13"/>
  <c r="Y108" i="13" s="1"/>
  <c r="X107" i="13"/>
  <c r="X108" i="13" s="1"/>
  <c r="X97" i="13"/>
  <c r="X99" i="13" s="1"/>
  <c r="X100" i="13" s="1"/>
  <c r="W107" i="13"/>
  <c r="W108" i="13" s="1"/>
  <c r="W97" i="13"/>
  <c r="W99" i="13" s="1"/>
  <c r="V107" i="13"/>
  <c r="V100" i="13" s="1"/>
  <c r="V108" i="13"/>
  <c r="AF247" i="16" l="1"/>
  <c r="AE252" i="16"/>
  <c r="I246" i="15"/>
  <c r="H252" i="15"/>
  <c r="H118" i="15"/>
  <c r="I108" i="14"/>
  <c r="J100" i="14"/>
  <c r="J7" i="14" s="1"/>
  <c r="AP24" i="14"/>
  <c r="H100" i="14"/>
  <c r="H7" i="14" s="1"/>
  <c r="N100" i="14"/>
  <c r="N7" i="14" s="1"/>
  <c r="BI24" i="14"/>
  <c r="I100" i="14"/>
  <c r="I7" i="14" s="1"/>
  <c r="AS24" i="14"/>
  <c r="AF108" i="14"/>
  <c r="AE108" i="14"/>
  <c r="AF100" i="14"/>
  <c r="AF7" i="14" s="1"/>
  <c r="AB100" i="14"/>
  <c r="AB7" i="14" s="1"/>
  <c r="BD24" i="14"/>
  <c r="S108" i="14"/>
  <c r="P108" i="14"/>
  <c r="AW24" i="14"/>
  <c r="N108" i="14"/>
  <c r="AU24" i="14"/>
  <c r="AD108" i="14"/>
  <c r="O100" i="14"/>
  <c r="O7" i="14" s="1"/>
  <c r="L100" i="14"/>
  <c r="L7" i="14" s="1"/>
  <c r="AD100" i="14"/>
  <c r="AD7" i="14" s="1"/>
  <c r="K108" i="14"/>
  <c r="AE100" i="14"/>
  <c r="AE7" i="14" s="1"/>
  <c r="R100" i="14"/>
  <c r="R7" i="14" s="1"/>
  <c r="BE24" i="14"/>
  <c r="K100" i="14"/>
  <c r="K7" i="14" s="1"/>
  <c r="AT24" i="14"/>
  <c r="BA24" i="14"/>
  <c r="P100" i="14"/>
  <c r="P7" i="14" s="1"/>
  <c r="AR24" i="14"/>
  <c r="F100" i="14"/>
  <c r="F7" i="14" s="1"/>
  <c r="F108" i="14"/>
  <c r="AQ24" i="14"/>
  <c r="BH24" i="14"/>
  <c r="BF24" i="14"/>
  <c r="O108" i="14"/>
  <c r="G108" i="14"/>
  <c r="W7" i="14"/>
  <c r="AV24" i="14"/>
  <c r="BB24" i="14"/>
  <c r="BC23" i="14"/>
  <c r="BC24" i="14" s="1"/>
  <c r="AB108" i="14"/>
  <c r="S100" i="14"/>
  <c r="S7" i="14" s="1"/>
  <c r="BG24" i="14"/>
  <c r="R108" i="14"/>
  <c r="AZ23" i="14"/>
  <c r="AZ24" i="14" s="1"/>
  <c r="F246" i="14"/>
  <c r="E252" i="14"/>
  <c r="E118" i="14"/>
  <c r="BJ24" i="14"/>
  <c r="AT8" i="14"/>
  <c r="AX24" i="14"/>
  <c r="AH97" i="14"/>
  <c r="AI97" i="14"/>
  <c r="BI107" i="14"/>
  <c r="BG106" i="14"/>
  <c r="BK104" i="14"/>
  <c r="BI103" i="14"/>
  <c r="BG102" i="14"/>
  <c r="BK100" i="14"/>
  <c r="BI99" i="14"/>
  <c r="BG98" i="14"/>
  <c r="BK96" i="14"/>
  <c r="BI95" i="14"/>
  <c r="BG94" i="14"/>
  <c r="BK92" i="14"/>
  <c r="BI91" i="14"/>
  <c r="BG90" i="14"/>
  <c r="BK88" i="14"/>
  <c r="BI87" i="14"/>
  <c r="BG86" i="14"/>
  <c r="BK84" i="14"/>
  <c r="BL106" i="14"/>
  <c r="BJ105" i="14"/>
  <c r="BH104" i="14"/>
  <c r="BL102" i="14"/>
  <c r="BJ101" i="14"/>
  <c r="BH100" i="14"/>
  <c r="BL98" i="14"/>
  <c r="BJ97" i="14"/>
  <c r="BH96" i="14"/>
  <c r="BL94" i="14"/>
  <c r="BJ93" i="14"/>
  <c r="BH92" i="14"/>
  <c r="BL90" i="14"/>
  <c r="BJ89" i="14"/>
  <c r="BH88" i="14"/>
  <c r="BL86" i="14"/>
  <c r="BJ85" i="14"/>
  <c r="BH84" i="14"/>
  <c r="BL107" i="14"/>
  <c r="BJ106" i="14"/>
  <c r="BH105" i="14"/>
  <c r="BL103" i="14"/>
  <c r="BJ102" i="14"/>
  <c r="BH101" i="14"/>
  <c r="BL99" i="14"/>
  <c r="BJ98" i="14"/>
  <c r="BH97" i="14"/>
  <c r="BL95" i="14"/>
  <c r="BJ94" i="14"/>
  <c r="BH93" i="14"/>
  <c r="BL91" i="14"/>
  <c r="BJ90" i="14"/>
  <c r="BH89" i="14"/>
  <c r="BL87" i="14"/>
  <c r="BJ86" i="14"/>
  <c r="BH85" i="14"/>
  <c r="BG107" i="14"/>
  <c r="BL104" i="14"/>
  <c r="BK102" i="14"/>
  <c r="BJ100" i="14"/>
  <c r="BI98" i="14"/>
  <c r="BI96" i="14"/>
  <c r="BH94" i="14"/>
  <c r="BG92" i="14"/>
  <c r="BL89" i="14"/>
  <c r="BK87" i="14"/>
  <c r="BK85" i="14"/>
  <c r="BK106" i="14"/>
  <c r="BJ104" i="14"/>
  <c r="BI102" i="14"/>
  <c r="BI100" i="14"/>
  <c r="BH98" i="14"/>
  <c r="BG96" i="14"/>
  <c r="BL93" i="14"/>
  <c r="BK91" i="14"/>
  <c r="BK89" i="14"/>
  <c r="BJ87" i="14"/>
  <c r="BI85" i="14"/>
  <c r="BI106" i="14"/>
  <c r="BI104" i="14"/>
  <c r="BH102" i="14"/>
  <c r="BG100" i="14"/>
  <c r="BL97" i="14"/>
  <c r="BK95" i="14"/>
  <c r="BK93" i="14"/>
  <c r="BJ91" i="14"/>
  <c r="BI89" i="14"/>
  <c r="BH87" i="14"/>
  <c r="BG85" i="14"/>
  <c r="BH106" i="14"/>
  <c r="BG104" i="14"/>
  <c r="BL101" i="14"/>
  <c r="BK99" i="14"/>
  <c r="BK97" i="14"/>
  <c r="BJ95" i="14"/>
  <c r="BI93" i="14"/>
  <c r="BH91" i="14"/>
  <c r="BG89" i="14"/>
  <c r="BG87" i="14"/>
  <c r="BL84" i="14"/>
  <c r="BL105" i="14"/>
  <c r="BK103" i="14"/>
  <c r="BK101" i="14"/>
  <c r="BJ99" i="14"/>
  <c r="BI97" i="14"/>
  <c r="BH95" i="14"/>
  <c r="BG93" i="14"/>
  <c r="BG91" i="14"/>
  <c r="BL88" i="14"/>
  <c r="BK86" i="14"/>
  <c r="BJ84" i="14"/>
  <c r="BJ107" i="14"/>
  <c r="BI105" i="14"/>
  <c r="BH103" i="14"/>
  <c r="BG101" i="14"/>
  <c r="BG99" i="14"/>
  <c r="BL96" i="14"/>
  <c r="BK94" i="14"/>
  <c r="BJ92" i="14"/>
  <c r="BI90" i="14"/>
  <c r="BI88" i="14"/>
  <c r="BH86" i="14"/>
  <c r="BG84" i="14"/>
  <c r="BK105" i="14"/>
  <c r="BG97" i="14"/>
  <c r="BJ88" i="14"/>
  <c r="BG105" i="14"/>
  <c r="BJ96" i="14"/>
  <c r="BG88" i="14"/>
  <c r="BJ103" i="14"/>
  <c r="BG95" i="14"/>
  <c r="BI86" i="14"/>
  <c r="BG103" i="14"/>
  <c r="BI94" i="14"/>
  <c r="BL85" i="14"/>
  <c r="BL100" i="14"/>
  <c r="BI92" i="14"/>
  <c r="BI101" i="14"/>
  <c r="BL92" i="14"/>
  <c r="BI84" i="14"/>
  <c r="BK107" i="14"/>
  <c r="BH99" i="14"/>
  <c r="BK90" i="14"/>
  <c r="BH107" i="14"/>
  <c r="BK98" i="14"/>
  <c r="BH90" i="14"/>
  <c r="C256" i="14"/>
  <c r="G100" i="14"/>
  <c r="G7" i="14" s="1"/>
  <c r="B256" i="14"/>
  <c r="AI107" i="14"/>
  <c r="AH107" i="14"/>
  <c r="AM23" i="14"/>
  <c r="AM24" i="14" s="1"/>
  <c r="Y100" i="13"/>
  <c r="W100" i="13"/>
  <c r="AI118" i="16" l="1"/>
  <c r="AH118" i="16"/>
  <c r="B247" i="16"/>
  <c r="B252" i="16" s="1"/>
  <c r="AF252" i="16"/>
  <c r="I252" i="15"/>
  <c r="I118" i="15"/>
  <c r="J246" i="15"/>
  <c r="AT9" i="14"/>
  <c r="AH108" i="14"/>
  <c r="AI108" i="14"/>
  <c r="K6" i="14"/>
  <c r="AI99" i="14"/>
  <c r="AH99" i="14"/>
  <c r="G246" i="14"/>
  <c r="F252" i="14"/>
  <c r="F118" i="14"/>
  <c r="J252" i="15" l="1"/>
  <c r="J118" i="15"/>
  <c r="K246" i="15"/>
  <c r="H246" i="14"/>
  <c r="G118" i="14"/>
  <c r="G252" i="14"/>
  <c r="AI100" i="14"/>
  <c r="AH100" i="14"/>
  <c r="B7" i="14"/>
  <c r="A7" i="14" s="1"/>
  <c r="K252" i="15" l="1"/>
  <c r="K118" i="15"/>
  <c r="L246" i="15"/>
  <c r="I246" i="14"/>
  <c r="H252" i="14"/>
  <c r="H118" i="14"/>
  <c r="L252" i="15" l="1"/>
  <c r="L118" i="15"/>
  <c r="M246" i="15"/>
  <c r="M118" i="15" s="1"/>
  <c r="I252" i="14"/>
  <c r="I118" i="14"/>
  <c r="J246" i="14"/>
  <c r="N246" i="15" l="1"/>
  <c r="N118" i="15" s="1"/>
  <c r="M252" i="15"/>
  <c r="J252" i="14"/>
  <c r="J118" i="14"/>
  <c r="K246" i="14"/>
  <c r="O246" i="15" l="1"/>
  <c r="O118" i="15" s="1"/>
  <c r="N252" i="15"/>
  <c r="K252" i="14"/>
  <c r="K118" i="14"/>
  <c r="L246" i="14"/>
  <c r="P246" i="15" l="1"/>
  <c r="P118" i="15" s="1"/>
  <c r="O252" i="15"/>
  <c r="L252" i="14"/>
  <c r="L118" i="14"/>
  <c r="M246" i="14"/>
  <c r="Q246" i="15" l="1"/>
  <c r="P252" i="15"/>
  <c r="N246" i="14"/>
  <c r="M118" i="14"/>
  <c r="M252" i="14"/>
  <c r="Q252" i="15" l="1"/>
  <c r="R246" i="15"/>
  <c r="O246" i="14"/>
  <c r="N252" i="14"/>
  <c r="N118" i="14"/>
  <c r="R252" i="15" l="1"/>
  <c r="S246" i="15"/>
  <c r="P246" i="14"/>
  <c r="O118" i="14"/>
  <c r="O252" i="14"/>
  <c r="S252" i="15" l="1"/>
  <c r="S118" i="15"/>
  <c r="T246" i="15"/>
  <c r="Q246" i="14"/>
  <c r="P252" i="14"/>
  <c r="T252" i="15" l="1"/>
  <c r="T118" i="15"/>
  <c r="U246" i="15"/>
  <c r="Q252" i="14"/>
  <c r="Q118" i="14"/>
  <c r="R246" i="14"/>
  <c r="U118" i="15" l="1"/>
  <c r="V246" i="15"/>
  <c r="U252" i="15"/>
  <c r="R252" i="14"/>
  <c r="R118" i="14"/>
  <c r="S246" i="14"/>
  <c r="W246" i="15" l="1"/>
  <c r="V252" i="15"/>
  <c r="V118" i="15"/>
  <c r="S252" i="14"/>
  <c r="S118" i="14"/>
  <c r="T246" i="14"/>
  <c r="T118" i="14" s="1"/>
  <c r="X246" i="15" l="1"/>
  <c r="W252" i="15"/>
  <c r="W118" i="15"/>
  <c r="T252" i="14"/>
  <c r="U246" i="14"/>
  <c r="U118" i="14" s="1"/>
  <c r="Y246" i="15" l="1"/>
  <c r="X252" i="15"/>
  <c r="X118" i="15"/>
  <c r="V246" i="14"/>
  <c r="V118" i="14" s="1"/>
  <c r="U252" i="14"/>
  <c r="Y252" i="15" l="1"/>
  <c r="Z246" i="15"/>
  <c r="W246" i="14"/>
  <c r="W118" i="14" s="1"/>
  <c r="V252" i="14"/>
  <c r="Z252" i="15" l="1"/>
  <c r="AA246" i="15"/>
  <c r="X246" i="14"/>
  <c r="X118" i="14" s="1"/>
  <c r="W252" i="14"/>
  <c r="AA252" i="15" l="1"/>
  <c r="AA118" i="15"/>
  <c r="AB246" i="15"/>
  <c r="Y246" i="14"/>
  <c r="Y118" i="14" s="1"/>
  <c r="X252" i="14"/>
  <c r="AB252" i="15" l="1"/>
  <c r="AB118" i="15"/>
  <c r="AC246" i="15"/>
  <c r="Y252" i="14"/>
  <c r="Z246" i="14"/>
  <c r="Z118" i="14" s="1"/>
  <c r="AD246" i="15" l="1"/>
  <c r="AC252" i="15"/>
  <c r="Z252" i="14"/>
  <c r="AA246" i="14"/>
  <c r="AA118" i="14" s="1"/>
  <c r="AE246" i="15" l="1"/>
  <c r="AD252" i="15"/>
  <c r="AA252" i="14"/>
  <c r="AB246" i="14"/>
  <c r="AF246" i="15" l="1"/>
  <c r="AE252" i="15"/>
  <c r="AB252" i="14"/>
  <c r="AB118" i="14"/>
  <c r="AC246" i="14"/>
  <c r="AF252" i="15" l="1"/>
  <c r="B246" i="15"/>
  <c r="AC118" i="14"/>
  <c r="AD246" i="14"/>
  <c r="AC252" i="14"/>
  <c r="B252" i="15" l="1"/>
  <c r="B118" i="15"/>
  <c r="AE246" i="14"/>
  <c r="AD252" i="14"/>
  <c r="AD118" i="14"/>
  <c r="AI118" i="15" l="1"/>
  <c r="AH118" i="15"/>
  <c r="AF246" i="14"/>
  <c r="AE118" i="14"/>
  <c r="AE252" i="14"/>
  <c r="AF252" i="14" l="1"/>
  <c r="B246" i="14"/>
  <c r="B118" i="14" s="1"/>
  <c r="AF118" i="14"/>
  <c r="B252" i="14" l="1"/>
  <c r="AI118" i="14" l="1"/>
  <c r="AH118" i="14"/>
  <c r="U58" i="13" l="1"/>
  <c r="U62" i="13"/>
  <c r="U76" i="13"/>
  <c r="U80" i="13"/>
  <c r="U92" i="13"/>
  <c r="U101" i="13"/>
  <c r="U107" i="13" s="1"/>
  <c r="U102" i="13"/>
  <c r="U103" i="13"/>
  <c r="U104" i="13"/>
  <c r="U105" i="13"/>
  <c r="U118" i="13"/>
  <c r="V139" i="13"/>
  <c r="U139" i="13"/>
  <c r="U97" i="13" l="1"/>
  <c r="U99" i="13" s="1"/>
  <c r="U100" i="13" s="1"/>
  <c r="U108" i="13"/>
  <c r="T58" i="13" l="1"/>
  <c r="T62" i="13"/>
  <c r="T76" i="13"/>
  <c r="T80" i="13"/>
  <c r="T92" i="13"/>
  <c r="T101" i="13"/>
  <c r="T102" i="13"/>
  <c r="T103" i="13"/>
  <c r="T104" i="13"/>
  <c r="T105" i="13"/>
  <c r="T118" i="13"/>
  <c r="S121" i="13"/>
  <c r="P92" i="13"/>
  <c r="P58" i="13"/>
  <c r="N58" i="13"/>
  <c r="I57" i="13"/>
  <c r="T107" i="13" l="1"/>
  <c r="T97" i="13"/>
  <c r="T99" i="13" s="1"/>
  <c r="T100" i="13" s="1"/>
  <c r="T108" i="13"/>
  <c r="F57" i="13" l="1"/>
  <c r="E57" i="13"/>
  <c r="D57" i="13"/>
  <c r="C57" i="13"/>
  <c r="AH125" i="13"/>
  <c r="AI125" i="13"/>
  <c r="AH124" i="13"/>
  <c r="AI124" i="13"/>
  <c r="B62" i="13"/>
  <c r="AG252" i="13"/>
  <c r="C252" i="13"/>
  <c r="D251" i="13"/>
  <c r="J250" i="13"/>
  <c r="K250" i="13" s="1"/>
  <c r="L250" i="13" s="1"/>
  <c r="M250" i="13" s="1"/>
  <c r="N250" i="13" s="1"/>
  <c r="O250" i="13" s="1"/>
  <c r="P250" i="13" s="1"/>
  <c r="Q250" i="13" s="1"/>
  <c r="R250" i="13" s="1"/>
  <c r="S250" i="13" s="1"/>
  <c r="T250" i="13" s="1"/>
  <c r="U250" i="13" s="1"/>
  <c r="V250" i="13" s="1"/>
  <c r="W250" i="13" s="1"/>
  <c r="X250" i="13" s="1"/>
  <c r="Y250" i="13" s="1"/>
  <c r="Z250" i="13" s="1"/>
  <c r="AA250" i="13" s="1"/>
  <c r="AB250" i="13" s="1"/>
  <c r="AC250" i="13" s="1"/>
  <c r="AD250" i="13" s="1"/>
  <c r="AE250" i="13" s="1"/>
  <c r="AF250" i="13" s="1"/>
  <c r="B250" i="13" s="1"/>
  <c r="D250" i="13"/>
  <c r="E250" i="13" s="1"/>
  <c r="F250" i="13" s="1"/>
  <c r="G250" i="13" s="1"/>
  <c r="H250" i="13" s="1"/>
  <c r="I250" i="13" s="1"/>
  <c r="H249" i="13"/>
  <c r="I249" i="13" s="1"/>
  <c r="J249" i="13" s="1"/>
  <c r="K249" i="13" s="1"/>
  <c r="L249" i="13" s="1"/>
  <c r="M249" i="13" s="1"/>
  <c r="N249" i="13" s="1"/>
  <c r="O249" i="13" s="1"/>
  <c r="P249" i="13" s="1"/>
  <c r="Q249" i="13" s="1"/>
  <c r="R249" i="13" s="1"/>
  <c r="S249" i="13" s="1"/>
  <c r="T249" i="13" s="1"/>
  <c r="U249" i="13" s="1"/>
  <c r="V249" i="13" s="1"/>
  <c r="W249" i="13" s="1"/>
  <c r="X249" i="13" s="1"/>
  <c r="Y249" i="13" s="1"/>
  <c r="Z249" i="13" s="1"/>
  <c r="AA249" i="13" s="1"/>
  <c r="AB249" i="13" s="1"/>
  <c r="AC249" i="13" s="1"/>
  <c r="AD249" i="13" s="1"/>
  <c r="AE249" i="13" s="1"/>
  <c r="AF249" i="13" s="1"/>
  <c r="B249" i="13" s="1"/>
  <c r="E249" i="13"/>
  <c r="F249" i="13" s="1"/>
  <c r="G249" i="13" s="1"/>
  <c r="D249" i="13"/>
  <c r="E248" i="13"/>
  <c r="F248" i="13" s="1"/>
  <c r="G248" i="13" s="1"/>
  <c r="H248" i="13" s="1"/>
  <c r="I248" i="13" s="1"/>
  <c r="J248" i="13" s="1"/>
  <c r="K248" i="13" s="1"/>
  <c r="L248" i="13" s="1"/>
  <c r="M248" i="13" s="1"/>
  <c r="N248" i="13" s="1"/>
  <c r="O248" i="13" s="1"/>
  <c r="P248" i="13" s="1"/>
  <c r="Q248" i="13" s="1"/>
  <c r="R248" i="13" s="1"/>
  <c r="S248" i="13" s="1"/>
  <c r="T248" i="13" s="1"/>
  <c r="U248" i="13" s="1"/>
  <c r="V248" i="13" s="1"/>
  <c r="W248" i="13" s="1"/>
  <c r="X248" i="13" s="1"/>
  <c r="Y248" i="13" s="1"/>
  <c r="Z248" i="13" s="1"/>
  <c r="AA248" i="13" s="1"/>
  <c r="AB248" i="13" s="1"/>
  <c r="AC248" i="13" s="1"/>
  <c r="AD248" i="13" s="1"/>
  <c r="AE248" i="13" s="1"/>
  <c r="AF248" i="13" s="1"/>
  <c r="B248" i="13" s="1"/>
  <c r="D248" i="13"/>
  <c r="L247" i="13"/>
  <c r="M247" i="13" s="1"/>
  <c r="N247" i="13" s="1"/>
  <c r="O247" i="13" s="1"/>
  <c r="P247" i="13" s="1"/>
  <c r="Q247" i="13" s="1"/>
  <c r="R247" i="13" s="1"/>
  <c r="S247" i="13" s="1"/>
  <c r="T247" i="13" s="1"/>
  <c r="U247" i="13" s="1"/>
  <c r="V247" i="13" s="1"/>
  <c r="W247" i="13" s="1"/>
  <c r="X247" i="13" s="1"/>
  <c r="Y247" i="13" s="1"/>
  <c r="Z247" i="13" s="1"/>
  <c r="AA247" i="13" s="1"/>
  <c r="AB247" i="13" s="1"/>
  <c r="AC247" i="13" s="1"/>
  <c r="AD247" i="13" s="1"/>
  <c r="AE247" i="13" s="1"/>
  <c r="AF247" i="13" s="1"/>
  <c r="B247" i="13" s="1"/>
  <c r="D247" i="13"/>
  <c r="E247" i="13" s="1"/>
  <c r="F247" i="13" s="1"/>
  <c r="G247" i="13" s="1"/>
  <c r="H247" i="13" s="1"/>
  <c r="I247" i="13" s="1"/>
  <c r="J247" i="13" s="1"/>
  <c r="K247" i="13" s="1"/>
  <c r="D246" i="13"/>
  <c r="D252" i="13" s="1"/>
  <c r="AG244" i="13"/>
  <c r="AF244" i="13"/>
  <c r="AE244" i="13"/>
  <c r="AD244" i="13"/>
  <c r="AC244" i="13"/>
  <c r="AB244" i="13"/>
  <c r="AA244" i="13"/>
  <c r="Z244" i="13"/>
  <c r="Y244" i="13"/>
  <c r="X244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AI130" i="13"/>
  <c r="AH130" i="13"/>
  <c r="AI129" i="13"/>
  <c r="AH129" i="13"/>
  <c r="AI128" i="13"/>
  <c r="AH128" i="13"/>
  <c r="AI127" i="13"/>
  <c r="AH127" i="13"/>
  <c r="AI126" i="13"/>
  <c r="AH126" i="13"/>
  <c r="AI123" i="13"/>
  <c r="AH123" i="13"/>
  <c r="AI122" i="13"/>
  <c r="AH122" i="13"/>
  <c r="AI121" i="13"/>
  <c r="AH121" i="13"/>
  <c r="AI120" i="13"/>
  <c r="AH120" i="13"/>
  <c r="AI119" i="13"/>
  <c r="AH119" i="13"/>
  <c r="C118" i="13"/>
  <c r="AI117" i="13"/>
  <c r="AH117" i="13"/>
  <c r="AI116" i="13"/>
  <c r="AH116" i="13"/>
  <c r="AI115" i="13"/>
  <c r="AH115" i="13"/>
  <c r="AI114" i="13"/>
  <c r="AH114" i="13"/>
  <c r="AI113" i="13"/>
  <c r="AH113" i="13"/>
  <c r="AI112" i="13"/>
  <c r="AH112" i="13"/>
  <c r="AI111" i="13"/>
  <c r="AH111" i="13"/>
  <c r="AI110" i="13"/>
  <c r="AH110" i="13"/>
  <c r="AI109" i="13"/>
  <c r="AH109" i="13"/>
  <c r="AI106" i="13"/>
  <c r="AH106" i="13"/>
  <c r="AB105" i="13"/>
  <c r="S105" i="13"/>
  <c r="R105" i="13"/>
  <c r="Q105" i="13"/>
  <c r="P105" i="13"/>
  <c r="O105" i="13"/>
  <c r="N105" i="13"/>
  <c r="M105" i="13"/>
  <c r="L105" i="13"/>
  <c r="K105" i="13"/>
  <c r="J105" i="13"/>
  <c r="I105" i="13"/>
  <c r="H105" i="13"/>
  <c r="G105" i="13"/>
  <c r="F105" i="13"/>
  <c r="E105" i="13"/>
  <c r="D105" i="13"/>
  <c r="C105" i="13"/>
  <c r="B105" i="13"/>
  <c r="AB104" i="13"/>
  <c r="S104" i="13"/>
  <c r="R104" i="13"/>
  <c r="Q104" i="13"/>
  <c r="P104" i="13"/>
  <c r="O104" i="13"/>
  <c r="N104" i="13"/>
  <c r="M104" i="13"/>
  <c r="L104" i="13"/>
  <c r="K104" i="13"/>
  <c r="J104" i="13"/>
  <c r="I104" i="13"/>
  <c r="H104" i="13"/>
  <c r="G104" i="13"/>
  <c r="F104" i="13"/>
  <c r="E104" i="13"/>
  <c r="D104" i="13"/>
  <c r="C104" i="13"/>
  <c r="B104" i="13"/>
  <c r="AB103" i="13"/>
  <c r="S103" i="13"/>
  <c r="R103" i="13"/>
  <c r="Q103" i="13"/>
  <c r="P103" i="13"/>
  <c r="O103" i="13"/>
  <c r="N103" i="13"/>
  <c r="M103" i="13"/>
  <c r="L103" i="13"/>
  <c r="K103" i="13"/>
  <c r="J103" i="13"/>
  <c r="I103" i="13"/>
  <c r="H103" i="13"/>
  <c r="G103" i="13"/>
  <c r="F103" i="13"/>
  <c r="E103" i="13"/>
  <c r="D103" i="13"/>
  <c r="C103" i="13"/>
  <c r="B103" i="13"/>
  <c r="AB102" i="13"/>
  <c r="S102" i="13"/>
  <c r="R102" i="13"/>
  <c r="Q102" i="13"/>
  <c r="P102" i="13"/>
  <c r="O102" i="13"/>
  <c r="N102" i="13"/>
  <c r="M102" i="13"/>
  <c r="L102" i="13"/>
  <c r="K102" i="13"/>
  <c r="J102" i="13"/>
  <c r="I102" i="13"/>
  <c r="H102" i="13"/>
  <c r="G102" i="13"/>
  <c r="F102" i="13"/>
  <c r="E102" i="13"/>
  <c r="D102" i="13"/>
  <c r="C102" i="13"/>
  <c r="B102" i="13"/>
  <c r="AB101" i="13"/>
  <c r="BF23" i="13"/>
  <c r="BB23" i="13"/>
  <c r="S101" i="13"/>
  <c r="R101" i="13"/>
  <c r="Q101" i="13"/>
  <c r="P101" i="13"/>
  <c r="O101" i="13"/>
  <c r="N101" i="13"/>
  <c r="M101" i="13"/>
  <c r="L101" i="13"/>
  <c r="K101" i="13"/>
  <c r="J101" i="13"/>
  <c r="J107" i="13" s="1"/>
  <c r="I101" i="13"/>
  <c r="H101" i="13"/>
  <c r="G101" i="13"/>
  <c r="F101" i="13"/>
  <c r="E101" i="13"/>
  <c r="D101" i="13"/>
  <c r="C101" i="13"/>
  <c r="B101" i="13"/>
  <c r="AI98" i="13"/>
  <c r="AH98" i="13"/>
  <c r="AI96" i="13"/>
  <c r="AH96" i="13"/>
  <c r="AG96" i="13"/>
  <c r="AI95" i="13"/>
  <c r="AH95" i="13"/>
  <c r="AI94" i="13"/>
  <c r="AH94" i="13"/>
  <c r="AI93" i="13"/>
  <c r="AH93" i="13"/>
  <c r="AG92" i="13"/>
  <c r="BI19" i="13"/>
  <c r="AB92" i="13"/>
  <c r="BG19" i="13" s="1"/>
  <c r="V5" i="13"/>
  <c r="S92" i="13"/>
  <c r="BA19" i="13" s="1"/>
  <c r="R92" i="13"/>
  <c r="AZ19" i="13" s="1"/>
  <c r="Q92" i="13"/>
  <c r="P5" i="13" s="1"/>
  <c r="AX19" i="13"/>
  <c r="O92" i="13"/>
  <c r="N5" i="13" s="1"/>
  <c r="N92" i="13"/>
  <c r="AV19" i="13" s="1"/>
  <c r="M92" i="13"/>
  <c r="L92" i="13"/>
  <c r="K5" i="13" s="1"/>
  <c r="K92" i="13"/>
  <c r="J5" i="13" s="1"/>
  <c r="J92" i="13"/>
  <c r="I5" i="13" s="1"/>
  <c r="I92" i="13"/>
  <c r="AS19" i="13" s="1"/>
  <c r="H92" i="13"/>
  <c r="G5" i="13" s="1"/>
  <c r="G92" i="13"/>
  <c r="AR19" i="13" s="1"/>
  <c r="F92" i="13"/>
  <c r="E5" i="13" s="1"/>
  <c r="E92" i="13"/>
  <c r="D92" i="13"/>
  <c r="C5" i="13" s="1"/>
  <c r="C92" i="13"/>
  <c r="B92" i="13"/>
  <c r="AM19" i="13" s="1"/>
  <c r="AI91" i="13"/>
  <c r="AH91" i="13"/>
  <c r="AI90" i="13"/>
  <c r="AH90" i="13"/>
  <c r="AI89" i="13"/>
  <c r="AH89" i="13"/>
  <c r="AI88" i="13"/>
  <c r="AH88" i="13"/>
  <c r="AI87" i="13"/>
  <c r="AH87" i="13"/>
  <c r="AI86" i="13"/>
  <c r="AH86" i="13"/>
  <c r="AI85" i="13"/>
  <c r="AH85" i="13"/>
  <c r="AI84" i="13"/>
  <c r="AH84" i="13"/>
  <c r="AI83" i="13"/>
  <c r="AH83" i="13"/>
  <c r="AI82" i="13"/>
  <c r="AH82" i="13"/>
  <c r="AI81" i="13"/>
  <c r="AH81" i="13"/>
  <c r="AG80" i="13"/>
  <c r="AG4" i="13" s="1"/>
  <c r="AB80" i="13"/>
  <c r="BG20" i="13" s="1"/>
  <c r="S80" i="13"/>
  <c r="R80" i="13"/>
  <c r="Q80" i="13"/>
  <c r="AY20" i="13" s="1"/>
  <c r="P80" i="13"/>
  <c r="AX20" i="13" s="1"/>
  <c r="O80" i="13"/>
  <c r="AW20" i="13" s="1"/>
  <c r="N80" i="13"/>
  <c r="M80" i="13"/>
  <c r="L80" i="13"/>
  <c r="K80" i="13"/>
  <c r="AT20" i="13" s="1"/>
  <c r="J80" i="13"/>
  <c r="I80" i="13"/>
  <c r="AS20" i="13" s="1"/>
  <c r="H80" i="13"/>
  <c r="G80" i="13"/>
  <c r="AR20" i="13" s="1"/>
  <c r="F80" i="13"/>
  <c r="E80" i="13"/>
  <c r="AP20" i="13" s="1"/>
  <c r="D80" i="13"/>
  <c r="AO20" i="13" s="1"/>
  <c r="C80" i="13"/>
  <c r="AN20" i="13" s="1"/>
  <c r="B80" i="13"/>
  <c r="BR79" i="13"/>
  <c r="BK79" i="13"/>
  <c r="AI79" i="13"/>
  <c r="AH79" i="13"/>
  <c r="BT78" i="13"/>
  <c r="AI78" i="13"/>
  <c r="AH78" i="13"/>
  <c r="AI77" i="13"/>
  <c r="AH77" i="13"/>
  <c r="BH76" i="13"/>
  <c r="AG76" i="13"/>
  <c r="AG3" i="13" s="1"/>
  <c r="BJ18" i="13"/>
  <c r="BI18" i="13"/>
  <c r="AB76" i="13"/>
  <c r="BG18" i="13" s="1"/>
  <c r="BE18" i="13"/>
  <c r="BD18" i="13"/>
  <c r="BB18" i="13"/>
  <c r="S76" i="13"/>
  <c r="BA18" i="13" s="1"/>
  <c r="R76" i="13"/>
  <c r="AZ18" i="13" s="1"/>
  <c r="Q76" i="13"/>
  <c r="AY18" i="13" s="1"/>
  <c r="P76" i="13"/>
  <c r="AX18" i="13" s="1"/>
  <c r="O76" i="13"/>
  <c r="AW18" i="13" s="1"/>
  <c r="N76" i="13"/>
  <c r="AV18" i="13" s="1"/>
  <c r="M76" i="13"/>
  <c r="AU18" i="13" s="1"/>
  <c r="L76" i="13"/>
  <c r="K76" i="13"/>
  <c r="J76" i="13"/>
  <c r="I76" i="13"/>
  <c r="AS18" i="13" s="1"/>
  <c r="H76" i="13"/>
  <c r="G76" i="13"/>
  <c r="AR18" i="13" s="1"/>
  <c r="F76" i="13"/>
  <c r="AQ18" i="13" s="1"/>
  <c r="E76" i="13"/>
  <c r="AP18" i="13" s="1"/>
  <c r="D76" i="13"/>
  <c r="AO18" i="13" s="1"/>
  <c r="C76" i="13"/>
  <c r="B76" i="13"/>
  <c r="AM18" i="13" s="1"/>
  <c r="AZ75" i="13"/>
  <c r="AI75" i="13"/>
  <c r="AH75" i="13"/>
  <c r="AG75" i="13"/>
  <c r="AI74" i="13"/>
  <c r="AH74" i="13"/>
  <c r="BW73" i="13"/>
  <c r="BW80" i="13" s="1"/>
  <c r="BV73" i="13"/>
  <c r="BV80" i="13" s="1"/>
  <c r="BU73" i="13"/>
  <c r="BU80" i="13" s="1"/>
  <c r="BT73" i="13"/>
  <c r="BT80" i="13" s="1"/>
  <c r="BS73" i="13"/>
  <c r="BS80" i="13" s="1"/>
  <c r="BR73" i="13"/>
  <c r="BR80" i="13" s="1"/>
  <c r="BQ73" i="13"/>
  <c r="BQ80" i="13" s="1"/>
  <c r="BP73" i="13"/>
  <c r="BP80" i="13" s="1"/>
  <c r="BO73" i="13"/>
  <c r="BO80" i="13" s="1"/>
  <c r="BN73" i="13"/>
  <c r="BN80" i="13" s="1"/>
  <c r="BM73" i="13"/>
  <c r="BM80" i="13" s="1"/>
  <c r="BL73" i="13"/>
  <c r="BL80" i="13" s="1"/>
  <c r="BK73" i="13"/>
  <c r="BK80" i="13" s="1"/>
  <c r="BJ73" i="13"/>
  <c r="BJ80" i="13" s="1"/>
  <c r="BI73" i="13"/>
  <c r="BI80" i="13" s="1"/>
  <c r="BH73" i="13"/>
  <c r="BH80" i="13" s="1"/>
  <c r="BG73" i="13"/>
  <c r="BG80" i="13" s="1"/>
  <c r="BF73" i="13"/>
  <c r="BF80" i="13" s="1"/>
  <c r="BE73" i="13"/>
  <c r="BE80" i="13" s="1"/>
  <c r="BD73" i="13"/>
  <c r="BD80" i="13" s="1"/>
  <c r="BC73" i="13"/>
  <c r="BC80" i="13" s="1"/>
  <c r="BB73" i="13"/>
  <c r="BB80" i="13" s="1"/>
  <c r="BA73" i="13"/>
  <c r="BA80" i="13" s="1"/>
  <c r="AZ73" i="13"/>
  <c r="AZ80" i="13" s="1"/>
  <c r="AI73" i="13"/>
  <c r="AH73" i="13"/>
  <c r="BW72" i="13"/>
  <c r="BW79" i="13" s="1"/>
  <c r="BV72" i="13"/>
  <c r="BV79" i="13" s="1"/>
  <c r="BU72" i="13"/>
  <c r="BU79" i="13" s="1"/>
  <c r="BT72" i="13"/>
  <c r="BT79" i="13" s="1"/>
  <c r="BS72" i="13"/>
  <c r="BS79" i="13" s="1"/>
  <c r="BR72" i="13"/>
  <c r="BQ72" i="13"/>
  <c r="BQ79" i="13" s="1"/>
  <c r="BP72" i="13"/>
  <c r="BP79" i="13" s="1"/>
  <c r="BO72" i="13"/>
  <c r="BO79" i="13" s="1"/>
  <c r="BN72" i="13"/>
  <c r="BN79" i="13" s="1"/>
  <c r="BM72" i="13"/>
  <c r="BM79" i="13" s="1"/>
  <c r="BL72" i="13"/>
  <c r="BL79" i="13" s="1"/>
  <c r="BK72" i="13"/>
  <c r="BJ72" i="13"/>
  <c r="BJ79" i="13" s="1"/>
  <c r="BI72" i="13"/>
  <c r="BI79" i="13" s="1"/>
  <c r="BH72" i="13"/>
  <c r="BH79" i="13" s="1"/>
  <c r="BG72" i="13"/>
  <c r="BG79" i="13" s="1"/>
  <c r="BF72" i="13"/>
  <c r="BF79" i="13" s="1"/>
  <c r="BE72" i="13"/>
  <c r="BE79" i="13" s="1"/>
  <c r="BD72" i="13"/>
  <c r="BD79" i="13" s="1"/>
  <c r="BC72" i="13"/>
  <c r="BC79" i="13" s="1"/>
  <c r="BB72" i="13"/>
  <c r="BB79" i="13" s="1"/>
  <c r="BA72" i="13"/>
  <c r="BA79" i="13" s="1"/>
  <c r="AZ72" i="13"/>
  <c r="AZ79" i="13" s="1"/>
  <c r="AI72" i="13"/>
  <c r="AH72" i="13"/>
  <c r="BW71" i="13"/>
  <c r="BW78" i="13" s="1"/>
  <c r="BV71" i="13"/>
  <c r="BV78" i="13" s="1"/>
  <c r="BU71" i="13"/>
  <c r="BU78" i="13" s="1"/>
  <c r="BT71" i="13"/>
  <c r="BS71" i="13"/>
  <c r="BS78" i="13" s="1"/>
  <c r="BR71" i="13"/>
  <c r="BR78" i="13" s="1"/>
  <c r="BQ71" i="13"/>
  <c r="BQ78" i="13" s="1"/>
  <c r="BP71" i="13"/>
  <c r="BP78" i="13" s="1"/>
  <c r="BO71" i="13"/>
  <c r="BO78" i="13" s="1"/>
  <c r="BN71" i="13"/>
  <c r="BN78" i="13" s="1"/>
  <c r="BM71" i="13"/>
  <c r="BM78" i="13" s="1"/>
  <c r="BL71" i="13"/>
  <c r="BL78" i="13" s="1"/>
  <c r="BK71" i="13"/>
  <c r="BK78" i="13" s="1"/>
  <c r="BJ71" i="13"/>
  <c r="BJ78" i="13" s="1"/>
  <c r="BI71" i="13"/>
  <c r="BI78" i="13" s="1"/>
  <c r="BH71" i="13"/>
  <c r="BH78" i="13" s="1"/>
  <c r="BG71" i="13"/>
  <c r="BG78" i="13" s="1"/>
  <c r="BF71" i="13"/>
  <c r="BF78" i="13" s="1"/>
  <c r="BE71" i="13"/>
  <c r="BE78" i="13" s="1"/>
  <c r="BD71" i="13"/>
  <c r="BD78" i="13" s="1"/>
  <c r="BC71" i="13"/>
  <c r="BC78" i="13" s="1"/>
  <c r="BB71" i="13"/>
  <c r="BB78" i="13" s="1"/>
  <c r="BA71" i="13"/>
  <c r="BA78" i="13" s="1"/>
  <c r="AZ71" i="13"/>
  <c r="AZ78" i="13" s="1"/>
  <c r="AI71" i="13"/>
  <c r="AH71" i="13"/>
  <c r="BW70" i="13"/>
  <c r="BW77" i="13" s="1"/>
  <c r="BV70" i="13"/>
  <c r="BV77" i="13" s="1"/>
  <c r="BU70" i="13"/>
  <c r="BU77" i="13" s="1"/>
  <c r="BT70" i="13"/>
  <c r="BT77" i="13" s="1"/>
  <c r="BS70" i="13"/>
  <c r="BS77" i="13" s="1"/>
  <c r="BR70" i="13"/>
  <c r="BR77" i="13" s="1"/>
  <c r="BQ70" i="13"/>
  <c r="BQ77" i="13" s="1"/>
  <c r="BP70" i="13"/>
  <c r="BP77" i="13" s="1"/>
  <c r="BO70" i="13"/>
  <c r="BO77" i="13" s="1"/>
  <c r="BN70" i="13"/>
  <c r="BN77" i="13" s="1"/>
  <c r="BM70" i="13"/>
  <c r="BM77" i="13" s="1"/>
  <c r="BL70" i="13"/>
  <c r="BL77" i="13" s="1"/>
  <c r="BK70" i="13"/>
  <c r="BK77" i="13" s="1"/>
  <c r="BJ70" i="13"/>
  <c r="BJ77" i="13" s="1"/>
  <c r="BI70" i="13"/>
  <c r="BI77" i="13" s="1"/>
  <c r="BH70" i="13"/>
  <c r="BH77" i="13" s="1"/>
  <c r="BG70" i="13"/>
  <c r="BG77" i="13" s="1"/>
  <c r="BF70" i="13"/>
  <c r="BF77" i="13" s="1"/>
  <c r="BE70" i="13"/>
  <c r="BE77" i="13" s="1"/>
  <c r="BD70" i="13"/>
  <c r="BD77" i="13" s="1"/>
  <c r="BC70" i="13"/>
  <c r="BC77" i="13" s="1"/>
  <c r="BB70" i="13"/>
  <c r="BB77" i="13" s="1"/>
  <c r="BA70" i="13"/>
  <c r="BA77" i="13" s="1"/>
  <c r="AZ70" i="13"/>
  <c r="AZ77" i="13" s="1"/>
  <c r="AI70" i="13"/>
  <c r="AH70" i="13"/>
  <c r="BW69" i="13"/>
  <c r="BW76" i="13" s="1"/>
  <c r="BV69" i="13"/>
  <c r="BV76" i="13" s="1"/>
  <c r="BU69" i="13"/>
  <c r="BU76" i="13" s="1"/>
  <c r="BT69" i="13"/>
  <c r="BT76" i="13" s="1"/>
  <c r="BS69" i="13"/>
  <c r="BS76" i="13" s="1"/>
  <c r="BR69" i="13"/>
  <c r="BR76" i="13" s="1"/>
  <c r="BQ69" i="13"/>
  <c r="BQ76" i="13" s="1"/>
  <c r="BP69" i="13"/>
  <c r="BP76" i="13" s="1"/>
  <c r="BO69" i="13"/>
  <c r="BO76" i="13" s="1"/>
  <c r="BN69" i="13"/>
  <c r="BN76" i="13" s="1"/>
  <c r="BM69" i="13"/>
  <c r="BM76" i="13" s="1"/>
  <c r="BL69" i="13"/>
  <c r="BL76" i="13" s="1"/>
  <c r="BK69" i="13"/>
  <c r="BK76" i="13" s="1"/>
  <c r="BJ69" i="13"/>
  <c r="BJ76" i="13" s="1"/>
  <c r="BI69" i="13"/>
  <c r="BI76" i="13" s="1"/>
  <c r="BH69" i="13"/>
  <c r="BG69" i="13"/>
  <c r="BG76" i="13" s="1"/>
  <c r="BF69" i="13"/>
  <c r="BF76" i="13" s="1"/>
  <c r="BE69" i="13"/>
  <c r="BE76" i="13" s="1"/>
  <c r="BD69" i="13"/>
  <c r="BD76" i="13" s="1"/>
  <c r="BC69" i="13"/>
  <c r="BC76" i="13" s="1"/>
  <c r="BB69" i="13"/>
  <c r="BB76" i="13" s="1"/>
  <c r="BA69" i="13"/>
  <c r="BA76" i="13" s="1"/>
  <c r="AZ69" i="13"/>
  <c r="AZ76" i="13" s="1"/>
  <c r="AI69" i="13"/>
  <c r="AH69" i="13"/>
  <c r="BW68" i="13"/>
  <c r="BW75" i="13" s="1"/>
  <c r="BV68" i="13"/>
  <c r="BV75" i="13" s="1"/>
  <c r="BU68" i="13"/>
  <c r="BU75" i="13" s="1"/>
  <c r="BT68" i="13"/>
  <c r="BT75" i="13" s="1"/>
  <c r="BS68" i="13"/>
  <c r="BS75" i="13" s="1"/>
  <c r="BR68" i="13"/>
  <c r="BR75" i="13" s="1"/>
  <c r="BQ68" i="13"/>
  <c r="BQ75" i="13" s="1"/>
  <c r="BP68" i="13"/>
  <c r="BP75" i="13" s="1"/>
  <c r="BO68" i="13"/>
  <c r="BO75" i="13" s="1"/>
  <c r="BN68" i="13"/>
  <c r="BN75" i="13" s="1"/>
  <c r="BM68" i="13"/>
  <c r="BM75" i="13" s="1"/>
  <c r="BL68" i="13"/>
  <c r="BL75" i="13" s="1"/>
  <c r="BK68" i="13"/>
  <c r="BK75" i="13" s="1"/>
  <c r="BJ68" i="13"/>
  <c r="BJ75" i="13" s="1"/>
  <c r="BI68" i="13"/>
  <c r="BI75" i="13" s="1"/>
  <c r="BH68" i="13"/>
  <c r="BH75" i="13" s="1"/>
  <c r="BG68" i="13"/>
  <c r="BG75" i="13" s="1"/>
  <c r="BF68" i="13"/>
  <c r="BF75" i="13" s="1"/>
  <c r="BE68" i="13"/>
  <c r="BE75" i="13" s="1"/>
  <c r="BD68" i="13"/>
  <c r="BD75" i="13" s="1"/>
  <c r="BC68" i="13"/>
  <c r="BC75" i="13" s="1"/>
  <c r="BB68" i="13"/>
  <c r="BB75" i="13" s="1"/>
  <c r="BA68" i="13"/>
  <c r="BA75" i="13" s="1"/>
  <c r="AZ68" i="13"/>
  <c r="AI68" i="13"/>
  <c r="AH68" i="13"/>
  <c r="AI67" i="13"/>
  <c r="AH67" i="13"/>
  <c r="AI66" i="13"/>
  <c r="AH66" i="13"/>
  <c r="AI65" i="13"/>
  <c r="AH65" i="13"/>
  <c r="AI64" i="13"/>
  <c r="AH64" i="13"/>
  <c r="AI63" i="13"/>
  <c r="AH63" i="13"/>
  <c r="AG62" i="13"/>
  <c r="BI17" i="13"/>
  <c r="BH17" i="13"/>
  <c r="AB62" i="13"/>
  <c r="BG17" i="13" s="1"/>
  <c r="BD17" i="13"/>
  <c r="BC17" i="13"/>
  <c r="S62" i="13"/>
  <c r="BA17" i="13" s="1"/>
  <c r="R62" i="13"/>
  <c r="AZ17" i="13" s="1"/>
  <c r="Q62" i="13"/>
  <c r="P62" i="13"/>
  <c r="AX17" i="13" s="1"/>
  <c r="O62" i="13"/>
  <c r="AW17" i="13" s="1"/>
  <c r="N62" i="13"/>
  <c r="AV17" i="13" s="1"/>
  <c r="M62" i="13"/>
  <c r="L62" i="13"/>
  <c r="K62" i="13"/>
  <c r="AT17" i="13" s="1"/>
  <c r="J62" i="13"/>
  <c r="I62" i="13"/>
  <c r="H62" i="13"/>
  <c r="G62" i="13"/>
  <c r="AR17" i="13" s="1"/>
  <c r="F62" i="13"/>
  <c r="AQ17" i="13" s="1"/>
  <c r="E62" i="13"/>
  <c r="AP17" i="13" s="1"/>
  <c r="D62" i="13"/>
  <c r="C62" i="13"/>
  <c r="AI61" i="13"/>
  <c r="AH61" i="13"/>
  <c r="AI60" i="13"/>
  <c r="AH60" i="13"/>
  <c r="AI59" i="13"/>
  <c r="AH59" i="13"/>
  <c r="AG58" i="13"/>
  <c r="AB58" i="13"/>
  <c r="BF16" i="13"/>
  <c r="BC16" i="13"/>
  <c r="S58" i="13"/>
  <c r="R58" i="13"/>
  <c r="AZ16" i="13" s="1"/>
  <c r="Q58" i="13"/>
  <c r="AY16" i="13" s="1"/>
  <c r="O58" i="13"/>
  <c r="AW16" i="13" s="1"/>
  <c r="M58" i="13"/>
  <c r="AU16" i="13" s="1"/>
  <c r="L58" i="13"/>
  <c r="K58" i="13"/>
  <c r="J58" i="13"/>
  <c r="I58" i="13"/>
  <c r="H58" i="13"/>
  <c r="G58" i="13"/>
  <c r="F58" i="13"/>
  <c r="E58" i="13"/>
  <c r="AP16" i="13" s="1"/>
  <c r="D58" i="13"/>
  <c r="C58" i="13"/>
  <c r="AN16" i="13" s="1"/>
  <c r="B58" i="13"/>
  <c r="AM16" i="13" s="1"/>
  <c r="AI57" i="13"/>
  <c r="AH57" i="13"/>
  <c r="AI56" i="13"/>
  <c r="AH56" i="13"/>
  <c r="AI55" i="13"/>
  <c r="AH55" i="13"/>
  <c r="AI54" i="13"/>
  <c r="AH54" i="13"/>
  <c r="AI53" i="13"/>
  <c r="AH53" i="13"/>
  <c r="AI52" i="13"/>
  <c r="AH52" i="13"/>
  <c r="AI51" i="13"/>
  <c r="AH51" i="13"/>
  <c r="AI50" i="13"/>
  <c r="AH50" i="13"/>
  <c r="AI49" i="13"/>
  <c r="AH49" i="13"/>
  <c r="AI48" i="13"/>
  <c r="AH48" i="13"/>
  <c r="AI47" i="13"/>
  <c r="AH47" i="13"/>
  <c r="AI46" i="13"/>
  <c r="AH46" i="13"/>
  <c r="AI45" i="13"/>
  <c r="AH45" i="13"/>
  <c r="AI44" i="13"/>
  <c r="AH44" i="13"/>
  <c r="AI43" i="13"/>
  <c r="AH43" i="13"/>
  <c r="AI42" i="13"/>
  <c r="AH42" i="13"/>
  <c r="AI41" i="13"/>
  <c r="AH41" i="13"/>
  <c r="AI40" i="13"/>
  <c r="AH40" i="13"/>
  <c r="AI39" i="13"/>
  <c r="AH39" i="13"/>
  <c r="AI38" i="13"/>
  <c r="AH38" i="13"/>
  <c r="AI37" i="13"/>
  <c r="AH37" i="13"/>
  <c r="AI36" i="13"/>
  <c r="AH36" i="13"/>
  <c r="AI35" i="13"/>
  <c r="AH35" i="13"/>
  <c r="AI34" i="13"/>
  <c r="AH34" i="13"/>
  <c r="AI33" i="13"/>
  <c r="AH33" i="13"/>
  <c r="AI32" i="13"/>
  <c r="AH32" i="13"/>
  <c r="AI31" i="13"/>
  <c r="AH31" i="13"/>
  <c r="AI30" i="13"/>
  <c r="AH30" i="13"/>
  <c r="AI29" i="13"/>
  <c r="AH29" i="13"/>
  <c r="AI28" i="13"/>
  <c r="AH28" i="13"/>
  <c r="AI27" i="13"/>
  <c r="AH27" i="13"/>
  <c r="AI26" i="13"/>
  <c r="AH26" i="13"/>
  <c r="AI25" i="13"/>
  <c r="AH25" i="13"/>
  <c r="AI24" i="13"/>
  <c r="AH24" i="13"/>
  <c r="AI23" i="13"/>
  <c r="AH23" i="13"/>
  <c r="AI22" i="13"/>
  <c r="AH22" i="13"/>
  <c r="BJ21" i="13"/>
  <c r="BI21" i="13"/>
  <c r="BH21" i="13"/>
  <c r="BG21" i="13"/>
  <c r="BF21" i="13"/>
  <c r="BE21" i="13"/>
  <c r="BD21" i="13"/>
  <c r="BC21" i="13"/>
  <c r="BB21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I21" i="13"/>
  <c r="AH21" i="13"/>
  <c r="BJ20" i="13"/>
  <c r="BI20" i="13"/>
  <c r="BH20" i="13"/>
  <c r="BF20" i="13"/>
  <c r="BE20" i="13"/>
  <c r="BD20" i="13"/>
  <c r="BC20" i="13"/>
  <c r="BB20" i="13"/>
  <c r="BA20" i="13"/>
  <c r="AZ20" i="13"/>
  <c r="AV20" i="13"/>
  <c r="AU20" i="13"/>
  <c r="AQ20" i="13"/>
  <c r="AI20" i="13"/>
  <c r="AH20" i="13"/>
  <c r="BJ19" i="13"/>
  <c r="BH19" i="13"/>
  <c r="BF19" i="13"/>
  <c r="BE19" i="13"/>
  <c r="BD19" i="13"/>
  <c r="BB19" i="13"/>
  <c r="AT19" i="13"/>
  <c r="AI19" i="13"/>
  <c r="AH19" i="13"/>
  <c r="BH18" i="13"/>
  <c r="BF18" i="13"/>
  <c r="BC18" i="13"/>
  <c r="AT18" i="13"/>
  <c r="AN18" i="13"/>
  <c r="AI18" i="13"/>
  <c r="AH18" i="13"/>
  <c r="BJ17" i="13"/>
  <c r="BF17" i="13"/>
  <c r="BE17" i="13"/>
  <c r="BB17" i="13"/>
  <c r="AY17" i="13"/>
  <c r="AU17" i="13"/>
  <c r="AS17" i="13"/>
  <c r="AO17" i="13"/>
  <c r="AI17" i="13"/>
  <c r="AH17" i="13"/>
  <c r="BA16" i="13"/>
  <c r="AT16" i="13"/>
  <c r="AS16" i="13"/>
  <c r="AI16" i="13"/>
  <c r="AH16" i="13"/>
  <c r="AI15" i="13"/>
  <c r="AH15" i="13"/>
  <c r="AI14" i="13"/>
  <c r="AH14" i="13"/>
  <c r="AI13" i="13"/>
  <c r="AH13" i="13"/>
  <c r="AL12" i="13"/>
  <c r="AI12" i="13"/>
  <c r="AH12" i="13"/>
  <c r="AI11" i="13"/>
  <c r="AH11" i="13"/>
  <c r="AF5" i="13"/>
  <c r="AE5" i="13"/>
  <c r="AC5" i="13"/>
  <c r="Z5" i="13"/>
  <c r="Y5" i="13"/>
  <c r="X5" i="13"/>
  <c r="W5" i="13"/>
  <c r="U5" i="13"/>
  <c r="S5" i="13"/>
  <c r="K4" i="13"/>
  <c r="E4" i="13"/>
  <c r="H4" i="13" s="1"/>
  <c r="B4" i="13"/>
  <c r="D258" i="13" s="1"/>
  <c r="AG2" i="13"/>
  <c r="AF57" i="12"/>
  <c r="AA5" i="13" l="1"/>
  <c r="AB107" i="13"/>
  <c r="BG23" i="13" s="1"/>
  <c r="R5" i="13"/>
  <c r="Q5" i="13"/>
  <c r="R107" i="13"/>
  <c r="AZ23" i="13" s="1"/>
  <c r="AY19" i="13"/>
  <c r="Q107" i="13"/>
  <c r="AY23" i="13" s="1"/>
  <c r="O5" i="13"/>
  <c r="P97" i="13"/>
  <c r="P99" i="13" s="1"/>
  <c r="M5" i="13"/>
  <c r="L107" i="13"/>
  <c r="AY22" i="13"/>
  <c r="AY24" i="13" s="1"/>
  <c r="X7" i="13"/>
  <c r="AI101" i="13"/>
  <c r="L5" i="13"/>
  <c r="T5" i="13"/>
  <c r="AB5" i="13"/>
  <c r="AW19" i="13"/>
  <c r="AD5" i="13"/>
  <c r="K97" i="13"/>
  <c r="K99" i="13" s="1"/>
  <c r="S97" i="13"/>
  <c r="S99" i="13" s="1"/>
  <c r="M107" i="13"/>
  <c r="AU23" i="13" s="1"/>
  <c r="BC23" i="13"/>
  <c r="I107" i="13"/>
  <c r="AS23" i="13" s="1"/>
  <c r="T7" i="13"/>
  <c r="AH102" i="13"/>
  <c r="BJ16" i="13"/>
  <c r="BJ22" i="13" s="1"/>
  <c r="AG6" i="13"/>
  <c r="O107" i="13"/>
  <c r="AW23" i="13" s="1"/>
  <c r="BI23" i="13"/>
  <c r="K107" i="13"/>
  <c r="AT23" i="13" s="1"/>
  <c r="S107" i="13"/>
  <c r="BA23" i="13" s="1"/>
  <c r="BA22" i="13"/>
  <c r="AB97" i="13"/>
  <c r="AB99" i="13" s="1"/>
  <c r="AB100" i="13" s="1"/>
  <c r="AB7" i="13" s="1"/>
  <c r="N97" i="13"/>
  <c r="N99" i="13" s="1"/>
  <c r="K108" i="13"/>
  <c r="P107" i="13"/>
  <c r="AX23" i="13" s="1"/>
  <c r="AF7" i="13"/>
  <c r="L97" i="13"/>
  <c r="L99" i="13" s="1"/>
  <c r="AT22" i="13"/>
  <c r="AU19" i="13"/>
  <c r="AU22" i="13" s="1"/>
  <c r="BC19" i="13"/>
  <c r="BC22" i="13" s="1"/>
  <c r="AW22" i="13"/>
  <c r="BG16" i="13"/>
  <c r="BG22" i="13" s="1"/>
  <c r="BG24" i="13" s="1"/>
  <c r="BI16" i="13"/>
  <c r="BI22" i="13" s="1"/>
  <c r="O97" i="13"/>
  <c r="O99" i="13" s="1"/>
  <c r="BB16" i="13"/>
  <c r="BB22" i="13" s="1"/>
  <c r="BB24" i="13" s="1"/>
  <c r="BF22" i="13"/>
  <c r="BF24" i="13" s="1"/>
  <c r="AI80" i="13"/>
  <c r="H5" i="13"/>
  <c r="AS22" i="13"/>
  <c r="AS24" i="13" s="1"/>
  <c r="H107" i="13"/>
  <c r="H108" i="13" s="1"/>
  <c r="H97" i="13"/>
  <c r="H99" i="13" s="1"/>
  <c r="F5" i="13"/>
  <c r="G107" i="13"/>
  <c r="AR23" i="13" s="1"/>
  <c r="G97" i="13"/>
  <c r="G99" i="13" s="1"/>
  <c r="G100" i="13" s="1"/>
  <c r="G7" i="13" s="1"/>
  <c r="AQ19" i="13"/>
  <c r="F97" i="13"/>
  <c r="F99" i="13" s="1"/>
  <c r="AI62" i="13"/>
  <c r="D5" i="13"/>
  <c r="AP19" i="13"/>
  <c r="AP22" i="13" s="1"/>
  <c r="E107" i="13"/>
  <c r="AP23" i="13" s="1"/>
  <c r="AI105" i="13"/>
  <c r="AO19" i="13"/>
  <c r="D97" i="13"/>
  <c r="D99" i="13" s="1"/>
  <c r="D107" i="13"/>
  <c r="AO23" i="13" s="1"/>
  <c r="AN17" i="13"/>
  <c r="C107" i="13"/>
  <c r="AN23" i="13" s="1"/>
  <c r="B5" i="13"/>
  <c r="AN19" i="13"/>
  <c r="AN22" i="13" s="1"/>
  <c r="C97" i="13"/>
  <c r="C99" i="13" s="1"/>
  <c r="AM20" i="13"/>
  <c r="AM17" i="13"/>
  <c r="AM22" i="13"/>
  <c r="AL13" i="13"/>
  <c r="AZ22" i="13"/>
  <c r="AZ24" i="13" s="1"/>
  <c r="AH76" i="13"/>
  <c r="BG84" i="13" a="1"/>
  <c r="AI76" i="13"/>
  <c r="G108" i="13"/>
  <c r="O108" i="13"/>
  <c r="F107" i="13"/>
  <c r="AQ23" i="13" s="1"/>
  <c r="N107" i="13"/>
  <c r="AV23" i="13" s="1"/>
  <c r="BD23" i="13"/>
  <c r="BH23" i="13"/>
  <c r="Q97" i="13"/>
  <c r="Q99" i="13" s="1"/>
  <c r="Q100" i="13" s="1"/>
  <c r="Q7" i="13" s="1"/>
  <c r="Y7" i="13"/>
  <c r="AG97" i="13"/>
  <c r="AH80" i="13"/>
  <c r="AI104" i="13"/>
  <c r="AV16" i="13"/>
  <c r="AV22" i="13" s="1"/>
  <c r="AV24" i="13" s="1"/>
  <c r="BD16" i="13"/>
  <c r="BD22" i="13" s="1"/>
  <c r="AO16" i="13"/>
  <c r="AO22" i="13" s="1"/>
  <c r="BE16" i="13"/>
  <c r="BE22" i="13" s="1"/>
  <c r="B97" i="13"/>
  <c r="J97" i="13"/>
  <c r="J99" i="13" s="1"/>
  <c r="J100" i="13" s="1"/>
  <c r="J7" i="13" s="1"/>
  <c r="R97" i="13"/>
  <c r="R99" i="13" s="1"/>
  <c r="R100" i="13" s="1"/>
  <c r="R7" i="13" s="1"/>
  <c r="Z7" i="13"/>
  <c r="AH58" i="13"/>
  <c r="AH62" i="13"/>
  <c r="I108" i="13"/>
  <c r="AG99" i="13"/>
  <c r="AI103" i="13"/>
  <c r="N100" i="13"/>
  <c r="N7" i="13" s="1"/>
  <c r="I97" i="13"/>
  <c r="I99" i="13" s="1"/>
  <c r="I100" i="13" s="1"/>
  <c r="I7" i="13" s="1"/>
  <c r="AX16" i="13"/>
  <c r="AX22" i="13" s="1"/>
  <c r="AI58" i="13"/>
  <c r="AI92" i="13"/>
  <c r="J108" i="13"/>
  <c r="R108" i="13"/>
  <c r="AH92" i="13"/>
  <c r="AI102" i="13"/>
  <c r="D118" i="13"/>
  <c r="E251" i="13"/>
  <c r="F251" i="13" s="1"/>
  <c r="G251" i="13" s="1"/>
  <c r="H251" i="13" s="1"/>
  <c r="I251" i="13" s="1"/>
  <c r="J251" i="13" s="1"/>
  <c r="K251" i="13" s="1"/>
  <c r="L251" i="13" s="1"/>
  <c r="M251" i="13" s="1"/>
  <c r="N251" i="13" s="1"/>
  <c r="O251" i="13" s="1"/>
  <c r="P251" i="13" s="1"/>
  <c r="Q251" i="13" s="1"/>
  <c r="R251" i="13" s="1"/>
  <c r="S251" i="13" s="1"/>
  <c r="T251" i="13" s="1"/>
  <c r="U251" i="13" s="1"/>
  <c r="V251" i="13" s="1"/>
  <c r="W251" i="13" s="1"/>
  <c r="X251" i="13" s="1"/>
  <c r="Y251" i="13" s="1"/>
  <c r="Z251" i="13" s="1"/>
  <c r="AA251" i="13" s="1"/>
  <c r="AB251" i="13" s="1"/>
  <c r="AC251" i="13" s="1"/>
  <c r="AD251" i="13" s="1"/>
  <c r="AE251" i="13" s="1"/>
  <c r="AF251" i="13" s="1"/>
  <c r="B251" i="13" s="1"/>
  <c r="AD7" i="13"/>
  <c r="AQ16" i="13"/>
  <c r="AQ22" i="13" s="1"/>
  <c r="L100" i="13"/>
  <c r="L7" i="13" s="1"/>
  <c r="AR16" i="13"/>
  <c r="AR22" i="13" s="1"/>
  <c r="BH16" i="13"/>
  <c r="BH22" i="13" s="1"/>
  <c r="E97" i="13"/>
  <c r="E99" i="13" s="1"/>
  <c r="E100" i="13" s="1"/>
  <c r="E7" i="13" s="1"/>
  <c r="M97" i="13"/>
  <c r="M99" i="13" s="1"/>
  <c r="U7" i="13"/>
  <c r="AC7" i="13"/>
  <c r="D108" i="13"/>
  <c r="L108" i="13"/>
  <c r="AB108" i="13"/>
  <c r="AH101" i="13"/>
  <c r="B107" i="13"/>
  <c r="B108" i="13" s="1"/>
  <c r="AH103" i="13"/>
  <c r="E246" i="13"/>
  <c r="AH104" i="13"/>
  <c r="AH105" i="13"/>
  <c r="BI24" i="13" l="1"/>
  <c r="BC24" i="13"/>
  <c r="S108" i="13"/>
  <c r="Q108" i="13"/>
  <c r="AX24" i="13"/>
  <c r="AU24" i="13"/>
  <c r="M100" i="13"/>
  <c r="M7" i="13" s="1"/>
  <c r="M108" i="13"/>
  <c r="AT24" i="13"/>
  <c r="AN24" i="13"/>
  <c r="S100" i="13"/>
  <c r="S7" i="13" s="1"/>
  <c r="N108" i="13"/>
  <c r="H100" i="13"/>
  <c r="H7" i="13" s="1"/>
  <c r="O100" i="13"/>
  <c r="O7" i="13" s="1"/>
  <c r="K100" i="13"/>
  <c r="K7" i="13" s="1"/>
  <c r="BJ23" i="13"/>
  <c r="AO24" i="13"/>
  <c r="D100" i="13"/>
  <c r="D7" i="13" s="1"/>
  <c r="AE7" i="13"/>
  <c r="BE23" i="13"/>
  <c r="BE24" i="13" s="1"/>
  <c r="P100" i="13"/>
  <c r="P7" i="13" s="1"/>
  <c r="W7" i="13"/>
  <c r="BA24" i="13"/>
  <c r="BJ24" i="13"/>
  <c r="C100" i="13"/>
  <c r="C7" i="13" s="1"/>
  <c r="AW24" i="13"/>
  <c r="AA7" i="13"/>
  <c r="P108" i="13"/>
  <c r="AR24" i="13"/>
  <c r="AQ24" i="13"/>
  <c r="AP24" i="13"/>
  <c r="E108" i="13"/>
  <c r="C108" i="13"/>
  <c r="BH24" i="13"/>
  <c r="B99" i="13"/>
  <c r="AI97" i="13"/>
  <c r="AH97" i="13"/>
  <c r="AT8" i="13"/>
  <c r="V7" i="13"/>
  <c r="BD24" i="13"/>
  <c r="F100" i="13"/>
  <c r="F7" i="13" s="1"/>
  <c r="F246" i="13"/>
  <c r="E118" i="13"/>
  <c r="E252" i="13"/>
  <c r="B256" i="13"/>
  <c r="BI107" i="13"/>
  <c r="BG106" i="13"/>
  <c r="BK104" i="13"/>
  <c r="BI103" i="13"/>
  <c r="BG102" i="13"/>
  <c r="BK100" i="13"/>
  <c r="BI99" i="13"/>
  <c r="BG98" i="13"/>
  <c r="BK96" i="13"/>
  <c r="BI95" i="13"/>
  <c r="BG94" i="13"/>
  <c r="BK92" i="13"/>
  <c r="BI91" i="13"/>
  <c r="BG90" i="13"/>
  <c r="BK88" i="13"/>
  <c r="BI87" i="13"/>
  <c r="BG86" i="13"/>
  <c r="BK84" i="13"/>
  <c r="BH107" i="13"/>
  <c r="BL105" i="13"/>
  <c r="BJ104" i="13"/>
  <c r="BH103" i="13"/>
  <c r="BL101" i="13"/>
  <c r="BJ100" i="13"/>
  <c r="BH99" i="13"/>
  <c r="BL97" i="13"/>
  <c r="BJ96" i="13"/>
  <c r="BH95" i="13"/>
  <c r="BL93" i="13"/>
  <c r="BJ92" i="13"/>
  <c r="BH91" i="13"/>
  <c r="BL89" i="13"/>
  <c r="BJ88" i="13"/>
  <c r="BH87" i="13"/>
  <c r="BL85" i="13"/>
  <c r="BJ84" i="13"/>
  <c r="BG107" i="13"/>
  <c r="BK105" i="13"/>
  <c r="BI104" i="13"/>
  <c r="BG103" i="13"/>
  <c r="BK101" i="13"/>
  <c r="BI100" i="13"/>
  <c r="BG99" i="13"/>
  <c r="BK97" i="13"/>
  <c r="BI96" i="13"/>
  <c r="BG95" i="13"/>
  <c r="BK93" i="13"/>
  <c r="BI92" i="13"/>
  <c r="BG91" i="13"/>
  <c r="BK89" i="13"/>
  <c r="BI88" i="13"/>
  <c r="BG87" i="13"/>
  <c r="BK85" i="13"/>
  <c r="BI84" i="13"/>
  <c r="BL106" i="13"/>
  <c r="BJ105" i="13"/>
  <c r="BH104" i="13"/>
  <c r="BL102" i="13"/>
  <c r="BJ101" i="13"/>
  <c r="BH100" i="13"/>
  <c r="BL98" i="13"/>
  <c r="BJ97" i="13"/>
  <c r="BH96" i="13"/>
  <c r="BL94" i="13"/>
  <c r="BJ93" i="13"/>
  <c r="BH92" i="13"/>
  <c r="BL90" i="13"/>
  <c r="BJ89" i="13"/>
  <c r="BH88" i="13"/>
  <c r="BL86" i="13"/>
  <c r="BJ85" i="13"/>
  <c r="BH84" i="13"/>
  <c r="BL107" i="13"/>
  <c r="BJ106" i="13"/>
  <c r="BH105" i="13"/>
  <c r="BL103" i="13"/>
  <c r="BJ102" i="13"/>
  <c r="BH101" i="13"/>
  <c r="BL99" i="13"/>
  <c r="BJ98" i="13"/>
  <c r="BH97" i="13"/>
  <c r="BL95" i="13"/>
  <c r="BJ94" i="13"/>
  <c r="BH93" i="13"/>
  <c r="BL91" i="13"/>
  <c r="BJ90" i="13"/>
  <c r="BH89" i="13"/>
  <c r="BL87" i="13"/>
  <c r="BJ86" i="13"/>
  <c r="BH85" i="13"/>
  <c r="BL104" i="13"/>
  <c r="BG101" i="13"/>
  <c r="BI97" i="13"/>
  <c r="BH94" i="13"/>
  <c r="BI90" i="13"/>
  <c r="BK86" i="13"/>
  <c r="BG105" i="13"/>
  <c r="BH98" i="13"/>
  <c r="BJ87" i="13"/>
  <c r="BK107" i="13"/>
  <c r="BG104" i="13"/>
  <c r="BL100" i="13"/>
  <c r="BG97" i="13"/>
  <c r="BI93" i="13"/>
  <c r="BH90" i="13"/>
  <c r="BI86" i="13"/>
  <c r="BJ107" i="13"/>
  <c r="BK103" i="13"/>
  <c r="BG100" i="13"/>
  <c r="BL96" i="13"/>
  <c r="BG93" i="13"/>
  <c r="BI89" i="13"/>
  <c r="BH86" i="13"/>
  <c r="BH102" i="13"/>
  <c r="BK87" i="13"/>
  <c r="BK90" i="13"/>
  <c r="BK106" i="13"/>
  <c r="BJ103" i="13"/>
  <c r="BK99" i="13"/>
  <c r="BG96" i="13"/>
  <c r="BL92" i="13"/>
  <c r="BG89" i="13"/>
  <c r="BI85" i="13"/>
  <c r="BI105" i="13"/>
  <c r="BI98" i="13"/>
  <c r="BJ91" i="13"/>
  <c r="BG84" i="13"/>
  <c r="BI101" i="13"/>
  <c r="BI94" i="13"/>
  <c r="BI106" i="13"/>
  <c r="BK102" i="13"/>
  <c r="BJ99" i="13"/>
  <c r="BK95" i="13"/>
  <c r="BG92" i="13"/>
  <c r="BL88" i="13"/>
  <c r="BG85" i="13"/>
  <c r="BH106" i="13"/>
  <c r="BI102" i="13"/>
  <c r="BK98" i="13"/>
  <c r="BJ95" i="13"/>
  <c r="BK91" i="13"/>
  <c r="BG88" i="13"/>
  <c r="BL84" i="13"/>
  <c r="BK94" i="13"/>
  <c r="AI107" i="13"/>
  <c r="AH107" i="13"/>
  <c r="AM23" i="13"/>
  <c r="AM24" i="13" s="1"/>
  <c r="F108" i="13"/>
  <c r="C256" i="13"/>
  <c r="AI108" i="13" l="1"/>
  <c r="AH108" i="13"/>
  <c r="K6" i="13"/>
  <c r="G246" i="13"/>
  <c r="F252" i="13"/>
  <c r="F118" i="13"/>
  <c r="AT9" i="13"/>
  <c r="AH99" i="13"/>
  <c r="B100" i="13"/>
  <c r="AI99" i="13"/>
  <c r="AI100" i="13" l="1"/>
  <c r="AH100" i="13"/>
  <c r="B7" i="13"/>
  <c r="A7" i="13" s="1"/>
  <c r="H246" i="13"/>
  <c r="G252" i="13"/>
  <c r="G118" i="13"/>
  <c r="I246" i="13" l="1"/>
  <c r="H252" i="13"/>
  <c r="H118" i="13"/>
  <c r="I252" i="13" l="1"/>
  <c r="I118" i="13"/>
  <c r="J246" i="13"/>
  <c r="J252" i="13" l="1"/>
  <c r="J118" i="13"/>
  <c r="K246" i="13"/>
  <c r="K252" i="13" l="1"/>
  <c r="K118" i="13"/>
  <c r="L246" i="13"/>
  <c r="L252" i="13" l="1"/>
  <c r="L118" i="13"/>
  <c r="M246" i="13"/>
  <c r="N246" i="13" l="1"/>
  <c r="M118" i="13"/>
  <c r="M252" i="13"/>
  <c r="O246" i="13" l="1"/>
  <c r="N252" i="13"/>
  <c r="N118" i="13"/>
  <c r="P246" i="13" l="1"/>
  <c r="O252" i="13"/>
  <c r="O118" i="13"/>
  <c r="Q246" i="13" l="1"/>
  <c r="P252" i="13"/>
  <c r="Q252" i="13" l="1"/>
  <c r="Q118" i="13"/>
  <c r="R246" i="13"/>
  <c r="R252" i="13" l="1"/>
  <c r="R118" i="13"/>
  <c r="S246" i="13"/>
  <c r="S252" i="13" l="1"/>
  <c r="S118" i="13"/>
  <c r="T246" i="13"/>
  <c r="T252" i="13" l="1"/>
  <c r="U246" i="13"/>
  <c r="V246" i="13" l="1"/>
  <c r="U252" i="13"/>
  <c r="W246" i="13" l="1"/>
  <c r="V252" i="13"/>
  <c r="X246" i="13" l="1"/>
  <c r="W252" i="13"/>
  <c r="Y246" i="13" l="1"/>
  <c r="X252" i="13"/>
  <c r="Y252" i="13" l="1"/>
  <c r="Z246" i="13"/>
  <c r="Z252" i="13" l="1"/>
  <c r="AA246" i="13"/>
  <c r="AA252" i="13" l="1"/>
  <c r="AB246" i="13"/>
  <c r="AB252" i="13" l="1"/>
  <c r="AB118" i="13"/>
  <c r="AC246" i="13"/>
  <c r="AD246" i="13" l="1"/>
  <c r="AC252" i="13"/>
  <c r="AE246" i="13" l="1"/>
  <c r="AD252" i="13"/>
  <c r="AF246" i="13" l="1"/>
  <c r="AE252" i="13"/>
  <c r="AF252" i="13" l="1"/>
  <c r="B246" i="13"/>
  <c r="B252" i="13" l="1"/>
  <c r="B118" i="13"/>
  <c r="AI118" i="13" l="1"/>
  <c r="AH118" i="13"/>
  <c r="AA58" i="12" l="1"/>
  <c r="AA62" i="12"/>
  <c r="AA76" i="12"/>
  <c r="AA80" i="12"/>
  <c r="AA92" i="12"/>
  <c r="AA101" i="12"/>
  <c r="AA107" i="12" s="1"/>
  <c r="AA102" i="12"/>
  <c r="AA103" i="12"/>
  <c r="AA104" i="12"/>
  <c r="AA105" i="12"/>
  <c r="AA118" i="12"/>
  <c r="AA97" i="12" l="1"/>
  <c r="AA99" i="12" s="1"/>
  <c r="AA100" i="12" s="1"/>
  <c r="AA108" i="12"/>
  <c r="Z118" i="12"/>
  <c r="Z105" i="12"/>
  <c r="Z104" i="12"/>
  <c r="Z103" i="12"/>
  <c r="Z102" i="12"/>
  <c r="Z101" i="12"/>
  <c r="Z107" i="12" s="1"/>
  <c r="Z92" i="12"/>
  <c r="Z80" i="12"/>
  <c r="Z76" i="12"/>
  <c r="Z62" i="12"/>
  <c r="Z58" i="12"/>
  <c r="Z97" i="12" s="1"/>
  <c r="Z99" i="12" s="1"/>
  <c r="Z108" i="12" l="1"/>
  <c r="Z100" i="12"/>
  <c r="Y57" i="12" l="1"/>
  <c r="Y58" i="12"/>
  <c r="Y62" i="12"/>
  <c r="Y76" i="12"/>
  <c r="Y80" i="12"/>
  <c r="Y92" i="12"/>
  <c r="Y101" i="12"/>
  <c r="Y102" i="12"/>
  <c r="Y103" i="12"/>
  <c r="Y104" i="12"/>
  <c r="Y105" i="12"/>
  <c r="Y118" i="12"/>
  <c r="Y107" i="12" l="1"/>
  <c r="Y108" i="12"/>
  <c r="Y97" i="12"/>
  <c r="Y99" i="12" s="1"/>
  <c r="Y100" i="12" s="1"/>
  <c r="X121" i="12" l="1"/>
  <c r="X57" i="12"/>
  <c r="W58" i="12"/>
  <c r="W62" i="12"/>
  <c r="W76" i="12"/>
  <c r="W80" i="12"/>
  <c r="W92" i="12"/>
  <c r="W101" i="12"/>
  <c r="W107" i="12" s="1"/>
  <c r="W102" i="12"/>
  <c r="W103" i="12"/>
  <c r="W104" i="12"/>
  <c r="W105" i="12"/>
  <c r="W118" i="12"/>
  <c r="V58" i="12"/>
  <c r="V62" i="12"/>
  <c r="V76" i="12"/>
  <c r="V80" i="12"/>
  <c r="V92" i="12"/>
  <c r="V101" i="12"/>
  <c r="V102" i="12"/>
  <c r="V103" i="12"/>
  <c r="V104" i="12"/>
  <c r="V105" i="12"/>
  <c r="V118" i="12"/>
  <c r="W97" i="12" l="1"/>
  <c r="W99" i="12" s="1"/>
  <c r="W100" i="12" s="1"/>
  <c r="W108" i="12"/>
  <c r="V107" i="12"/>
  <c r="V97" i="12"/>
  <c r="V99" i="12" s="1"/>
  <c r="V100" i="12" s="1"/>
  <c r="V108" i="12"/>
  <c r="U58" i="12"/>
  <c r="U62" i="12"/>
  <c r="U76" i="12"/>
  <c r="U80" i="12"/>
  <c r="U92" i="12"/>
  <c r="U101" i="12"/>
  <c r="U102" i="12"/>
  <c r="U103" i="12"/>
  <c r="U104" i="12"/>
  <c r="U105" i="12"/>
  <c r="U118" i="12"/>
  <c r="U107" i="12" l="1"/>
  <c r="U108" i="12" s="1"/>
  <c r="U97" i="12"/>
  <c r="U99" i="12" s="1"/>
  <c r="U100" i="12" s="1"/>
  <c r="T58" i="12" l="1"/>
  <c r="T62" i="12"/>
  <c r="T76" i="12"/>
  <c r="T80" i="12"/>
  <c r="T92" i="12"/>
  <c r="T101" i="12"/>
  <c r="T102" i="12"/>
  <c r="T103" i="12"/>
  <c r="T104" i="12"/>
  <c r="T105" i="12"/>
  <c r="T118" i="12"/>
  <c r="T107" i="12" l="1"/>
  <c r="T108" i="12" s="1"/>
  <c r="T97" i="12"/>
  <c r="T99" i="12" s="1"/>
  <c r="T100" i="12" l="1"/>
  <c r="S92" i="12"/>
  <c r="S58" i="12"/>
  <c r="S62" i="12"/>
  <c r="S76" i="12"/>
  <c r="S80" i="12"/>
  <c r="S101" i="12"/>
  <c r="S102" i="12"/>
  <c r="S103" i="12"/>
  <c r="S104" i="12"/>
  <c r="S105" i="12"/>
  <c r="S118" i="12"/>
  <c r="S107" i="12" l="1"/>
  <c r="S108" i="12" s="1"/>
  <c r="S97" i="12"/>
  <c r="S99" i="12" s="1"/>
  <c r="P62" i="11"/>
  <c r="Q58" i="12"/>
  <c r="L121" i="12"/>
  <c r="L57" i="12"/>
  <c r="K57" i="12"/>
  <c r="J121" i="12"/>
  <c r="J57" i="12"/>
  <c r="I121" i="12"/>
  <c r="I57" i="12"/>
  <c r="H121" i="12"/>
  <c r="H57" i="12"/>
  <c r="G121" i="12"/>
  <c r="G57" i="12"/>
  <c r="F121" i="12"/>
  <c r="F57" i="12"/>
  <c r="E121" i="12"/>
  <c r="E57" i="12"/>
  <c r="D121" i="12"/>
  <c r="D57" i="12"/>
  <c r="D58" i="12"/>
  <c r="D62" i="12"/>
  <c r="AH125" i="12"/>
  <c r="AI125" i="12"/>
  <c r="AH124" i="12"/>
  <c r="AI124" i="12"/>
  <c r="C121" i="12"/>
  <c r="C118" i="12" s="1"/>
  <c r="C57" i="12"/>
  <c r="C58" i="12"/>
  <c r="AN16" i="12" s="1"/>
  <c r="C62" i="12"/>
  <c r="AN17" i="12" s="1"/>
  <c r="C76" i="12"/>
  <c r="C80" i="12"/>
  <c r="B121" i="12"/>
  <c r="B57" i="12"/>
  <c r="B105" i="12"/>
  <c r="B104" i="12"/>
  <c r="B103" i="12"/>
  <c r="B102" i="12"/>
  <c r="B101" i="12"/>
  <c r="B92" i="12"/>
  <c r="B80" i="12"/>
  <c r="B76" i="12"/>
  <c r="AM18" i="12" s="1"/>
  <c r="B62" i="12"/>
  <c r="B58" i="12"/>
  <c r="AG252" i="12"/>
  <c r="C252" i="12"/>
  <c r="D251" i="12"/>
  <c r="D250" i="12"/>
  <c r="E250" i="12" s="1"/>
  <c r="F250" i="12" s="1"/>
  <c r="G250" i="12" s="1"/>
  <c r="H250" i="12" s="1"/>
  <c r="I250" i="12" s="1"/>
  <c r="J250" i="12" s="1"/>
  <c r="K250" i="12" s="1"/>
  <c r="L250" i="12" s="1"/>
  <c r="M250" i="12" s="1"/>
  <c r="N250" i="12" s="1"/>
  <c r="O250" i="12" s="1"/>
  <c r="P250" i="12" s="1"/>
  <c r="Q250" i="12" s="1"/>
  <c r="R250" i="12" s="1"/>
  <c r="S250" i="12" s="1"/>
  <c r="T250" i="12" s="1"/>
  <c r="U250" i="12" s="1"/>
  <c r="V250" i="12" s="1"/>
  <c r="W250" i="12" s="1"/>
  <c r="X250" i="12" s="1"/>
  <c r="Y250" i="12" s="1"/>
  <c r="Z250" i="12" s="1"/>
  <c r="AA250" i="12" s="1"/>
  <c r="AB250" i="12" s="1"/>
  <c r="AC250" i="12" s="1"/>
  <c r="AD250" i="12" s="1"/>
  <c r="AE250" i="12" s="1"/>
  <c r="AF250" i="12" s="1"/>
  <c r="B250" i="12" s="1"/>
  <c r="D249" i="12"/>
  <c r="E249" i="12" s="1"/>
  <c r="F249" i="12" s="1"/>
  <c r="G249" i="12" s="1"/>
  <c r="H249" i="12" s="1"/>
  <c r="I249" i="12" s="1"/>
  <c r="J249" i="12" s="1"/>
  <c r="K249" i="12" s="1"/>
  <c r="L249" i="12" s="1"/>
  <c r="M249" i="12" s="1"/>
  <c r="N249" i="12" s="1"/>
  <c r="O249" i="12" s="1"/>
  <c r="P249" i="12" s="1"/>
  <c r="Q249" i="12" s="1"/>
  <c r="R249" i="12" s="1"/>
  <c r="S249" i="12" s="1"/>
  <c r="T249" i="12" s="1"/>
  <c r="U249" i="12" s="1"/>
  <c r="V249" i="12" s="1"/>
  <c r="W249" i="12" s="1"/>
  <c r="X249" i="12" s="1"/>
  <c r="Y249" i="12" s="1"/>
  <c r="Z249" i="12" s="1"/>
  <c r="AA249" i="12" s="1"/>
  <c r="AB249" i="12" s="1"/>
  <c r="AC249" i="12" s="1"/>
  <c r="AD249" i="12" s="1"/>
  <c r="AE249" i="12" s="1"/>
  <c r="AF249" i="12" s="1"/>
  <c r="B249" i="12" s="1"/>
  <c r="D248" i="12"/>
  <c r="E248" i="12" s="1"/>
  <c r="F248" i="12" s="1"/>
  <c r="G248" i="12" s="1"/>
  <c r="H248" i="12" s="1"/>
  <c r="I248" i="12" s="1"/>
  <c r="J248" i="12" s="1"/>
  <c r="K248" i="12" s="1"/>
  <c r="L248" i="12" s="1"/>
  <c r="M248" i="12" s="1"/>
  <c r="N248" i="12" s="1"/>
  <c r="O248" i="12" s="1"/>
  <c r="P248" i="12" s="1"/>
  <c r="Q248" i="12" s="1"/>
  <c r="R248" i="12" s="1"/>
  <c r="S248" i="12" s="1"/>
  <c r="T248" i="12" s="1"/>
  <c r="U248" i="12" s="1"/>
  <c r="V248" i="12" s="1"/>
  <c r="W248" i="12" s="1"/>
  <c r="X248" i="12" s="1"/>
  <c r="Y248" i="12" s="1"/>
  <c r="Z248" i="12" s="1"/>
  <c r="AA248" i="12" s="1"/>
  <c r="AB248" i="12" s="1"/>
  <c r="AC248" i="12" s="1"/>
  <c r="AD248" i="12" s="1"/>
  <c r="AE248" i="12" s="1"/>
  <c r="AF248" i="12" s="1"/>
  <c r="B248" i="12" s="1"/>
  <c r="D247" i="12"/>
  <c r="E247" i="12" s="1"/>
  <c r="D246" i="12"/>
  <c r="E246" i="12" s="1"/>
  <c r="F246" i="12" s="1"/>
  <c r="AG244" i="12"/>
  <c r="AF244" i="12"/>
  <c r="AE244" i="12"/>
  <c r="AD244" i="12"/>
  <c r="AC244" i="12"/>
  <c r="AB244" i="12"/>
  <c r="AA244" i="12"/>
  <c r="Z244" i="12"/>
  <c r="Y244" i="12"/>
  <c r="X244" i="12"/>
  <c r="W244" i="12"/>
  <c r="V244" i="12"/>
  <c r="U244" i="12"/>
  <c r="T244" i="12"/>
  <c r="S244" i="12"/>
  <c r="R244" i="12"/>
  <c r="Q244" i="12"/>
  <c r="P244" i="12"/>
  <c r="O244" i="12"/>
  <c r="N244" i="12"/>
  <c r="M244" i="12"/>
  <c r="L244" i="12"/>
  <c r="K244" i="12"/>
  <c r="J244" i="12"/>
  <c r="I244" i="12"/>
  <c r="H244" i="12"/>
  <c r="G244" i="12"/>
  <c r="F244" i="12"/>
  <c r="E244" i="12"/>
  <c r="D244" i="12"/>
  <c r="C244" i="12"/>
  <c r="B244" i="12"/>
  <c r="AI130" i="12"/>
  <c r="AH130" i="12"/>
  <c r="AI129" i="12"/>
  <c r="AH129" i="12"/>
  <c r="AI128" i="12"/>
  <c r="AH128" i="12"/>
  <c r="AI127" i="12"/>
  <c r="AH127" i="12"/>
  <c r="AI126" i="12"/>
  <c r="AH126" i="12"/>
  <c r="AI123" i="12"/>
  <c r="AH123" i="12"/>
  <c r="AI122" i="12"/>
  <c r="AH122" i="12"/>
  <c r="AI120" i="12"/>
  <c r="AH120" i="12"/>
  <c r="AI119" i="12"/>
  <c r="AH119" i="12"/>
  <c r="AI117" i="12"/>
  <c r="AH117" i="12"/>
  <c r="AI116" i="12"/>
  <c r="AH116" i="12"/>
  <c r="AI115" i="12"/>
  <c r="AH115" i="12"/>
  <c r="AI114" i="12"/>
  <c r="AH114" i="12"/>
  <c r="AI113" i="12"/>
  <c r="AH113" i="12"/>
  <c r="AI112" i="12"/>
  <c r="AH112" i="12"/>
  <c r="AI111" i="12"/>
  <c r="AH111" i="12"/>
  <c r="AI110" i="12"/>
  <c r="AH110" i="12"/>
  <c r="AI109" i="12"/>
  <c r="AH109" i="12"/>
  <c r="AI106" i="12"/>
  <c r="AH106" i="12"/>
  <c r="AF105" i="12"/>
  <c r="AE105" i="12"/>
  <c r="AD105" i="12"/>
  <c r="AC105" i="12"/>
  <c r="AB105" i="12"/>
  <c r="X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AF104" i="12"/>
  <c r="AE104" i="12"/>
  <c r="AD104" i="12"/>
  <c r="AC104" i="12"/>
  <c r="AB104" i="12"/>
  <c r="X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AF103" i="12"/>
  <c r="AE103" i="12"/>
  <c r="AD103" i="12"/>
  <c r="AC103" i="12"/>
  <c r="AB103" i="12"/>
  <c r="X103" i="12"/>
  <c r="R103" i="12"/>
  <c r="Q103" i="12"/>
  <c r="P103" i="12"/>
  <c r="O103" i="12"/>
  <c r="N103" i="12"/>
  <c r="M103" i="12"/>
  <c r="L103" i="12"/>
  <c r="K103" i="12"/>
  <c r="J103" i="12"/>
  <c r="I103" i="12"/>
  <c r="H103" i="12"/>
  <c r="G103" i="12"/>
  <c r="F103" i="12"/>
  <c r="E103" i="12"/>
  <c r="D103" i="12"/>
  <c r="C103" i="12"/>
  <c r="AF102" i="12"/>
  <c r="AE102" i="12"/>
  <c r="AD102" i="12"/>
  <c r="AC102" i="12"/>
  <c r="AB102" i="12"/>
  <c r="X102" i="12"/>
  <c r="R102" i="12"/>
  <c r="Q102" i="12"/>
  <c r="P102" i="12"/>
  <c r="O102" i="12"/>
  <c r="N102" i="12"/>
  <c r="M102" i="12"/>
  <c r="L102" i="12"/>
  <c r="K102" i="12"/>
  <c r="J102" i="12"/>
  <c r="I102" i="12"/>
  <c r="H102" i="12"/>
  <c r="G102" i="12"/>
  <c r="F102" i="12"/>
  <c r="E102" i="12"/>
  <c r="D102" i="12"/>
  <c r="C102" i="12"/>
  <c r="AF101" i="12"/>
  <c r="AF107" i="12" s="1"/>
  <c r="AE101" i="12"/>
  <c r="AD101" i="12"/>
  <c r="AC101" i="12"/>
  <c r="AB101" i="12"/>
  <c r="BF23" i="12"/>
  <c r="X101" i="12"/>
  <c r="R101" i="12"/>
  <c r="Q101" i="12"/>
  <c r="P101" i="12"/>
  <c r="O101" i="12"/>
  <c r="N101" i="12"/>
  <c r="M101" i="12"/>
  <c r="L101" i="12"/>
  <c r="K101" i="12"/>
  <c r="J101" i="12"/>
  <c r="I101" i="12"/>
  <c r="H101" i="12"/>
  <c r="G101" i="12"/>
  <c r="F101" i="12"/>
  <c r="E101" i="12"/>
  <c r="D101" i="12"/>
  <c r="C101" i="12"/>
  <c r="AI98" i="12"/>
  <c r="AH98" i="12"/>
  <c r="AI96" i="12"/>
  <c r="AH96" i="12"/>
  <c r="AG96" i="12"/>
  <c r="AI95" i="12"/>
  <c r="AH95" i="12"/>
  <c r="AI94" i="12"/>
  <c r="AH94" i="12"/>
  <c r="AI93" i="12"/>
  <c r="AH93" i="12"/>
  <c r="AG92" i="12"/>
  <c r="AF92" i="12"/>
  <c r="AE5" i="12" s="1"/>
  <c r="AE92" i="12"/>
  <c r="BI19" i="12" s="1"/>
  <c r="AD92" i="12"/>
  <c r="BH19" i="12" s="1"/>
  <c r="AC92" i="12"/>
  <c r="AB5" i="12" s="1"/>
  <c r="AB92" i="12"/>
  <c r="BG19" i="12" s="1"/>
  <c r="X92" i="12"/>
  <c r="BE19" i="12" s="1"/>
  <c r="BC19" i="12"/>
  <c r="R92" i="12"/>
  <c r="AZ19" i="12" s="1"/>
  <c r="Q92" i="12"/>
  <c r="P92" i="12"/>
  <c r="O5" i="12" s="1"/>
  <c r="O92" i="12"/>
  <c r="AW19" i="12" s="1"/>
  <c r="N92" i="12"/>
  <c r="M5" i="12" s="1"/>
  <c r="M92" i="12"/>
  <c r="L5" i="12" s="1"/>
  <c r="L92" i="12"/>
  <c r="K5" i="12" s="1"/>
  <c r="K92" i="12"/>
  <c r="J92" i="12"/>
  <c r="I5" i="12" s="1"/>
  <c r="I92" i="12"/>
  <c r="H92" i="12"/>
  <c r="G92" i="12"/>
  <c r="F92" i="12"/>
  <c r="E92" i="12"/>
  <c r="D5" i="12" s="1"/>
  <c r="D92" i="12"/>
  <c r="AO19" i="12" s="1"/>
  <c r="C92" i="12"/>
  <c r="AN19" i="12" s="1"/>
  <c r="AI91" i="12"/>
  <c r="AH91" i="12"/>
  <c r="AI90" i="12"/>
  <c r="AH90" i="12"/>
  <c r="AI89" i="12"/>
  <c r="AH89" i="12"/>
  <c r="AI88" i="12"/>
  <c r="AH88" i="12"/>
  <c r="AI87" i="12"/>
  <c r="AH87" i="12"/>
  <c r="AI86" i="12"/>
  <c r="AH86" i="12"/>
  <c r="AI85" i="12"/>
  <c r="AH85" i="12"/>
  <c r="AI84" i="12"/>
  <c r="AH84" i="12"/>
  <c r="AI83" i="12"/>
  <c r="AH83" i="12"/>
  <c r="AI82" i="12"/>
  <c r="AH82" i="12"/>
  <c r="AI81" i="12"/>
  <c r="AH81" i="12"/>
  <c r="AG80" i="12"/>
  <c r="AF80" i="12"/>
  <c r="BJ20" i="12" s="1"/>
  <c r="AE80" i="12"/>
  <c r="AD80" i="12"/>
  <c r="BH20" i="12" s="1"/>
  <c r="AC80" i="12"/>
  <c r="AB80" i="12"/>
  <c r="BF20" i="12"/>
  <c r="X80" i="12"/>
  <c r="BE20" i="12" s="1"/>
  <c r="BD20" i="12"/>
  <c r="BA20" i="12"/>
  <c r="R80" i="12"/>
  <c r="AZ20" i="12" s="1"/>
  <c r="Q80" i="12"/>
  <c r="P80" i="12"/>
  <c r="AX20" i="12" s="1"/>
  <c r="O80" i="12"/>
  <c r="N80" i="12"/>
  <c r="AV20" i="12" s="1"/>
  <c r="M80" i="12"/>
  <c r="L80" i="12"/>
  <c r="K80" i="12"/>
  <c r="J80" i="12"/>
  <c r="I80" i="12"/>
  <c r="H80" i="12"/>
  <c r="G80" i="12"/>
  <c r="AR20" i="12" s="1"/>
  <c r="F80" i="12"/>
  <c r="AQ20" i="12" s="1"/>
  <c r="E80" i="12"/>
  <c r="AP20" i="12" s="1"/>
  <c r="D80" i="12"/>
  <c r="AN20" i="12"/>
  <c r="AM20" i="12"/>
  <c r="AI79" i="12"/>
  <c r="AH79" i="12"/>
  <c r="BF78" i="12"/>
  <c r="AI78" i="12"/>
  <c r="AH78" i="12"/>
  <c r="AI77" i="12"/>
  <c r="AH77" i="12"/>
  <c r="BJ76" i="12"/>
  <c r="BF76" i="12"/>
  <c r="AF76" i="12"/>
  <c r="BJ18" i="12" s="1"/>
  <c r="AE76" i="12"/>
  <c r="BI18" i="12" s="1"/>
  <c r="AD76" i="12"/>
  <c r="AC76" i="12"/>
  <c r="AB76" i="12"/>
  <c r="BG18" i="12" s="1"/>
  <c r="X76" i="12"/>
  <c r="BE18" i="12" s="1"/>
  <c r="BC18" i="12"/>
  <c r="BB18" i="12"/>
  <c r="R76" i="12"/>
  <c r="Q76" i="12"/>
  <c r="AY18" i="12" s="1"/>
  <c r="P76" i="12"/>
  <c r="O76" i="12"/>
  <c r="AW18" i="12" s="1"/>
  <c r="N76" i="12"/>
  <c r="AV18" i="12" s="1"/>
  <c r="M76" i="12"/>
  <c r="AU18" i="12" s="1"/>
  <c r="L76" i="12"/>
  <c r="K76" i="12"/>
  <c r="AT18" i="12" s="1"/>
  <c r="J76" i="12"/>
  <c r="I76" i="12"/>
  <c r="AS18" i="12" s="1"/>
  <c r="H76" i="12"/>
  <c r="G76" i="12"/>
  <c r="AR18" i="12" s="1"/>
  <c r="F76" i="12"/>
  <c r="AQ18" i="12" s="1"/>
  <c r="E76" i="12"/>
  <c r="AP18" i="12" s="1"/>
  <c r="D76" i="12"/>
  <c r="AO18" i="12" s="1"/>
  <c r="BV75" i="12"/>
  <c r="AI75" i="12"/>
  <c r="AH75" i="12"/>
  <c r="AG75" i="12"/>
  <c r="AG76" i="12" s="1"/>
  <c r="AI74" i="12"/>
  <c r="AH74" i="12"/>
  <c r="BW73" i="12"/>
  <c r="BW80" i="12" s="1"/>
  <c r="BV73" i="12"/>
  <c r="BV80" i="12" s="1"/>
  <c r="BU73" i="12"/>
  <c r="BU80" i="12" s="1"/>
  <c r="BT73" i="12"/>
  <c r="BT80" i="12" s="1"/>
  <c r="BS73" i="12"/>
  <c r="BS80" i="12" s="1"/>
  <c r="BR73" i="12"/>
  <c r="BR80" i="12" s="1"/>
  <c r="BQ73" i="12"/>
  <c r="BQ80" i="12" s="1"/>
  <c r="BP73" i="12"/>
  <c r="BP80" i="12" s="1"/>
  <c r="BO73" i="12"/>
  <c r="BO80" i="12" s="1"/>
  <c r="BN73" i="12"/>
  <c r="BN80" i="12" s="1"/>
  <c r="BM73" i="12"/>
  <c r="BM80" i="12" s="1"/>
  <c r="BL73" i="12"/>
  <c r="BL80" i="12" s="1"/>
  <c r="BK73" i="12"/>
  <c r="BK80" i="12" s="1"/>
  <c r="BJ73" i="12"/>
  <c r="BJ80" i="12" s="1"/>
  <c r="BI73" i="12"/>
  <c r="BI80" i="12" s="1"/>
  <c r="BH73" i="12"/>
  <c r="BH80" i="12" s="1"/>
  <c r="BG73" i="12"/>
  <c r="BG80" i="12" s="1"/>
  <c r="BF73" i="12"/>
  <c r="BF80" i="12" s="1"/>
  <c r="BE73" i="12"/>
  <c r="BE80" i="12" s="1"/>
  <c r="BD73" i="12"/>
  <c r="BD80" i="12" s="1"/>
  <c r="BC73" i="12"/>
  <c r="BC80" i="12" s="1"/>
  <c r="BB73" i="12"/>
  <c r="BB80" i="12" s="1"/>
  <c r="BA73" i="12"/>
  <c r="BA80" i="12" s="1"/>
  <c r="AZ73" i="12"/>
  <c r="AZ80" i="12" s="1"/>
  <c r="AI73" i="12"/>
  <c r="AH73" i="12"/>
  <c r="BW72" i="12"/>
  <c r="BW79" i="12" s="1"/>
  <c r="BV72" i="12"/>
  <c r="BV79" i="12" s="1"/>
  <c r="BU72" i="12"/>
  <c r="BU79" i="12" s="1"/>
  <c r="BT72" i="12"/>
  <c r="BT79" i="12" s="1"/>
  <c r="BS72" i="12"/>
  <c r="BS79" i="12" s="1"/>
  <c r="BR72" i="12"/>
  <c r="BR79" i="12" s="1"/>
  <c r="BQ72" i="12"/>
  <c r="BQ79" i="12" s="1"/>
  <c r="BP72" i="12"/>
  <c r="BP79" i="12" s="1"/>
  <c r="BO72" i="12"/>
  <c r="BO79" i="12" s="1"/>
  <c r="BN72" i="12"/>
  <c r="BN79" i="12" s="1"/>
  <c r="BM72" i="12"/>
  <c r="BM79" i="12" s="1"/>
  <c r="BL72" i="12"/>
  <c r="BL79" i="12" s="1"/>
  <c r="BK72" i="12"/>
  <c r="BK79" i="12" s="1"/>
  <c r="BJ72" i="12"/>
  <c r="BJ79" i="12" s="1"/>
  <c r="BI72" i="12"/>
  <c r="BI79" i="12" s="1"/>
  <c r="BH72" i="12"/>
  <c r="BH79" i="12" s="1"/>
  <c r="BG72" i="12"/>
  <c r="BG79" i="12" s="1"/>
  <c r="BF72" i="12"/>
  <c r="BF79" i="12" s="1"/>
  <c r="BE72" i="12"/>
  <c r="BE79" i="12" s="1"/>
  <c r="BD72" i="12"/>
  <c r="BD79" i="12" s="1"/>
  <c r="BC72" i="12"/>
  <c r="BC79" i="12" s="1"/>
  <c r="BB72" i="12"/>
  <c r="BB79" i="12" s="1"/>
  <c r="BA72" i="12"/>
  <c r="BA79" i="12" s="1"/>
  <c r="AZ72" i="12"/>
  <c r="AZ79" i="12" s="1"/>
  <c r="AI72" i="12"/>
  <c r="AH72" i="12"/>
  <c r="BW71" i="12"/>
  <c r="BW78" i="12" s="1"/>
  <c r="BV71" i="12"/>
  <c r="BV78" i="12" s="1"/>
  <c r="BU71" i="12"/>
  <c r="BU78" i="12" s="1"/>
  <c r="BT71" i="12"/>
  <c r="BT78" i="12" s="1"/>
  <c r="BS71" i="12"/>
  <c r="BS78" i="12" s="1"/>
  <c r="BR71" i="12"/>
  <c r="BR78" i="12" s="1"/>
  <c r="BQ71" i="12"/>
  <c r="BQ78" i="12" s="1"/>
  <c r="BP71" i="12"/>
  <c r="BP78" i="12" s="1"/>
  <c r="BO71" i="12"/>
  <c r="BO78" i="12" s="1"/>
  <c r="BN71" i="12"/>
  <c r="BN78" i="12" s="1"/>
  <c r="BM71" i="12"/>
  <c r="BM78" i="12" s="1"/>
  <c r="BL71" i="12"/>
  <c r="BL78" i="12" s="1"/>
  <c r="BK71" i="12"/>
  <c r="BK78" i="12" s="1"/>
  <c r="BJ71" i="12"/>
  <c r="BJ78" i="12" s="1"/>
  <c r="BI71" i="12"/>
  <c r="BI78" i="12" s="1"/>
  <c r="BH71" i="12"/>
  <c r="BH78" i="12" s="1"/>
  <c r="BG71" i="12"/>
  <c r="BG78" i="12" s="1"/>
  <c r="BF71" i="12"/>
  <c r="BE71" i="12"/>
  <c r="BE78" i="12" s="1"/>
  <c r="BD71" i="12"/>
  <c r="BD78" i="12" s="1"/>
  <c r="BC71" i="12"/>
  <c r="BC78" i="12" s="1"/>
  <c r="BB71" i="12"/>
  <c r="BB78" i="12" s="1"/>
  <c r="BA71" i="12"/>
  <c r="BA78" i="12" s="1"/>
  <c r="AZ71" i="12"/>
  <c r="AZ78" i="12" s="1"/>
  <c r="AI71" i="12"/>
  <c r="AH71" i="12"/>
  <c r="BW70" i="12"/>
  <c r="BW77" i="12" s="1"/>
  <c r="BV70" i="12"/>
  <c r="BV77" i="12" s="1"/>
  <c r="BU70" i="12"/>
  <c r="BU77" i="12" s="1"/>
  <c r="BT70" i="12"/>
  <c r="BT77" i="12" s="1"/>
  <c r="BS70" i="12"/>
  <c r="BS77" i="12" s="1"/>
  <c r="BR70" i="12"/>
  <c r="BR77" i="12" s="1"/>
  <c r="BQ70" i="12"/>
  <c r="BQ77" i="12" s="1"/>
  <c r="BP70" i="12"/>
  <c r="BP77" i="12" s="1"/>
  <c r="BO70" i="12"/>
  <c r="BO77" i="12" s="1"/>
  <c r="BN70" i="12"/>
  <c r="BN77" i="12" s="1"/>
  <c r="BM70" i="12"/>
  <c r="BM77" i="12" s="1"/>
  <c r="BL70" i="12"/>
  <c r="BL77" i="12" s="1"/>
  <c r="BK70" i="12"/>
  <c r="BK77" i="12" s="1"/>
  <c r="BJ70" i="12"/>
  <c r="BJ77" i="12" s="1"/>
  <c r="BI70" i="12"/>
  <c r="BI77" i="12" s="1"/>
  <c r="BH70" i="12"/>
  <c r="BH77" i="12" s="1"/>
  <c r="BG70" i="12"/>
  <c r="BG77" i="12" s="1"/>
  <c r="BF70" i="12"/>
  <c r="BF77" i="12" s="1"/>
  <c r="BE70" i="12"/>
  <c r="BE77" i="12" s="1"/>
  <c r="BD70" i="12"/>
  <c r="BD77" i="12" s="1"/>
  <c r="BC70" i="12"/>
  <c r="BC77" i="12" s="1"/>
  <c r="BB70" i="12"/>
  <c r="BB77" i="12" s="1"/>
  <c r="BA70" i="12"/>
  <c r="BA77" i="12" s="1"/>
  <c r="AZ70" i="12"/>
  <c r="AZ77" i="12" s="1"/>
  <c r="AI70" i="12"/>
  <c r="AH70" i="12"/>
  <c r="BW69" i="12"/>
  <c r="BW76" i="12" s="1"/>
  <c r="BV69" i="12"/>
  <c r="BV76" i="12" s="1"/>
  <c r="BU69" i="12"/>
  <c r="BU76" i="12" s="1"/>
  <c r="BT69" i="12"/>
  <c r="BT76" i="12" s="1"/>
  <c r="BS69" i="12"/>
  <c r="BS76" i="12" s="1"/>
  <c r="BR69" i="12"/>
  <c r="BR76" i="12" s="1"/>
  <c r="BQ69" i="12"/>
  <c r="BQ76" i="12" s="1"/>
  <c r="BP69" i="12"/>
  <c r="BP76" i="12" s="1"/>
  <c r="BO69" i="12"/>
  <c r="BO76" i="12" s="1"/>
  <c r="BN69" i="12"/>
  <c r="BN76" i="12" s="1"/>
  <c r="BM69" i="12"/>
  <c r="BM76" i="12" s="1"/>
  <c r="BL69" i="12"/>
  <c r="BL76" i="12" s="1"/>
  <c r="BK69" i="12"/>
  <c r="BK76" i="12" s="1"/>
  <c r="BJ69" i="12"/>
  <c r="BI69" i="12"/>
  <c r="BI76" i="12" s="1"/>
  <c r="BH69" i="12"/>
  <c r="BH76" i="12" s="1"/>
  <c r="BG69" i="12"/>
  <c r="BG76" i="12" s="1"/>
  <c r="BF69" i="12"/>
  <c r="BE69" i="12"/>
  <c r="BE76" i="12" s="1"/>
  <c r="BD69" i="12"/>
  <c r="BD76" i="12" s="1"/>
  <c r="BC69" i="12"/>
  <c r="BC76" i="12" s="1"/>
  <c r="BB69" i="12"/>
  <c r="BB76" i="12" s="1"/>
  <c r="BA69" i="12"/>
  <c r="BA76" i="12" s="1"/>
  <c r="AZ69" i="12"/>
  <c r="AZ76" i="12" s="1"/>
  <c r="AI69" i="12"/>
  <c r="AH69" i="12"/>
  <c r="BW68" i="12"/>
  <c r="BW75" i="12" s="1"/>
  <c r="BV68" i="12"/>
  <c r="BU68" i="12"/>
  <c r="BU75" i="12" s="1"/>
  <c r="BT68" i="12"/>
  <c r="BT75" i="12" s="1"/>
  <c r="BS68" i="12"/>
  <c r="BS75" i="12" s="1"/>
  <c r="BR68" i="12"/>
  <c r="BR75" i="12" s="1"/>
  <c r="BQ68" i="12"/>
  <c r="BQ75" i="12" s="1"/>
  <c r="BP68" i="12"/>
  <c r="BP75" i="12" s="1"/>
  <c r="BO68" i="12"/>
  <c r="BO75" i="12" s="1"/>
  <c r="BN68" i="12"/>
  <c r="BN75" i="12" s="1"/>
  <c r="BM68" i="12"/>
  <c r="BM75" i="12" s="1"/>
  <c r="BL68" i="12"/>
  <c r="BL75" i="12" s="1"/>
  <c r="BK68" i="12"/>
  <c r="BK75" i="12" s="1"/>
  <c r="BJ68" i="12"/>
  <c r="BJ75" i="12" s="1"/>
  <c r="BI68" i="12"/>
  <c r="BI75" i="12" s="1"/>
  <c r="BH68" i="12"/>
  <c r="BH75" i="12" s="1"/>
  <c r="BG68" i="12"/>
  <c r="BG75" i="12" s="1"/>
  <c r="BF68" i="12"/>
  <c r="BF75" i="12" s="1"/>
  <c r="BE68" i="12"/>
  <c r="BE75" i="12" s="1"/>
  <c r="BD68" i="12"/>
  <c r="BD75" i="12" s="1"/>
  <c r="BC68" i="12"/>
  <c r="BC75" i="12" s="1"/>
  <c r="BB68" i="12"/>
  <c r="BB75" i="12" s="1"/>
  <c r="BA68" i="12"/>
  <c r="BA75" i="12" s="1"/>
  <c r="AZ68" i="12"/>
  <c r="AZ75" i="12" s="1"/>
  <c r="AI68" i="12"/>
  <c r="AH68" i="12"/>
  <c r="AI67" i="12"/>
  <c r="AH67" i="12"/>
  <c r="AI66" i="12"/>
  <c r="AH66" i="12"/>
  <c r="AI65" i="12"/>
  <c r="AH65" i="12"/>
  <c r="AI64" i="12"/>
  <c r="AH64" i="12"/>
  <c r="AI63" i="12"/>
  <c r="AH63" i="12"/>
  <c r="AG62" i="12"/>
  <c r="AF62" i="12"/>
  <c r="BJ17" i="12" s="1"/>
  <c r="AE62" i="12"/>
  <c r="BI17" i="12" s="1"/>
  <c r="AD62" i="12"/>
  <c r="BH17" i="12" s="1"/>
  <c r="AC62" i="12"/>
  <c r="AB62" i="12"/>
  <c r="BG17" i="12" s="1"/>
  <c r="X62" i="12"/>
  <c r="BE17" i="12" s="1"/>
  <c r="BD17" i="12"/>
  <c r="BC17" i="12"/>
  <c r="R62" i="12"/>
  <c r="AZ17" i="12" s="1"/>
  <c r="Q62" i="12"/>
  <c r="AY17" i="12" s="1"/>
  <c r="P62" i="12"/>
  <c r="O62" i="12"/>
  <c r="AW17" i="12" s="1"/>
  <c r="N62" i="12"/>
  <c r="AV17" i="12" s="1"/>
  <c r="M62" i="12"/>
  <c r="AU17" i="12" s="1"/>
  <c r="L62" i="12"/>
  <c r="K62" i="12"/>
  <c r="AT17" i="12" s="1"/>
  <c r="J62" i="12"/>
  <c r="I62" i="12"/>
  <c r="AS17" i="12" s="1"/>
  <c r="H62" i="12"/>
  <c r="G62" i="12"/>
  <c r="AR17" i="12" s="1"/>
  <c r="F62" i="12"/>
  <c r="AQ17" i="12" s="1"/>
  <c r="E62" i="12"/>
  <c r="AP17" i="12" s="1"/>
  <c r="AI61" i="12"/>
  <c r="AH61" i="12"/>
  <c r="AI60" i="12"/>
  <c r="AH60" i="12"/>
  <c r="AI59" i="12"/>
  <c r="AH59" i="12"/>
  <c r="AG58" i="12"/>
  <c r="AF58" i="12"/>
  <c r="BJ16" i="12" s="1"/>
  <c r="AE58" i="12"/>
  <c r="AD58" i="12"/>
  <c r="AC58" i="12"/>
  <c r="AB58" i="12"/>
  <c r="BG16" i="12" s="1"/>
  <c r="BF16" i="12"/>
  <c r="X58" i="12"/>
  <c r="BA16" i="12"/>
  <c r="R58" i="12"/>
  <c r="AZ16" i="12" s="1"/>
  <c r="P58" i="12"/>
  <c r="AX16" i="12" s="1"/>
  <c r="O58" i="12"/>
  <c r="N58" i="12"/>
  <c r="M58" i="12"/>
  <c r="L58" i="12"/>
  <c r="K58" i="12"/>
  <c r="AT16" i="12" s="1"/>
  <c r="J58" i="12"/>
  <c r="I58" i="12"/>
  <c r="AS16" i="12" s="1"/>
  <c r="H58" i="12"/>
  <c r="G58" i="12"/>
  <c r="F58" i="12"/>
  <c r="E58" i="12"/>
  <c r="AI57" i="12"/>
  <c r="AI56" i="12"/>
  <c r="AH56" i="12"/>
  <c r="AI55" i="12"/>
  <c r="AH55" i="12"/>
  <c r="AI54" i="12"/>
  <c r="AH54" i="12"/>
  <c r="AI53" i="12"/>
  <c r="AH53" i="12"/>
  <c r="AI52" i="12"/>
  <c r="AH52" i="12"/>
  <c r="AI51" i="12"/>
  <c r="AH51" i="12"/>
  <c r="AI50" i="12"/>
  <c r="AH50" i="12"/>
  <c r="AI49" i="12"/>
  <c r="AH49" i="12"/>
  <c r="AI48" i="12"/>
  <c r="AH48" i="12"/>
  <c r="AI47" i="12"/>
  <c r="AH47" i="12"/>
  <c r="AI46" i="12"/>
  <c r="AH46" i="12"/>
  <c r="AI45" i="12"/>
  <c r="AH45" i="12"/>
  <c r="AI44" i="12"/>
  <c r="AH44" i="12"/>
  <c r="AI43" i="12"/>
  <c r="AH43" i="12"/>
  <c r="AI42" i="12"/>
  <c r="AH42" i="12"/>
  <c r="AI41" i="12"/>
  <c r="AH41" i="12"/>
  <c r="AI40" i="12"/>
  <c r="AH40" i="12"/>
  <c r="AI39" i="12"/>
  <c r="AH39" i="12"/>
  <c r="AI38" i="12"/>
  <c r="AH38" i="12"/>
  <c r="AI37" i="12"/>
  <c r="AH37" i="12"/>
  <c r="AI36" i="12"/>
  <c r="AH36" i="12"/>
  <c r="AI35" i="12"/>
  <c r="AH35" i="12"/>
  <c r="AI34" i="12"/>
  <c r="AH34" i="12"/>
  <c r="AI33" i="12"/>
  <c r="AH33" i="12"/>
  <c r="AI32" i="12"/>
  <c r="AH32" i="12"/>
  <c r="AI31" i="12"/>
  <c r="AH31" i="12"/>
  <c r="AI30" i="12"/>
  <c r="AH30" i="12"/>
  <c r="AI29" i="12"/>
  <c r="AH29" i="12"/>
  <c r="AI28" i="12"/>
  <c r="AH28" i="12"/>
  <c r="AI27" i="12"/>
  <c r="AH27" i="12"/>
  <c r="AI26" i="12"/>
  <c r="AH26" i="12"/>
  <c r="AI25" i="12"/>
  <c r="AH25" i="12"/>
  <c r="AI24" i="12"/>
  <c r="AH24" i="12"/>
  <c r="BA23" i="12"/>
  <c r="AI23" i="12"/>
  <c r="AH23" i="12"/>
  <c r="AI22" i="12"/>
  <c r="AH22" i="12"/>
  <c r="BJ21" i="12"/>
  <c r="BI21" i="12"/>
  <c r="BH21" i="12"/>
  <c r="BG21" i="12"/>
  <c r="BF21" i="12"/>
  <c r="BE21" i="12"/>
  <c r="BD21" i="12"/>
  <c r="BC21" i="12"/>
  <c r="BB21" i="12"/>
  <c r="BA21" i="12"/>
  <c r="AZ21" i="12"/>
  <c r="AY21" i="12"/>
  <c r="AX21" i="12"/>
  <c r="AW21" i="12"/>
  <c r="AV21" i="12"/>
  <c r="AU21" i="12"/>
  <c r="AT21" i="12"/>
  <c r="AS21" i="12"/>
  <c r="AR21" i="12"/>
  <c r="AQ21" i="12"/>
  <c r="AP21" i="12"/>
  <c r="AO21" i="12"/>
  <c r="AN21" i="12"/>
  <c r="AM21" i="12"/>
  <c r="AI21" i="12"/>
  <c r="AH21" i="12"/>
  <c r="BI20" i="12"/>
  <c r="BG20" i="12"/>
  <c r="BC20" i="12"/>
  <c r="BB20" i="12"/>
  <c r="AY20" i="12"/>
  <c r="AW20" i="12"/>
  <c r="AU20" i="12"/>
  <c r="AS20" i="12"/>
  <c r="AO20" i="12"/>
  <c r="AI20" i="12"/>
  <c r="AH20" i="12"/>
  <c r="BF19" i="12"/>
  <c r="BD19" i="12"/>
  <c r="BB19" i="12"/>
  <c r="BA19" i="12"/>
  <c r="AY19" i="12"/>
  <c r="AX19" i="12"/>
  <c r="AR19" i="12"/>
  <c r="AQ19" i="12"/>
  <c r="AM19" i="12"/>
  <c r="AI19" i="12"/>
  <c r="AH19" i="12"/>
  <c r="BH18" i="12"/>
  <c r="BF18" i="12"/>
  <c r="BD18" i="12"/>
  <c r="BA18" i="12"/>
  <c r="AZ18" i="12"/>
  <c r="AX18" i="12"/>
  <c r="AN18" i="12"/>
  <c r="AI18" i="12"/>
  <c r="AH18" i="12"/>
  <c r="BF17" i="12"/>
  <c r="BB17" i="12"/>
  <c r="BA17" i="12"/>
  <c r="AX17" i="12"/>
  <c r="AO17" i="12"/>
  <c r="AM17" i="12"/>
  <c r="AI17" i="12"/>
  <c r="AH17" i="12"/>
  <c r="BE16" i="12"/>
  <c r="BD16" i="12"/>
  <c r="BB16" i="12"/>
  <c r="AV16" i="12"/>
  <c r="AO16" i="12"/>
  <c r="AI16" i="12"/>
  <c r="AH16" i="12"/>
  <c r="AI15" i="12"/>
  <c r="AH15" i="12"/>
  <c r="AI14" i="12"/>
  <c r="AH14" i="12"/>
  <c r="AI13" i="12"/>
  <c r="AH13" i="12"/>
  <c r="AL12" i="12"/>
  <c r="AI12" i="12"/>
  <c r="AH12" i="12"/>
  <c r="AI11" i="12"/>
  <c r="AH11" i="12"/>
  <c r="AF5" i="12"/>
  <c r="Z5" i="12"/>
  <c r="Y5" i="12"/>
  <c r="X5" i="12"/>
  <c r="V5" i="12"/>
  <c r="U5" i="12"/>
  <c r="T5" i="12"/>
  <c r="S5" i="12"/>
  <c r="R5" i="12"/>
  <c r="P5" i="12"/>
  <c r="N5" i="12"/>
  <c r="H5" i="12"/>
  <c r="G5" i="12"/>
  <c r="F5" i="12"/>
  <c r="E5" i="12"/>
  <c r="AG4" i="12"/>
  <c r="K4" i="12"/>
  <c r="E4" i="12"/>
  <c r="H4" i="12" s="1"/>
  <c r="B4" i="12"/>
  <c r="D258" i="12" s="1"/>
  <c r="AG3" i="12"/>
  <c r="AF121" i="11"/>
  <c r="AF57" i="11"/>
  <c r="AF58" i="11"/>
  <c r="AF62" i="11"/>
  <c r="AF76" i="11"/>
  <c r="AF80" i="11"/>
  <c r="AE121" i="11"/>
  <c r="AE57" i="11"/>
  <c r="AE58" i="11"/>
  <c r="AE62" i="11"/>
  <c r="AD121" i="11"/>
  <c r="AD57" i="11"/>
  <c r="AC121" i="11"/>
  <c r="AC57" i="11"/>
  <c r="AC58" i="11"/>
  <c r="AC62" i="11"/>
  <c r="AC76" i="11"/>
  <c r="AC80" i="11"/>
  <c r="AB121" i="11"/>
  <c r="AB57" i="11"/>
  <c r="AB58" i="11"/>
  <c r="AB62" i="11"/>
  <c r="AB76" i="11"/>
  <c r="AB80" i="11"/>
  <c r="BJ19" i="12" l="1"/>
  <c r="AD5" i="12"/>
  <c r="AC5" i="12"/>
  <c r="AA5" i="12"/>
  <c r="W5" i="12"/>
  <c r="X97" i="12"/>
  <c r="X99" i="12" s="1"/>
  <c r="BB22" i="12"/>
  <c r="S100" i="12"/>
  <c r="S7" i="12" s="1"/>
  <c r="Q5" i="12"/>
  <c r="R107" i="12"/>
  <c r="AZ23" i="12" s="1"/>
  <c r="AZ22" i="12"/>
  <c r="AV19" i="12"/>
  <c r="AH57" i="12"/>
  <c r="K107" i="12"/>
  <c r="AT23" i="12" s="1"/>
  <c r="K108" i="12"/>
  <c r="J5" i="12"/>
  <c r="AT19" i="12"/>
  <c r="J107" i="12"/>
  <c r="J108" i="12" s="1"/>
  <c r="AP19" i="12"/>
  <c r="AZ24" i="12"/>
  <c r="BF22" i="12"/>
  <c r="BF24" i="12" s="1"/>
  <c r="I107" i="12"/>
  <c r="AS23" i="12" s="1"/>
  <c r="Q107" i="12"/>
  <c r="AY23" i="12" s="1"/>
  <c r="AC107" i="12"/>
  <c r="X107" i="12"/>
  <c r="AV22" i="12"/>
  <c r="AC97" i="12"/>
  <c r="AC99" i="12" s="1"/>
  <c r="AC100" i="12" s="1"/>
  <c r="AC7" i="12" s="1"/>
  <c r="H97" i="12"/>
  <c r="H99" i="12" s="1"/>
  <c r="D118" i="12"/>
  <c r="AU19" i="12"/>
  <c r="AI102" i="12"/>
  <c r="W7" i="12"/>
  <c r="AX22" i="12"/>
  <c r="R97" i="12"/>
  <c r="R99" i="12" s="1"/>
  <c r="R100" i="12" s="1"/>
  <c r="R7" i="12" s="1"/>
  <c r="L107" i="12"/>
  <c r="L108" i="12" s="1"/>
  <c r="P97" i="12"/>
  <c r="P99" i="12" s="1"/>
  <c r="BD22" i="12"/>
  <c r="BD24" i="12" s="1"/>
  <c r="C5" i="12"/>
  <c r="AO22" i="12"/>
  <c r="AI92" i="12"/>
  <c r="AN22" i="12"/>
  <c r="B5" i="12"/>
  <c r="C107" i="12"/>
  <c r="AN23" i="12" s="1"/>
  <c r="AH121" i="12"/>
  <c r="AI121" i="12"/>
  <c r="B107" i="12"/>
  <c r="B97" i="12"/>
  <c r="B99" i="12" s="1"/>
  <c r="B100" i="12" s="1"/>
  <c r="B108" i="12"/>
  <c r="AH103" i="12"/>
  <c r="AL13" i="12"/>
  <c r="N97" i="12"/>
  <c r="N99" i="12" s="1"/>
  <c r="BE22" i="12"/>
  <c r="E97" i="12"/>
  <c r="E99" i="12" s="1"/>
  <c r="AP16" i="12"/>
  <c r="AP22" i="12" s="1"/>
  <c r="M97" i="12"/>
  <c r="M99" i="12" s="1"/>
  <c r="AU16" i="12"/>
  <c r="AU22" i="12" s="1"/>
  <c r="BC16" i="12"/>
  <c r="BC22" i="12" s="1"/>
  <c r="M107" i="12"/>
  <c r="AU23" i="12" s="1"/>
  <c r="BC23" i="12"/>
  <c r="F247" i="12"/>
  <c r="G247" i="12" s="1"/>
  <c r="H247" i="12" s="1"/>
  <c r="I247" i="12" s="1"/>
  <c r="J247" i="12" s="1"/>
  <c r="K247" i="12" s="1"/>
  <c r="L247" i="12" s="1"/>
  <c r="M247" i="12" s="1"/>
  <c r="N247" i="12" s="1"/>
  <c r="O247" i="12" s="1"/>
  <c r="P247" i="12" s="1"/>
  <c r="Q247" i="12" s="1"/>
  <c r="R247" i="12" s="1"/>
  <c r="S247" i="12" s="1"/>
  <c r="T247" i="12" s="1"/>
  <c r="U247" i="12" s="1"/>
  <c r="V247" i="12" s="1"/>
  <c r="W247" i="12" s="1"/>
  <c r="X247" i="12" s="1"/>
  <c r="Y247" i="12" s="1"/>
  <c r="Z247" i="12" s="1"/>
  <c r="AA247" i="12" s="1"/>
  <c r="AB247" i="12" s="1"/>
  <c r="AC247" i="12" s="1"/>
  <c r="AD247" i="12" s="1"/>
  <c r="AE247" i="12" s="1"/>
  <c r="AF247" i="12" s="1"/>
  <c r="B247" i="12" s="1"/>
  <c r="AQ16" i="12"/>
  <c r="AQ22" i="12" s="1"/>
  <c r="F97" i="12"/>
  <c r="F99" i="12" s="1"/>
  <c r="AD97" i="12"/>
  <c r="AD99" i="12" s="1"/>
  <c r="BH16" i="12"/>
  <c r="BH22" i="12" s="1"/>
  <c r="AI76" i="12"/>
  <c r="AH80" i="12"/>
  <c r="AF108" i="12"/>
  <c r="BJ23" i="12"/>
  <c r="AR16" i="12"/>
  <c r="AR22" i="12" s="1"/>
  <c r="G97" i="12"/>
  <c r="G99" i="12" s="1"/>
  <c r="O97" i="12"/>
  <c r="O99" i="12" s="1"/>
  <c r="AW16" i="12"/>
  <c r="AW22" i="12" s="1"/>
  <c r="AE97" i="12"/>
  <c r="AE99" i="12" s="1"/>
  <c r="BI16" i="12"/>
  <c r="BI22" i="12" s="1"/>
  <c r="K97" i="12"/>
  <c r="K99" i="12" s="1"/>
  <c r="K100" i="12" s="1"/>
  <c r="K7" i="12" s="1"/>
  <c r="AT20" i="12"/>
  <c r="AT22" i="12" s="1"/>
  <c r="AT24" i="12" s="1"/>
  <c r="AI80" i="12"/>
  <c r="G246" i="12"/>
  <c r="F252" i="12"/>
  <c r="AH62" i="12"/>
  <c r="F107" i="12"/>
  <c r="AQ23" i="12" s="1"/>
  <c r="N107" i="12"/>
  <c r="AV23" i="12" s="1"/>
  <c r="BD23" i="12"/>
  <c r="AD107" i="12"/>
  <c r="BH23" i="12" s="1"/>
  <c r="BA22" i="12"/>
  <c r="BA24" i="12" s="1"/>
  <c r="AS19" i="12"/>
  <c r="AS22" i="12" s="1"/>
  <c r="AS24" i="12" s="1"/>
  <c r="E107" i="12"/>
  <c r="AP23" i="12" s="1"/>
  <c r="D107" i="12"/>
  <c r="AH104" i="12"/>
  <c r="AI103" i="12"/>
  <c r="BG22" i="12"/>
  <c r="BG84" i="12" a="1"/>
  <c r="H107" i="12"/>
  <c r="H108" i="12" s="1"/>
  <c r="P107" i="12"/>
  <c r="C108" i="12"/>
  <c r="D252" i="12"/>
  <c r="Q97" i="12"/>
  <c r="Q99" i="12" s="1"/>
  <c r="AG97" i="12"/>
  <c r="AG2" i="12"/>
  <c r="AG6" i="12" s="1"/>
  <c r="AI58" i="12"/>
  <c r="AM16" i="12"/>
  <c r="AM22" i="12" s="1"/>
  <c r="AH58" i="12"/>
  <c r="AH102" i="12"/>
  <c r="BJ22" i="12"/>
  <c r="C97" i="12"/>
  <c r="C99" i="12" s="1"/>
  <c r="C100" i="12" s="1"/>
  <c r="C7" i="12" s="1"/>
  <c r="AA7" i="12"/>
  <c r="AH76" i="12"/>
  <c r="AI104" i="12"/>
  <c r="AI105" i="12"/>
  <c r="E251" i="12"/>
  <c r="F251" i="12" s="1"/>
  <c r="G251" i="12" s="1"/>
  <c r="H251" i="12" s="1"/>
  <c r="I251" i="12" s="1"/>
  <c r="J251" i="12" s="1"/>
  <c r="K251" i="12" s="1"/>
  <c r="L251" i="12" s="1"/>
  <c r="M251" i="12" s="1"/>
  <c r="N251" i="12" s="1"/>
  <c r="O251" i="12" s="1"/>
  <c r="P251" i="12" s="1"/>
  <c r="Q251" i="12" s="1"/>
  <c r="R251" i="12" s="1"/>
  <c r="S251" i="12" s="1"/>
  <c r="T251" i="12" s="1"/>
  <c r="U251" i="12" s="1"/>
  <c r="V251" i="12" s="1"/>
  <c r="W251" i="12" s="1"/>
  <c r="X251" i="12" s="1"/>
  <c r="Y251" i="12" s="1"/>
  <c r="Z251" i="12" s="1"/>
  <c r="AA251" i="12" s="1"/>
  <c r="AB251" i="12" s="1"/>
  <c r="AC251" i="12" s="1"/>
  <c r="AD251" i="12" s="1"/>
  <c r="AE251" i="12" s="1"/>
  <c r="AF251" i="12" s="1"/>
  <c r="B251" i="12" s="1"/>
  <c r="I97" i="12"/>
  <c r="I99" i="12" s="1"/>
  <c r="I100" i="12" s="1"/>
  <c r="I7" i="12" s="1"/>
  <c r="Y7" i="12"/>
  <c r="AI62" i="12"/>
  <c r="AH101" i="12"/>
  <c r="AY16" i="12"/>
  <c r="AY22" i="12" s="1"/>
  <c r="J97" i="12"/>
  <c r="J99" i="12" s="1"/>
  <c r="Z7" i="12"/>
  <c r="AI101" i="12"/>
  <c r="D97" i="12"/>
  <c r="D99" i="12" s="1"/>
  <c r="L97" i="12"/>
  <c r="L99" i="12" s="1"/>
  <c r="AB97" i="12"/>
  <c r="AB99" i="12" s="1"/>
  <c r="AF97" i="12"/>
  <c r="AF99" i="12" s="1"/>
  <c r="AF100" i="12" s="1"/>
  <c r="AF7" i="12" s="1"/>
  <c r="AB107" i="12"/>
  <c r="R108" i="12"/>
  <c r="AH92" i="12"/>
  <c r="AG99" i="12"/>
  <c r="AH105" i="12"/>
  <c r="AC108" i="12"/>
  <c r="G107" i="12"/>
  <c r="O107" i="12"/>
  <c r="AE107" i="12"/>
  <c r="N108" i="12"/>
  <c r="AD108" i="12"/>
  <c r="P57" i="11"/>
  <c r="O57" i="11"/>
  <c r="N57" i="11"/>
  <c r="M57" i="11"/>
  <c r="L121" i="11"/>
  <c r="L57" i="11"/>
  <c r="K121" i="11"/>
  <c r="J57" i="11"/>
  <c r="K57" i="11"/>
  <c r="J121" i="11"/>
  <c r="I121" i="11"/>
  <c r="I57" i="11"/>
  <c r="H121" i="11"/>
  <c r="H57" i="11"/>
  <c r="G121" i="11"/>
  <c r="G57" i="11"/>
  <c r="X100" i="12" l="1"/>
  <c r="X7" i="12" s="1"/>
  <c r="AE100" i="12"/>
  <c r="AE7" i="12" s="1"/>
  <c r="X108" i="12"/>
  <c r="BE23" i="12"/>
  <c r="AY24" i="12"/>
  <c r="Q108" i="12"/>
  <c r="Q100" i="12"/>
  <c r="Q7" i="12" s="1"/>
  <c r="P100" i="12"/>
  <c r="P7" i="12" s="1"/>
  <c r="N100" i="12"/>
  <c r="N7" i="12" s="1"/>
  <c r="AV24" i="12"/>
  <c r="L100" i="12"/>
  <c r="L7" i="12" s="1"/>
  <c r="J100" i="12"/>
  <c r="J7" i="12" s="1"/>
  <c r="I108" i="12"/>
  <c r="F100" i="12"/>
  <c r="F7" i="12" s="1"/>
  <c r="AQ24" i="12"/>
  <c r="F108" i="12"/>
  <c r="E108" i="12"/>
  <c r="T7" i="12"/>
  <c r="BJ24" i="12"/>
  <c r="BE24" i="12"/>
  <c r="AD100" i="12"/>
  <c r="AD7" i="12" s="1"/>
  <c r="BC24" i="12"/>
  <c r="H100" i="12"/>
  <c r="H7" i="12" s="1"/>
  <c r="V7" i="12"/>
  <c r="U7" i="12"/>
  <c r="D100" i="12"/>
  <c r="D7" i="12" s="1"/>
  <c r="AN24" i="12"/>
  <c r="AI107" i="12"/>
  <c r="AH107" i="12"/>
  <c r="AM23" i="12"/>
  <c r="F118" i="12"/>
  <c r="BI107" i="12"/>
  <c r="BG106" i="12"/>
  <c r="BK104" i="12"/>
  <c r="BI103" i="12"/>
  <c r="BG102" i="12"/>
  <c r="BK100" i="12"/>
  <c r="BI99" i="12"/>
  <c r="BG98" i="12"/>
  <c r="BK96" i="12"/>
  <c r="BI95" i="12"/>
  <c r="BG94" i="12"/>
  <c r="BK92" i="12"/>
  <c r="BI91" i="12"/>
  <c r="BG90" i="12"/>
  <c r="BK88" i="12"/>
  <c r="BI87" i="12"/>
  <c r="BG86" i="12"/>
  <c r="BK84" i="12"/>
  <c r="BH107" i="12"/>
  <c r="BL105" i="12"/>
  <c r="BJ104" i="12"/>
  <c r="BH103" i="12"/>
  <c r="BL101" i="12"/>
  <c r="BJ100" i="12"/>
  <c r="BH99" i="12"/>
  <c r="BL97" i="12"/>
  <c r="BJ96" i="12"/>
  <c r="BH95" i="12"/>
  <c r="BL93" i="12"/>
  <c r="BJ92" i="12"/>
  <c r="BH91" i="12"/>
  <c r="BL89" i="12"/>
  <c r="BJ88" i="12"/>
  <c r="BH87" i="12"/>
  <c r="BL85" i="12"/>
  <c r="BJ84" i="12"/>
  <c r="BK106" i="12"/>
  <c r="BI105" i="12"/>
  <c r="BG104" i="12"/>
  <c r="BK102" i="12"/>
  <c r="BI101" i="12"/>
  <c r="BG100" i="12"/>
  <c r="BK98" i="12"/>
  <c r="BI97" i="12"/>
  <c r="BG96" i="12"/>
  <c r="BK94" i="12"/>
  <c r="BI93" i="12"/>
  <c r="BG92" i="12"/>
  <c r="BK90" i="12"/>
  <c r="BI89" i="12"/>
  <c r="BG88" i="12"/>
  <c r="BK86" i="12"/>
  <c r="BI85" i="12"/>
  <c r="BG84" i="12"/>
  <c r="BJ106" i="12"/>
  <c r="BI104" i="12"/>
  <c r="BI102" i="12"/>
  <c r="BH100" i="12"/>
  <c r="BH98" i="12"/>
  <c r="BL95" i="12"/>
  <c r="BK93" i="12"/>
  <c r="BK91" i="12"/>
  <c r="BJ89" i="12"/>
  <c r="BJ87" i="12"/>
  <c r="BH85" i="12"/>
  <c r="BI106" i="12"/>
  <c r="BH104" i="12"/>
  <c r="BH102" i="12"/>
  <c r="BL99" i="12"/>
  <c r="BK97" i="12"/>
  <c r="BK95" i="12"/>
  <c r="BJ93" i="12"/>
  <c r="BJ91" i="12"/>
  <c r="BH89" i="12"/>
  <c r="BG87" i="12"/>
  <c r="BG85" i="12"/>
  <c r="BK107" i="12"/>
  <c r="BJ105" i="12"/>
  <c r="BJ103" i="12"/>
  <c r="BH101" i="12"/>
  <c r="BG99" i="12"/>
  <c r="BG97" i="12"/>
  <c r="BL94" i="12"/>
  <c r="BL92" i="12"/>
  <c r="BJ90" i="12"/>
  <c r="BI88" i="12"/>
  <c r="BI86" i="12"/>
  <c r="BH84" i="12"/>
  <c r="BH106" i="12"/>
  <c r="BL102" i="12"/>
  <c r="BJ99" i="12"/>
  <c r="BH96" i="12"/>
  <c r="BI92" i="12"/>
  <c r="BG89" i="12"/>
  <c r="BK85" i="12"/>
  <c r="BK101" i="12"/>
  <c r="BG95" i="12"/>
  <c r="BH88" i="12"/>
  <c r="BL84" i="12"/>
  <c r="BK105" i="12"/>
  <c r="BJ102" i="12"/>
  <c r="BL98" i="12"/>
  <c r="BJ95" i="12"/>
  <c r="BH92" i="12"/>
  <c r="BL88" i="12"/>
  <c r="BJ85" i="12"/>
  <c r="BH105" i="12"/>
  <c r="BJ98" i="12"/>
  <c r="BL91" i="12"/>
  <c r="BG105" i="12"/>
  <c r="BJ101" i="12"/>
  <c r="BI98" i="12"/>
  <c r="BJ94" i="12"/>
  <c r="BG91" i="12"/>
  <c r="BL87" i="12"/>
  <c r="BI84" i="12"/>
  <c r="BL107" i="12"/>
  <c r="BL104" i="12"/>
  <c r="BG101" i="12"/>
  <c r="BJ97" i="12"/>
  <c r="BI94" i="12"/>
  <c r="BL90" i="12"/>
  <c r="BK87" i="12"/>
  <c r="BG107" i="12"/>
  <c r="BH97" i="12"/>
  <c r="BK89" i="12"/>
  <c r="BL106" i="12"/>
  <c r="BL96" i="12"/>
  <c r="BL86" i="12"/>
  <c r="BL103" i="12"/>
  <c r="BI96" i="12"/>
  <c r="BJ86" i="12"/>
  <c r="BK103" i="12"/>
  <c r="BH94" i="12"/>
  <c r="BH86" i="12"/>
  <c r="BI90" i="12"/>
  <c r="BK99" i="12"/>
  <c r="BG103" i="12"/>
  <c r="BH93" i="12"/>
  <c r="BL100" i="12"/>
  <c r="BG93" i="12"/>
  <c r="BI100" i="12"/>
  <c r="BJ107" i="12"/>
  <c r="BH90" i="12"/>
  <c r="AO23" i="12"/>
  <c r="AO24" i="12" s="1"/>
  <c r="D108" i="12"/>
  <c r="BI23" i="12"/>
  <c r="BI24" i="12" s="1"/>
  <c r="AE108" i="12"/>
  <c r="BB23" i="12"/>
  <c r="BB24" i="12" s="1"/>
  <c r="AM24" i="12"/>
  <c r="AT8" i="12"/>
  <c r="E252" i="12"/>
  <c r="M100" i="12"/>
  <c r="M7" i="12" s="1"/>
  <c r="AR23" i="12"/>
  <c r="AR24" i="12" s="1"/>
  <c r="G108" i="12"/>
  <c r="M108" i="12"/>
  <c r="BG23" i="12"/>
  <c r="BG24" i="12" s="1"/>
  <c r="AB108" i="12"/>
  <c r="H246" i="12"/>
  <c r="G252" i="12"/>
  <c r="G118" i="12"/>
  <c r="AU24" i="12"/>
  <c r="AX23" i="12"/>
  <c r="AX24" i="12" s="1"/>
  <c r="P108" i="12"/>
  <c r="O100" i="12"/>
  <c r="O7" i="12" s="1"/>
  <c r="AP24" i="12"/>
  <c r="E118" i="12"/>
  <c r="O108" i="12"/>
  <c r="AW23" i="12"/>
  <c r="AW24" i="12" s="1"/>
  <c r="AB100" i="12"/>
  <c r="AB7" i="12" s="1"/>
  <c r="AI97" i="12"/>
  <c r="AH97" i="12"/>
  <c r="C256" i="12"/>
  <c r="G100" i="12"/>
  <c r="G7" i="12" s="1"/>
  <c r="B256" i="12"/>
  <c r="BH24" i="12"/>
  <c r="E100" i="12"/>
  <c r="E7" i="12" s="1"/>
  <c r="F121" i="11"/>
  <c r="F57" i="11"/>
  <c r="E121" i="11"/>
  <c r="E57" i="11"/>
  <c r="AH125" i="11"/>
  <c r="AI125" i="11"/>
  <c r="AH124" i="11"/>
  <c r="AI124" i="11"/>
  <c r="D58" i="11"/>
  <c r="D62" i="11"/>
  <c r="D76" i="11"/>
  <c r="D80" i="11"/>
  <c r="D92" i="11"/>
  <c r="AO19" i="11" s="1"/>
  <c r="D101" i="11"/>
  <c r="D102" i="11"/>
  <c r="D103" i="11"/>
  <c r="D104" i="11"/>
  <c r="D105" i="11"/>
  <c r="C58" i="11"/>
  <c r="C62" i="11"/>
  <c r="C76" i="11"/>
  <c r="C80" i="11"/>
  <c r="C92" i="11"/>
  <c r="B5" i="11" s="1"/>
  <c r="C101" i="11"/>
  <c r="C102" i="11"/>
  <c r="C103" i="11"/>
  <c r="C104" i="11"/>
  <c r="C105" i="11"/>
  <c r="C118" i="11"/>
  <c r="B118" i="11"/>
  <c r="B105" i="11"/>
  <c r="B104" i="11"/>
  <c r="B103" i="11"/>
  <c r="B102" i="11"/>
  <c r="B101" i="11"/>
  <c r="B107" i="11" s="1"/>
  <c r="B92" i="11"/>
  <c r="B108" i="11" s="1"/>
  <c r="B80" i="11"/>
  <c r="B76" i="11"/>
  <c r="B62" i="11"/>
  <c r="B58" i="11"/>
  <c r="AG252" i="11"/>
  <c r="C252" i="11"/>
  <c r="D251" i="11"/>
  <c r="D118" i="11" s="1"/>
  <c r="J250" i="11"/>
  <c r="K250" i="11" s="1"/>
  <c r="L250" i="11" s="1"/>
  <c r="M250" i="11" s="1"/>
  <c r="N250" i="11" s="1"/>
  <c r="O250" i="11" s="1"/>
  <c r="P250" i="11" s="1"/>
  <c r="Q250" i="11" s="1"/>
  <c r="R250" i="11" s="1"/>
  <c r="S250" i="11" s="1"/>
  <c r="T250" i="11" s="1"/>
  <c r="U250" i="11" s="1"/>
  <c r="V250" i="11" s="1"/>
  <c r="W250" i="11" s="1"/>
  <c r="X250" i="11" s="1"/>
  <c r="Y250" i="11" s="1"/>
  <c r="Z250" i="11" s="1"/>
  <c r="AA250" i="11" s="1"/>
  <c r="AB250" i="11" s="1"/>
  <c r="AC250" i="11" s="1"/>
  <c r="AD250" i="11" s="1"/>
  <c r="AE250" i="11" s="1"/>
  <c r="AF250" i="11" s="1"/>
  <c r="B250" i="11" s="1"/>
  <c r="E250" i="11"/>
  <c r="F250" i="11" s="1"/>
  <c r="G250" i="11" s="1"/>
  <c r="H250" i="11" s="1"/>
  <c r="I250" i="11" s="1"/>
  <c r="D250" i="11"/>
  <c r="H249" i="11"/>
  <c r="I249" i="11" s="1"/>
  <c r="J249" i="11" s="1"/>
  <c r="K249" i="11" s="1"/>
  <c r="L249" i="11" s="1"/>
  <c r="M249" i="11" s="1"/>
  <c r="N249" i="11" s="1"/>
  <c r="O249" i="11" s="1"/>
  <c r="P249" i="11" s="1"/>
  <c r="Q249" i="11" s="1"/>
  <c r="R249" i="11" s="1"/>
  <c r="S249" i="11" s="1"/>
  <c r="T249" i="11" s="1"/>
  <c r="U249" i="11" s="1"/>
  <c r="V249" i="11" s="1"/>
  <c r="W249" i="11" s="1"/>
  <c r="X249" i="11" s="1"/>
  <c r="Y249" i="11" s="1"/>
  <c r="Z249" i="11" s="1"/>
  <c r="AA249" i="11" s="1"/>
  <c r="AB249" i="11" s="1"/>
  <c r="AC249" i="11" s="1"/>
  <c r="AD249" i="11" s="1"/>
  <c r="AE249" i="11" s="1"/>
  <c r="AF249" i="11" s="1"/>
  <c r="B249" i="11" s="1"/>
  <c r="D249" i="11"/>
  <c r="E249" i="11" s="1"/>
  <c r="F249" i="11" s="1"/>
  <c r="G249" i="11" s="1"/>
  <c r="O248" i="11"/>
  <c r="P248" i="11" s="1"/>
  <c r="Q248" i="11" s="1"/>
  <c r="R248" i="11" s="1"/>
  <c r="S248" i="11" s="1"/>
  <c r="T248" i="11" s="1"/>
  <c r="U248" i="11" s="1"/>
  <c r="V248" i="11" s="1"/>
  <c r="W248" i="11" s="1"/>
  <c r="X248" i="11" s="1"/>
  <c r="Y248" i="11" s="1"/>
  <c r="Z248" i="11" s="1"/>
  <c r="AA248" i="11" s="1"/>
  <c r="AB248" i="11" s="1"/>
  <c r="AC248" i="11" s="1"/>
  <c r="AD248" i="11" s="1"/>
  <c r="AE248" i="11" s="1"/>
  <c r="AF248" i="11" s="1"/>
  <c r="B248" i="11" s="1"/>
  <c r="G248" i="11"/>
  <c r="H248" i="11" s="1"/>
  <c r="I248" i="11" s="1"/>
  <c r="J248" i="11" s="1"/>
  <c r="K248" i="11" s="1"/>
  <c r="L248" i="11" s="1"/>
  <c r="M248" i="11" s="1"/>
  <c r="N248" i="11" s="1"/>
  <c r="F248" i="11"/>
  <c r="E248" i="11"/>
  <c r="D248" i="11"/>
  <c r="E247" i="11"/>
  <c r="F247" i="11" s="1"/>
  <c r="G247" i="11" s="1"/>
  <c r="H247" i="11" s="1"/>
  <c r="I247" i="11" s="1"/>
  <c r="J247" i="11" s="1"/>
  <c r="K247" i="11" s="1"/>
  <c r="L247" i="11" s="1"/>
  <c r="M247" i="11" s="1"/>
  <c r="N247" i="11" s="1"/>
  <c r="O247" i="11" s="1"/>
  <c r="P247" i="11" s="1"/>
  <c r="Q247" i="11" s="1"/>
  <c r="R247" i="11" s="1"/>
  <c r="S247" i="11" s="1"/>
  <c r="T247" i="11" s="1"/>
  <c r="U247" i="11" s="1"/>
  <c r="V247" i="11" s="1"/>
  <c r="W247" i="11" s="1"/>
  <c r="X247" i="11" s="1"/>
  <c r="Y247" i="11" s="1"/>
  <c r="Z247" i="11" s="1"/>
  <c r="AA247" i="11" s="1"/>
  <c r="AB247" i="11" s="1"/>
  <c r="AC247" i="11" s="1"/>
  <c r="AD247" i="11" s="1"/>
  <c r="AE247" i="11" s="1"/>
  <c r="AF247" i="11" s="1"/>
  <c r="B247" i="11" s="1"/>
  <c r="D247" i="11"/>
  <c r="E246" i="11"/>
  <c r="F246" i="11" s="1"/>
  <c r="G246" i="11" s="1"/>
  <c r="D246" i="11"/>
  <c r="D252" i="11" s="1"/>
  <c r="AG244" i="11"/>
  <c r="AF244" i="11"/>
  <c r="AE244" i="11"/>
  <c r="AD244" i="11"/>
  <c r="AC244" i="11"/>
  <c r="AB244" i="11"/>
  <c r="AA244" i="11"/>
  <c r="Z244" i="11"/>
  <c r="Z118" i="11" s="1"/>
  <c r="Y244" i="11"/>
  <c r="Y118" i="11" s="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I130" i="11"/>
  <c r="AH130" i="11"/>
  <c r="AI129" i="11"/>
  <c r="AH129" i="11"/>
  <c r="AI128" i="11"/>
  <c r="AH128" i="11"/>
  <c r="AI127" i="11"/>
  <c r="AH127" i="11"/>
  <c r="AI126" i="11"/>
  <c r="AH126" i="11"/>
  <c r="AI123" i="11"/>
  <c r="AH123" i="11"/>
  <c r="AI122" i="11"/>
  <c r="AH122" i="11"/>
  <c r="AI121" i="11"/>
  <c r="AH121" i="11"/>
  <c r="AI120" i="11"/>
  <c r="AH120" i="11"/>
  <c r="AI119" i="11"/>
  <c r="AH119" i="11"/>
  <c r="AI117" i="11"/>
  <c r="AH117" i="11"/>
  <c r="AI116" i="11"/>
  <c r="AH116" i="11"/>
  <c r="AI115" i="11"/>
  <c r="AH115" i="11"/>
  <c r="AI114" i="11"/>
  <c r="AH114" i="11"/>
  <c r="AI113" i="11"/>
  <c r="AH113" i="11"/>
  <c r="AI112" i="11"/>
  <c r="AH112" i="11"/>
  <c r="AI111" i="11"/>
  <c r="AH111" i="11"/>
  <c r="AI110" i="11"/>
  <c r="AH110" i="11"/>
  <c r="AI109" i="11"/>
  <c r="AH109" i="11"/>
  <c r="AA107" i="11"/>
  <c r="AI106" i="11"/>
  <c r="AH106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K107" i="11" s="1"/>
  <c r="AT23" i="11" s="1"/>
  <c r="J104" i="11"/>
  <c r="I104" i="11"/>
  <c r="H104" i="11"/>
  <c r="G104" i="11"/>
  <c r="F104" i="11"/>
  <c r="E104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AF101" i="11"/>
  <c r="AE101" i="11"/>
  <c r="AD101" i="11"/>
  <c r="AC101" i="11"/>
  <c r="AB101" i="11"/>
  <c r="AA101" i="11"/>
  <c r="Z101" i="11"/>
  <c r="Z107" i="11" s="1"/>
  <c r="BF23" i="11" s="1"/>
  <c r="Y101" i="11"/>
  <c r="X101" i="11"/>
  <c r="W101" i="11"/>
  <c r="V101" i="11"/>
  <c r="U101" i="11"/>
  <c r="T101" i="11"/>
  <c r="T107" i="11" s="1"/>
  <c r="BB23" i="11" s="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AI98" i="11"/>
  <c r="AH98" i="11"/>
  <c r="AI96" i="11"/>
  <c r="AH96" i="11"/>
  <c r="AG96" i="11"/>
  <c r="AI95" i="11"/>
  <c r="AH95" i="11"/>
  <c r="AI94" i="11"/>
  <c r="AH94" i="11"/>
  <c r="AI93" i="11"/>
  <c r="AH93" i="11"/>
  <c r="AG92" i="11"/>
  <c r="AF92" i="11"/>
  <c r="AF97" i="11" s="1"/>
  <c r="AF99" i="11" s="1"/>
  <c r="AE92" i="11"/>
  <c r="AD92" i="11"/>
  <c r="BH19" i="11" s="1"/>
  <c r="AC92" i="11"/>
  <c r="AB5" i="11" s="1"/>
  <c r="AB92" i="11"/>
  <c r="AA92" i="11"/>
  <c r="Z92" i="11"/>
  <c r="Z108" i="11" s="1"/>
  <c r="Y92" i="11"/>
  <c r="X92" i="11"/>
  <c r="W92" i="11"/>
  <c r="V92" i="11"/>
  <c r="BD19" i="11" s="1"/>
  <c r="U92" i="11"/>
  <c r="T5" i="11" s="1"/>
  <c r="T92" i="11"/>
  <c r="T108" i="11" s="1"/>
  <c r="S92" i="11"/>
  <c r="BA19" i="11" s="1"/>
  <c r="R92" i="11"/>
  <c r="Q92" i="11"/>
  <c r="AY19" i="11" s="1"/>
  <c r="P92" i="11"/>
  <c r="O92" i="11"/>
  <c r="N92" i="11"/>
  <c r="M5" i="11" s="1"/>
  <c r="M92" i="11"/>
  <c r="L5" i="11" s="1"/>
  <c r="L92" i="11"/>
  <c r="K5" i="11" s="1"/>
  <c r="K92" i="11"/>
  <c r="J92" i="11"/>
  <c r="I92" i="11"/>
  <c r="H92" i="11"/>
  <c r="G92" i="11"/>
  <c r="F5" i="11" s="1"/>
  <c r="F92" i="11"/>
  <c r="E5" i="11" s="1"/>
  <c r="E92" i="11"/>
  <c r="AP19" i="11" s="1"/>
  <c r="AI91" i="11"/>
  <c r="AH91" i="11"/>
  <c r="AI90" i="11"/>
  <c r="AH90" i="11"/>
  <c r="AI89" i="11"/>
  <c r="AH89" i="11"/>
  <c r="AI88" i="11"/>
  <c r="AH88" i="11"/>
  <c r="AI87" i="11"/>
  <c r="AH87" i="11"/>
  <c r="AI86" i="11"/>
  <c r="AH86" i="11"/>
  <c r="AI85" i="11"/>
  <c r="AH85" i="11"/>
  <c r="AI84" i="11"/>
  <c r="AH84" i="11"/>
  <c r="AI83" i="11"/>
  <c r="AH83" i="11"/>
  <c r="AI82" i="11"/>
  <c r="AH82" i="11"/>
  <c r="AI81" i="11"/>
  <c r="AH81" i="11"/>
  <c r="BO80" i="11"/>
  <c r="BN80" i="11"/>
  <c r="BC80" i="11"/>
  <c r="AG80" i="11"/>
  <c r="AE80" i="11"/>
  <c r="BI20" i="11" s="1"/>
  <c r="AD80" i="11"/>
  <c r="BH20" i="11" s="1"/>
  <c r="AA80" i="11"/>
  <c r="Z80" i="11"/>
  <c r="BF20" i="11" s="1"/>
  <c r="Y80" i="11"/>
  <c r="X80" i="11"/>
  <c r="W80" i="11"/>
  <c r="V80" i="11"/>
  <c r="BD20" i="11" s="1"/>
  <c r="U80" i="11"/>
  <c r="BC20" i="11" s="1"/>
  <c r="T80" i="11"/>
  <c r="BB20" i="11" s="1"/>
  <c r="S80" i="11"/>
  <c r="R80" i="11"/>
  <c r="AZ20" i="11" s="1"/>
  <c r="Q80" i="11"/>
  <c r="AY20" i="11" s="1"/>
  <c r="P80" i="11"/>
  <c r="O80" i="11"/>
  <c r="AW20" i="11" s="1"/>
  <c r="N80" i="11"/>
  <c r="M80" i="11"/>
  <c r="L80" i="11"/>
  <c r="K80" i="11"/>
  <c r="J80" i="11"/>
  <c r="I80" i="11"/>
  <c r="H80" i="11"/>
  <c r="G80" i="11"/>
  <c r="AR20" i="11" s="1"/>
  <c r="F80" i="11"/>
  <c r="AQ20" i="11" s="1"/>
  <c r="E80" i="11"/>
  <c r="BU79" i="11"/>
  <c r="BR79" i="11"/>
  <c r="BI79" i="11"/>
  <c r="BH79" i="11"/>
  <c r="AI79" i="11"/>
  <c r="AH79" i="11"/>
  <c r="AI78" i="11"/>
  <c r="AH78" i="11"/>
  <c r="BD77" i="11"/>
  <c r="AI77" i="11"/>
  <c r="AH77" i="11"/>
  <c r="BO76" i="11"/>
  <c r="BN76" i="11"/>
  <c r="AE76" i="11"/>
  <c r="BI18" i="11" s="1"/>
  <c r="AD76" i="11"/>
  <c r="BH18" i="11" s="1"/>
  <c r="BG18" i="11"/>
  <c r="AA76" i="11"/>
  <c r="Z76" i="11"/>
  <c r="Y76" i="11"/>
  <c r="X76" i="11"/>
  <c r="W76" i="11"/>
  <c r="V76" i="11"/>
  <c r="BD18" i="11" s="1"/>
  <c r="U76" i="11"/>
  <c r="BC18" i="11" s="1"/>
  <c r="T76" i="11"/>
  <c r="BB18" i="11" s="1"/>
  <c r="S76" i="11"/>
  <c r="R76" i="11"/>
  <c r="Q76" i="11"/>
  <c r="AY18" i="11" s="1"/>
  <c r="P76" i="11"/>
  <c r="O76" i="11"/>
  <c r="AW18" i="11" s="1"/>
  <c r="N76" i="11"/>
  <c r="AV18" i="11" s="1"/>
  <c r="M76" i="11"/>
  <c r="AU18" i="11" s="1"/>
  <c r="L76" i="11"/>
  <c r="K76" i="11"/>
  <c r="J76" i="11"/>
  <c r="I76" i="11"/>
  <c r="H76" i="11"/>
  <c r="G76" i="11"/>
  <c r="AR18" i="11" s="1"/>
  <c r="F76" i="11"/>
  <c r="AQ18" i="11" s="1"/>
  <c r="E76" i="11"/>
  <c r="AP18" i="11" s="1"/>
  <c r="AO18" i="11"/>
  <c r="BU75" i="11"/>
  <c r="BR75" i="11"/>
  <c r="BL75" i="11"/>
  <c r="BJ75" i="11"/>
  <c r="BE75" i="11"/>
  <c r="BB75" i="11"/>
  <c r="AI75" i="11"/>
  <c r="AH75" i="11"/>
  <c r="AG75" i="11"/>
  <c r="AG76" i="11" s="1"/>
  <c r="AG97" i="11" s="1"/>
  <c r="AI74" i="11"/>
  <c r="AH74" i="11"/>
  <c r="BW73" i="11"/>
  <c r="BW80" i="11" s="1"/>
  <c r="BV73" i="11"/>
  <c r="BV80" i="11" s="1"/>
  <c r="BU73" i="11"/>
  <c r="BU80" i="11" s="1"/>
  <c r="BT73" i="11"/>
  <c r="BT80" i="11" s="1"/>
  <c r="BS73" i="11"/>
  <c r="BS80" i="11" s="1"/>
  <c r="BR73" i="11"/>
  <c r="BR80" i="11" s="1"/>
  <c r="BQ73" i="11"/>
  <c r="BQ80" i="11" s="1"/>
  <c r="BP73" i="11"/>
  <c r="BP80" i="11" s="1"/>
  <c r="BO73" i="11"/>
  <c r="BN73" i="11"/>
  <c r="BM73" i="11"/>
  <c r="BM80" i="11" s="1"/>
  <c r="BL73" i="11"/>
  <c r="BL80" i="11" s="1"/>
  <c r="BK73" i="11"/>
  <c r="BK80" i="11" s="1"/>
  <c r="BJ73" i="11"/>
  <c r="BJ80" i="11" s="1"/>
  <c r="BI73" i="11"/>
  <c r="BI80" i="11" s="1"/>
  <c r="BH73" i="11"/>
  <c r="BH80" i="11" s="1"/>
  <c r="BG73" i="11"/>
  <c r="BG80" i="11" s="1"/>
  <c r="BF73" i="11"/>
  <c r="BF80" i="11" s="1"/>
  <c r="BE73" i="11"/>
  <c r="BE80" i="11" s="1"/>
  <c r="BD73" i="11"/>
  <c r="BD80" i="11" s="1"/>
  <c r="BC73" i="11"/>
  <c r="BB73" i="11"/>
  <c r="BB80" i="11" s="1"/>
  <c r="BA73" i="11"/>
  <c r="BA80" i="11" s="1"/>
  <c r="AZ73" i="11"/>
  <c r="AZ80" i="11" s="1"/>
  <c r="AI73" i="11"/>
  <c r="AH73" i="11"/>
  <c r="BW72" i="11"/>
  <c r="BW79" i="11" s="1"/>
  <c r="BV72" i="11"/>
  <c r="BV79" i="11" s="1"/>
  <c r="BU72" i="11"/>
  <c r="BT72" i="11"/>
  <c r="BT79" i="11" s="1"/>
  <c r="BS72" i="11"/>
  <c r="BS79" i="11" s="1"/>
  <c r="BR72" i="11"/>
  <c r="BQ72" i="11"/>
  <c r="BQ79" i="11" s="1"/>
  <c r="BP72" i="11"/>
  <c r="BP79" i="11" s="1"/>
  <c r="BO72" i="11"/>
  <c r="BO79" i="11" s="1"/>
  <c r="BN72" i="11"/>
  <c r="BN79" i="11" s="1"/>
  <c r="BM72" i="11"/>
  <c r="BM79" i="11" s="1"/>
  <c r="BL72" i="11"/>
  <c r="BL79" i="11" s="1"/>
  <c r="BK72" i="11"/>
  <c r="BK79" i="11" s="1"/>
  <c r="BJ72" i="11"/>
  <c r="BJ79" i="11" s="1"/>
  <c r="BI72" i="11"/>
  <c r="BH72" i="11"/>
  <c r="BG72" i="11"/>
  <c r="BG79" i="11" s="1"/>
  <c r="BF72" i="11"/>
  <c r="BF79" i="11" s="1"/>
  <c r="BE72" i="11"/>
  <c r="BE79" i="11" s="1"/>
  <c r="BD72" i="11"/>
  <c r="BD79" i="11" s="1"/>
  <c r="BC72" i="11"/>
  <c r="BC79" i="11" s="1"/>
  <c r="BB72" i="11"/>
  <c r="BB79" i="11" s="1"/>
  <c r="BA72" i="11"/>
  <c r="BA79" i="11" s="1"/>
  <c r="AZ72" i="11"/>
  <c r="AZ79" i="11" s="1"/>
  <c r="AI72" i="11"/>
  <c r="AH72" i="11"/>
  <c r="BW71" i="11"/>
  <c r="BW78" i="11" s="1"/>
  <c r="BV71" i="11"/>
  <c r="BV78" i="11" s="1"/>
  <c r="BU71" i="11"/>
  <c r="BU78" i="11" s="1"/>
  <c r="BT71" i="11"/>
  <c r="BT78" i="11" s="1"/>
  <c r="BS71" i="11"/>
  <c r="BS78" i="11" s="1"/>
  <c r="BR71" i="11"/>
  <c r="BR78" i="11" s="1"/>
  <c r="BQ71" i="11"/>
  <c r="BQ78" i="11" s="1"/>
  <c r="BP71" i="11"/>
  <c r="BP78" i="11" s="1"/>
  <c r="BO71" i="11"/>
  <c r="BO78" i="11" s="1"/>
  <c r="BN71" i="11"/>
  <c r="BN78" i="11" s="1"/>
  <c r="BM71" i="11"/>
  <c r="BM78" i="11" s="1"/>
  <c r="BL71" i="11"/>
  <c r="BL78" i="11" s="1"/>
  <c r="BK71" i="11"/>
  <c r="BK78" i="11" s="1"/>
  <c r="BJ71" i="11"/>
  <c r="BJ78" i="11" s="1"/>
  <c r="BI71" i="11"/>
  <c r="BI78" i="11" s="1"/>
  <c r="BH71" i="11"/>
  <c r="BH78" i="11" s="1"/>
  <c r="BG71" i="11"/>
  <c r="BG78" i="11" s="1"/>
  <c r="BF71" i="11"/>
  <c r="BF78" i="11" s="1"/>
  <c r="BE71" i="11"/>
  <c r="BE78" i="11" s="1"/>
  <c r="BD71" i="11"/>
  <c r="BD78" i="11" s="1"/>
  <c r="BC71" i="11"/>
  <c r="BC78" i="11" s="1"/>
  <c r="BB71" i="11"/>
  <c r="BB78" i="11" s="1"/>
  <c r="BA71" i="11"/>
  <c r="BA78" i="11" s="1"/>
  <c r="AZ71" i="11"/>
  <c r="AZ78" i="11" s="1"/>
  <c r="AI71" i="11"/>
  <c r="AH71" i="11"/>
  <c r="BW70" i="11"/>
  <c r="BW77" i="11" s="1"/>
  <c r="BV70" i="11"/>
  <c r="BV77" i="11" s="1"/>
  <c r="BU70" i="11"/>
  <c r="BU77" i="11" s="1"/>
  <c r="BT70" i="11"/>
  <c r="BT77" i="11" s="1"/>
  <c r="BS70" i="11"/>
  <c r="BS77" i="11" s="1"/>
  <c r="BR70" i="11"/>
  <c r="BR77" i="11" s="1"/>
  <c r="BQ70" i="11"/>
  <c r="BQ77" i="11" s="1"/>
  <c r="BP70" i="11"/>
  <c r="BP77" i="11" s="1"/>
  <c r="BO70" i="11"/>
  <c r="BO77" i="11" s="1"/>
  <c r="BN70" i="11"/>
  <c r="BN77" i="11" s="1"/>
  <c r="BM70" i="11"/>
  <c r="BM77" i="11" s="1"/>
  <c r="BL70" i="11"/>
  <c r="BL77" i="11" s="1"/>
  <c r="BK70" i="11"/>
  <c r="BK77" i="11" s="1"/>
  <c r="BJ70" i="11"/>
  <c r="BJ77" i="11" s="1"/>
  <c r="BI70" i="11"/>
  <c r="BI77" i="11" s="1"/>
  <c r="BH70" i="11"/>
  <c r="BH77" i="11" s="1"/>
  <c r="BG70" i="11"/>
  <c r="BG77" i="11" s="1"/>
  <c r="BF70" i="11"/>
  <c r="BF77" i="11" s="1"/>
  <c r="BE70" i="11"/>
  <c r="BE77" i="11" s="1"/>
  <c r="BD70" i="11"/>
  <c r="BC70" i="11"/>
  <c r="BC77" i="11" s="1"/>
  <c r="BB70" i="11"/>
  <c r="BB77" i="11" s="1"/>
  <c r="BA70" i="11"/>
  <c r="BA77" i="11" s="1"/>
  <c r="AZ70" i="11"/>
  <c r="AZ77" i="11" s="1"/>
  <c r="AI70" i="11"/>
  <c r="AH70" i="11"/>
  <c r="BW69" i="11"/>
  <c r="BW76" i="11" s="1"/>
  <c r="BV69" i="11"/>
  <c r="BV76" i="11" s="1"/>
  <c r="BU69" i="11"/>
  <c r="BU76" i="11" s="1"/>
  <c r="BT69" i="11"/>
  <c r="BT76" i="11" s="1"/>
  <c r="BS69" i="11"/>
  <c r="BS76" i="11" s="1"/>
  <c r="BR69" i="11"/>
  <c r="BR76" i="11" s="1"/>
  <c r="BQ69" i="11"/>
  <c r="BQ76" i="11" s="1"/>
  <c r="BP69" i="11"/>
  <c r="BP76" i="11" s="1"/>
  <c r="BO69" i="11"/>
  <c r="BN69" i="11"/>
  <c r="BM69" i="11"/>
  <c r="BM76" i="11" s="1"/>
  <c r="BL69" i="11"/>
  <c r="BL76" i="11" s="1"/>
  <c r="BK69" i="11"/>
  <c r="BK76" i="11" s="1"/>
  <c r="BJ69" i="11"/>
  <c r="BJ76" i="11" s="1"/>
  <c r="BI69" i="11"/>
  <c r="BI76" i="11" s="1"/>
  <c r="BH69" i="11"/>
  <c r="BH76" i="11" s="1"/>
  <c r="BG69" i="11"/>
  <c r="BG76" i="11" s="1"/>
  <c r="BF69" i="11"/>
  <c r="BF76" i="11" s="1"/>
  <c r="BE69" i="11"/>
  <c r="BE76" i="11" s="1"/>
  <c r="BD69" i="11"/>
  <c r="BD76" i="11" s="1"/>
  <c r="BC69" i="11"/>
  <c r="BC76" i="11" s="1"/>
  <c r="BB69" i="11"/>
  <c r="BB76" i="11" s="1"/>
  <c r="BA69" i="11"/>
  <c r="BA76" i="11" s="1"/>
  <c r="AZ69" i="11"/>
  <c r="AZ76" i="11" s="1"/>
  <c r="AI69" i="11"/>
  <c r="AH69" i="11"/>
  <c r="BW68" i="11"/>
  <c r="BW75" i="11" s="1"/>
  <c r="BV68" i="11"/>
  <c r="BV75" i="11" s="1"/>
  <c r="BU68" i="11"/>
  <c r="BT68" i="11"/>
  <c r="BT75" i="11" s="1"/>
  <c r="BS68" i="11"/>
  <c r="BS75" i="11" s="1"/>
  <c r="BR68" i="11"/>
  <c r="BQ68" i="11"/>
  <c r="BQ75" i="11" s="1"/>
  <c r="BP68" i="11"/>
  <c r="BP75" i="11" s="1"/>
  <c r="BO68" i="11"/>
  <c r="BO75" i="11" s="1"/>
  <c r="BN68" i="11"/>
  <c r="BN75" i="11" s="1"/>
  <c r="BM68" i="11"/>
  <c r="BM75" i="11" s="1"/>
  <c r="BL68" i="11"/>
  <c r="BK68" i="11"/>
  <c r="BK75" i="11" s="1"/>
  <c r="BJ68" i="11"/>
  <c r="BI68" i="11"/>
  <c r="BI75" i="11" s="1"/>
  <c r="BH68" i="11"/>
  <c r="BH75" i="11" s="1"/>
  <c r="BG68" i="11"/>
  <c r="BG75" i="11" s="1"/>
  <c r="BF68" i="11"/>
  <c r="BF75" i="11" s="1"/>
  <c r="BE68" i="11"/>
  <c r="BD68" i="11"/>
  <c r="BD75" i="11" s="1"/>
  <c r="BC68" i="11"/>
  <c r="BC75" i="11" s="1"/>
  <c r="BB68" i="11"/>
  <c r="BA68" i="11"/>
  <c r="BA75" i="11" s="1"/>
  <c r="AZ68" i="11"/>
  <c r="AZ75" i="11" s="1"/>
  <c r="AI68" i="11"/>
  <c r="AH68" i="11"/>
  <c r="AI67" i="11"/>
  <c r="AH67" i="11"/>
  <c r="AI66" i="11"/>
  <c r="AH66" i="11"/>
  <c r="AI65" i="11"/>
  <c r="AH65" i="11"/>
  <c r="AI64" i="11"/>
  <c r="AH64" i="11"/>
  <c r="AI63" i="11"/>
  <c r="AH63" i="11"/>
  <c r="AG62" i="11"/>
  <c r="BI17" i="11"/>
  <c r="AD62" i="11"/>
  <c r="BH17" i="11" s="1"/>
  <c r="BG17" i="11"/>
  <c r="AA62" i="11"/>
  <c r="Z62" i="11"/>
  <c r="Y62" i="11"/>
  <c r="X62" i="11"/>
  <c r="BE17" i="11" s="1"/>
  <c r="W62" i="11"/>
  <c r="V62" i="11"/>
  <c r="U62" i="11"/>
  <c r="T62" i="11"/>
  <c r="BB17" i="11" s="1"/>
  <c r="S62" i="11"/>
  <c r="BA17" i="11" s="1"/>
  <c r="R62" i="11"/>
  <c r="AZ17" i="11" s="1"/>
  <c r="Q62" i="11"/>
  <c r="AY17" i="11" s="1"/>
  <c r="AX17" i="11"/>
  <c r="O62" i="11"/>
  <c r="N62" i="11"/>
  <c r="AV17" i="11" s="1"/>
  <c r="M62" i="11"/>
  <c r="AU17" i="11" s="1"/>
  <c r="L62" i="11"/>
  <c r="K62" i="11"/>
  <c r="AT17" i="11" s="1"/>
  <c r="J62" i="11"/>
  <c r="I62" i="11"/>
  <c r="AS17" i="11" s="1"/>
  <c r="H62" i="11"/>
  <c r="G62" i="11"/>
  <c r="F62" i="11"/>
  <c r="AQ17" i="11" s="1"/>
  <c r="E62" i="11"/>
  <c r="AI61" i="11"/>
  <c r="AH61" i="11"/>
  <c r="AI60" i="11"/>
  <c r="AH60" i="11"/>
  <c r="AI59" i="11"/>
  <c r="AH59" i="11"/>
  <c r="AG58" i="11"/>
  <c r="AG2" i="11" s="1"/>
  <c r="AG6" i="11" s="1"/>
  <c r="AD58" i="11"/>
  <c r="AA58" i="11"/>
  <c r="AA97" i="11" s="1"/>
  <c r="AA99" i="11" s="1"/>
  <c r="Z58" i="11"/>
  <c r="Y58" i="11"/>
  <c r="X58" i="11"/>
  <c r="BE16" i="11" s="1"/>
  <c r="W58" i="11"/>
  <c r="V58" i="11"/>
  <c r="BD16" i="11" s="1"/>
  <c r="U58" i="11"/>
  <c r="T58" i="11"/>
  <c r="S58" i="11"/>
  <c r="R58" i="11"/>
  <c r="Q58" i="11"/>
  <c r="P58" i="11"/>
  <c r="AX16" i="11" s="1"/>
  <c r="O58" i="11"/>
  <c r="N58" i="11"/>
  <c r="AV16" i="11" s="1"/>
  <c r="M58" i="11"/>
  <c r="AU16" i="11" s="1"/>
  <c r="L58" i="11"/>
  <c r="K58" i="11"/>
  <c r="J58" i="11"/>
  <c r="J97" i="11" s="1"/>
  <c r="J99" i="11" s="1"/>
  <c r="I58" i="11"/>
  <c r="AS16" i="11" s="1"/>
  <c r="H58" i="11"/>
  <c r="G58" i="11"/>
  <c r="AR16" i="11" s="1"/>
  <c r="F58" i="11"/>
  <c r="E58" i="11"/>
  <c r="AI57" i="11"/>
  <c r="AH57" i="11"/>
  <c r="AI56" i="11"/>
  <c r="AH56" i="11"/>
  <c r="AI55" i="11"/>
  <c r="AH55" i="11"/>
  <c r="AI54" i="11"/>
  <c r="AH54" i="11"/>
  <c r="AI53" i="11"/>
  <c r="AH53" i="11"/>
  <c r="AI52" i="11"/>
  <c r="AH52" i="11"/>
  <c r="AI51" i="11"/>
  <c r="AH51" i="11"/>
  <c r="AI50" i="11"/>
  <c r="AH50" i="11"/>
  <c r="AI49" i="11"/>
  <c r="AH49" i="11"/>
  <c r="AI48" i="11"/>
  <c r="AH48" i="11"/>
  <c r="AI47" i="11"/>
  <c r="AH47" i="11"/>
  <c r="AI46" i="11"/>
  <c r="AH46" i="11"/>
  <c r="AI45" i="11"/>
  <c r="AH45" i="11"/>
  <c r="AI44" i="11"/>
  <c r="AH44" i="11"/>
  <c r="AI43" i="11"/>
  <c r="AH43" i="11"/>
  <c r="AI42" i="11"/>
  <c r="AH42" i="11"/>
  <c r="AI41" i="11"/>
  <c r="AH41" i="11"/>
  <c r="AI40" i="11"/>
  <c r="AH40" i="11"/>
  <c r="AI39" i="11"/>
  <c r="AH39" i="11"/>
  <c r="AI38" i="11"/>
  <c r="AH38" i="11"/>
  <c r="AI37" i="11"/>
  <c r="AH37" i="11"/>
  <c r="AI36" i="11"/>
  <c r="AH36" i="11"/>
  <c r="AI35" i="11"/>
  <c r="AH35" i="11"/>
  <c r="AI34" i="11"/>
  <c r="AH34" i="11"/>
  <c r="AI33" i="11"/>
  <c r="AH33" i="11"/>
  <c r="AI32" i="11"/>
  <c r="AH32" i="11"/>
  <c r="AI31" i="11"/>
  <c r="AH31" i="11"/>
  <c r="AI30" i="11"/>
  <c r="AH30" i="11"/>
  <c r="AI29" i="11"/>
  <c r="AH29" i="11"/>
  <c r="AI28" i="11"/>
  <c r="AH28" i="11"/>
  <c r="AI27" i="11"/>
  <c r="AH27" i="11"/>
  <c r="AI26" i="11"/>
  <c r="AH26" i="11"/>
  <c r="AI25" i="11"/>
  <c r="AH25" i="11"/>
  <c r="AI24" i="11"/>
  <c r="AH24" i="11"/>
  <c r="AI23" i="11"/>
  <c r="AH23" i="11"/>
  <c r="AI22" i="11"/>
  <c r="AH22" i="11"/>
  <c r="BJ21" i="11"/>
  <c r="BI21" i="11"/>
  <c r="BH21" i="11"/>
  <c r="BG21" i="11"/>
  <c r="BF21" i="11"/>
  <c r="BE21" i="11"/>
  <c r="BD21" i="11"/>
  <c r="BC21" i="11"/>
  <c r="BB21" i="11"/>
  <c r="BA21" i="11"/>
  <c r="AZ21" i="11"/>
  <c r="AY21" i="11"/>
  <c r="AX21" i="11"/>
  <c r="AW21" i="11"/>
  <c r="AV21" i="11"/>
  <c r="AU21" i="11"/>
  <c r="AT21" i="11"/>
  <c r="AS21" i="11"/>
  <c r="AR21" i="11"/>
  <c r="AQ21" i="11"/>
  <c r="AP21" i="11"/>
  <c r="AO21" i="11"/>
  <c r="AN21" i="11"/>
  <c r="AM21" i="11"/>
  <c r="AI21" i="11"/>
  <c r="AH21" i="11"/>
  <c r="BJ20" i="11"/>
  <c r="BG20" i="11"/>
  <c r="BE20" i="11"/>
  <c r="BA20" i="11"/>
  <c r="AX20" i="11"/>
  <c r="AV20" i="11"/>
  <c r="AU20" i="11"/>
  <c r="AT20" i="11"/>
  <c r="AS20" i="11"/>
  <c r="AP20" i="11"/>
  <c r="AN20" i="11"/>
  <c r="AM20" i="11"/>
  <c r="AI20" i="11"/>
  <c r="AH20" i="11"/>
  <c r="BG19" i="11"/>
  <c r="BE19" i="11"/>
  <c r="AZ19" i="11"/>
  <c r="AX19" i="11"/>
  <c r="AS19" i="11"/>
  <c r="AN19" i="11"/>
  <c r="AI19" i="11"/>
  <c r="AH19" i="11"/>
  <c r="BJ18" i="11"/>
  <c r="BF18" i="11"/>
  <c r="BE18" i="11"/>
  <c r="BA18" i="11"/>
  <c r="AZ18" i="11"/>
  <c r="AX18" i="11"/>
  <c r="AT18" i="11"/>
  <c r="AS18" i="11"/>
  <c r="AN18" i="11"/>
  <c r="AI18" i="11"/>
  <c r="AH18" i="11"/>
  <c r="BJ17" i="11"/>
  <c r="BF17" i="11"/>
  <c r="BD17" i="11"/>
  <c r="BC17" i="11"/>
  <c r="AW17" i="11"/>
  <c r="AR17" i="11"/>
  <c r="AP17" i="11"/>
  <c r="AO17" i="11"/>
  <c r="AN17" i="11"/>
  <c r="AI17" i="11"/>
  <c r="AH17" i="11"/>
  <c r="BJ16" i="11"/>
  <c r="BG16" i="11"/>
  <c r="BG22" i="11" s="1"/>
  <c r="BC16" i="11"/>
  <c r="BB16" i="11"/>
  <c r="AZ16" i="11"/>
  <c r="AT16" i="11"/>
  <c r="AQ16" i="11"/>
  <c r="AP16" i="11"/>
  <c r="AM16" i="11"/>
  <c r="AI16" i="11"/>
  <c r="AH16" i="11"/>
  <c r="AI15" i="11"/>
  <c r="AH15" i="11"/>
  <c r="AI14" i="11"/>
  <c r="AH14" i="11"/>
  <c r="AI13" i="11"/>
  <c r="AH13" i="11"/>
  <c r="AL12" i="11"/>
  <c r="AI12" i="11"/>
  <c r="AH12" i="11"/>
  <c r="AI11" i="11"/>
  <c r="AH11" i="11"/>
  <c r="AD5" i="11"/>
  <c r="AC5" i="11"/>
  <c r="Z5" i="11"/>
  <c r="X5" i="11"/>
  <c r="W5" i="11"/>
  <c r="V5" i="11"/>
  <c r="Q5" i="11"/>
  <c r="P5" i="11"/>
  <c r="O5" i="11"/>
  <c r="I5" i="11"/>
  <c r="H5" i="11"/>
  <c r="G5" i="11"/>
  <c r="AG4" i="11"/>
  <c r="K4" i="11"/>
  <c r="E4" i="11"/>
  <c r="H4" i="11" s="1"/>
  <c r="B4" i="11"/>
  <c r="D258" i="11" s="1"/>
  <c r="AG3" i="11"/>
  <c r="AF58" i="10"/>
  <c r="AF62" i="10"/>
  <c r="AF76" i="10"/>
  <c r="AF80" i="10"/>
  <c r="AF92" i="10"/>
  <c r="AF101" i="10"/>
  <c r="AF102" i="10"/>
  <c r="AF103" i="10"/>
  <c r="AF104" i="10"/>
  <c r="AF105" i="10"/>
  <c r="AF118" i="10"/>
  <c r="AE58" i="10"/>
  <c r="AE62" i="10"/>
  <c r="AE76" i="10"/>
  <c r="AE80" i="10"/>
  <c r="AE92" i="10"/>
  <c r="AE101" i="10"/>
  <c r="AE107" i="10" s="1"/>
  <c r="AE102" i="10"/>
  <c r="AE103" i="10"/>
  <c r="AE104" i="10"/>
  <c r="AE105" i="10"/>
  <c r="AE118" i="10"/>
  <c r="P139" i="10"/>
  <c r="Q139" i="10"/>
  <c r="R139" i="10"/>
  <c r="O139" i="10"/>
  <c r="N139" i="10"/>
  <c r="M139" i="10"/>
  <c r="AD58" i="10"/>
  <c r="AD62" i="10"/>
  <c r="AD76" i="10"/>
  <c r="AD80" i="10"/>
  <c r="AD92" i="10"/>
  <c r="AD101" i="10"/>
  <c r="AD102" i="10"/>
  <c r="AD103" i="10"/>
  <c r="AD104" i="10"/>
  <c r="AD105" i="10"/>
  <c r="AD118" i="10"/>
  <c r="AC58" i="10"/>
  <c r="AC62" i="10"/>
  <c r="AC76" i="10"/>
  <c r="AC80" i="10"/>
  <c r="AC92" i="10"/>
  <c r="AC101" i="10"/>
  <c r="AC102" i="10"/>
  <c r="AC103" i="10"/>
  <c r="AC104" i="10"/>
  <c r="AC105" i="10"/>
  <c r="AC118" i="10"/>
  <c r="AB121" i="10"/>
  <c r="AB57" i="10"/>
  <c r="V58" i="10"/>
  <c r="V62" i="10"/>
  <c r="V76" i="10"/>
  <c r="V80" i="10"/>
  <c r="V92" i="10"/>
  <c r="V101" i="10"/>
  <c r="V102" i="10"/>
  <c r="V103" i="10"/>
  <c r="V104" i="10"/>
  <c r="V105" i="10"/>
  <c r="V118" i="10"/>
  <c r="K6" i="12" l="1"/>
  <c r="AI108" i="12"/>
  <c r="AH108" i="12"/>
  <c r="AT9" i="12"/>
  <c r="AI99" i="12"/>
  <c r="AH99" i="12"/>
  <c r="H252" i="12"/>
  <c r="I246" i="12"/>
  <c r="H118" i="12"/>
  <c r="AE5" i="11"/>
  <c r="BJ19" i="11"/>
  <c r="BJ22" i="11" s="1"/>
  <c r="AE107" i="11"/>
  <c r="BI23" i="11" s="1"/>
  <c r="BI19" i="11"/>
  <c r="AD97" i="11"/>
  <c r="AD99" i="11" s="1"/>
  <c r="AB107" i="11"/>
  <c r="BG23" i="11" s="1"/>
  <c r="BG24" i="11"/>
  <c r="AB97" i="11"/>
  <c r="AB99" i="11" s="1"/>
  <c r="AB100" i="11" s="1"/>
  <c r="AB7" i="11" s="1"/>
  <c r="AA5" i="11"/>
  <c r="AA100" i="11"/>
  <c r="AA7" i="11" s="1"/>
  <c r="AA108" i="11"/>
  <c r="Y5" i="11"/>
  <c r="BF19" i="11"/>
  <c r="Z97" i="11"/>
  <c r="Z99" i="11" s="1"/>
  <c r="Z100" i="11" s="1"/>
  <c r="Z7" i="11" s="1"/>
  <c r="BF16" i="11"/>
  <c r="BF22" i="11"/>
  <c r="BF24" i="11" s="1"/>
  <c r="Y97" i="11"/>
  <c r="Y99" i="11" s="1"/>
  <c r="BE22" i="11"/>
  <c r="W107" i="11"/>
  <c r="W108" i="11" s="1"/>
  <c r="U5" i="11"/>
  <c r="V97" i="11"/>
  <c r="V99" i="11" s="1"/>
  <c r="BC19" i="11"/>
  <c r="BC22" i="11"/>
  <c r="S5" i="11"/>
  <c r="BB19" i="11"/>
  <c r="T97" i="11"/>
  <c r="T99" i="11" s="1"/>
  <c r="T100" i="11" s="1"/>
  <c r="T7" i="11" s="1"/>
  <c r="S107" i="11"/>
  <c r="BA23" i="11" s="1"/>
  <c r="R5" i="11"/>
  <c r="R107" i="11"/>
  <c r="AZ23" i="11" s="1"/>
  <c r="AZ22" i="11"/>
  <c r="R97" i="11"/>
  <c r="R99" i="11" s="1"/>
  <c r="R100" i="11" s="1"/>
  <c r="R7" i="11" s="1"/>
  <c r="Q97" i="11"/>
  <c r="Q99" i="11" s="1"/>
  <c r="AY16" i="11"/>
  <c r="P97" i="11"/>
  <c r="P99" i="11" s="1"/>
  <c r="AX22" i="11"/>
  <c r="O107" i="11"/>
  <c r="AW23" i="11" s="1"/>
  <c r="N5" i="11"/>
  <c r="AW19" i="11"/>
  <c r="AV19" i="11"/>
  <c r="AV22" i="11"/>
  <c r="N97" i="11"/>
  <c r="N99" i="11" s="1"/>
  <c r="AU19" i="11"/>
  <c r="AU22" i="11"/>
  <c r="L107" i="11"/>
  <c r="L108" i="11" s="1"/>
  <c r="L97" i="11"/>
  <c r="L99" i="11" s="1"/>
  <c r="L100" i="11" s="1"/>
  <c r="L7" i="11" s="1"/>
  <c r="K108" i="11"/>
  <c r="K97" i="11"/>
  <c r="K99" i="11" s="1"/>
  <c r="K100" i="11" s="1"/>
  <c r="K7" i="11" s="1"/>
  <c r="J5" i="11"/>
  <c r="J107" i="11"/>
  <c r="J100" i="11"/>
  <c r="J7" i="11" s="1"/>
  <c r="J108" i="11"/>
  <c r="H97" i="11"/>
  <c r="H99" i="11" s="1"/>
  <c r="AR19" i="11"/>
  <c r="G107" i="11"/>
  <c r="AR23" i="11" s="1"/>
  <c r="AR22" i="11"/>
  <c r="AR24" i="11" s="1"/>
  <c r="AQ19" i="11"/>
  <c r="F97" i="11"/>
  <c r="F99" i="11" s="1"/>
  <c r="AI104" i="11"/>
  <c r="D5" i="11"/>
  <c r="AI105" i="11"/>
  <c r="AP22" i="11"/>
  <c r="AI62" i="11"/>
  <c r="AI76" i="11"/>
  <c r="D97" i="11"/>
  <c r="D99" i="11" s="1"/>
  <c r="C5" i="11"/>
  <c r="AO20" i="11"/>
  <c r="D107" i="11"/>
  <c r="AO23" i="11" s="1"/>
  <c r="C107" i="11"/>
  <c r="AN23" i="11" s="1"/>
  <c r="C97" i="11"/>
  <c r="C99" i="11" s="1"/>
  <c r="C100" i="11" s="1"/>
  <c r="C7" i="11" s="1"/>
  <c r="C108" i="11"/>
  <c r="AN16" i="11"/>
  <c r="AF5" i="11"/>
  <c r="AM19" i="11"/>
  <c r="B97" i="11"/>
  <c r="B99" i="11" s="1"/>
  <c r="B100" i="11" s="1"/>
  <c r="AM18" i="11"/>
  <c r="AM17" i="11"/>
  <c r="AH102" i="11"/>
  <c r="AH62" i="11"/>
  <c r="AL13" i="11"/>
  <c r="BB22" i="11"/>
  <c r="BB24" i="11" s="1"/>
  <c r="AM23" i="11"/>
  <c r="AS22" i="11"/>
  <c r="AY22" i="11"/>
  <c r="AH58" i="11"/>
  <c r="AI58" i="11"/>
  <c r="G97" i="11"/>
  <c r="G99" i="11" s="1"/>
  <c r="I107" i="11"/>
  <c r="Q107" i="11"/>
  <c r="AY23" i="11" s="1"/>
  <c r="Y107" i="11"/>
  <c r="Y108" i="11" s="1"/>
  <c r="AH101" i="11"/>
  <c r="AN22" i="11"/>
  <c r="AN24" i="11" s="1"/>
  <c r="S97" i="11"/>
  <c r="S99" i="11" s="1"/>
  <c r="S100" i="11" s="1"/>
  <c r="S7" i="11" s="1"/>
  <c r="BA16" i="11"/>
  <c r="BA22" i="11" s="1"/>
  <c r="BA24" i="11" s="1"/>
  <c r="AI101" i="11"/>
  <c r="AO16" i="11"/>
  <c r="AO22" i="11" s="1"/>
  <c r="AQ22" i="11"/>
  <c r="Q108" i="11"/>
  <c r="BD22" i="11"/>
  <c r="AW16" i="11"/>
  <c r="AW22" i="11" s="1"/>
  <c r="AW24" i="11" s="1"/>
  <c r="O97" i="11"/>
  <c r="O99" i="11" s="1"/>
  <c r="O100" i="11" s="1"/>
  <c r="O7" i="11" s="1"/>
  <c r="W97" i="11"/>
  <c r="W99" i="11" s="1"/>
  <c r="W100" i="11" s="1"/>
  <c r="W7" i="11" s="1"/>
  <c r="AE97" i="11"/>
  <c r="AE99" i="11" s="1"/>
  <c r="AE100" i="11" s="1"/>
  <c r="AE7" i="11" s="1"/>
  <c r="BI16" i="11"/>
  <c r="BG84" i="11" a="1"/>
  <c r="BH16" i="11"/>
  <c r="BH22" i="11" s="1"/>
  <c r="AT19" i="11"/>
  <c r="AT22" i="11" s="1"/>
  <c r="AT24" i="11" s="1"/>
  <c r="E97" i="11"/>
  <c r="E99" i="11" s="1"/>
  <c r="E100" i="11" s="1"/>
  <c r="E7" i="11" s="1"/>
  <c r="M97" i="11"/>
  <c r="M99" i="11" s="1"/>
  <c r="U97" i="11"/>
  <c r="U99" i="11" s="1"/>
  <c r="AC97" i="11"/>
  <c r="AC99" i="11" s="1"/>
  <c r="I97" i="11"/>
  <c r="I99" i="11" s="1"/>
  <c r="AI102" i="11"/>
  <c r="AI103" i="11"/>
  <c r="AH76" i="11"/>
  <c r="AH92" i="11"/>
  <c r="AG99" i="11"/>
  <c r="X97" i="11"/>
  <c r="X99" i="11" s="1"/>
  <c r="X100" i="11" s="1"/>
  <c r="X7" i="11" s="1"/>
  <c r="AH104" i="11"/>
  <c r="AH80" i="11"/>
  <c r="S108" i="11"/>
  <c r="AI92" i="11"/>
  <c r="H246" i="11"/>
  <c r="AI80" i="11"/>
  <c r="F107" i="11"/>
  <c r="AQ23" i="11" s="1"/>
  <c r="N107" i="11"/>
  <c r="AV23" i="11" s="1"/>
  <c r="V107" i="11"/>
  <c r="BD23" i="11" s="1"/>
  <c r="AD107" i="11"/>
  <c r="BH23" i="11" s="1"/>
  <c r="E107" i="11"/>
  <c r="AP23" i="11" s="1"/>
  <c r="M107" i="11"/>
  <c r="AU23" i="11" s="1"/>
  <c r="U107" i="11"/>
  <c r="BC23" i="11" s="1"/>
  <c r="BC24" i="11" s="1"/>
  <c r="AC107" i="11"/>
  <c r="AC108" i="11" s="1"/>
  <c r="E108" i="11"/>
  <c r="AD108" i="11"/>
  <c r="H107" i="11"/>
  <c r="H108" i="11" s="1"/>
  <c r="P107" i="11"/>
  <c r="X107" i="11"/>
  <c r="AF107" i="11"/>
  <c r="E251" i="11"/>
  <c r="E252" i="11"/>
  <c r="AH103" i="11"/>
  <c r="AH105" i="11"/>
  <c r="AF107" i="10"/>
  <c r="AF97" i="10"/>
  <c r="AF99" i="10" s="1"/>
  <c r="AF100" i="10" s="1"/>
  <c r="AF108" i="10"/>
  <c r="AE108" i="10"/>
  <c r="AE97" i="10"/>
  <c r="AE99" i="10" s="1"/>
  <c r="AE100" i="10" s="1"/>
  <c r="AD107" i="10"/>
  <c r="AD97" i="10"/>
  <c r="AD99" i="10" s="1"/>
  <c r="AD100" i="10" s="1"/>
  <c r="AD108" i="10"/>
  <c r="AC107" i="10"/>
  <c r="AC108" i="10" s="1"/>
  <c r="AC97" i="10"/>
  <c r="AC99" i="10" s="1"/>
  <c r="AC100" i="10" s="1"/>
  <c r="V107" i="10"/>
  <c r="V108" i="10" s="1"/>
  <c r="V97" i="10"/>
  <c r="V99" i="10" s="1"/>
  <c r="V100" i="10" s="1"/>
  <c r="P100" i="11" l="1"/>
  <c r="P7" i="11" s="1"/>
  <c r="AH100" i="12"/>
  <c r="AI100" i="12"/>
  <c r="B7" i="12"/>
  <c r="A7" i="12" s="1"/>
  <c r="I118" i="12"/>
  <c r="J246" i="12"/>
  <c r="I252" i="12"/>
  <c r="BI22" i="11"/>
  <c r="BI24" i="11" s="1"/>
  <c r="AE108" i="11"/>
  <c r="AB108" i="11"/>
  <c r="V100" i="11"/>
  <c r="V7" i="11" s="1"/>
  <c r="V108" i="11"/>
  <c r="BD24" i="11"/>
  <c r="U100" i="11"/>
  <c r="U7" i="11" s="1"/>
  <c r="AZ24" i="11"/>
  <c r="R108" i="11"/>
  <c r="AY24" i="11"/>
  <c r="O108" i="11"/>
  <c r="N100" i="11"/>
  <c r="N7" i="11" s="1"/>
  <c r="N108" i="11"/>
  <c r="AV24" i="11"/>
  <c r="M100" i="11"/>
  <c r="M7" i="11" s="1"/>
  <c r="AU24" i="11"/>
  <c r="H100" i="11"/>
  <c r="H7" i="11" s="1"/>
  <c r="G108" i="11"/>
  <c r="F108" i="11"/>
  <c r="AP24" i="11"/>
  <c r="AO24" i="11"/>
  <c r="D108" i="11"/>
  <c r="D100" i="11"/>
  <c r="D7" i="11" s="1"/>
  <c r="AM22" i="11"/>
  <c r="AM24" i="11" s="1"/>
  <c r="I108" i="11"/>
  <c r="AS23" i="11"/>
  <c r="F251" i="11"/>
  <c r="E118" i="11"/>
  <c r="BI107" i="11"/>
  <c r="BG106" i="11"/>
  <c r="BK104" i="11"/>
  <c r="BI103" i="11"/>
  <c r="BG102" i="11"/>
  <c r="BK100" i="11"/>
  <c r="BI99" i="11"/>
  <c r="BG98" i="11"/>
  <c r="BK96" i="11"/>
  <c r="BI95" i="11"/>
  <c r="BG94" i="11"/>
  <c r="BK92" i="11"/>
  <c r="BI91" i="11"/>
  <c r="BG90" i="11"/>
  <c r="BK88" i="11"/>
  <c r="BI87" i="11"/>
  <c r="BG86" i="11"/>
  <c r="BK84" i="11"/>
  <c r="BH107" i="11"/>
  <c r="BL105" i="11"/>
  <c r="BJ104" i="11"/>
  <c r="BH103" i="11"/>
  <c r="BL101" i="11"/>
  <c r="BJ100" i="11"/>
  <c r="BH99" i="11"/>
  <c r="BL97" i="11"/>
  <c r="BJ96" i="11"/>
  <c r="BH95" i="11"/>
  <c r="BL93" i="11"/>
  <c r="BJ92" i="11"/>
  <c r="BH91" i="11"/>
  <c r="BL89" i="11"/>
  <c r="BJ88" i="11"/>
  <c r="BH87" i="11"/>
  <c r="BL85" i="11"/>
  <c r="BJ84" i="11"/>
  <c r="BK106" i="11"/>
  <c r="BG105" i="11"/>
  <c r="BG103" i="11"/>
  <c r="BI101" i="11"/>
  <c r="BK99" i="11"/>
  <c r="BK97" i="11"/>
  <c r="BG96" i="11"/>
  <c r="BI94" i="11"/>
  <c r="BI92" i="11"/>
  <c r="BK90" i="11"/>
  <c r="BG89" i="11"/>
  <c r="BG87" i="11"/>
  <c r="BI85" i="11"/>
  <c r="BJ106" i="11"/>
  <c r="BL104" i="11"/>
  <c r="BL102" i="11"/>
  <c r="BH101" i="11"/>
  <c r="BJ99" i="11"/>
  <c r="BJ97" i="11"/>
  <c r="BL95" i="11"/>
  <c r="BH94" i="11"/>
  <c r="BH92" i="11"/>
  <c r="BJ90" i="11"/>
  <c r="BL88" i="11"/>
  <c r="BL86" i="11"/>
  <c r="BH85" i="11"/>
  <c r="BI106" i="11"/>
  <c r="BI104" i="11"/>
  <c r="BK102" i="11"/>
  <c r="BG101" i="11"/>
  <c r="BG99" i="11"/>
  <c r="BI97" i="11"/>
  <c r="BK95" i="11"/>
  <c r="BK93" i="11"/>
  <c r="BG92" i="11"/>
  <c r="BI90" i="11"/>
  <c r="BI88" i="11"/>
  <c r="BK86" i="11"/>
  <c r="BG85" i="11"/>
  <c r="BL107" i="11"/>
  <c r="BH106" i="11"/>
  <c r="BH104" i="11"/>
  <c r="BJ102" i="11"/>
  <c r="BL100" i="11"/>
  <c r="BL98" i="11"/>
  <c r="BH97" i="11"/>
  <c r="BJ95" i="11"/>
  <c r="BJ93" i="11"/>
  <c r="BL91" i="11"/>
  <c r="BH90" i="11"/>
  <c r="BH88" i="11"/>
  <c r="BJ86" i="11"/>
  <c r="BL84" i="11"/>
  <c r="BK107" i="11"/>
  <c r="BK105" i="11"/>
  <c r="BG104" i="11"/>
  <c r="BI102" i="11"/>
  <c r="BI100" i="11"/>
  <c r="BK98" i="11"/>
  <c r="BG97" i="11"/>
  <c r="BG95" i="11"/>
  <c r="BI93" i="11"/>
  <c r="BK91" i="11"/>
  <c r="BK89" i="11"/>
  <c r="BG88" i="11"/>
  <c r="BI86" i="11"/>
  <c r="BI84" i="11"/>
  <c r="BJ107" i="11"/>
  <c r="BJ105" i="11"/>
  <c r="BL103" i="11"/>
  <c r="BH102" i="11"/>
  <c r="BH100" i="11"/>
  <c r="BJ98" i="11"/>
  <c r="BL96" i="11"/>
  <c r="BL94" i="11"/>
  <c r="BH93" i="11"/>
  <c r="BJ91" i="11"/>
  <c r="BJ89" i="11"/>
  <c r="BL87" i="11"/>
  <c r="BH86" i="11"/>
  <c r="BH84" i="11"/>
  <c r="BH105" i="11"/>
  <c r="BH98" i="11"/>
  <c r="BL90" i="11"/>
  <c r="BI98" i="11"/>
  <c r="BG91" i="11"/>
  <c r="BK103" i="11"/>
  <c r="BI96" i="11"/>
  <c r="BI89" i="11"/>
  <c r="BJ103" i="11"/>
  <c r="BH96" i="11"/>
  <c r="BH89" i="11"/>
  <c r="BK101" i="11"/>
  <c r="BK94" i="11"/>
  <c r="BK87" i="11"/>
  <c r="BJ101" i="11"/>
  <c r="BJ94" i="11"/>
  <c r="BJ87" i="11"/>
  <c r="BG107" i="11"/>
  <c r="BG100" i="11"/>
  <c r="BG93" i="11"/>
  <c r="BK85" i="11"/>
  <c r="BL106" i="11"/>
  <c r="BL99" i="11"/>
  <c r="BL92" i="11"/>
  <c r="BJ85" i="11"/>
  <c r="BI105" i="11"/>
  <c r="BG84" i="11"/>
  <c r="AQ24" i="11"/>
  <c r="AI97" i="11"/>
  <c r="AS24" i="11"/>
  <c r="C256" i="11"/>
  <c r="G100" i="11"/>
  <c r="G7" i="11" s="1"/>
  <c r="B256" i="11"/>
  <c r="I246" i="11"/>
  <c r="AH107" i="11"/>
  <c r="BJ23" i="11"/>
  <c r="BJ24" i="11" s="1"/>
  <c r="AF108" i="11"/>
  <c r="BH24" i="11"/>
  <c r="AF100" i="11"/>
  <c r="AF7" i="11" s="1"/>
  <c r="AI107" i="11"/>
  <c r="X108" i="11"/>
  <c r="BE23" i="11"/>
  <c r="BE24" i="11" s="1"/>
  <c r="U108" i="11"/>
  <c r="AX23" i="11"/>
  <c r="AX24" i="11" s="1"/>
  <c r="P108" i="11"/>
  <c r="M108" i="11"/>
  <c r="I100" i="11"/>
  <c r="I7" i="11" s="1"/>
  <c r="AH97" i="11"/>
  <c r="AD100" i="11"/>
  <c r="AD7" i="11" s="1"/>
  <c r="Y100" i="11"/>
  <c r="Y7" i="11" s="1"/>
  <c r="F100" i="11"/>
  <c r="F7" i="11" s="1"/>
  <c r="AC100" i="11"/>
  <c r="AC7" i="11" s="1"/>
  <c r="AI99" i="11"/>
  <c r="AH99" i="11"/>
  <c r="Q100" i="11"/>
  <c r="Q7" i="11" s="1"/>
  <c r="R80" i="10"/>
  <c r="R58" i="10"/>
  <c r="R62" i="10"/>
  <c r="R57" i="10"/>
  <c r="Q57" i="10"/>
  <c r="P121" i="10"/>
  <c r="P57" i="10"/>
  <c r="O121" i="10"/>
  <c r="O57" i="10"/>
  <c r="M57" i="10"/>
  <c r="L121" i="10"/>
  <c r="L57" i="10"/>
  <c r="K121" i="10"/>
  <c r="K57" i="10"/>
  <c r="J121" i="10"/>
  <c r="J57" i="10"/>
  <c r="J252" i="12" l="1"/>
  <c r="J118" i="12"/>
  <c r="K246" i="12"/>
  <c r="AH108" i="11"/>
  <c r="AI108" i="11"/>
  <c r="AT9" i="11"/>
  <c r="K6" i="11"/>
  <c r="AT8" i="11"/>
  <c r="J246" i="11"/>
  <c r="G251" i="11"/>
  <c r="F252" i="11"/>
  <c r="F118" i="11"/>
  <c r="AH100" i="11"/>
  <c r="B7" i="11"/>
  <c r="A7" i="11" s="1"/>
  <c r="AI100" i="11"/>
  <c r="K252" i="12" l="1"/>
  <c r="K118" i="12"/>
  <c r="L246" i="12"/>
  <c r="H251" i="11"/>
  <c r="G118" i="11"/>
  <c r="G252" i="11"/>
  <c r="K246" i="11"/>
  <c r="I121" i="10"/>
  <c r="I57" i="10"/>
  <c r="H121" i="10"/>
  <c r="H57" i="10"/>
  <c r="G121" i="10"/>
  <c r="G57" i="10"/>
  <c r="F121" i="10"/>
  <c r="F57" i="10"/>
  <c r="E121" i="10"/>
  <c r="E118" i="10" s="1"/>
  <c r="E57" i="10"/>
  <c r="AH124" i="10"/>
  <c r="AI124" i="10"/>
  <c r="B58" i="10"/>
  <c r="B76" i="10"/>
  <c r="B62" i="10"/>
  <c r="AM17" i="10" s="1"/>
  <c r="B118" i="10"/>
  <c r="B105" i="10"/>
  <c r="B104" i="10"/>
  <c r="B103" i="10"/>
  <c r="B102" i="10"/>
  <c r="B101" i="10"/>
  <c r="B92" i="10"/>
  <c r="AF5" i="10" s="1"/>
  <c r="B80" i="10"/>
  <c r="AG252" i="10"/>
  <c r="C252" i="10"/>
  <c r="L251" i="10"/>
  <c r="M251" i="10" s="1"/>
  <c r="N251" i="10" s="1"/>
  <c r="O251" i="10" s="1"/>
  <c r="P251" i="10" s="1"/>
  <c r="Q251" i="10" s="1"/>
  <c r="R251" i="10" s="1"/>
  <c r="S251" i="10" s="1"/>
  <c r="T251" i="10" s="1"/>
  <c r="U251" i="10" s="1"/>
  <c r="V251" i="10" s="1"/>
  <c r="W251" i="10" s="1"/>
  <c r="X251" i="10" s="1"/>
  <c r="Y251" i="10" s="1"/>
  <c r="Z251" i="10" s="1"/>
  <c r="AA251" i="10" s="1"/>
  <c r="AB251" i="10" s="1"/>
  <c r="AC251" i="10" s="1"/>
  <c r="AD251" i="10" s="1"/>
  <c r="AE251" i="10" s="1"/>
  <c r="AF251" i="10" s="1"/>
  <c r="B251" i="10" s="1"/>
  <c r="E251" i="10"/>
  <c r="F251" i="10" s="1"/>
  <c r="G251" i="10" s="1"/>
  <c r="H251" i="10" s="1"/>
  <c r="I251" i="10" s="1"/>
  <c r="J251" i="10" s="1"/>
  <c r="K251" i="10" s="1"/>
  <c r="D251" i="10"/>
  <c r="D118" i="10" s="1"/>
  <c r="K250" i="10"/>
  <c r="L250" i="10" s="1"/>
  <c r="M250" i="10" s="1"/>
  <c r="N250" i="10" s="1"/>
  <c r="O250" i="10" s="1"/>
  <c r="P250" i="10" s="1"/>
  <c r="Q250" i="10" s="1"/>
  <c r="R250" i="10" s="1"/>
  <c r="S250" i="10" s="1"/>
  <c r="T250" i="10" s="1"/>
  <c r="U250" i="10" s="1"/>
  <c r="V250" i="10" s="1"/>
  <c r="W250" i="10" s="1"/>
  <c r="X250" i="10" s="1"/>
  <c r="Y250" i="10" s="1"/>
  <c r="Z250" i="10" s="1"/>
  <c r="AA250" i="10" s="1"/>
  <c r="AB250" i="10" s="1"/>
  <c r="AC250" i="10" s="1"/>
  <c r="AD250" i="10" s="1"/>
  <c r="AE250" i="10" s="1"/>
  <c r="AF250" i="10" s="1"/>
  <c r="B250" i="10" s="1"/>
  <c r="J250" i="10"/>
  <c r="F250" i="10"/>
  <c r="G250" i="10" s="1"/>
  <c r="H250" i="10" s="1"/>
  <c r="I250" i="10" s="1"/>
  <c r="E250" i="10"/>
  <c r="D250" i="10"/>
  <c r="D249" i="10"/>
  <c r="E249" i="10" s="1"/>
  <c r="F249" i="10" s="1"/>
  <c r="G249" i="10" s="1"/>
  <c r="H249" i="10" s="1"/>
  <c r="I249" i="10" s="1"/>
  <c r="J249" i="10" s="1"/>
  <c r="K249" i="10" s="1"/>
  <c r="L249" i="10" s="1"/>
  <c r="M249" i="10" s="1"/>
  <c r="N249" i="10" s="1"/>
  <c r="O249" i="10" s="1"/>
  <c r="P249" i="10" s="1"/>
  <c r="Q249" i="10" s="1"/>
  <c r="R249" i="10" s="1"/>
  <c r="S249" i="10" s="1"/>
  <c r="T249" i="10" s="1"/>
  <c r="U249" i="10" s="1"/>
  <c r="V249" i="10" s="1"/>
  <c r="W249" i="10" s="1"/>
  <c r="X249" i="10" s="1"/>
  <c r="Y249" i="10" s="1"/>
  <c r="Z249" i="10" s="1"/>
  <c r="AA249" i="10" s="1"/>
  <c r="AB249" i="10" s="1"/>
  <c r="AC249" i="10" s="1"/>
  <c r="AD249" i="10" s="1"/>
  <c r="AE249" i="10" s="1"/>
  <c r="AF249" i="10" s="1"/>
  <c r="B249" i="10" s="1"/>
  <c r="F248" i="10"/>
  <c r="G248" i="10" s="1"/>
  <c r="H248" i="10" s="1"/>
  <c r="I248" i="10" s="1"/>
  <c r="J248" i="10" s="1"/>
  <c r="K248" i="10" s="1"/>
  <c r="L248" i="10" s="1"/>
  <c r="M248" i="10" s="1"/>
  <c r="N248" i="10" s="1"/>
  <c r="O248" i="10" s="1"/>
  <c r="P248" i="10" s="1"/>
  <c r="Q248" i="10" s="1"/>
  <c r="R248" i="10" s="1"/>
  <c r="S248" i="10" s="1"/>
  <c r="T248" i="10" s="1"/>
  <c r="U248" i="10" s="1"/>
  <c r="V248" i="10" s="1"/>
  <c r="W248" i="10" s="1"/>
  <c r="X248" i="10" s="1"/>
  <c r="Y248" i="10" s="1"/>
  <c r="Z248" i="10" s="1"/>
  <c r="AA248" i="10" s="1"/>
  <c r="AB248" i="10" s="1"/>
  <c r="AC248" i="10" s="1"/>
  <c r="AD248" i="10" s="1"/>
  <c r="AE248" i="10" s="1"/>
  <c r="AF248" i="10" s="1"/>
  <c r="B248" i="10" s="1"/>
  <c r="E248" i="10"/>
  <c r="D248" i="10"/>
  <c r="D247" i="10"/>
  <c r="D252" i="10" s="1"/>
  <c r="F246" i="10"/>
  <c r="G246" i="10" s="1"/>
  <c r="E246" i="10"/>
  <c r="D246" i="10"/>
  <c r="AG244" i="10"/>
  <c r="AF244" i="10"/>
  <c r="AE244" i="10"/>
  <c r="AD244" i="10"/>
  <c r="AC244" i="10"/>
  <c r="AB244" i="10"/>
  <c r="AA244" i="10"/>
  <c r="Z244" i="10"/>
  <c r="Z118" i="10" s="1"/>
  <c r="Y244" i="10"/>
  <c r="Y118" i="10" s="1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I130" i="10"/>
  <c r="AH130" i="10"/>
  <c r="AI129" i="10"/>
  <c r="AH129" i="10"/>
  <c r="AI128" i="10"/>
  <c r="AH128" i="10"/>
  <c r="AI127" i="10"/>
  <c r="AH127" i="10"/>
  <c r="AI126" i="10"/>
  <c r="AH126" i="10"/>
  <c r="AI123" i="10"/>
  <c r="AH123" i="10"/>
  <c r="AI122" i="10"/>
  <c r="AH122" i="10"/>
  <c r="AI121" i="10"/>
  <c r="AH121" i="10"/>
  <c r="AI120" i="10"/>
  <c r="AH120" i="10"/>
  <c r="AI119" i="10"/>
  <c r="AH119" i="10"/>
  <c r="F118" i="10"/>
  <c r="C118" i="10"/>
  <c r="AI117" i="10"/>
  <c r="AH117" i="10"/>
  <c r="AI116" i="10"/>
  <c r="AH116" i="10"/>
  <c r="AI115" i="10"/>
  <c r="AH115" i="10"/>
  <c r="AI114" i="10"/>
  <c r="AH114" i="10"/>
  <c r="AI113" i="10"/>
  <c r="AH113" i="10"/>
  <c r="AI112" i="10"/>
  <c r="AH112" i="10"/>
  <c r="AI111" i="10"/>
  <c r="AH111" i="10"/>
  <c r="AI110" i="10"/>
  <c r="AH110" i="10"/>
  <c r="AI109" i="10"/>
  <c r="AH109" i="10"/>
  <c r="AI106" i="10"/>
  <c r="AH106" i="10"/>
  <c r="AB105" i="10"/>
  <c r="AA105" i="10"/>
  <c r="Z105" i="10"/>
  <c r="Y105" i="10"/>
  <c r="X105" i="10"/>
  <c r="W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AB104" i="10"/>
  <c r="AA104" i="10"/>
  <c r="Z104" i="10"/>
  <c r="Y104" i="10"/>
  <c r="X104" i="10"/>
  <c r="W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AB103" i="10"/>
  <c r="AA103" i="10"/>
  <c r="Z103" i="10"/>
  <c r="Y103" i="10"/>
  <c r="X103" i="10"/>
  <c r="W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J107" i="10" s="1"/>
  <c r="I103" i="10"/>
  <c r="H103" i="10"/>
  <c r="G103" i="10"/>
  <c r="F103" i="10"/>
  <c r="E103" i="10"/>
  <c r="D103" i="10"/>
  <c r="C103" i="10"/>
  <c r="AB102" i="10"/>
  <c r="AA102" i="10"/>
  <c r="Z102" i="10"/>
  <c r="Y102" i="10"/>
  <c r="X102" i="10"/>
  <c r="W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AI102" i="10"/>
  <c r="AB101" i="10"/>
  <c r="AB107" i="10" s="1"/>
  <c r="BG23" i="10" s="1"/>
  <c r="AA101" i="10"/>
  <c r="Z101" i="10"/>
  <c r="Y101" i="10"/>
  <c r="X101" i="10"/>
  <c r="W101" i="10"/>
  <c r="U101" i="10"/>
  <c r="T101" i="10"/>
  <c r="S101" i="10"/>
  <c r="R101" i="10"/>
  <c r="Q101" i="10"/>
  <c r="Q107" i="10" s="1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AI98" i="10"/>
  <c r="AH98" i="10"/>
  <c r="AI96" i="10"/>
  <c r="AH96" i="10"/>
  <c r="AG96" i="10"/>
  <c r="AI95" i="10"/>
  <c r="AH95" i="10"/>
  <c r="AI94" i="10"/>
  <c r="AH94" i="10"/>
  <c r="AI93" i="10"/>
  <c r="AH93" i="10"/>
  <c r="AG92" i="10"/>
  <c r="BH19" i="10"/>
  <c r="AB92" i="10"/>
  <c r="AA5" i="10" s="1"/>
  <c r="AA92" i="10"/>
  <c r="Z5" i="10" s="1"/>
  <c r="Z92" i="10"/>
  <c r="Y92" i="10"/>
  <c r="X92" i="10"/>
  <c r="BE19" i="10" s="1"/>
  <c r="W92" i="10"/>
  <c r="BD19" i="10"/>
  <c r="U92" i="10"/>
  <c r="T5" i="10" s="1"/>
  <c r="T92" i="10"/>
  <c r="BB19" i="10" s="1"/>
  <c r="S92" i="10"/>
  <c r="R5" i="10" s="1"/>
  <c r="R92" i="10"/>
  <c r="AZ19" i="10" s="1"/>
  <c r="Q92" i="10"/>
  <c r="P5" i="10" s="1"/>
  <c r="P92" i="10"/>
  <c r="O5" i="10" s="1"/>
  <c r="O92" i="10"/>
  <c r="N92" i="10"/>
  <c r="AV19" i="10" s="1"/>
  <c r="M92" i="10"/>
  <c r="AU19" i="10" s="1"/>
  <c r="L92" i="10"/>
  <c r="K5" i="10" s="1"/>
  <c r="K92" i="10"/>
  <c r="AT19" i="10" s="1"/>
  <c r="J92" i="10"/>
  <c r="I5" i="10" s="1"/>
  <c r="I92" i="10"/>
  <c r="H5" i="10" s="1"/>
  <c r="H92" i="10"/>
  <c r="G5" i="10" s="1"/>
  <c r="G92" i="10"/>
  <c r="F92" i="10"/>
  <c r="AQ19" i="10" s="1"/>
  <c r="E92" i="10"/>
  <c r="AP19" i="10" s="1"/>
  <c r="D92" i="10"/>
  <c r="C5" i="10" s="1"/>
  <c r="C92" i="10"/>
  <c r="AN19" i="10" s="1"/>
  <c r="AI91" i="10"/>
  <c r="AH91" i="10"/>
  <c r="AI90" i="10"/>
  <c r="AH90" i="10"/>
  <c r="AI89" i="10"/>
  <c r="AH89" i="10"/>
  <c r="AI88" i="10"/>
  <c r="AH88" i="10"/>
  <c r="AI87" i="10"/>
  <c r="AH87" i="10"/>
  <c r="AI86" i="10"/>
  <c r="AH86" i="10"/>
  <c r="AI85" i="10"/>
  <c r="AH85" i="10"/>
  <c r="AI84" i="10"/>
  <c r="AH84" i="10"/>
  <c r="AI83" i="10"/>
  <c r="AH83" i="10"/>
  <c r="AI82" i="10"/>
  <c r="AH82" i="10"/>
  <c r="AI81" i="10"/>
  <c r="AH81" i="10"/>
  <c r="BK80" i="10"/>
  <c r="BH80" i="10"/>
  <c r="AG80" i="10"/>
  <c r="BJ20" i="10"/>
  <c r="AB80" i="10"/>
  <c r="BG20" i="10" s="1"/>
  <c r="AA80" i="10"/>
  <c r="Z80" i="10"/>
  <c r="BF20" i="10" s="1"/>
  <c r="Y80" i="10"/>
  <c r="X80" i="10"/>
  <c r="W80" i="10"/>
  <c r="U80" i="10"/>
  <c r="T80" i="10"/>
  <c r="S80" i="10"/>
  <c r="BA20" i="10" s="1"/>
  <c r="Q80" i="10"/>
  <c r="P80" i="10"/>
  <c r="AX20" i="10" s="1"/>
  <c r="O80" i="10"/>
  <c r="N80" i="10"/>
  <c r="M80" i="10"/>
  <c r="L80" i="10"/>
  <c r="K80" i="10"/>
  <c r="J80" i="10"/>
  <c r="I80" i="10"/>
  <c r="H80" i="10"/>
  <c r="G80" i="10"/>
  <c r="F80" i="10"/>
  <c r="E80" i="10"/>
  <c r="AP20" i="10" s="1"/>
  <c r="D80" i="10"/>
  <c r="AO20" i="10" s="1"/>
  <c r="C80" i="10"/>
  <c r="BJ79" i="10"/>
  <c r="BA79" i="10"/>
  <c r="AZ79" i="10"/>
  <c r="AI79" i="10"/>
  <c r="AH79" i="10"/>
  <c r="AI78" i="10"/>
  <c r="AH78" i="10"/>
  <c r="BF77" i="10"/>
  <c r="AI77" i="10"/>
  <c r="AH77" i="10"/>
  <c r="BP76" i="10"/>
  <c r="BH76" i="10"/>
  <c r="BG76" i="10"/>
  <c r="BF76" i="10"/>
  <c r="BJ18" i="10"/>
  <c r="AB76" i="10"/>
  <c r="BG18" i="10" s="1"/>
  <c r="AA76" i="10"/>
  <c r="Z76" i="10"/>
  <c r="BF18" i="10" s="1"/>
  <c r="Y76" i="10"/>
  <c r="X76" i="10"/>
  <c r="W76" i="10"/>
  <c r="U76" i="10"/>
  <c r="T76" i="10"/>
  <c r="BB18" i="10" s="1"/>
  <c r="S76" i="10"/>
  <c r="AZ18" i="10"/>
  <c r="Q76" i="10"/>
  <c r="AY18" i="10" s="1"/>
  <c r="P76" i="10"/>
  <c r="AX18" i="10" s="1"/>
  <c r="O76" i="10"/>
  <c r="AW18" i="10" s="1"/>
  <c r="N76" i="10"/>
  <c r="M76" i="10"/>
  <c r="L76" i="10"/>
  <c r="K76" i="10"/>
  <c r="J76" i="10"/>
  <c r="I76" i="10"/>
  <c r="AS18" i="10" s="1"/>
  <c r="H76" i="10"/>
  <c r="G76" i="10"/>
  <c r="F76" i="10"/>
  <c r="E76" i="10"/>
  <c r="AP18" i="10" s="1"/>
  <c r="D76" i="10"/>
  <c r="AO18" i="10" s="1"/>
  <c r="C76" i="10"/>
  <c r="AN18" i="10" s="1"/>
  <c r="BR75" i="10"/>
  <c r="BJ75" i="10"/>
  <c r="BC75" i="10"/>
  <c r="BB75" i="10"/>
  <c r="AI75" i="10"/>
  <c r="AH75" i="10"/>
  <c r="AG75" i="10"/>
  <c r="AG76" i="10" s="1"/>
  <c r="AI74" i="10"/>
  <c r="AH74" i="10"/>
  <c r="BW73" i="10"/>
  <c r="BW80" i="10" s="1"/>
  <c r="BV73" i="10"/>
  <c r="BV80" i="10" s="1"/>
  <c r="BU73" i="10"/>
  <c r="BU80" i="10" s="1"/>
  <c r="BT73" i="10"/>
  <c r="BT80" i="10" s="1"/>
  <c r="BS73" i="10"/>
  <c r="BS80" i="10" s="1"/>
  <c r="BR73" i="10"/>
  <c r="BR80" i="10" s="1"/>
  <c r="BQ73" i="10"/>
  <c r="BQ80" i="10" s="1"/>
  <c r="BP73" i="10"/>
  <c r="BP80" i="10" s="1"/>
  <c r="BO73" i="10"/>
  <c r="BO80" i="10" s="1"/>
  <c r="BN73" i="10"/>
  <c r="BN80" i="10" s="1"/>
  <c r="BM73" i="10"/>
  <c r="BM80" i="10" s="1"/>
  <c r="BL73" i="10"/>
  <c r="BL80" i="10" s="1"/>
  <c r="BK73" i="10"/>
  <c r="BJ73" i="10"/>
  <c r="BJ80" i="10" s="1"/>
  <c r="BI73" i="10"/>
  <c r="BI80" i="10" s="1"/>
  <c r="BH73" i="10"/>
  <c r="BG73" i="10"/>
  <c r="BG80" i="10" s="1"/>
  <c r="BF73" i="10"/>
  <c r="BF80" i="10" s="1"/>
  <c r="BE73" i="10"/>
  <c r="BE80" i="10" s="1"/>
  <c r="BD73" i="10"/>
  <c r="BD80" i="10" s="1"/>
  <c r="BC73" i="10"/>
  <c r="BC80" i="10" s="1"/>
  <c r="BB73" i="10"/>
  <c r="BB80" i="10" s="1"/>
  <c r="BA73" i="10"/>
  <c r="BA80" i="10" s="1"/>
  <c r="AZ73" i="10"/>
  <c r="AZ80" i="10" s="1"/>
  <c r="AI73" i="10"/>
  <c r="AH73" i="10"/>
  <c r="BW72" i="10"/>
  <c r="BW79" i="10" s="1"/>
  <c r="BV72" i="10"/>
  <c r="BV79" i="10" s="1"/>
  <c r="BU72" i="10"/>
  <c r="BU79" i="10" s="1"/>
  <c r="BT72" i="10"/>
  <c r="BT79" i="10" s="1"/>
  <c r="BS72" i="10"/>
  <c r="BS79" i="10" s="1"/>
  <c r="BR72" i="10"/>
  <c r="BR79" i="10" s="1"/>
  <c r="BQ72" i="10"/>
  <c r="BQ79" i="10" s="1"/>
  <c r="BP72" i="10"/>
  <c r="BP79" i="10" s="1"/>
  <c r="BO72" i="10"/>
  <c r="BO79" i="10" s="1"/>
  <c r="BN72" i="10"/>
  <c r="BN79" i="10" s="1"/>
  <c r="BM72" i="10"/>
  <c r="BM79" i="10" s="1"/>
  <c r="BL72" i="10"/>
  <c r="BL79" i="10" s="1"/>
  <c r="BK72" i="10"/>
  <c r="BK79" i="10" s="1"/>
  <c r="BJ72" i="10"/>
  <c r="BI72" i="10"/>
  <c r="BI79" i="10" s="1"/>
  <c r="BH72" i="10"/>
  <c r="BH79" i="10" s="1"/>
  <c r="BG72" i="10"/>
  <c r="BG79" i="10" s="1"/>
  <c r="BF72" i="10"/>
  <c r="BF79" i="10" s="1"/>
  <c r="BE72" i="10"/>
  <c r="BE79" i="10" s="1"/>
  <c r="BD72" i="10"/>
  <c r="BD79" i="10" s="1"/>
  <c r="BC72" i="10"/>
  <c r="BC79" i="10" s="1"/>
  <c r="BB72" i="10"/>
  <c r="BB79" i="10" s="1"/>
  <c r="BA72" i="10"/>
  <c r="AZ72" i="10"/>
  <c r="AI72" i="10"/>
  <c r="AH72" i="10"/>
  <c r="BW71" i="10"/>
  <c r="BW78" i="10" s="1"/>
  <c r="BV71" i="10"/>
  <c r="BV78" i="10" s="1"/>
  <c r="BU71" i="10"/>
  <c r="BU78" i="10" s="1"/>
  <c r="BT71" i="10"/>
  <c r="BT78" i="10" s="1"/>
  <c r="BS71" i="10"/>
  <c r="BS78" i="10" s="1"/>
  <c r="BR71" i="10"/>
  <c r="BR78" i="10" s="1"/>
  <c r="BQ71" i="10"/>
  <c r="BQ78" i="10" s="1"/>
  <c r="BP71" i="10"/>
  <c r="BP78" i="10" s="1"/>
  <c r="BO71" i="10"/>
  <c r="BO78" i="10" s="1"/>
  <c r="BN71" i="10"/>
  <c r="BN78" i="10" s="1"/>
  <c r="BM71" i="10"/>
  <c r="BM78" i="10" s="1"/>
  <c r="BL71" i="10"/>
  <c r="BL78" i="10" s="1"/>
  <c r="BK71" i="10"/>
  <c r="BK78" i="10" s="1"/>
  <c r="BJ71" i="10"/>
  <c r="BJ78" i="10" s="1"/>
  <c r="BI71" i="10"/>
  <c r="BI78" i="10" s="1"/>
  <c r="BH71" i="10"/>
  <c r="BH78" i="10" s="1"/>
  <c r="BG71" i="10"/>
  <c r="BG78" i="10" s="1"/>
  <c r="BF71" i="10"/>
  <c r="BF78" i="10" s="1"/>
  <c r="BE71" i="10"/>
  <c r="BE78" i="10" s="1"/>
  <c r="BD71" i="10"/>
  <c r="BD78" i="10" s="1"/>
  <c r="BC71" i="10"/>
  <c r="BC78" i="10" s="1"/>
  <c r="BB71" i="10"/>
  <c r="BB78" i="10" s="1"/>
  <c r="BA71" i="10"/>
  <c r="BA78" i="10" s="1"/>
  <c r="AZ71" i="10"/>
  <c r="AZ78" i="10" s="1"/>
  <c r="AI71" i="10"/>
  <c r="AH71" i="10"/>
  <c r="BW70" i="10"/>
  <c r="BW77" i="10" s="1"/>
  <c r="BV70" i="10"/>
  <c r="BV77" i="10" s="1"/>
  <c r="BU70" i="10"/>
  <c r="BU77" i="10" s="1"/>
  <c r="BT70" i="10"/>
  <c r="BT77" i="10" s="1"/>
  <c r="BS70" i="10"/>
  <c r="BS77" i="10" s="1"/>
  <c r="BR70" i="10"/>
  <c r="BR77" i="10" s="1"/>
  <c r="BQ70" i="10"/>
  <c r="BQ77" i="10" s="1"/>
  <c r="BP70" i="10"/>
  <c r="BP77" i="10" s="1"/>
  <c r="BO70" i="10"/>
  <c r="BO77" i="10" s="1"/>
  <c r="BN70" i="10"/>
  <c r="BN77" i="10" s="1"/>
  <c r="BM70" i="10"/>
  <c r="BM77" i="10" s="1"/>
  <c r="BL70" i="10"/>
  <c r="BL77" i="10" s="1"/>
  <c r="BK70" i="10"/>
  <c r="BK77" i="10" s="1"/>
  <c r="BJ70" i="10"/>
  <c r="BJ77" i="10" s="1"/>
  <c r="BI70" i="10"/>
  <c r="BI77" i="10" s="1"/>
  <c r="BH70" i="10"/>
  <c r="BH77" i="10" s="1"/>
  <c r="BG70" i="10"/>
  <c r="BG77" i="10" s="1"/>
  <c r="BF70" i="10"/>
  <c r="BE70" i="10"/>
  <c r="BE77" i="10" s="1"/>
  <c r="BD70" i="10"/>
  <c r="BD77" i="10" s="1"/>
  <c r="BC70" i="10"/>
  <c r="BC77" i="10" s="1"/>
  <c r="BB70" i="10"/>
  <c r="BB77" i="10" s="1"/>
  <c r="BA70" i="10"/>
  <c r="BA77" i="10" s="1"/>
  <c r="AZ70" i="10"/>
  <c r="AZ77" i="10" s="1"/>
  <c r="AI70" i="10"/>
  <c r="AH70" i="10"/>
  <c r="BW69" i="10"/>
  <c r="BW76" i="10" s="1"/>
  <c r="BV69" i="10"/>
  <c r="BV76" i="10" s="1"/>
  <c r="BU69" i="10"/>
  <c r="BU76" i="10" s="1"/>
  <c r="BT69" i="10"/>
  <c r="BT76" i="10" s="1"/>
  <c r="BS69" i="10"/>
  <c r="BS76" i="10" s="1"/>
  <c r="BR69" i="10"/>
  <c r="BR76" i="10" s="1"/>
  <c r="BQ69" i="10"/>
  <c r="BQ76" i="10" s="1"/>
  <c r="BP69" i="10"/>
  <c r="BO69" i="10"/>
  <c r="BO76" i="10" s="1"/>
  <c r="BN69" i="10"/>
  <c r="BN76" i="10" s="1"/>
  <c r="BM69" i="10"/>
  <c r="BM76" i="10" s="1"/>
  <c r="BL69" i="10"/>
  <c r="BL76" i="10" s="1"/>
  <c r="BK69" i="10"/>
  <c r="BK76" i="10" s="1"/>
  <c r="BJ69" i="10"/>
  <c r="BJ76" i="10" s="1"/>
  <c r="BI69" i="10"/>
  <c r="BI76" i="10" s="1"/>
  <c r="BH69" i="10"/>
  <c r="BG69" i="10"/>
  <c r="BF69" i="10"/>
  <c r="BE69" i="10"/>
  <c r="BE76" i="10" s="1"/>
  <c r="BD69" i="10"/>
  <c r="BD76" i="10" s="1"/>
  <c r="BC69" i="10"/>
  <c r="BC76" i="10" s="1"/>
  <c r="BB69" i="10"/>
  <c r="BB76" i="10" s="1"/>
  <c r="BA69" i="10"/>
  <c r="BA76" i="10" s="1"/>
  <c r="AZ69" i="10"/>
  <c r="AZ76" i="10" s="1"/>
  <c r="AI69" i="10"/>
  <c r="AH69" i="10"/>
  <c r="BW68" i="10"/>
  <c r="BW75" i="10" s="1"/>
  <c r="BV68" i="10"/>
  <c r="BV75" i="10" s="1"/>
  <c r="BU68" i="10"/>
  <c r="BU75" i="10" s="1"/>
  <c r="BT68" i="10"/>
  <c r="BT75" i="10" s="1"/>
  <c r="BS68" i="10"/>
  <c r="BS75" i="10" s="1"/>
  <c r="BR68" i="10"/>
  <c r="BQ68" i="10"/>
  <c r="BQ75" i="10" s="1"/>
  <c r="BP68" i="10"/>
  <c r="BP75" i="10" s="1"/>
  <c r="BO68" i="10"/>
  <c r="BO75" i="10" s="1"/>
  <c r="BN68" i="10"/>
  <c r="BN75" i="10" s="1"/>
  <c r="BM68" i="10"/>
  <c r="BM75" i="10" s="1"/>
  <c r="BL68" i="10"/>
  <c r="BL75" i="10" s="1"/>
  <c r="BK68" i="10"/>
  <c r="BK75" i="10" s="1"/>
  <c r="BJ68" i="10"/>
  <c r="BI68" i="10"/>
  <c r="BI75" i="10" s="1"/>
  <c r="BH68" i="10"/>
  <c r="BH75" i="10" s="1"/>
  <c r="BG68" i="10"/>
  <c r="BG75" i="10" s="1"/>
  <c r="BF68" i="10"/>
  <c r="BF75" i="10" s="1"/>
  <c r="BE68" i="10"/>
  <c r="BE75" i="10" s="1"/>
  <c r="BD68" i="10"/>
  <c r="BD75" i="10" s="1"/>
  <c r="BC68" i="10"/>
  <c r="BB68" i="10"/>
  <c r="BA68" i="10"/>
  <c r="BA75" i="10" s="1"/>
  <c r="AZ68" i="10"/>
  <c r="AI68" i="10"/>
  <c r="AH68" i="10"/>
  <c r="AI67" i="10"/>
  <c r="AH67" i="10"/>
  <c r="AI66" i="10"/>
  <c r="AH66" i="10"/>
  <c r="AI65" i="10"/>
  <c r="AH65" i="10"/>
  <c r="AI64" i="10"/>
  <c r="AH64" i="10"/>
  <c r="AI63" i="10"/>
  <c r="AH63" i="10"/>
  <c r="AG62" i="10"/>
  <c r="BH17" i="10"/>
  <c r="AB62" i="10"/>
  <c r="BG17" i="10" s="1"/>
  <c r="AA62" i="10"/>
  <c r="Z62" i="10"/>
  <c r="Y62" i="10"/>
  <c r="X62" i="10"/>
  <c r="W62" i="10"/>
  <c r="BD17" i="10"/>
  <c r="U62" i="10"/>
  <c r="BC17" i="10" s="1"/>
  <c r="T62" i="10"/>
  <c r="BB17" i="10" s="1"/>
  <c r="S62" i="10"/>
  <c r="AZ17" i="10"/>
  <c r="Q62" i="10"/>
  <c r="P62" i="10"/>
  <c r="O62" i="10"/>
  <c r="AW17" i="10" s="1"/>
  <c r="N62" i="10"/>
  <c r="AV17" i="10" s="1"/>
  <c r="M62" i="10"/>
  <c r="AU17" i="10" s="1"/>
  <c r="L62" i="10"/>
  <c r="K62" i="10"/>
  <c r="AT17" i="10" s="1"/>
  <c r="J62" i="10"/>
  <c r="I62" i="10"/>
  <c r="AS17" i="10" s="1"/>
  <c r="H62" i="10"/>
  <c r="G62" i="10"/>
  <c r="F62" i="10"/>
  <c r="E62" i="10"/>
  <c r="AP17" i="10" s="1"/>
  <c r="D62" i="10"/>
  <c r="AO17" i="10" s="1"/>
  <c r="C62" i="10"/>
  <c r="AN17" i="10" s="1"/>
  <c r="AI61" i="10"/>
  <c r="AH61" i="10"/>
  <c r="AI60" i="10"/>
  <c r="AH60" i="10"/>
  <c r="AI59" i="10"/>
  <c r="AH59" i="10"/>
  <c r="AG58" i="10"/>
  <c r="AB58" i="10"/>
  <c r="AA58" i="10"/>
  <c r="Z58" i="10"/>
  <c r="Y58" i="10"/>
  <c r="X58" i="10"/>
  <c r="BE16" i="10" s="1"/>
  <c r="W58" i="10"/>
  <c r="U58" i="10"/>
  <c r="T58" i="10"/>
  <c r="BB16" i="10" s="1"/>
  <c r="S58" i="10"/>
  <c r="Q58" i="10"/>
  <c r="P58" i="10"/>
  <c r="AX16" i="10" s="1"/>
  <c r="O58" i="10"/>
  <c r="N58" i="10"/>
  <c r="N97" i="10" s="1"/>
  <c r="N99" i="10" s="1"/>
  <c r="M58" i="10"/>
  <c r="L58" i="10"/>
  <c r="K58" i="10"/>
  <c r="J58" i="10"/>
  <c r="I58" i="10"/>
  <c r="H58" i="10"/>
  <c r="G58" i="10"/>
  <c r="F58" i="10"/>
  <c r="AQ16" i="10" s="1"/>
  <c r="E58" i="10"/>
  <c r="D58" i="10"/>
  <c r="C58" i="10"/>
  <c r="AI57" i="10"/>
  <c r="AH57" i="10"/>
  <c r="AI56" i="10"/>
  <c r="AH56" i="10"/>
  <c r="AI55" i="10"/>
  <c r="AH55" i="10"/>
  <c r="AI54" i="10"/>
  <c r="AH54" i="10"/>
  <c r="AI53" i="10"/>
  <c r="AH53" i="10"/>
  <c r="AI52" i="10"/>
  <c r="AH52" i="10"/>
  <c r="AI51" i="10"/>
  <c r="AH51" i="10"/>
  <c r="AI50" i="10"/>
  <c r="AH50" i="10"/>
  <c r="AI49" i="10"/>
  <c r="AH49" i="10"/>
  <c r="AI48" i="10"/>
  <c r="AH48" i="10"/>
  <c r="AI47" i="10"/>
  <c r="AH47" i="10"/>
  <c r="AI46" i="10"/>
  <c r="AH46" i="10"/>
  <c r="AI45" i="10"/>
  <c r="AH45" i="10"/>
  <c r="AI44" i="10"/>
  <c r="AH44" i="10"/>
  <c r="AI43" i="10"/>
  <c r="AH43" i="10"/>
  <c r="AI42" i="10"/>
  <c r="AH42" i="10"/>
  <c r="AI41" i="10"/>
  <c r="AH41" i="10"/>
  <c r="AI40" i="10"/>
  <c r="AH40" i="10"/>
  <c r="AI39" i="10"/>
  <c r="AH39" i="10"/>
  <c r="AI38" i="10"/>
  <c r="AH38" i="10"/>
  <c r="AI37" i="10"/>
  <c r="AH37" i="10"/>
  <c r="AI36" i="10"/>
  <c r="AH36" i="10"/>
  <c r="AI35" i="10"/>
  <c r="AH35" i="10"/>
  <c r="AI34" i="10"/>
  <c r="AH34" i="10"/>
  <c r="AI33" i="10"/>
  <c r="AH33" i="10"/>
  <c r="AI32" i="10"/>
  <c r="AH32" i="10"/>
  <c r="AI31" i="10"/>
  <c r="AH31" i="10"/>
  <c r="AI30" i="10"/>
  <c r="AH30" i="10"/>
  <c r="AI29" i="10"/>
  <c r="AH29" i="10"/>
  <c r="AI28" i="10"/>
  <c r="AH28" i="10"/>
  <c r="AI27" i="10"/>
  <c r="AH27" i="10"/>
  <c r="AI26" i="10"/>
  <c r="AH26" i="10"/>
  <c r="AI25" i="10"/>
  <c r="AH25" i="10"/>
  <c r="AI24" i="10"/>
  <c r="AH24" i="10"/>
  <c r="BJ23" i="10"/>
  <c r="AI23" i="10"/>
  <c r="AH23" i="10"/>
  <c r="AI22" i="10"/>
  <c r="AH22" i="10"/>
  <c r="BJ21" i="10"/>
  <c r="BI21" i="10"/>
  <c r="BH21" i="10"/>
  <c r="BG21" i="10"/>
  <c r="BF21" i="10"/>
  <c r="BE21" i="10"/>
  <c r="BD21" i="10"/>
  <c r="BC21" i="10"/>
  <c r="BB21" i="10"/>
  <c r="BA21" i="10"/>
  <c r="AZ21" i="10"/>
  <c r="AY21" i="10"/>
  <c r="AX21" i="10"/>
  <c r="AW21" i="10"/>
  <c r="AV21" i="10"/>
  <c r="AU21" i="10"/>
  <c r="AT21" i="10"/>
  <c r="AS21" i="10"/>
  <c r="AR21" i="10"/>
  <c r="AQ21" i="10"/>
  <c r="AP21" i="10"/>
  <c r="AO21" i="10"/>
  <c r="AN21" i="10"/>
  <c r="AM21" i="10"/>
  <c r="AI21" i="10"/>
  <c r="AH21" i="10"/>
  <c r="BI20" i="10"/>
  <c r="BH20" i="10"/>
  <c r="BE20" i="10"/>
  <c r="BD20" i="10"/>
  <c r="BC20" i="10"/>
  <c r="BB20" i="10"/>
  <c r="AZ20" i="10"/>
  <c r="AY20" i="10"/>
  <c r="AW20" i="10"/>
  <c r="AV20" i="10"/>
  <c r="AU20" i="10"/>
  <c r="AT20" i="10"/>
  <c r="AS20" i="10"/>
  <c r="AR20" i="10"/>
  <c r="AQ20" i="10"/>
  <c r="AN20" i="10"/>
  <c r="AI20" i="10"/>
  <c r="AH20" i="10"/>
  <c r="BJ19" i="10"/>
  <c r="BI19" i="10"/>
  <c r="BF19" i="10"/>
  <c r="AY19" i="10"/>
  <c r="AM19" i="10"/>
  <c r="AI19" i="10"/>
  <c r="AH19" i="10"/>
  <c r="BI18" i="10"/>
  <c r="BH18" i="10"/>
  <c r="BE18" i="10"/>
  <c r="BD18" i="10"/>
  <c r="BC18" i="10"/>
  <c r="AV18" i="10"/>
  <c r="AU18" i="10"/>
  <c r="AT18" i="10"/>
  <c r="AR18" i="10"/>
  <c r="AQ18" i="10"/>
  <c r="AM18" i="10"/>
  <c r="AI18" i="10"/>
  <c r="AH18" i="10"/>
  <c r="BJ17" i="10"/>
  <c r="BI17" i="10"/>
  <c r="BF17" i="10"/>
  <c r="BE17" i="10"/>
  <c r="BA17" i="10"/>
  <c r="AY17" i="10"/>
  <c r="AX17" i="10"/>
  <c r="AQ17" i="10"/>
  <c r="AI17" i="10"/>
  <c r="AH17" i="10"/>
  <c r="BJ16" i="10"/>
  <c r="BI16" i="10"/>
  <c r="BG16" i="10"/>
  <c r="BD16" i="10"/>
  <c r="BA16" i="10"/>
  <c r="AZ16" i="10"/>
  <c r="AT16" i="10"/>
  <c r="AS16" i="10"/>
  <c r="AR16" i="10"/>
  <c r="AI16" i="10"/>
  <c r="AH16" i="10"/>
  <c r="AI15" i="10"/>
  <c r="AH15" i="10"/>
  <c r="AI14" i="10"/>
  <c r="AH14" i="10"/>
  <c r="AI13" i="10"/>
  <c r="AH13" i="10"/>
  <c r="AL12" i="10"/>
  <c r="AI12" i="10"/>
  <c r="AH12" i="10"/>
  <c r="AI11" i="10"/>
  <c r="AH11" i="10"/>
  <c r="AE5" i="10"/>
  <c r="AC5" i="10"/>
  <c r="AB5" i="10"/>
  <c r="Y5" i="10"/>
  <c r="X5" i="10"/>
  <c r="U5" i="10"/>
  <c r="S5" i="10"/>
  <c r="M5" i="10"/>
  <c r="J5" i="10"/>
  <c r="B5" i="10"/>
  <c r="AG4" i="10"/>
  <c r="K4" i="10"/>
  <c r="E4" i="10"/>
  <c r="H4" i="10" s="1"/>
  <c r="B4" i="10"/>
  <c r="D258" i="10" s="1"/>
  <c r="AG3" i="10"/>
  <c r="AC57" i="9"/>
  <c r="AC58" i="9"/>
  <c r="AD58" i="9"/>
  <c r="AC62" i="9"/>
  <c r="AD62" i="9"/>
  <c r="AB121" i="9"/>
  <c r="AB57" i="9"/>
  <c r="AA57" i="9"/>
  <c r="Y57" i="9"/>
  <c r="X58" i="9"/>
  <c r="X121" i="9"/>
  <c r="X57" i="9"/>
  <c r="V57" i="9"/>
  <c r="U121" i="9"/>
  <c r="U57" i="9"/>
  <c r="T121" i="9"/>
  <c r="T57" i="9"/>
  <c r="R57" i="9"/>
  <c r="BJ140" i="9"/>
  <c r="Q57" i="9"/>
  <c r="P121" i="9"/>
  <c r="P57" i="9"/>
  <c r="P58" i="9"/>
  <c r="P62" i="9"/>
  <c r="P76" i="9"/>
  <c r="P80" i="9"/>
  <c r="P92" i="9"/>
  <c r="P101" i="9"/>
  <c r="P102" i="9"/>
  <c r="P103" i="9"/>
  <c r="P104" i="9"/>
  <c r="P105" i="9"/>
  <c r="O57" i="9"/>
  <c r="O58" i="9"/>
  <c r="O62" i="9"/>
  <c r="O76" i="9"/>
  <c r="O80" i="9"/>
  <c r="N121" i="9"/>
  <c r="N57" i="9"/>
  <c r="N58" i="9"/>
  <c r="N62" i="9"/>
  <c r="N76" i="9"/>
  <c r="N80" i="9"/>
  <c r="N92" i="9"/>
  <c r="N101" i="9"/>
  <c r="N102" i="9"/>
  <c r="N103" i="9"/>
  <c r="N104" i="9"/>
  <c r="N105" i="9"/>
  <c r="M246" i="12" l="1"/>
  <c r="L252" i="12"/>
  <c r="L118" i="12"/>
  <c r="L246" i="11"/>
  <c r="I251" i="11"/>
  <c r="H252" i="11"/>
  <c r="H118" i="11"/>
  <c r="BG19" i="10"/>
  <c r="AB108" i="10"/>
  <c r="AA97" i="10"/>
  <c r="AA99" i="10" s="1"/>
  <c r="Z107" i="10"/>
  <c r="BF23" i="10" s="1"/>
  <c r="Y107" i="10"/>
  <c r="Y97" i="10"/>
  <c r="Y99" i="10" s="1"/>
  <c r="Y100" i="10" s="1"/>
  <c r="Y7" i="10" s="1"/>
  <c r="W5" i="10"/>
  <c r="X107" i="10"/>
  <c r="BE22" i="10"/>
  <c r="W97" i="10"/>
  <c r="W99" i="10" s="1"/>
  <c r="BD22" i="10"/>
  <c r="BC19" i="10"/>
  <c r="U107" i="10"/>
  <c r="BC23" i="10" s="1"/>
  <c r="T107" i="10"/>
  <c r="BB23" i="10" s="1"/>
  <c r="T108" i="10"/>
  <c r="S97" i="10"/>
  <c r="S99" i="10" s="1"/>
  <c r="BA19" i="10"/>
  <c r="BA18" i="10"/>
  <c r="BA22" i="10" s="1"/>
  <c r="Q5" i="10"/>
  <c r="R107" i="10"/>
  <c r="AZ23" i="10" s="1"/>
  <c r="AZ22" i="10"/>
  <c r="Q97" i="10"/>
  <c r="Q99" i="10" s="1"/>
  <c r="Q100" i="10" s="1"/>
  <c r="Q7" i="10" s="1"/>
  <c r="P107" i="10"/>
  <c r="AX23" i="10" s="1"/>
  <c r="AX19" i="10"/>
  <c r="AX22" i="10" s="1"/>
  <c r="AX24" i="10" s="1"/>
  <c r="O97" i="10"/>
  <c r="O99" i="10" s="1"/>
  <c r="AW16" i="10"/>
  <c r="L5" i="10"/>
  <c r="M107" i="10"/>
  <c r="AU23" i="10" s="1"/>
  <c r="L107" i="10"/>
  <c r="L108" i="10" s="1"/>
  <c r="K97" i="10"/>
  <c r="K99" i="10" s="1"/>
  <c r="AT22" i="10"/>
  <c r="I107" i="10"/>
  <c r="AS23" i="10" s="1"/>
  <c r="AS19" i="10"/>
  <c r="AS22" i="10" s="1"/>
  <c r="AS24" i="10" s="1"/>
  <c r="I97" i="10"/>
  <c r="I99" i="10" s="1"/>
  <c r="I100" i="10" s="1"/>
  <c r="I7" i="10" s="1"/>
  <c r="H107" i="10"/>
  <c r="H108" i="10" s="1"/>
  <c r="G97" i="10"/>
  <c r="G99" i="10" s="1"/>
  <c r="AR17" i="10"/>
  <c r="E5" i="10"/>
  <c r="AQ22" i="10"/>
  <c r="F97" i="10"/>
  <c r="F99" i="10" s="1"/>
  <c r="D5" i="10"/>
  <c r="AI104" i="10"/>
  <c r="E107" i="10"/>
  <c r="AP23" i="10" s="1"/>
  <c r="AO19" i="10"/>
  <c r="D107" i="10"/>
  <c r="AH105" i="10"/>
  <c r="AI76" i="10"/>
  <c r="C97" i="10"/>
  <c r="C99" i="10" s="1"/>
  <c r="AN16" i="10"/>
  <c r="AN22" i="10" s="1"/>
  <c r="B107" i="10"/>
  <c r="B108" i="10" s="1"/>
  <c r="AH76" i="10"/>
  <c r="B97" i="10"/>
  <c r="B99" i="10" s="1"/>
  <c r="B100" i="10" s="1"/>
  <c r="AM16" i="10"/>
  <c r="AH104" i="10"/>
  <c r="AY23" i="10"/>
  <c r="Q108" i="10"/>
  <c r="AH103" i="10"/>
  <c r="AI103" i="10"/>
  <c r="AT24" i="10"/>
  <c r="AI101" i="10"/>
  <c r="AV16" i="10"/>
  <c r="AV22" i="10" s="1"/>
  <c r="BG22" i="10"/>
  <c r="BG24" i="10" s="1"/>
  <c r="D97" i="10"/>
  <c r="D99" i="10" s="1"/>
  <c r="D100" i="10" s="1"/>
  <c r="D7" i="10" s="1"/>
  <c r="AO16" i="10"/>
  <c r="AO22" i="10" s="1"/>
  <c r="L97" i="10"/>
  <c r="L99" i="10" s="1"/>
  <c r="L100" i="10" s="1"/>
  <c r="L7" i="10" s="1"/>
  <c r="BB22" i="10"/>
  <c r="BB24" i="10" s="1"/>
  <c r="AB97" i="10"/>
  <c r="AB99" i="10" s="1"/>
  <c r="AB100" i="10" s="1"/>
  <c r="AB7" i="10" s="1"/>
  <c r="BG84" i="10" a="1"/>
  <c r="BH16" i="10"/>
  <c r="BH22" i="10" s="1"/>
  <c r="E97" i="10"/>
  <c r="E99" i="10" s="1"/>
  <c r="AP16" i="10"/>
  <c r="AP22" i="10" s="1"/>
  <c r="M97" i="10"/>
  <c r="M99" i="10" s="1"/>
  <c r="M100" i="10" s="1"/>
  <c r="M7" i="10" s="1"/>
  <c r="AU16" i="10"/>
  <c r="AU22" i="10" s="1"/>
  <c r="U97" i="10"/>
  <c r="U99" i="10" s="1"/>
  <c r="U100" i="10" s="1"/>
  <c r="U7" i="10" s="1"/>
  <c r="BC16" i="10"/>
  <c r="BC22" i="10" s="1"/>
  <c r="BC24" i="10" s="1"/>
  <c r="AC7" i="10"/>
  <c r="T97" i="10"/>
  <c r="T99" i="10" s="1"/>
  <c r="T100" i="10" s="1"/>
  <c r="T7" i="10" s="1"/>
  <c r="AR19" i="10"/>
  <c r="AR22" i="10" s="1"/>
  <c r="F5" i="10"/>
  <c r="G108" i="10"/>
  <c r="N5" i="10"/>
  <c r="AW19" i="10"/>
  <c r="V5" i="10"/>
  <c r="AD5" i="10"/>
  <c r="AF7" i="10"/>
  <c r="AH101" i="10"/>
  <c r="BI22" i="10"/>
  <c r="V7" i="10"/>
  <c r="AY16" i="10"/>
  <c r="AY22" i="10" s="1"/>
  <c r="AY24" i="10" s="1"/>
  <c r="BJ22" i="10"/>
  <c r="BJ24" i="10" s="1"/>
  <c r="AL13" i="10"/>
  <c r="H97" i="10"/>
  <c r="H99" i="10" s="1"/>
  <c r="H100" i="10" s="1"/>
  <c r="H7" i="10" s="1"/>
  <c r="P97" i="10"/>
  <c r="P99" i="10" s="1"/>
  <c r="P100" i="10" s="1"/>
  <c r="P7" i="10" s="1"/>
  <c r="X97" i="10"/>
  <c r="X99" i="10" s="1"/>
  <c r="X100" i="10" s="1"/>
  <c r="X7" i="10" s="1"/>
  <c r="AI62" i="10"/>
  <c r="AM20" i="10"/>
  <c r="AM22" i="10" s="1"/>
  <c r="AI80" i="10"/>
  <c r="AH80" i="10"/>
  <c r="I108" i="10"/>
  <c r="Y108" i="10"/>
  <c r="AI105" i="10"/>
  <c r="AG97" i="10"/>
  <c r="AG2" i="10"/>
  <c r="AG6" i="10" s="1"/>
  <c r="X108" i="10"/>
  <c r="BE23" i="10"/>
  <c r="BE24" i="10" s="1"/>
  <c r="AZ75" i="10"/>
  <c r="C107" i="10"/>
  <c r="AN23" i="10" s="1"/>
  <c r="K107" i="10"/>
  <c r="AT23" i="10" s="1"/>
  <c r="S107" i="10"/>
  <c r="BA23" i="10" s="1"/>
  <c r="AA107" i="10"/>
  <c r="AA100" i="10" s="1"/>
  <c r="AA7" i="10" s="1"/>
  <c r="J108" i="10"/>
  <c r="Z108" i="10"/>
  <c r="AH92" i="10"/>
  <c r="AG99" i="10"/>
  <c r="H246" i="10"/>
  <c r="G118" i="10"/>
  <c r="E247" i="10"/>
  <c r="C108" i="10"/>
  <c r="AA108" i="10"/>
  <c r="AI92" i="10"/>
  <c r="J97" i="10"/>
  <c r="J99" i="10" s="1"/>
  <c r="J100" i="10" s="1"/>
  <c r="J7" i="10" s="1"/>
  <c r="R97" i="10"/>
  <c r="R99" i="10" s="1"/>
  <c r="Z97" i="10"/>
  <c r="Z99" i="10" s="1"/>
  <c r="Z100" i="10" s="1"/>
  <c r="Z7" i="10" s="1"/>
  <c r="AH58" i="10"/>
  <c r="AH62" i="10"/>
  <c r="F107" i="10"/>
  <c r="AQ23" i="10" s="1"/>
  <c r="AQ24" i="10" s="1"/>
  <c r="N107" i="10"/>
  <c r="AV23" i="10" s="1"/>
  <c r="BD23" i="10"/>
  <c r="BD24" i="10" s="1"/>
  <c r="BH23" i="10"/>
  <c r="BF16" i="10"/>
  <c r="BF22" i="10" s="1"/>
  <c r="BF24" i="10" s="1"/>
  <c r="AI58" i="10"/>
  <c r="E108" i="10"/>
  <c r="U108" i="10"/>
  <c r="G107" i="10"/>
  <c r="AR23" i="10" s="1"/>
  <c r="O107" i="10"/>
  <c r="AW23" i="10" s="1"/>
  <c r="W107" i="10"/>
  <c r="BI23" i="10"/>
  <c r="N108" i="10"/>
  <c r="AH102" i="10"/>
  <c r="P107" i="9"/>
  <c r="P108" i="9" s="1"/>
  <c r="P97" i="9"/>
  <c r="P99" i="9" s="1"/>
  <c r="N107" i="9"/>
  <c r="N108" i="9" s="1"/>
  <c r="N97" i="9"/>
  <c r="N99" i="9" s="1"/>
  <c r="N246" i="12" l="1"/>
  <c r="M252" i="12"/>
  <c r="M118" i="12"/>
  <c r="M246" i="11"/>
  <c r="J251" i="11"/>
  <c r="I252" i="11"/>
  <c r="I118" i="11"/>
  <c r="W100" i="10"/>
  <c r="W7" i="10" s="1"/>
  <c r="S108" i="10"/>
  <c r="BA24" i="10"/>
  <c r="R100" i="10"/>
  <c r="R7" i="10" s="1"/>
  <c r="R108" i="10"/>
  <c r="AZ24" i="10"/>
  <c r="AW22" i="10"/>
  <c r="AW24" i="10" s="1"/>
  <c r="P108" i="10"/>
  <c r="AU24" i="10"/>
  <c r="M108" i="10"/>
  <c r="K100" i="10"/>
  <c r="K7" i="10" s="1"/>
  <c r="AR24" i="10"/>
  <c r="E100" i="10"/>
  <c r="E7" i="10" s="1"/>
  <c r="AP24" i="10"/>
  <c r="D108" i="10"/>
  <c r="AO23" i="10"/>
  <c r="AO24" i="10" s="1"/>
  <c r="AN24" i="10"/>
  <c r="C100" i="10"/>
  <c r="C7" i="10" s="1"/>
  <c r="BI24" i="10"/>
  <c r="AE7" i="10"/>
  <c r="F247" i="10"/>
  <c r="E252" i="10"/>
  <c r="AH97" i="10"/>
  <c r="AI97" i="10"/>
  <c r="O100" i="10"/>
  <c r="O7" i="10" s="1"/>
  <c r="W108" i="10"/>
  <c r="AD7" i="10"/>
  <c r="I246" i="10"/>
  <c r="H118" i="10"/>
  <c r="B256" i="10"/>
  <c r="BH24" i="10"/>
  <c r="F100" i="10"/>
  <c r="F7" i="10" s="1"/>
  <c r="G100" i="10"/>
  <c r="G7" i="10" s="1"/>
  <c r="S100" i="10"/>
  <c r="S7" i="10" s="1"/>
  <c r="AV24" i="10"/>
  <c r="C256" i="10"/>
  <c r="AI107" i="10"/>
  <c r="AH107" i="10"/>
  <c r="AM23" i="10"/>
  <c r="AM24" i="10" s="1"/>
  <c r="BI107" i="10"/>
  <c r="BG106" i="10"/>
  <c r="BK104" i="10"/>
  <c r="BI103" i="10"/>
  <c r="BG102" i="10"/>
  <c r="BK100" i="10"/>
  <c r="BI99" i="10"/>
  <c r="BG98" i="10"/>
  <c r="BK96" i="10"/>
  <c r="BI95" i="10"/>
  <c r="BG94" i="10"/>
  <c r="BK92" i="10"/>
  <c r="BI91" i="10"/>
  <c r="BG90" i="10"/>
  <c r="BK88" i="10"/>
  <c r="BI87" i="10"/>
  <c r="BG86" i="10"/>
  <c r="BK84" i="10"/>
  <c r="BL106" i="10"/>
  <c r="BJ105" i="10"/>
  <c r="BH104" i="10"/>
  <c r="BL102" i="10"/>
  <c r="BJ101" i="10"/>
  <c r="BH100" i="10"/>
  <c r="BL98" i="10"/>
  <c r="BJ97" i="10"/>
  <c r="BH96" i="10"/>
  <c r="BL94" i="10"/>
  <c r="BJ93" i="10"/>
  <c r="BH92" i="10"/>
  <c r="BL90" i="10"/>
  <c r="BJ89" i="10"/>
  <c r="BH88" i="10"/>
  <c r="BL86" i="10"/>
  <c r="BJ85" i="10"/>
  <c r="BH84" i="10"/>
  <c r="BK106" i="10"/>
  <c r="BI105" i="10"/>
  <c r="BG104" i="10"/>
  <c r="BK102" i="10"/>
  <c r="BI101" i="10"/>
  <c r="BG100" i="10"/>
  <c r="BK98" i="10"/>
  <c r="BI97" i="10"/>
  <c r="BG96" i="10"/>
  <c r="BK94" i="10"/>
  <c r="BI93" i="10"/>
  <c r="BG92" i="10"/>
  <c r="BK90" i="10"/>
  <c r="BI89" i="10"/>
  <c r="BG88" i="10"/>
  <c r="BK86" i="10"/>
  <c r="BI85" i="10"/>
  <c r="BG84" i="10"/>
  <c r="BJ106" i="10"/>
  <c r="BJ104" i="10"/>
  <c r="BI102" i="10"/>
  <c r="BI100" i="10"/>
  <c r="BH98" i="10"/>
  <c r="BL95" i="10"/>
  <c r="BL93" i="10"/>
  <c r="BK91" i="10"/>
  <c r="BK89" i="10"/>
  <c r="BJ87" i="10"/>
  <c r="BH85" i="10"/>
  <c r="BI106" i="10"/>
  <c r="BI104" i="10"/>
  <c r="BH102" i="10"/>
  <c r="BL99" i="10"/>
  <c r="BL97" i="10"/>
  <c r="BK95" i="10"/>
  <c r="BK93" i="10"/>
  <c r="BJ91" i="10"/>
  <c r="BH89" i="10"/>
  <c r="BH87" i="10"/>
  <c r="BG85" i="10"/>
  <c r="BH106" i="10"/>
  <c r="BL103" i="10"/>
  <c r="BL101" i="10"/>
  <c r="BK99" i="10"/>
  <c r="BK97" i="10"/>
  <c r="BJ95" i="10"/>
  <c r="BH93" i="10"/>
  <c r="BH91" i="10"/>
  <c r="BG89" i="10"/>
  <c r="BG87" i="10"/>
  <c r="BL84" i="10"/>
  <c r="BL107" i="10"/>
  <c r="BL105" i="10"/>
  <c r="BK103" i="10"/>
  <c r="BK101" i="10"/>
  <c r="BJ99" i="10"/>
  <c r="BH97" i="10"/>
  <c r="BH95" i="10"/>
  <c r="BG93" i="10"/>
  <c r="BG91" i="10"/>
  <c r="BL88" i="10"/>
  <c r="BJ86" i="10"/>
  <c r="BJ84" i="10"/>
  <c r="BK107" i="10"/>
  <c r="BK105" i="10"/>
  <c r="BJ103" i="10"/>
  <c r="BH101" i="10"/>
  <c r="BH99" i="10"/>
  <c r="BG97" i="10"/>
  <c r="BG95" i="10"/>
  <c r="BL92" i="10"/>
  <c r="BJ90" i="10"/>
  <c r="BJ88" i="10"/>
  <c r="BI86" i="10"/>
  <c r="BI84" i="10"/>
  <c r="BJ107" i="10"/>
  <c r="BH105" i="10"/>
  <c r="BH103" i="10"/>
  <c r="BG101" i="10"/>
  <c r="BG99" i="10"/>
  <c r="BL96" i="10"/>
  <c r="BJ94" i="10"/>
  <c r="BJ92" i="10"/>
  <c r="BI90" i="10"/>
  <c r="BI88" i="10"/>
  <c r="BH86" i="10"/>
  <c r="BG107" i="10"/>
  <c r="BI98" i="10"/>
  <c r="BL89" i="10"/>
  <c r="BG105" i="10"/>
  <c r="BJ96" i="10"/>
  <c r="BL87" i="10"/>
  <c r="BH107" i="10"/>
  <c r="BJ98" i="10"/>
  <c r="BL104" i="10"/>
  <c r="BI96" i="10"/>
  <c r="BK87" i="10"/>
  <c r="BH90" i="10"/>
  <c r="BG103" i="10"/>
  <c r="BI94" i="10"/>
  <c r="BL85" i="10"/>
  <c r="BJ102" i="10"/>
  <c r="BH94" i="10"/>
  <c r="BK85" i="10"/>
  <c r="BL100" i="10"/>
  <c r="BI92" i="10"/>
  <c r="BJ100" i="10"/>
  <c r="BL91" i="10"/>
  <c r="F108" i="10"/>
  <c r="K108" i="10"/>
  <c r="N100" i="10"/>
  <c r="N7" i="10" s="1"/>
  <c r="O108" i="10"/>
  <c r="P100" i="9"/>
  <c r="N100" i="9"/>
  <c r="F57" i="9"/>
  <c r="E57" i="9"/>
  <c r="C57" i="9"/>
  <c r="D57" i="9"/>
  <c r="B57" i="9"/>
  <c r="AH125" i="9"/>
  <c r="AI125" i="9"/>
  <c r="AH124" i="9"/>
  <c r="AI124" i="9"/>
  <c r="O246" i="12" l="1"/>
  <c r="N118" i="12"/>
  <c r="N252" i="12"/>
  <c r="K251" i="11"/>
  <c r="J118" i="11"/>
  <c r="J252" i="11"/>
  <c r="N246" i="11"/>
  <c r="AT8" i="10"/>
  <c r="AI108" i="10"/>
  <c r="K6" i="10"/>
  <c r="AT9" i="10"/>
  <c r="G247" i="10"/>
  <c r="F252" i="10"/>
  <c r="AI99" i="10"/>
  <c r="AH99" i="10"/>
  <c r="AH108" i="10"/>
  <c r="I118" i="10"/>
  <c r="J246" i="10"/>
  <c r="AG252" i="9"/>
  <c r="C252" i="9"/>
  <c r="D251" i="9"/>
  <c r="D250" i="9"/>
  <c r="E250" i="9" s="1"/>
  <c r="F250" i="9" s="1"/>
  <c r="G250" i="9" s="1"/>
  <c r="H250" i="9" s="1"/>
  <c r="I250" i="9" s="1"/>
  <c r="J250" i="9" s="1"/>
  <c r="K250" i="9" s="1"/>
  <c r="L250" i="9" s="1"/>
  <c r="M250" i="9" s="1"/>
  <c r="N250" i="9" s="1"/>
  <c r="O250" i="9" s="1"/>
  <c r="P250" i="9" s="1"/>
  <c r="Q250" i="9" s="1"/>
  <c r="R250" i="9" s="1"/>
  <c r="S250" i="9" s="1"/>
  <c r="T250" i="9" s="1"/>
  <c r="U250" i="9" s="1"/>
  <c r="V250" i="9" s="1"/>
  <c r="W250" i="9" s="1"/>
  <c r="X250" i="9" s="1"/>
  <c r="Y250" i="9" s="1"/>
  <c r="Z250" i="9" s="1"/>
  <c r="AA250" i="9" s="1"/>
  <c r="AB250" i="9" s="1"/>
  <c r="AC250" i="9" s="1"/>
  <c r="AD250" i="9" s="1"/>
  <c r="AE250" i="9" s="1"/>
  <c r="AF250" i="9" s="1"/>
  <c r="B250" i="9" s="1"/>
  <c r="D249" i="9"/>
  <c r="E249" i="9" s="1"/>
  <c r="F249" i="9" s="1"/>
  <c r="G249" i="9" s="1"/>
  <c r="H249" i="9" s="1"/>
  <c r="I249" i="9" s="1"/>
  <c r="J249" i="9" s="1"/>
  <c r="K249" i="9" s="1"/>
  <c r="L249" i="9" s="1"/>
  <c r="M249" i="9" s="1"/>
  <c r="N249" i="9" s="1"/>
  <c r="O249" i="9" s="1"/>
  <c r="P249" i="9" s="1"/>
  <c r="Q249" i="9" s="1"/>
  <c r="R249" i="9" s="1"/>
  <c r="S249" i="9" s="1"/>
  <c r="T249" i="9" s="1"/>
  <c r="U249" i="9" s="1"/>
  <c r="V249" i="9" s="1"/>
  <c r="W249" i="9" s="1"/>
  <c r="X249" i="9" s="1"/>
  <c r="Y249" i="9" s="1"/>
  <c r="Z249" i="9" s="1"/>
  <c r="AA249" i="9" s="1"/>
  <c r="AB249" i="9" s="1"/>
  <c r="AC249" i="9" s="1"/>
  <c r="AD249" i="9" s="1"/>
  <c r="AE249" i="9" s="1"/>
  <c r="AF249" i="9" s="1"/>
  <c r="B249" i="9" s="1"/>
  <c r="D248" i="9"/>
  <c r="E248" i="9" s="1"/>
  <c r="F248" i="9" s="1"/>
  <c r="G248" i="9" s="1"/>
  <c r="H248" i="9" s="1"/>
  <c r="I248" i="9" s="1"/>
  <c r="J248" i="9" s="1"/>
  <c r="K248" i="9" s="1"/>
  <c r="L248" i="9" s="1"/>
  <c r="M248" i="9" s="1"/>
  <c r="N248" i="9" s="1"/>
  <c r="O248" i="9" s="1"/>
  <c r="P248" i="9" s="1"/>
  <c r="Q248" i="9" s="1"/>
  <c r="R248" i="9" s="1"/>
  <c r="S248" i="9" s="1"/>
  <c r="T248" i="9" s="1"/>
  <c r="U248" i="9" s="1"/>
  <c r="V248" i="9" s="1"/>
  <c r="W248" i="9" s="1"/>
  <c r="X248" i="9" s="1"/>
  <c r="Y248" i="9" s="1"/>
  <c r="Z248" i="9" s="1"/>
  <c r="AA248" i="9" s="1"/>
  <c r="AB248" i="9" s="1"/>
  <c r="AC248" i="9" s="1"/>
  <c r="AD248" i="9" s="1"/>
  <c r="AE248" i="9" s="1"/>
  <c r="AF248" i="9" s="1"/>
  <c r="B248" i="9" s="1"/>
  <c r="D247" i="9"/>
  <c r="D246" i="9"/>
  <c r="E246" i="9" s="1"/>
  <c r="F246" i="9" s="1"/>
  <c r="G246" i="9" s="1"/>
  <c r="AG244" i="9"/>
  <c r="AF244" i="9"/>
  <c r="AE244" i="9"/>
  <c r="AD244" i="9"/>
  <c r="AC244" i="9"/>
  <c r="AB244" i="9"/>
  <c r="AA244" i="9"/>
  <c r="Z244" i="9"/>
  <c r="Z118" i="9" s="1"/>
  <c r="Y244" i="9"/>
  <c r="Y118" i="9" s="1"/>
  <c r="X244" i="9"/>
  <c r="W244" i="9"/>
  <c r="V244" i="9"/>
  <c r="U244" i="9"/>
  <c r="T244" i="9"/>
  <c r="S244" i="9"/>
  <c r="R244" i="9"/>
  <c r="Q244" i="9"/>
  <c r="P244" i="9"/>
  <c r="O244" i="9"/>
  <c r="N244" i="9"/>
  <c r="M244" i="9"/>
  <c r="L244" i="9"/>
  <c r="K244" i="9"/>
  <c r="J244" i="9"/>
  <c r="I244" i="9"/>
  <c r="H244" i="9"/>
  <c r="G244" i="9"/>
  <c r="F244" i="9"/>
  <c r="E244" i="9"/>
  <c r="D244" i="9"/>
  <c r="C244" i="9"/>
  <c r="B244" i="9"/>
  <c r="AI130" i="9"/>
  <c r="AH130" i="9"/>
  <c r="AI129" i="9"/>
  <c r="AH129" i="9"/>
  <c r="AI128" i="9"/>
  <c r="AH128" i="9"/>
  <c r="AI127" i="9"/>
  <c r="AH127" i="9"/>
  <c r="AI126" i="9"/>
  <c r="AH126" i="9"/>
  <c r="AI123" i="9"/>
  <c r="AH123" i="9"/>
  <c r="AI122" i="9"/>
  <c r="AH122" i="9"/>
  <c r="AI121" i="9"/>
  <c r="AH121" i="9"/>
  <c r="AI120" i="9"/>
  <c r="AH120" i="9"/>
  <c r="AI119" i="9"/>
  <c r="AH119" i="9"/>
  <c r="C118" i="9"/>
  <c r="AI117" i="9"/>
  <c r="AH117" i="9"/>
  <c r="AI116" i="9"/>
  <c r="AH116" i="9"/>
  <c r="AI115" i="9"/>
  <c r="AH115" i="9"/>
  <c r="AI114" i="9"/>
  <c r="AH114" i="9"/>
  <c r="AI113" i="9"/>
  <c r="AH113" i="9"/>
  <c r="AI112" i="9"/>
  <c r="AH112" i="9"/>
  <c r="AI111" i="9"/>
  <c r="AH111" i="9"/>
  <c r="AI110" i="9"/>
  <c r="AH110" i="9"/>
  <c r="AI109" i="9"/>
  <c r="AH109" i="9"/>
  <c r="AI106" i="9"/>
  <c r="AH106" i="9"/>
  <c r="AF105" i="9"/>
  <c r="AE105" i="9"/>
  <c r="AD105" i="9"/>
  <c r="AC105" i="9"/>
  <c r="AB105" i="9"/>
  <c r="AA105" i="9"/>
  <c r="Y105" i="9"/>
  <c r="X105" i="9"/>
  <c r="W105" i="9"/>
  <c r="V105" i="9"/>
  <c r="U105" i="9"/>
  <c r="T105" i="9"/>
  <c r="S105" i="9"/>
  <c r="R105" i="9"/>
  <c r="Q105" i="9"/>
  <c r="O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AF104" i="9"/>
  <c r="AE104" i="9"/>
  <c r="AD104" i="9"/>
  <c r="AC104" i="9"/>
  <c r="AB104" i="9"/>
  <c r="AA104" i="9"/>
  <c r="Y104" i="9"/>
  <c r="X104" i="9"/>
  <c r="W104" i="9"/>
  <c r="V104" i="9"/>
  <c r="U104" i="9"/>
  <c r="T104" i="9"/>
  <c r="S104" i="9"/>
  <c r="R104" i="9"/>
  <c r="Q104" i="9"/>
  <c r="O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AF103" i="9"/>
  <c r="AE103" i="9"/>
  <c r="AD103" i="9"/>
  <c r="AC103" i="9"/>
  <c r="AB103" i="9"/>
  <c r="AA103" i="9"/>
  <c r="Y103" i="9"/>
  <c r="X103" i="9"/>
  <c r="W103" i="9"/>
  <c r="V103" i="9"/>
  <c r="U103" i="9"/>
  <c r="T103" i="9"/>
  <c r="S103" i="9"/>
  <c r="R103" i="9"/>
  <c r="Q103" i="9"/>
  <c r="O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AF102" i="9"/>
  <c r="AE102" i="9"/>
  <c r="AD102" i="9"/>
  <c r="AC102" i="9"/>
  <c r="AB102" i="9"/>
  <c r="AA102" i="9"/>
  <c r="Y102" i="9"/>
  <c r="X102" i="9"/>
  <c r="W102" i="9"/>
  <c r="V102" i="9"/>
  <c r="U102" i="9"/>
  <c r="T102" i="9"/>
  <c r="S102" i="9"/>
  <c r="R102" i="9"/>
  <c r="Q102" i="9"/>
  <c r="O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AF101" i="9"/>
  <c r="AE101" i="9"/>
  <c r="AD101" i="9"/>
  <c r="AC101" i="9"/>
  <c r="AB101" i="9"/>
  <c r="AA101" i="9"/>
  <c r="Y101" i="9"/>
  <c r="X101" i="9"/>
  <c r="W101" i="9"/>
  <c r="V101" i="9"/>
  <c r="U101" i="9"/>
  <c r="T101" i="9"/>
  <c r="S101" i="9"/>
  <c r="R101" i="9"/>
  <c r="Q101" i="9"/>
  <c r="O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AI98" i="9"/>
  <c r="AH98" i="9"/>
  <c r="AI96" i="9"/>
  <c r="AH96" i="9"/>
  <c r="AG96" i="9"/>
  <c r="AI95" i="9"/>
  <c r="AH95" i="9"/>
  <c r="AI94" i="9"/>
  <c r="AH94" i="9"/>
  <c r="AI93" i="9"/>
  <c r="AH93" i="9"/>
  <c r="AG92" i="9"/>
  <c r="AF92" i="9"/>
  <c r="AE92" i="9"/>
  <c r="BI19" i="9" s="1"/>
  <c r="AD92" i="9"/>
  <c r="BH19" i="9" s="1"/>
  <c r="AC92" i="9"/>
  <c r="AB5" i="9" s="1"/>
  <c r="AB92" i="9"/>
  <c r="BG19" i="9" s="1"/>
  <c r="AA92" i="9"/>
  <c r="Z5" i="9" s="1"/>
  <c r="Y5" i="9"/>
  <c r="Y92" i="9"/>
  <c r="X5" i="9" s="1"/>
  <c r="X92" i="9"/>
  <c r="W5" i="9" s="1"/>
  <c r="W92" i="9"/>
  <c r="V5" i="9" s="1"/>
  <c r="V92" i="9"/>
  <c r="U5" i="9" s="1"/>
  <c r="U92" i="9"/>
  <c r="T5" i="9" s="1"/>
  <c r="T92" i="9"/>
  <c r="S5" i="9" s="1"/>
  <c r="S92" i="9"/>
  <c r="R5" i="9" s="1"/>
  <c r="R92" i="9"/>
  <c r="AZ19" i="9" s="1"/>
  <c r="Q92" i="9"/>
  <c r="P5" i="9" s="1"/>
  <c r="O92" i="9"/>
  <c r="O97" i="9" s="1"/>
  <c r="O99" i="9" s="1"/>
  <c r="M92" i="9"/>
  <c r="L5" i="9" s="1"/>
  <c r="L92" i="9"/>
  <c r="K92" i="9"/>
  <c r="J92" i="9"/>
  <c r="I5" i="9" s="1"/>
  <c r="I92" i="9"/>
  <c r="AS19" i="9" s="1"/>
  <c r="H92" i="9"/>
  <c r="G92" i="9"/>
  <c r="AR19" i="9" s="1"/>
  <c r="F92" i="9"/>
  <c r="AQ19" i="9" s="1"/>
  <c r="E92" i="9"/>
  <c r="D5" i="9" s="1"/>
  <c r="D92" i="9"/>
  <c r="C92" i="9"/>
  <c r="B92" i="9"/>
  <c r="AM19" i="9" s="1"/>
  <c r="AI91" i="9"/>
  <c r="AH91" i="9"/>
  <c r="AI90" i="9"/>
  <c r="AH90" i="9"/>
  <c r="AI89" i="9"/>
  <c r="AH89" i="9"/>
  <c r="AI88" i="9"/>
  <c r="AH88" i="9"/>
  <c r="AI87" i="9"/>
  <c r="AH87" i="9"/>
  <c r="AI86" i="9"/>
  <c r="AH86" i="9"/>
  <c r="AI85" i="9"/>
  <c r="AH85" i="9"/>
  <c r="AI84" i="9"/>
  <c r="AH84" i="9"/>
  <c r="AI83" i="9"/>
  <c r="AH83" i="9"/>
  <c r="AI82" i="9"/>
  <c r="AH82" i="9"/>
  <c r="AI81" i="9"/>
  <c r="AH81" i="9"/>
  <c r="AG80" i="9"/>
  <c r="AF80" i="9"/>
  <c r="BJ20" i="9" s="1"/>
  <c r="AE80" i="9"/>
  <c r="BI20" i="9" s="1"/>
  <c r="AD80" i="9"/>
  <c r="BH20" i="9" s="1"/>
  <c r="AC80" i="9"/>
  <c r="AB80" i="9"/>
  <c r="BG20" i="9" s="1"/>
  <c r="AA80" i="9"/>
  <c r="Y80" i="9"/>
  <c r="X80" i="9"/>
  <c r="W80" i="9"/>
  <c r="V80" i="9"/>
  <c r="BD20" i="9" s="1"/>
  <c r="U80" i="9"/>
  <c r="BC20" i="9" s="1"/>
  <c r="T80" i="9"/>
  <c r="BB20" i="9" s="1"/>
  <c r="S80" i="9"/>
  <c r="BA20" i="9" s="1"/>
  <c r="R80" i="9"/>
  <c r="Q80" i="9"/>
  <c r="AY20" i="9" s="1"/>
  <c r="AX20" i="9"/>
  <c r="AV20" i="9"/>
  <c r="M80" i="9"/>
  <c r="L80" i="9"/>
  <c r="K80" i="9"/>
  <c r="J80" i="9"/>
  <c r="I80" i="9"/>
  <c r="AS20" i="9" s="1"/>
  <c r="H80" i="9"/>
  <c r="G80" i="9"/>
  <c r="F80" i="9"/>
  <c r="AQ20" i="9" s="1"/>
  <c r="E80" i="9"/>
  <c r="AP20" i="9" s="1"/>
  <c r="D80" i="9"/>
  <c r="AO20" i="9" s="1"/>
  <c r="C80" i="9"/>
  <c r="AN20" i="9" s="1"/>
  <c r="B80" i="9"/>
  <c r="AI79" i="9"/>
  <c r="AH79" i="9"/>
  <c r="AI78" i="9"/>
  <c r="AH78" i="9"/>
  <c r="AI77" i="9"/>
  <c r="AH77" i="9"/>
  <c r="AF76" i="9"/>
  <c r="BJ18" i="9" s="1"/>
  <c r="AE76" i="9"/>
  <c r="BI18" i="9" s="1"/>
  <c r="AD76" i="9"/>
  <c r="BH18" i="9" s="1"/>
  <c r="AC76" i="9"/>
  <c r="AB76" i="9"/>
  <c r="BG18" i="9" s="1"/>
  <c r="AA76" i="9"/>
  <c r="BF18" i="9"/>
  <c r="Y76" i="9"/>
  <c r="X76" i="9"/>
  <c r="BE18" i="9" s="1"/>
  <c r="W76" i="9"/>
  <c r="V76" i="9"/>
  <c r="BD18" i="9" s="1"/>
  <c r="U76" i="9"/>
  <c r="BC18" i="9" s="1"/>
  <c r="T76" i="9"/>
  <c r="BB18" i="9" s="1"/>
  <c r="S76" i="9"/>
  <c r="BA18" i="9" s="1"/>
  <c r="R76" i="9"/>
  <c r="AZ18" i="9" s="1"/>
  <c r="Q76" i="9"/>
  <c r="AX18" i="9"/>
  <c r="AW18" i="9"/>
  <c r="AV18" i="9"/>
  <c r="M76" i="9"/>
  <c r="AU18" i="9" s="1"/>
  <c r="L76" i="9"/>
  <c r="K76" i="9"/>
  <c r="J76" i="9"/>
  <c r="I76" i="9"/>
  <c r="H76" i="9"/>
  <c r="G76" i="9"/>
  <c r="F76" i="9"/>
  <c r="AQ18" i="9" s="1"/>
  <c r="E76" i="9"/>
  <c r="AP18" i="9" s="1"/>
  <c r="D76" i="9"/>
  <c r="AO18" i="9" s="1"/>
  <c r="C76" i="9"/>
  <c r="AN18" i="9" s="1"/>
  <c r="B76" i="9"/>
  <c r="AM18" i="9" s="1"/>
  <c r="AI75" i="9"/>
  <c r="AH75" i="9"/>
  <c r="AG75" i="9"/>
  <c r="AG76" i="9" s="1"/>
  <c r="AI74" i="9"/>
  <c r="AH74" i="9"/>
  <c r="BW73" i="9"/>
  <c r="BW80" i="9" s="1"/>
  <c r="BV73" i="9"/>
  <c r="BV80" i="9" s="1"/>
  <c r="BU73" i="9"/>
  <c r="BU80" i="9" s="1"/>
  <c r="BT73" i="9"/>
  <c r="BT80" i="9" s="1"/>
  <c r="BS73" i="9"/>
  <c r="BS80" i="9" s="1"/>
  <c r="BR73" i="9"/>
  <c r="BR80" i="9" s="1"/>
  <c r="BQ73" i="9"/>
  <c r="BQ80" i="9" s="1"/>
  <c r="BP73" i="9"/>
  <c r="BP80" i="9" s="1"/>
  <c r="BO73" i="9"/>
  <c r="BO80" i="9" s="1"/>
  <c r="BN73" i="9"/>
  <c r="BN80" i="9" s="1"/>
  <c r="BM73" i="9"/>
  <c r="BM80" i="9" s="1"/>
  <c r="BL73" i="9"/>
  <c r="BL80" i="9" s="1"/>
  <c r="BK73" i="9"/>
  <c r="BK80" i="9" s="1"/>
  <c r="BJ73" i="9"/>
  <c r="BJ80" i="9" s="1"/>
  <c r="BI73" i="9"/>
  <c r="BI80" i="9" s="1"/>
  <c r="BH73" i="9"/>
  <c r="BH80" i="9" s="1"/>
  <c r="BG73" i="9"/>
  <c r="BG80" i="9" s="1"/>
  <c r="BF73" i="9"/>
  <c r="BF80" i="9" s="1"/>
  <c r="BE73" i="9"/>
  <c r="BE80" i="9" s="1"/>
  <c r="BD73" i="9"/>
  <c r="BD80" i="9" s="1"/>
  <c r="BC73" i="9"/>
  <c r="BC80" i="9" s="1"/>
  <c r="BB73" i="9"/>
  <c r="BB80" i="9" s="1"/>
  <c r="BA73" i="9"/>
  <c r="BA80" i="9" s="1"/>
  <c r="AZ73" i="9"/>
  <c r="AZ80" i="9" s="1"/>
  <c r="AI73" i="9"/>
  <c r="AH73" i="9"/>
  <c r="BW72" i="9"/>
  <c r="BW79" i="9" s="1"/>
  <c r="BV72" i="9"/>
  <c r="BV79" i="9" s="1"/>
  <c r="BU72" i="9"/>
  <c r="BU79" i="9" s="1"/>
  <c r="BT72" i="9"/>
  <c r="BT79" i="9" s="1"/>
  <c r="BS72" i="9"/>
  <c r="BS79" i="9" s="1"/>
  <c r="BR72" i="9"/>
  <c r="BR79" i="9" s="1"/>
  <c r="BQ72" i="9"/>
  <c r="BQ79" i="9" s="1"/>
  <c r="BP72" i="9"/>
  <c r="BP79" i="9" s="1"/>
  <c r="BO72" i="9"/>
  <c r="BO79" i="9" s="1"/>
  <c r="BN72" i="9"/>
  <c r="BN79" i="9" s="1"/>
  <c r="BM72" i="9"/>
  <c r="BM79" i="9" s="1"/>
  <c r="BL72" i="9"/>
  <c r="BL79" i="9" s="1"/>
  <c r="BK72" i="9"/>
  <c r="BK79" i="9" s="1"/>
  <c r="BJ72" i="9"/>
  <c r="BJ79" i="9" s="1"/>
  <c r="BI72" i="9"/>
  <c r="BI79" i="9" s="1"/>
  <c r="BH72" i="9"/>
  <c r="BH79" i="9" s="1"/>
  <c r="BG72" i="9"/>
  <c r="BG79" i="9" s="1"/>
  <c r="BF72" i="9"/>
  <c r="BF79" i="9" s="1"/>
  <c r="BE72" i="9"/>
  <c r="BE79" i="9" s="1"/>
  <c r="BD72" i="9"/>
  <c r="BD79" i="9" s="1"/>
  <c r="BC72" i="9"/>
  <c r="BC79" i="9" s="1"/>
  <c r="BB72" i="9"/>
  <c r="BB79" i="9" s="1"/>
  <c r="BA72" i="9"/>
  <c r="BA79" i="9" s="1"/>
  <c r="AZ72" i="9"/>
  <c r="AZ79" i="9" s="1"/>
  <c r="AI72" i="9"/>
  <c r="AH72" i="9"/>
  <c r="BW71" i="9"/>
  <c r="BW78" i="9" s="1"/>
  <c r="BV71" i="9"/>
  <c r="BV78" i="9" s="1"/>
  <c r="BU71" i="9"/>
  <c r="BU78" i="9" s="1"/>
  <c r="BT71" i="9"/>
  <c r="BT78" i="9" s="1"/>
  <c r="BS71" i="9"/>
  <c r="BS78" i="9" s="1"/>
  <c r="BR71" i="9"/>
  <c r="BR78" i="9" s="1"/>
  <c r="BQ71" i="9"/>
  <c r="BQ78" i="9" s="1"/>
  <c r="BP71" i="9"/>
  <c r="BP78" i="9" s="1"/>
  <c r="BO71" i="9"/>
  <c r="BO78" i="9" s="1"/>
  <c r="BN71" i="9"/>
  <c r="BN78" i="9" s="1"/>
  <c r="BM71" i="9"/>
  <c r="BM78" i="9" s="1"/>
  <c r="BL71" i="9"/>
  <c r="BL78" i="9" s="1"/>
  <c r="BK71" i="9"/>
  <c r="BK78" i="9" s="1"/>
  <c r="BJ71" i="9"/>
  <c r="BJ78" i="9" s="1"/>
  <c r="BI71" i="9"/>
  <c r="BI78" i="9" s="1"/>
  <c r="BH71" i="9"/>
  <c r="BH78" i="9" s="1"/>
  <c r="BG71" i="9"/>
  <c r="BG78" i="9" s="1"/>
  <c r="BF71" i="9"/>
  <c r="BF78" i="9" s="1"/>
  <c r="BE71" i="9"/>
  <c r="BE78" i="9" s="1"/>
  <c r="BD71" i="9"/>
  <c r="BD78" i="9" s="1"/>
  <c r="BC71" i="9"/>
  <c r="BC78" i="9" s="1"/>
  <c r="BB71" i="9"/>
  <c r="BB78" i="9" s="1"/>
  <c r="BA71" i="9"/>
  <c r="BA78" i="9" s="1"/>
  <c r="AZ71" i="9"/>
  <c r="AZ78" i="9" s="1"/>
  <c r="AI71" i="9"/>
  <c r="AH71" i="9"/>
  <c r="BW70" i="9"/>
  <c r="BW77" i="9" s="1"/>
  <c r="BV70" i="9"/>
  <c r="BV77" i="9" s="1"/>
  <c r="BU70" i="9"/>
  <c r="BU77" i="9" s="1"/>
  <c r="BT70" i="9"/>
  <c r="BT77" i="9" s="1"/>
  <c r="BS70" i="9"/>
  <c r="BS77" i="9" s="1"/>
  <c r="BR70" i="9"/>
  <c r="BR77" i="9" s="1"/>
  <c r="BQ70" i="9"/>
  <c r="BQ77" i="9" s="1"/>
  <c r="BP70" i="9"/>
  <c r="BP77" i="9" s="1"/>
  <c r="BO70" i="9"/>
  <c r="BO77" i="9" s="1"/>
  <c r="BN70" i="9"/>
  <c r="BN77" i="9" s="1"/>
  <c r="BM70" i="9"/>
  <c r="BM77" i="9" s="1"/>
  <c r="BL70" i="9"/>
  <c r="BL77" i="9" s="1"/>
  <c r="BK70" i="9"/>
  <c r="BK77" i="9" s="1"/>
  <c r="BJ70" i="9"/>
  <c r="BJ77" i="9" s="1"/>
  <c r="BI70" i="9"/>
  <c r="BI77" i="9" s="1"/>
  <c r="BH70" i="9"/>
  <c r="BH77" i="9" s="1"/>
  <c r="BG70" i="9"/>
  <c r="BG77" i="9" s="1"/>
  <c r="BF70" i="9"/>
  <c r="BF77" i="9" s="1"/>
  <c r="BE70" i="9"/>
  <c r="BE77" i="9" s="1"/>
  <c r="BD70" i="9"/>
  <c r="BD77" i="9" s="1"/>
  <c r="BC70" i="9"/>
  <c r="BC77" i="9" s="1"/>
  <c r="BB70" i="9"/>
  <c r="BB77" i="9" s="1"/>
  <c r="BA70" i="9"/>
  <c r="BA77" i="9" s="1"/>
  <c r="AZ70" i="9"/>
  <c r="AZ77" i="9" s="1"/>
  <c r="AI70" i="9"/>
  <c r="AH70" i="9"/>
  <c r="BW69" i="9"/>
  <c r="BW76" i="9" s="1"/>
  <c r="BV69" i="9"/>
  <c r="BV76" i="9" s="1"/>
  <c r="BU69" i="9"/>
  <c r="BU76" i="9" s="1"/>
  <c r="BT69" i="9"/>
  <c r="BT76" i="9" s="1"/>
  <c r="BS69" i="9"/>
  <c r="BS76" i="9" s="1"/>
  <c r="BR69" i="9"/>
  <c r="BR76" i="9" s="1"/>
  <c r="BQ69" i="9"/>
  <c r="BQ76" i="9" s="1"/>
  <c r="BP69" i="9"/>
  <c r="BP76" i="9" s="1"/>
  <c r="BO69" i="9"/>
  <c r="BO76" i="9" s="1"/>
  <c r="BN69" i="9"/>
  <c r="BN76" i="9" s="1"/>
  <c r="BM69" i="9"/>
  <c r="BM76" i="9" s="1"/>
  <c r="BL69" i="9"/>
  <c r="BL76" i="9" s="1"/>
  <c r="BK69" i="9"/>
  <c r="BK76" i="9" s="1"/>
  <c r="BJ69" i="9"/>
  <c r="BJ76" i="9" s="1"/>
  <c r="BI69" i="9"/>
  <c r="BI76" i="9" s="1"/>
  <c r="BH69" i="9"/>
  <c r="BH76" i="9" s="1"/>
  <c r="BG69" i="9"/>
  <c r="BG76" i="9" s="1"/>
  <c r="BF69" i="9"/>
  <c r="BF76" i="9" s="1"/>
  <c r="BE69" i="9"/>
  <c r="BE76" i="9" s="1"/>
  <c r="BD69" i="9"/>
  <c r="BD76" i="9" s="1"/>
  <c r="BC69" i="9"/>
  <c r="BC76" i="9" s="1"/>
  <c r="BB69" i="9"/>
  <c r="BB76" i="9" s="1"/>
  <c r="BA69" i="9"/>
  <c r="BA76" i="9" s="1"/>
  <c r="AZ69" i="9"/>
  <c r="AZ76" i="9" s="1"/>
  <c r="AI69" i="9"/>
  <c r="AH69" i="9"/>
  <c r="BW68" i="9"/>
  <c r="BW75" i="9" s="1"/>
  <c r="BV68" i="9"/>
  <c r="BV75" i="9" s="1"/>
  <c r="BU68" i="9"/>
  <c r="BU75" i="9" s="1"/>
  <c r="BT68" i="9"/>
  <c r="BT75" i="9" s="1"/>
  <c r="BS68" i="9"/>
  <c r="BS75" i="9" s="1"/>
  <c r="BR68" i="9"/>
  <c r="BR75" i="9" s="1"/>
  <c r="BQ68" i="9"/>
  <c r="BQ75" i="9" s="1"/>
  <c r="BP68" i="9"/>
  <c r="BP75" i="9" s="1"/>
  <c r="BO68" i="9"/>
  <c r="BO75" i="9" s="1"/>
  <c r="BN68" i="9"/>
  <c r="BN75" i="9" s="1"/>
  <c r="BM68" i="9"/>
  <c r="BM75" i="9" s="1"/>
  <c r="BL68" i="9"/>
  <c r="BL75" i="9" s="1"/>
  <c r="BK68" i="9"/>
  <c r="BK75" i="9" s="1"/>
  <c r="BJ68" i="9"/>
  <c r="BJ75" i="9" s="1"/>
  <c r="BI68" i="9"/>
  <c r="BI75" i="9" s="1"/>
  <c r="BH68" i="9"/>
  <c r="BH75" i="9" s="1"/>
  <c r="BG68" i="9"/>
  <c r="BG75" i="9" s="1"/>
  <c r="BF68" i="9"/>
  <c r="BF75" i="9" s="1"/>
  <c r="BE68" i="9"/>
  <c r="BE75" i="9" s="1"/>
  <c r="BD68" i="9"/>
  <c r="BD75" i="9" s="1"/>
  <c r="BC68" i="9"/>
  <c r="BC75" i="9" s="1"/>
  <c r="BB68" i="9"/>
  <c r="BB75" i="9" s="1"/>
  <c r="BA68" i="9"/>
  <c r="BA75" i="9" s="1"/>
  <c r="AZ68" i="9"/>
  <c r="AZ75" i="9" s="1"/>
  <c r="AI68" i="9"/>
  <c r="AH68" i="9"/>
  <c r="AI67" i="9"/>
  <c r="AH67" i="9"/>
  <c r="AI66" i="9"/>
  <c r="AH66" i="9"/>
  <c r="AI65" i="9"/>
  <c r="AH65" i="9"/>
  <c r="AI64" i="9"/>
  <c r="AH64" i="9"/>
  <c r="AI63" i="9"/>
  <c r="AH63" i="9"/>
  <c r="AG62" i="9"/>
  <c r="AF62" i="9"/>
  <c r="BJ17" i="9" s="1"/>
  <c r="AE62" i="9"/>
  <c r="BI17" i="9" s="1"/>
  <c r="BH17" i="9"/>
  <c r="AB62" i="9"/>
  <c r="BG17" i="9" s="1"/>
  <c r="AA62" i="9"/>
  <c r="BF17" i="9"/>
  <c r="Y62" i="9"/>
  <c r="X62" i="9"/>
  <c r="BE17" i="9" s="1"/>
  <c r="W62" i="9"/>
  <c r="V62" i="9"/>
  <c r="U62" i="9"/>
  <c r="BC17" i="9" s="1"/>
  <c r="T62" i="9"/>
  <c r="BB17" i="9" s="1"/>
  <c r="S62" i="9"/>
  <c r="BA17" i="9" s="1"/>
  <c r="R62" i="9"/>
  <c r="AZ17" i="9" s="1"/>
  <c r="Q62" i="9"/>
  <c r="AY17" i="9" s="1"/>
  <c r="M62" i="9"/>
  <c r="AU17" i="9" s="1"/>
  <c r="L62" i="9"/>
  <c r="K62" i="9"/>
  <c r="AT17" i="9" s="1"/>
  <c r="J62" i="9"/>
  <c r="I62" i="9"/>
  <c r="AS17" i="9" s="1"/>
  <c r="H62" i="9"/>
  <c r="G62" i="9"/>
  <c r="F62" i="9"/>
  <c r="AQ17" i="9" s="1"/>
  <c r="E62" i="9"/>
  <c r="AP17" i="9" s="1"/>
  <c r="D62" i="9"/>
  <c r="AO17" i="9" s="1"/>
  <c r="C62" i="9"/>
  <c r="AN17" i="9" s="1"/>
  <c r="B62" i="9"/>
  <c r="AM17" i="9" s="1"/>
  <c r="AI61" i="9"/>
  <c r="AH61" i="9"/>
  <c r="AI60" i="9"/>
  <c r="AH60" i="9"/>
  <c r="AI59" i="9"/>
  <c r="AH59" i="9"/>
  <c r="AG58" i="9"/>
  <c r="AG2" i="9" s="1"/>
  <c r="AF58" i="9"/>
  <c r="AE58" i="9"/>
  <c r="AB58" i="9"/>
  <c r="BG16" i="9" s="1"/>
  <c r="AA58" i="9"/>
  <c r="Y58" i="9"/>
  <c r="BE16" i="9"/>
  <c r="W58" i="9"/>
  <c r="V58" i="9"/>
  <c r="BD16" i="9" s="1"/>
  <c r="U58" i="9"/>
  <c r="T58" i="9"/>
  <c r="BB16" i="9" s="1"/>
  <c r="S58" i="9"/>
  <c r="R58" i="9"/>
  <c r="Q58" i="9"/>
  <c r="AY16" i="9" s="1"/>
  <c r="M58" i="9"/>
  <c r="L58" i="9"/>
  <c r="K58" i="9"/>
  <c r="J58" i="9"/>
  <c r="I58" i="9"/>
  <c r="H58" i="9"/>
  <c r="G58" i="9"/>
  <c r="F58" i="9"/>
  <c r="AQ16" i="9" s="1"/>
  <c r="E58" i="9"/>
  <c r="D58" i="9"/>
  <c r="AO16" i="9" s="1"/>
  <c r="C58" i="9"/>
  <c r="AN16" i="9" s="1"/>
  <c r="B58" i="9"/>
  <c r="AI57" i="9"/>
  <c r="AH57" i="9"/>
  <c r="AI56" i="9"/>
  <c r="AH56" i="9"/>
  <c r="AI55" i="9"/>
  <c r="AH55" i="9"/>
  <c r="AI54" i="9"/>
  <c r="AH54" i="9"/>
  <c r="AI53" i="9"/>
  <c r="AH53" i="9"/>
  <c r="AI52" i="9"/>
  <c r="AH52" i="9"/>
  <c r="AI51" i="9"/>
  <c r="AH51" i="9"/>
  <c r="AI50" i="9"/>
  <c r="AH50" i="9"/>
  <c r="AI49" i="9"/>
  <c r="AH49" i="9"/>
  <c r="AI48" i="9"/>
  <c r="AH48" i="9"/>
  <c r="AI47" i="9"/>
  <c r="AH47" i="9"/>
  <c r="AI46" i="9"/>
  <c r="AH46" i="9"/>
  <c r="AI45" i="9"/>
  <c r="AH45" i="9"/>
  <c r="AI44" i="9"/>
  <c r="AH44" i="9"/>
  <c r="AI43" i="9"/>
  <c r="AH43" i="9"/>
  <c r="AI42" i="9"/>
  <c r="AH42" i="9"/>
  <c r="AI41" i="9"/>
  <c r="AH41" i="9"/>
  <c r="AI40" i="9"/>
  <c r="AH40" i="9"/>
  <c r="AI39" i="9"/>
  <c r="AH39" i="9"/>
  <c r="AI38" i="9"/>
  <c r="AH38" i="9"/>
  <c r="AI37" i="9"/>
  <c r="AH37" i="9"/>
  <c r="AI36" i="9"/>
  <c r="AH36" i="9"/>
  <c r="AI35" i="9"/>
  <c r="AH35" i="9"/>
  <c r="AI34" i="9"/>
  <c r="AH34" i="9"/>
  <c r="AI33" i="9"/>
  <c r="AH33" i="9"/>
  <c r="AI32" i="9"/>
  <c r="AH32" i="9"/>
  <c r="AI31" i="9"/>
  <c r="AH31" i="9"/>
  <c r="AI30" i="9"/>
  <c r="AH30" i="9"/>
  <c r="AI29" i="9"/>
  <c r="AH29" i="9"/>
  <c r="AI28" i="9"/>
  <c r="AH28" i="9"/>
  <c r="AI27" i="9"/>
  <c r="AH27" i="9"/>
  <c r="AI26" i="9"/>
  <c r="AH26" i="9"/>
  <c r="AI25" i="9"/>
  <c r="AH25" i="9"/>
  <c r="AI24" i="9"/>
  <c r="AH24" i="9"/>
  <c r="AI23" i="9"/>
  <c r="AH23" i="9"/>
  <c r="AI22" i="9"/>
  <c r="AH22" i="9"/>
  <c r="BJ21" i="9"/>
  <c r="BI21" i="9"/>
  <c r="BH21" i="9"/>
  <c r="BG21" i="9"/>
  <c r="BF21" i="9"/>
  <c r="BE21" i="9"/>
  <c r="BD21" i="9"/>
  <c r="BC21" i="9"/>
  <c r="BB21" i="9"/>
  <c r="BA21" i="9"/>
  <c r="AZ21" i="9"/>
  <c r="AY21" i="9"/>
  <c r="AX21" i="9"/>
  <c r="AW21" i="9"/>
  <c r="AV21" i="9"/>
  <c r="AU21" i="9"/>
  <c r="AT21" i="9"/>
  <c r="AS21" i="9"/>
  <c r="AR21" i="9"/>
  <c r="AQ21" i="9"/>
  <c r="AP21" i="9"/>
  <c r="AO21" i="9"/>
  <c r="AN21" i="9"/>
  <c r="AM21" i="9"/>
  <c r="AI21" i="9"/>
  <c r="AH21" i="9"/>
  <c r="BF20" i="9"/>
  <c r="BE20" i="9"/>
  <c r="AZ20" i="9"/>
  <c r="AW20" i="9"/>
  <c r="AU20" i="9"/>
  <c r="AT20" i="9"/>
  <c r="AR20" i="9"/>
  <c r="AI20" i="9"/>
  <c r="AH20" i="9"/>
  <c r="BJ19" i="9"/>
  <c r="AX19" i="9"/>
  <c r="AV19" i="9"/>
  <c r="AT19" i="9"/>
  <c r="AO19" i="9"/>
  <c r="AN19" i="9"/>
  <c r="AI19" i="9"/>
  <c r="AH19" i="9"/>
  <c r="AY18" i="9"/>
  <c r="AT18" i="9"/>
  <c r="AS18" i="9"/>
  <c r="AR18" i="9"/>
  <c r="AI18" i="9"/>
  <c r="AH18" i="9"/>
  <c r="BD17" i="9"/>
  <c r="AX17" i="9"/>
  <c r="AW17" i="9"/>
  <c r="AV17" i="9"/>
  <c r="AR17" i="9"/>
  <c r="AI17" i="9"/>
  <c r="AH17" i="9"/>
  <c r="BJ16" i="9"/>
  <c r="BH16" i="9"/>
  <c r="AX16" i="9"/>
  <c r="AW16" i="9"/>
  <c r="AI16" i="9"/>
  <c r="AH16" i="9"/>
  <c r="AI15" i="9"/>
  <c r="AH15" i="9"/>
  <c r="AI14" i="9"/>
  <c r="AH14" i="9"/>
  <c r="AI13" i="9"/>
  <c r="AH13" i="9"/>
  <c r="AL12" i="9"/>
  <c r="AI12" i="9"/>
  <c r="AH12" i="9"/>
  <c r="AI11" i="9"/>
  <c r="AH11" i="9"/>
  <c r="AE5" i="9"/>
  <c r="O5" i="9"/>
  <c r="M5" i="9"/>
  <c r="K5" i="9"/>
  <c r="J5" i="9"/>
  <c r="H5" i="9"/>
  <c r="E5" i="9"/>
  <c r="C5" i="9"/>
  <c r="B5" i="9"/>
  <c r="AG4" i="9"/>
  <c r="K4" i="9"/>
  <c r="E4" i="9"/>
  <c r="H4" i="9" s="1"/>
  <c r="B4" i="9"/>
  <c r="AG3" i="9"/>
  <c r="AF57" i="8"/>
  <c r="AE57" i="8"/>
  <c r="AA58" i="8"/>
  <c r="AA62" i="8"/>
  <c r="AA76" i="8"/>
  <c r="AA80" i="8"/>
  <c r="AA92" i="8"/>
  <c r="AA108" i="8" s="1"/>
  <c r="AA101" i="8"/>
  <c r="AA102" i="8"/>
  <c r="AA103" i="8"/>
  <c r="AA104" i="8"/>
  <c r="AA105" i="8"/>
  <c r="AA118" i="8"/>
  <c r="Z118" i="8"/>
  <c r="Z105" i="8"/>
  <c r="Z104" i="8"/>
  <c r="Z103" i="8"/>
  <c r="Z102" i="8"/>
  <c r="Z101" i="8"/>
  <c r="Z92" i="8"/>
  <c r="Z108" i="8" s="1"/>
  <c r="Z80" i="8"/>
  <c r="Z76" i="8"/>
  <c r="Z62" i="8"/>
  <c r="Z58" i="8"/>
  <c r="Z97" i="8" s="1"/>
  <c r="Z99" i="8" s="1"/>
  <c r="Z100" i="8" s="1"/>
  <c r="Y58" i="8"/>
  <c r="Y62" i="8"/>
  <c r="Y76" i="8"/>
  <c r="Y80" i="8"/>
  <c r="Y92" i="8"/>
  <c r="Y108" i="8" s="1"/>
  <c r="Y101" i="8"/>
  <c r="Y102" i="8"/>
  <c r="Y103" i="8"/>
  <c r="Y104" i="8"/>
  <c r="Y105" i="8"/>
  <c r="Y118" i="8"/>
  <c r="P246" i="12" l="1"/>
  <c r="O252" i="12"/>
  <c r="O118" i="12"/>
  <c r="O246" i="11"/>
  <c r="L251" i="11"/>
  <c r="K252" i="11"/>
  <c r="K118" i="11"/>
  <c r="AH100" i="10"/>
  <c r="B7" i="10"/>
  <c r="A7" i="10" s="1"/>
  <c r="AI100" i="10"/>
  <c r="J118" i="10"/>
  <c r="K246" i="10"/>
  <c r="H247" i="10"/>
  <c r="G252" i="10"/>
  <c r="AD5" i="9"/>
  <c r="AC5" i="9"/>
  <c r="AA5" i="9"/>
  <c r="AA97" i="9"/>
  <c r="AA99" i="9" s="1"/>
  <c r="BF19" i="9"/>
  <c r="BE19" i="9"/>
  <c r="BD19" i="9"/>
  <c r="BB19" i="9"/>
  <c r="BA19" i="9"/>
  <c r="S97" i="9"/>
  <c r="S99" i="9" s="1"/>
  <c r="Q5" i="9"/>
  <c r="AY19" i="9"/>
  <c r="Q107" i="9"/>
  <c r="AY23" i="9" s="1"/>
  <c r="Y107" i="9"/>
  <c r="BB22" i="9"/>
  <c r="R97" i="9"/>
  <c r="R99" i="9" s="1"/>
  <c r="N5" i="9"/>
  <c r="AW19" i="9"/>
  <c r="AW22" i="9"/>
  <c r="AP19" i="9"/>
  <c r="J107" i="9"/>
  <c r="R107" i="9"/>
  <c r="AZ23" i="9" s="1"/>
  <c r="BF23" i="9"/>
  <c r="K107" i="9"/>
  <c r="AT23" i="9" s="1"/>
  <c r="S107" i="9"/>
  <c r="BA23" i="9" s="1"/>
  <c r="AA107" i="9"/>
  <c r="AA100" i="9" s="1"/>
  <c r="AA7" i="9" s="1"/>
  <c r="AB97" i="9"/>
  <c r="AB99" i="9" s="1"/>
  <c r="BC19" i="9"/>
  <c r="T97" i="9"/>
  <c r="T99" i="9" s="1"/>
  <c r="AZ16" i="9"/>
  <c r="AZ22" i="9" s="1"/>
  <c r="AC97" i="9"/>
  <c r="AC99" i="9" s="1"/>
  <c r="AV23" i="9"/>
  <c r="V107" i="9"/>
  <c r="BD23" i="9" s="1"/>
  <c r="AD107" i="9"/>
  <c r="BH23" i="9" s="1"/>
  <c r="N7" i="9"/>
  <c r="Y108" i="9"/>
  <c r="BD22" i="9"/>
  <c r="BH22" i="9"/>
  <c r="W97" i="9"/>
  <c r="W99" i="9" s="1"/>
  <c r="AE97" i="9"/>
  <c r="AE99" i="9" s="1"/>
  <c r="AX22" i="9"/>
  <c r="AA108" i="9"/>
  <c r="BJ22" i="9"/>
  <c r="V97" i="9"/>
  <c r="V99" i="9" s="1"/>
  <c r="AV16" i="9"/>
  <c r="AV22" i="9" s="1"/>
  <c r="BF16" i="9"/>
  <c r="BF22" i="9" s="1"/>
  <c r="Q97" i="9"/>
  <c r="Q99" i="9" s="1"/>
  <c r="Q100" i="9" s="1"/>
  <c r="Q7" i="9" s="1"/>
  <c r="Y97" i="9"/>
  <c r="Y99" i="9" s="1"/>
  <c r="Y100" i="9" s="1"/>
  <c r="Y7" i="9" s="1"/>
  <c r="AX23" i="9"/>
  <c r="X107" i="9"/>
  <c r="BE23" i="9" s="1"/>
  <c r="AF107" i="9"/>
  <c r="AU19" i="9"/>
  <c r="L97" i="9"/>
  <c r="L99" i="9" s="1"/>
  <c r="AI80" i="9"/>
  <c r="K97" i="9"/>
  <c r="K99" i="9" s="1"/>
  <c r="I97" i="9"/>
  <c r="I99" i="9" s="1"/>
  <c r="I107" i="9"/>
  <c r="AS23" i="9" s="1"/>
  <c r="G5" i="9"/>
  <c r="H107" i="9"/>
  <c r="H108" i="9" s="1"/>
  <c r="J97" i="9"/>
  <c r="J99" i="9" s="1"/>
  <c r="J100" i="9" s="1"/>
  <c r="J7" i="9" s="1"/>
  <c r="F5" i="9"/>
  <c r="G97" i="9"/>
  <c r="G99" i="9" s="1"/>
  <c r="AR16" i="9"/>
  <c r="AR22" i="9" s="1"/>
  <c r="F107" i="9"/>
  <c r="AQ23" i="9" s="1"/>
  <c r="F97" i="9"/>
  <c r="F99" i="9" s="1"/>
  <c r="AT16" i="9"/>
  <c r="AT22" i="9" s="1"/>
  <c r="AT24" i="9" s="1"/>
  <c r="E97" i="9"/>
  <c r="E99" i="9" s="1"/>
  <c r="C107" i="9"/>
  <c r="AN23" i="9" s="1"/>
  <c r="AI103" i="9"/>
  <c r="C97" i="9"/>
  <c r="C99" i="9" s="1"/>
  <c r="C100" i="9" s="1"/>
  <c r="C7" i="9" s="1"/>
  <c r="AO22" i="9"/>
  <c r="D97" i="9"/>
  <c r="D99" i="9" s="1"/>
  <c r="AN22" i="9"/>
  <c r="AN24" i="9" s="1"/>
  <c r="AF5" i="9"/>
  <c r="AH105" i="9"/>
  <c r="B97" i="9"/>
  <c r="B99" i="9" s="1"/>
  <c r="D258" i="9"/>
  <c r="AL13" i="9"/>
  <c r="AP16" i="9"/>
  <c r="AQ22" i="9"/>
  <c r="AI62" i="9"/>
  <c r="AG6" i="9"/>
  <c r="AI76" i="9"/>
  <c r="BE22" i="9"/>
  <c r="BG22" i="9"/>
  <c r="M97" i="9"/>
  <c r="M99" i="9" s="1"/>
  <c r="AU16" i="9"/>
  <c r="AU22" i="9" s="1"/>
  <c r="U97" i="9"/>
  <c r="U99" i="9" s="1"/>
  <c r="BC16" i="9"/>
  <c r="AY22" i="9"/>
  <c r="AY24" i="9" s="1"/>
  <c r="AS16" i="9"/>
  <c r="AS22" i="9" s="1"/>
  <c r="BA16" i="9"/>
  <c r="BA22" i="9" s="1"/>
  <c r="BI16" i="9"/>
  <c r="BI22" i="9" s="1"/>
  <c r="AD97" i="9"/>
  <c r="AD99" i="9" s="1"/>
  <c r="AD100" i="9" s="1"/>
  <c r="AD7" i="9" s="1"/>
  <c r="AI102" i="9"/>
  <c r="D252" i="9"/>
  <c r="E247" i="9"/>
  <c r="AH76" i="9"/>
  <c r="AI101" i="9"/>
  <c r="AM16" i="9"/>
  <c r="AM20" i="9"/>
  <c r="H97" i="9"/>
  <c r="H99" i="9" s="1"/>
  <c r="H100" i="9" s="1"/>
  <c r="H7" i="9" s="1"/>
  <c r="P7" i="9"/>
  <c r="X97" i="9"/>
  <c r="X99" i="9" s="1"/>
  <c r="AF97" i="9"/>
  <c r="AF99" i="9" s="1"/>
  <c r="BG84" i="9" a="1"/>
  <c r="AG97" i="9"/>
  <c r="D107" i="9"/>
  <c r="AO23" i="9" s="1"/>
  <c r="L107" i="9"/>
  <c r="T107" i="9"/>
  <c r="BB23" i="9" s="1"/>
  <c r="AB107" i="9"/>
  <c r="BG23" i="9" s="1"/>
  <c r="AH58" i="9"/>
  <c r="AH62" i="9"/>
  <c r="E107" i="9"/>
  <c r="M107" i="9"/>
  <c r="U107" i="9"/>
  <c r="AC107" i="9"/>
  <c r="AC108" i="9" s="1"/>
  <c r="H246" i="9"/>
  <c r="AI58" i="9"/>
  <c r="AH80" i="9"/>
  <c r="Q108" i="9"/>
  <c r="AG99" i="9"/>
  <c r="AI105" i="9"/>
  <c r="D118" i="9"/>
  <c r="E251" i="9"/>
  <c r="AI92" i="9"/>
  <c r="J108" i="9"/>
  <c r="AH92" i="9"/>
  <c r="G107" i="9"/>
  <c r="AR23" i="9" s="1"/>
  <c r="O107" i="9"/>
  <c r="AW23" i="9" s="1"/>
  <c r="W107" i="9"/>
  <c r="AE107" i="9"/>
  <c r="BI23" i="9" s="1"/>
  <c r="AI104" i="9"/>
  <c r="AH104" i="9"/>
  <c r="AH101" i="9"/>
  <c r="B107" i="9"/>
  <c r="AH102" i="9"/>
  <c r="AH103" i="9"/>
  <c r="AA97" i="8"/>
  <c r="AA99" i="8" s="1"/>
  <c r="AA100" i="8" s="1"/>
  <c r="Y97" i="8"/>
  <c r="Y99" i="8" s="1"/>
  <c r="Y100" i="8" s="1"/>
  <c r="X58" i="8"/>
  <c r="X62" i="8"/>
  <c r="X76" i="8"/>
  <c r="X80" i="8"/>
  <c r="X92" i="8"/>
  <c r="X101" i="8"/>
  <c r="X102" i="8"/>
  <c r="X103" i="8"/>
  <c r="X104" i="8"/>
  <c r="X105" i="8"/>
  <c r="X118" i="8"/>
  <c r="W58" i="8"/>
  <c r="W62" i="8"/>
  <c r="W76" i="8"/>
  <c r="W80" i="8"/>
  <c r="W92" i="8"/>
  <c r="W108" i="8" s="1"/>
  <c r="W101" i="8"/>
  <c r="W102" i="8"/>
  <c r="W103" i="8"/>
  <c r="W104" i="8"/>
  <c r="W105" i="8"/>
  <c r="W118" i="8"/>
  <c r="V58" i="8"/>
  <c r="V62" i="8"/>
  <c r="V76" i="8"/>
  <c r="V80" i="8"/>
  <c r="V92" i="8"/>
  <c r="V101" i="8"/>
  <c r="V102" i="8"/>
  <c r="V103" i="8"/>
  <c r="V104" i="8"/>
  <c r="V105" i="8"/>
  <c r="V118" i="8"/>
  <c r="U58" i="8"/>
  <c r="U62" i="8"/>
  <c r="U76" i="8"/>
  <c r="U80" i="8"/>
  <c r="U92" i="8"/>
  <c r="U108" i="8" s="1"/>
  <c r="U101" i="8"/>
  <c r="U102" i="8"/>
  <c r="U103" i="8"/>
  <c r="U104" i="8"/>
  <c r="U105" i="8"/>
  <c r="U118" i="8"/>
  <c r="T58" i="8"/>
  <c r="T62" i="8"/>
  <c r="T76" i="8"/>
  <c r="T80" i="8"/>
  <c r="T92" i="8"/>
  <c r="T108" i="8" s="1"/>
  <c r="T101" i="8"/>
  <c r="T102" i="8"/>
  <c r="T103" i="8"/>
  <c r="T104" i="8"/>
  <c r="T105" i="8"/>
  <c r="T118" i="8"/>
  <c r="S58" i="8"/>
  <c r="S62" i="8"/>
  <c r="S76" i="8"/>
  <c r="S80" i="8"/>
  <c r="S92" i="8"/>
  <c r="S101" i="8"/>
  <c r="S102" i="8"/>
  <c r="S103" i="8"/>
  <c r="S104" i="8"/>
  <c r="S105" i="8"/>
  <c r="S118" i="8"/>
  <c r="R57" i="8"/>
  <c r="Q121" i="8"/>
  <c r="Q57" i="8"/>
  <c r="Q246" i="12" l="1"/>
  <c r="P252" i="12"/>
  <c r="M251" i="11"/>
  <c r="L252" i="11"/>
  <c r="L118" i="11"/>
  <c r="P246" i="11"/>
  <c r="I247" i="10"/>
  <c r="H252" i="10"/>
  <c r="K118" i="10"/>
  <c r="L246" i="10"/>
  <c r="AE100" i="9"/>
  <c r="AE7" i="9" s="1"/>
  <c r="Z7" i="9"/>
  <c r="BB24" i="9"/>
  <c r="R108" i="9"/>
  <c r="AZ24" i="9"/>
  <c r="X100" i="9"/>
  <c r="X7" i="9" s="1"/>
  <c r="W100" i="9"/>
  <c r="W7" i="9" s="1"/>
  <c r="L100" i="9"/>
  <c r="L7" i="9" s="1"/>
  <c r="AE108" i="9"/>
  <c r="BE24" i="9"/>
  <c r="AW24" i="9"/>
  <c r="AP22" i="9"/>
  <c r="AD108" i="9"/>
  <c r="BD24" i="9"/>
  <c r="AV24" i="9"/>
  <c r="AF108" i="9"/>
  <c r="BJ23" i="9"/>
  <c r="S108" i="9"/>
  <c r="V108" i="9"/>
  <c r="K100" i="9"/>
  <c r="K7" i="9" s="1"/>
  <c r="AX24" i="9"/>
  <c r="S100" i="9"/>
  <c r="S7" i="9" s="1"/>
  <c r="BJ24" i="9"/>
  <c r="BA24" i="9"/>
  <c r="F108" i="9"/>
  <c r="AS24" i="9"/>
  <c r="K108" i="9"/>
  <c r="BF24" i="9"/>
  <c r="R100" i="9"/>
  <c r="R7" i="9" s="1"/>
  <c r="X108" i="9"/>
  <c r="AO24" i="9"/>
  <c r="AF100" i="9"/>
  <c r="AF7" i="9" s="1"/>
  <c r="BC22" i="9"/>
  <c r="V100" i="9"/>
  <c r="V7" i="9" s="1"/>
  <c r="BH24" i="9"/>
  <c r="I108" i="9"/>
  <c r="I100" i="9"/>
  <c r="I7" i="9" s="1"/>
  <c r="G108" i="9"/>
  <c r="AR24" i="9"/>
  <c r="AQ24" i="9"/>
  <c r="F100" i="9"/>
  <c r="F7" i="9" s="1"/>
  <c r="E100" i="9"/>
  <c r="E7" i="9" s="1"/>
  <c r="C108" i="9"/>
  <c r="D108" i="9"/>
  <c r="D100" i="9"/>
  <c r="D7" i="9" s="1"/>
  <c r="C256" i="9"/>
  <c r="AI107" i="9"/>
  <c r="AH107" i="9"/>
  <c r="AM23" i="9"/>
  <c r="AH99" i="9"/>
  <c r="B100" i="9"/>
  <c r="AI99" i="9"/>
  <c r="U108" i="9"/>
  <c r="BC23" i="9"/>
  <c r="M108" i="9"/>
  <c r="AU23" i="9"/>
  <c r="AU24" i="9" s="1"/>
  <c r="AB108" i="9"/>
  <c r="O100" i="9"/>
  <c r="O7" i="9" s="1"/>
  <c r="AB100" i="9"/>
  <c r="AB7" i="9" s="1"/>
  <c r="E108" i="9"/>
  <c r="AP23" i="9"/>
  <c r="AP24" i="9" s="1"/>
  <c r="T108" i="9"/>
  <c r="T100" i="9"/>
  <c r="T7" i="9" s="1"/>
  <c r="AM22" i="9"/>
  <c r="L108" i="9"/>
  <c r="AC100" i="9"/>
  <c r="AC7" i="9" s="1"/>
  <c r="B108" i="9"/>
  <c r="F251" i="9"/>
  <c r="E118" i="9"/>
  <c r="AH97" i="9"/>
  <c r="W108" i="9"/>
  <c r="BG24" i="9"/>
  <c r="BL106" i="9"/>
  <c r="BJ105" i="9"/>
  <c r="BH104" i="9"/>
  <c r="BL102" i="9"/>
  <c r="BJ101" i="9"/>
  <c r="BH100" i="9"/>
  <c r="BL98" i="9"/>
  <c r="BJ97" i="9"/>
  <c r="BH96" i="9"/>
  <c r="BL94" i="9"/>
  <c r="BJ93" i="9"/>
  <c r="BH92" i="9"/>
  <c r="BL90" i="9"/>
  <c r="BJ89" i="9"/>
  <c r="BH88" i="9"/>
  <c r="BL86" i="9"/>
  <c r="BJ85" i="9"/>
  <c r="BH84" i="9"/>
  <c r="BL107" i="9"/>
  <c r="BJ106" i="9"/>
  <c r="BH105" i="9"/>
  <c r="BL103" i="9"/>
  <c r="BJ102" i="9"/>
  <c r="BH101" i="9"/>
  <c r="BL99" i="9"/>
  <c r="BJ98" i="9"/>
  <c r="BH97" i="9"/>
  <c r="BL95" i="9"/>
  <c r="BJ94" i="9"/>
  <c r="BH93" i="9"/>
  <c r="BL91" i="9"/>
  <c r="BJ90" i="9"/>
  <c r="BH89" i="9"/>
  <c r="BL87" i="9"/>
  <c r="BJ86" i="9"/>
  <c r="BH85" i="9"/>
  <c r="BJ107" i="9"/>
  <c r="BL105" i="9"/>
  <c r="BG104" i="9"/>
  <c r="BH102" i="9"/>
  <c r="BJ100" i="9"/>
  <c r="BK98" i="9"/>
  <c r="BL96" i="9"/>
  <c r="BH95" i="9"/>
  <c r="BI93" i="9"/>
  <c r="BJ91" i="9"/>
  <c r="BL89" i="9"/>
  <c r="BG88" i="9"/>
  <c r="BH86" i="9"/>
  <c r="BJ84" i="9"/>
  <c r="BI107" i="9"/>
  <c r="BK105" i="9"/>
  <c r="BK103" i="9"/>
  <c r="BG102" i="9"/>
  <c r="BI100" i="9"/>
  <c r="BI98" i="9"/>
  <c r="BK96" i="9"/>
  <c r="BG95" i="9"/>
  <c r="BG93" i="9"/>
  <c r="BI91" i="9"/>
  <c r="BK89" i="9"/>
  <c r="BK87" i="9"/>
  <c r="BG86" i="9"/>
  <c r="BI84" i="9"/>
  <c r="BH107" i="9"/>
  <c r="BI105" i="9"/>
  <c r="BJ103" i="9"/>
  <c r="BL101" i="9"/>
  <c r="BG100" i="9"/>
  <c r="BH98" i="9"/>
  <c r="BJ96" i="9"/>
  <c r="BK94" i="9"/>
  <c r="BL92" i="9"/>
  <c r="BH91" i="9"/>
  <c r="BI89" i="9"/>
  <c r="BJ87" i="9"/>
  <c r="BL85" i="9"/>
  <c r="BG84" i="9"/>
  <c r="BG107" i="9"/>
  <c r="BG105" i="9"/>
  <c r="BI103" i="9"/>
  <c r="BK101" i="9"/>
  <c r="BK99" i="9"/>
  <c r="BG98" i="9"/>
  <c r="BI96" i="9"/>
  <c r="BI94" i="9"/>
  <c r="BK92" i="9"/>
  <c r="BG91" i="9"/>
  <c r="BG89" i="9"/>
  <c r="BI87" i="9"/>
  <c r="BK85" i="9"/>
  <c r="BK106" i="9"/>
  <c r="BL104" i="9"/>
  <c r="BH103" i="9"/>
  <c r="BI101" i="9"/>
  <c r="BJ99" i="9"/>
  <c r="BL97" i="9"/>
  <c r="BG96" i="9"/>
  <c r="BH94" i="9"/>
  <c r="BJ92" i="9"/>
  <c r="BK90" i="9"/>
  <c r="BL88" i="9"/>
  <c r="BH87" i="9"/>
  <c r="BI85" i="9"/>
  <c r="BI106" i="9"/>
  <c r="BK104" i="9"/>
  <c r="BG103" i="9"/>
  <c r="BG101" i="9"/>
  <c r="BI99" i="9"/>
  <c r="BK97" i="9"/>
  <c r="BK95" i="9"/>
  <c r="BG94" i="9"/>
  <c r="BI92" i="9"/>
  <c r="BI90" i="9"/>
  <c r="BK88" i="9"/>
  <c r="BG87" i="9"/>
  <c r="BG85" i="9"/>
  <c r="BH106" i="9"/>
  <c r="BJ104" i="9"/>
  <c r="BK102" i="9"/>
  <c r="BL100" i="9"/>
  <c r="BH99" i="9"/>
  <c r="BI97" i="9"/>
  <c r="BJ95" i="9"/>
  <c r="BL93" i="9"/>
  <c r="BG92" i="9"/>
  <c r="BH90" i="9"/>
  <c r="BJ88" i="9"/>
  <c r="BK86" i="9"/>
  <c r="BL84" i="9"/>
  <c r="BK107" i="9"/>
  <c r="BG106" i="9"/>
  <c r="BI104" i="9"/>
  <c r="BI102" i="9"/>
  <c r="BK100" i="9"/>
  <c r="BG99" i="9"/>
  <c r="BG97" i="9"/>
  <c r="BI95" i="9"/>
  <c r="BK93" i="9"/>
  <c r="BK91" i="9"/>
  <c r="BG90" i="9"/>
  <c r="BI88" i="9"/>
  <c r="BI86" i="9"/>
  <c r="BK84" i="9"/>
  <c r="U100" i="9"/>
  <c r="U7" i="9" s="1"/>
  <c r="I246" i="9"/>
  <c r="AI97" i="9"/>
  <c r="O108" i="9"/>
  <c r="F247" i="9"/>
  <c r="E252" i="9"/>
  <c r="BI24" i="9"/>
  <c r="B256" i="9"/>
  <c r="M100" i="9"/>
  <c r="M7" i="9" s="1"/>
  <c r="G100" i="9"/>
  <c r="G7" i="9" s="1"/>
  <c r="X97" i="8"/>
  <c r="X99" i="8" s="1"/>
  <c r="X100" i="8" s="1"/>
  <c r="X108" i="8"/>
  <c r="W97" i="8"/>
  <c r="W99" i="8" s="1"/>
  <c r="W100" i="8" s="1"/>
  <c r="V97" i="8"/>
  <c r="V99" i="8" s="1"/>
  <c r="V100" i="8" s="1"/>
  <c r="V108" i="8"/>
  <c r="U97" i="8"/>
  <c r="U99" i="8" s="1"/>
  <c r="U100" i="8" s="1"/>
  <c r="T97" i="8"/>
  <c r="T99" i="8" s="1"/>
  <c r="T100" i="8" s="1"/>
  <c r="S107" i="8"/>
  <c r="S97" i="8"/>
  <c r="S99" i="8" s="1"/>
  <c r="S100" i="8" s="1"/>
  <c r="S108" i="8"/>
  <c r="Q118" i="12" l="1"/>
  <c r="R246" i="12"/>
  <c r="Q252" i="12"/>
  <c r="Q246" i="11"/>
  <c r="N251" i="11"/>
  <c r="M252" i="11"/>
  <c r="M118" i="11"/>
  <c r="L118" i="10"/>
  <c r="M246" i="10"/>
  <c r="J247" i="10"/>
  <c r="I252" i="10"/>
  <c r="BC24" i="9"/>
  <c r="K6" i="9"/>
  <c r="G247" i="9"/>
  <c r="F252" i="9"/>
  <c r="AM24" i="9"/>
  <c r="AT9" i="9" s="1"/>
  <c r="AT8" i="9"/>
  <c r="J246" i="9"/>
  <c r="AI108" i="9"/>
  <c r="AH108" i="9"/>
  <c r="AI100" i="9"/>
  <c r="B7" i="9"/>
  <c r="A7" i="9" s="1"/>
  <c r="AH100" i="9"/>
  <c r="G251" i="9"/>
  <c r="F118" i="9"/>
  <c r="P57" i="8"/>
  <c r="O57" i="8"/>
  <c r="N57" i="8"/>
  <c r="M121" i="8"/>
  <c r="M57" i="8"/>
  <c r="K58" i="8"/>
  <c r="K62" i="8"/>
  <c r="K76" i="8"/>
  <c r="K80" i="8"/>
  <c r="K92" i="8"/>
  <c r="AT19" i="8" s="1"/>
  <c r="K101" i="8"/>
  <c r="K102" i="8"/>
  <c r="K103" i="8"/>
  <c r="K104" i="8"/>
  <c r="K105" i="8"/>
  <c r="K118" i="8"/>
  <c r="AH125" i="8"/>
  <c r="AI125" i="8"/>
  <c r="AH124" i="8"/>
  <c r="AI124" i="8"/>
  <c r="D58" i="8"/>
  <c r="AO16" i="8" s="1"/>
  <c r="D62" i="8"/>
  <c r="D76" i="8"/>
  <c r="D80" i="8"/>
  <c r="D92" i="8"/>
  <c r="D101" i="8"/>
  <c r="D102" i="8"/>
  <c r="D103" i="8"/>
  <c r="D104" i="8"/>
  <c r="D105" i="8"/>
  <c r="D118" i="8"/>
  <c r="C58" i="8"/>
  <c r="C62" i="8"/>
  <c r="C76" i="8"/>
  <c r="C80" i="8"/>
  <c r="AN20" i="8" s="1"/>
  <c r="C92" i="8"/>
  <c r="C108" i="8" s="1"/>
  <c r="C101" i="8"/>
  <c r="C102" i="8"/>
  <c r="C103" i="8"/>
  <c r="C104" i="8"/>
  <c r="C105" i="8"/>
  <c r="C107" i="8" s="1"/>
  <c r="AN23" i="8" s="1"/>
  <c r="C118" i="8"/>
  <c r="B118" i="8"/>
  <c r="B105" i="8"/>
  <c r="B104" i="8"/>
  <c r="B103" i="8"/>
  <c r="B102" i="8"/>
  <c r="B101" i="8"/>
  <c r="B107" i="8" s="1"/>
  <c r="B92" i="8"/>
  <c r="B108" i="8" s="1"/>
  <c r="B80" i="8"/>
  <c r="B76" i="8"/>
  <c r="B62" i="8"/>
  <c r="B58" i="8"/>
  <c r="AM16" i="8" s="1"/>
  <c r="AG252" i="8"/>
  <c r="C252" i="8"/>
  <c r="D251" i="8"/>
  <c r="E251" i="8" s="1"/>
  <c r="F251" i="8" s="1"/>
  <c r="G251" i="8" s="1"/>
  <c r="H251" i="8" s="1"/>
  <c r="I251" i="8" s="1"/>
  <c r="J251" i="8" s="1"/>
  <c r="K251" i="8" s="1"/>
  <c r="L251" i="8" s="1"/>
  <c r="M251" i="8" s="1"/>
  <c r="N251" i="8" s="1"/>
  <c r="O251" i="8" s="1"/>
  <c r="P251" i="8" s="1"/>
  <c r="Q251" i="8" s="1"/>
  <c r="R251" i="8" s="1"/>
  <c r="S251" i="8" s="1"/>
  <c r="T251" i="8" s="1"/>
  <c r="U251" i="8" s="1"/>
  <c r="V251" i="8" s="1"/>
  <c r="W251" i="8" s="1"/>
  <c r="X251" i="8" s="1"/>
  <c r="Y251" i="8" s="1"/>
  <c r="Z251" i="8" s="1"/>
  <c r="AA251" i="8" s="1"/>
  <c r="AB251" i="8" s="1"/>
  <c r="AC251" i="8" s="1"/>
  <c r="AD251" i="8" s="1"/>
  <c r="AE251" i="8" s="1"/>
  <c r="AF251" i="8" s="1"/>
  <c r="B251" i="8" s="1"/>
  <c r="D250" i="8"/>
  <c r="E250" i="8" s="1"/>
  <c r="F250" i="8" s="1"/>
  <c r="G250" i="8" s="1"/>
  <c r="H250" i="8" s="1"/>
  <c r="I250" i="8" s="1"/>
  <c r="J250" i="8" s="1"/>
  <c r="K250" i="8" s="1"/>
  <c r="L250" i="8" s="1"/>
  <c r="M250" i="8" s="1"/>
  <c r="N250" i="8" s="1"/>
  <c r="O250" i="8" s="1"/>
  <c r="P250" i="8" s="1"/>
  <c r="Q250" i="8" s="1"/>
  <c r="R250" i="8" s="1"/>
  <c r="S250" i="8" s="1"/>
  <c r="T250" i="8" s="1"/>
  <c r="U250" i="8" s="1"/>
  <c r="V250" i="8" s="1"/>
  <c r="W250" i="8" s="1"/>
  <c r="X250" i="8" s="1"/>
  <c r="Y250" i="8" s="1"/>
  <c r="Z250" i="8" s="1"/>
  <c r="AA250" i="8" s="1"/>
  <c r="AB250" i="8" s="1"/>
  <c r="AC250" i="8" s="1"/>
  <c r="AD250" i="8" s="1"/>
  <c r="AE250" i="8" s="1"/>
  <c r="AF250" i="8" s="1"/>
  <c r="B250" i="8" s="1"/>
  <c r="J249" i="8"/>
  <c r="K249" i="8" s="1"/>
  <c r="L249" i="8" s="1"/>
  <c r="M249" i="8" s="1"/>
  <c r="N249" i="8" s="1"/>
  <c r="O249" i="8" s="1"/>
  <c r="P249" i="8" s="1"/>
  <c r="Q249" i="8" s="1"/>
  <c r="R249" i="8" s="1"/>
  <c r="S249" i="8" s="1"/>
  <c r="T249" i="8" s="1"/>
  <c r="U249" i="8" s="1"/>
  <c r="V249" i="8" s="1"/>
  <c r="W249" i="8" s="1"/>
  <c r="X249" i="8" s="1"/>
  <c r="Y249" i="8" s="1"/>
  <c r="Z249" i="8" s="1"/>
  <c r="AA249" i="8" s="1"/>
  <c r="AB249" i="8" s="1"/>
  <c r="AC249" i="8" s="1"/>
  <c r="AD249" i="8" s="1"/>
  <c r="AE249" i="8" s="1"/>
  <c r="AF249" i="8" s="1"/>
  <c r="B249" i="8" s="1"/>
  <c r="D249" i="8"/>
  <c r="E249" i="8" s="1"/>
  <c r="F249" i="8" s="1"/>
  <c r="G249" i="8" s="1"/>
  <c r="H249" i="8" s="1"/>
  <c r="I249" i="8" s="1"/>
  <c r="D248" i="8"/>
  <c r="E248" i="8" s="1"/>
  <c r="F248" i="8" s="1"/>
  <c r="G248" i="8" s="1"/>
  <c r="H248" i="8" s="1"/>
  <c r="I248" i="8" s="1"/>
  <c r="J248" i="8" s="1"/>
  <c r="K248" i="8" s="1"/>
  <c r="L248" i="8" s="1"/>
  <c r="M248" i="8" s="1"/>
  <c r="N248" i="8" s="1"/>
  <c r="O248" i="8" s="1"/>
  <c r="P248" i="8" s="1"/>
  <c r="Q248" i="8" s="1"/>
  <c r="R248" i="8" s="1"/>
  <c r="S248" i="8" s="1"/>
  <c r="T248" i="8" s="1"/>
  <c r="U248" i="8" s="1"/>
  <c r="V248" i="8" s="1"/>
  <c r="W248" i="8" s="1"/>
  <c r="X248" i="8" s="1"/>
  <c r="Y248" i="8" s="1"/>
  <c r="Z248" i="8" s="1"/>
  <c r="AA248" i="8" s="1"/>
  <c r="AB248" i="8" s="1"/>
  <c r="AC248" i="8" s="1"/>
  <c r="AD248" i="8" s="1"/>
  <c r="AE248" i="8" s="1"/>
  <c r="AF248" i="8" s="1"/>
  <c r="B248" i="8" s="1"/>
  <c r="E247" i="8"/>
  <c r="F247" i="8" s="1"/>
  <c r="G247" i="8" s="1"/>
  <c r="H247" i="8" s="1"/>
  <c r="I247" i="8" s="1"/>
  <c r="J247" i="8" s="1"/>
  <c r="K247" i="8" s="1"/>
  <c r="L247" i="8" s="1"/>
  <c r="M247" i="8" s="1"/>
  <c r="N247" i="8" s="1"/>
  <c r="O247" i="8" s="1"/>
  <c r="P247" i="8" s="1"/>
  <c r="Q247" i="8" s="1"/>
  <c r="R247" i="8" s="1"/>
  <c r="S247" i="8" s="1"/>
  <c r="T247" i="8" s="1"/>
  <c r="U247" i="8" s="1"/>
  <c r="V247" i="8" s="1"/>
  <c r="W247" i="8" s="1"/>
  <c r="X247" i="8" s="1"/>
  <c r="Y247" i="8" s="1"/>
  <c r="Z247" i="8" s="1"/>
  <c r="AA247" i="8" s="1"/>
  <c r="AB247" i="8" s="1"/>
  <c r="AC247" i="8" s="1"/>
  <c r="AD247" i="8" s="1"/>
  <c r="AE247" i="8" s="1"/>
  <c r="AF247" i="8" s="1"/>
  <c r="B247" i="8" s="1"/>
  <c r="D247" i="8"/>
  <c r="D246" i="8"/>
  <c r="AG244" i="8"/>
  <c r="AF244" i="8"/>
  <c r="AE244" i="8"/>
  <c r="AD244" i="8"/>
  <c r="AC244" i="8"/>
  <c r="AB244" i="8"/>
  <c r="AA244" i="8"/>
  <c r="Z244" i="8"/>
  <c r="Y244" i="8"/>
  <c r="X244" i="8"/>
  <c r="W244" i="8"/>
  <c r="V244" i="8"/>
  <c r="U244" i="8"/>
  <c r="T244" i="8"/>
  <c r="S244" i="8"/>
  <c r="R244" i="8"/>
  <c r="Q244" i="8"/>
  <c r="P244" i="8"/>
  <c r="O244" i="8"/>
  <c r="N244" i="8"/>
  <c r="M244" i="8"/>
  <c r="L244" i="8"/>
  <c r="K244" i="8"/>
  <c r="J244" i="8"/>
  <c r="I244" i="8"/>
  <c r="H244" i="8"/>
  <c r="G244" i="8"/>
  <c r="F244" i="8"/>
  <c r="E244" i="8"/>
  <c r="D244" i="8"/>
  <c r="C244" i="8"/>
  <c r="B244" i="8"/>
  <c r="AI130" i="8"/>
  <c r="AH130" i="8"/>
  <c r="AI129" i="8"/>
  <c r="AH129" i="8"/>
  <c r="AI128" i="8"/>
  <c r="AH128" i="8"/>
  <c r="AI127" i="8"/>
  <c r="AH127" i="8"/>
  <c r="AI126" i="8"/>
  <c r="AH126" i="8"/>
  <c r="AI123" i="8"/>
  <c r="AH123" i="8"/>
  <c r="AI122" i="8"/>
  <c r="AH122" i="8"/>
  <c r="AI121" i="8"/>
  <c r="AH121" i="8"/>
  <c r="AI120" i="8"/>
  <c r="AH120" i="8"/>
  <c r="AI119" i="8"/>
  <c r="AH119" i="8"/>
  <c r="AI117" i="8"/>
  <c r="AH117" i="8"/>
  <c r="AI116" i="8"/>
  <c r="AH116" i="8"/>
  <c r="AI115" i="8"/>
  <c r="AH115" i="8"/>
  <c r="AI114" i="8"/>
  <c r="AH114" i="8"/>
  <c r="AI113" i="8"/>
  <c r="AH113" i="8"/>
  <c r="AI112" i="8"/>
  <c r="AH112" i="8"/>
  <c r="AI111" i="8"/>
  <c r="AH111" i="8"/>
  <c r="AI110" i="8"/>
  <c r="AH110" i="8"/>
  <c r="AI109" i="8"/>
  <c r="AH109" i="8"/>
  <c r="BF23" i="8"/>
  <c r="AI106" i="8"/>
  <c r="AH106" i="8"/>
  <c r="AF105" i="8"/>
  <c r="AE105" i="8"/>
  <c r="AD105" i="8"/>
  <c r="AC105" i="8"/>
  <c r="AB105" i="8"/>
  <c r="R105" i="8"/>
  <c r="Q105" i="8"/>
  <c r="P105" i="8"/>
  <c r="O105" i="8"/>
  <c r="N105" i="8"/>
  <c r="M105" i="8"/>
  <c r="L105" i="8"/>
  <c r="J105" i="8"/>
  <c r="I105" i="8"/>
  <c r="H105" i="8"/>
  <c r="G105" i="8"/>
  <c r="F105" i="8"/>
  <c r="E105" i="8"/>
  <c r="AF104" i="8"/>
  <c r="AE104" i="8"/>
  <c r="AD104" i="8"/>
  <c r="AC104" i="8"/>
  <c r="AB104" i="8"/>
  <c r="R104" i="8"/>
  <c r="Q104" i="8"/>
  <c r="P104" i="8"/>
  <c r="O104" i="8"/>
  <c r="N104" i="8"/>
  <c r="M104" i="8"/>
  <c r="L104" i="8"/>
  <c r="J104" i="8"/>
  <c r="I104" i="8"/>
  <c r="H104" i="8"/>
  <c r="G104" i="8"/>
  <c r="F104" i="8"/>
  <c r="E104" i="8"/>
  <c r="AF103" i="8"/>
  <c r="AE103" i="8"/>
  <c r="AD103" i="8"/>
  <c r="AC103" i="8"/>
  <c r="AB103" i="8"/>
  <c r="R103" i="8"/>
  <c r="Q103" i="8"/>
  <c r="P103" i="8"/>
  <c r="O103" i="8"/>
  <c r="N103" i="8"/>
  <c r="M103" i="8"/>
  <c r="L103" i="8"/>
  <c r="J103" i="8"/>
  <c r="I103" i="8"/>
  <c r="H103" i="8"/>
  <c r="G103" i="8"/>
  <c r="F103" i="8"/>
  <c r="E103" i="8"/>
  <c r="AF102" i="8"/>
  <c r="AE102" i="8"/>
  <c r="AD102" i="8"/>
  <c r="AC102" i="8"/>
  <c r="AB102" i="8"/>
  <c r="R102" i="8"/>
  <c r="Q102" i="8"/>
  <c r="P102" i="8"/>
  <c r="O102" i="8"/>
  <c r="N102" i="8"/>
  <c r="M102" i="8"/>
  <c r="L102" i="8"/>
  <c r="J102" i="8"/>
  <c r="I102" i="8"/>
  <c r="H102" i="8"/>
  <c r="G102" i="8"/>
  <c r="AH102" i="8" s="1"/>
  <c r="F102" i="8"/>
  <c r="E102" i="8"/>
  <c r="AI102" i="8"/>
  <c r="AF101" i="8"/>
  <c r="AE101" i="8"/>
  <c r="AD101" i="8"/>
  <c r="AC101" i="8"/>
  <c r="AB101" i="8"/>
  <c r="BD23" i="8"/>
  <c r="R101" i="8"/>
  <c r="Q101" i="8"/>
  <c r="P101" i="8"/>
  <c r="O101" i="8"/>
  <c r="N101" i="8"/>
  <c r="M101" i="8"/>
  <c r="L101" i="8"/>
  <c r="J101" i="8"/>
  <c r="I101" i="8"/>
  <c r="H101" i="8"/>
  <c r="G101" i="8"/>
  <c r="F101" i="8"/>
  <c r="E101" i="8"/>
  <c r="AI98" i="8"/>
  <c r="AH98" i="8"/>
  <c r="AI96" i="8"/>
  <c r="AH96" i="8"/>
  <c r="AG96" i="8"/>
  <c r="AG99" i="8" s="1"/>
  <c r="AI95" i="8"/>
  <c r="AH95" i="8"/>
  <c r="AI94" i="8"/>
  <c r="AH94" i="8"/>
  <c r="AI93" i="8"/>
  <c r="AH93" i="8"/>
  <c r="AG92" i="8"/>
  <c r="AF92" i="8"/>
  <c r="AE92" i="8"/>
  <c r="AD5" i="8" s="1"/>
  <c r="AD92" i="8"/>
  <c r="AC92" i="8"/>
  <c r="AB5" i="8" s="1"/>
  <c r="AB92" i="8"/>
  <c r="AA5" i="8" s="1"/>
  <c r="R92" i="8"/>
  <c r="Q5" i="8" s="1"/>
  <c r="Q92" i="8"/>
  <c r="AY19" i="8" s="1"/>
  <c r="P92" i="8"/>
  <c r="O5" i="8" s="1"/>
  <c r="O92" i="8"/>
  <c r="AW19" i="8" s="1"/>
  <c r="N92" i="8"/>
  <c r="M92" i="8"/>
  <c r="AU19" i="8" s="1"/>
  <c r="L92" i="8"/>
  <c r="J92" i="8"/>
  <c r="I92" i="8"/>
  <c r="AS19" i="8" s="1"/>
  <c r="H92" i="8"/>
  <c r="G92" i="8"/>
  <c r="AR19" i="8" s="1"/>
  <c r="F92" i="8"/>
  <c r="E92" i="8"/>
  <c r="AP19" i="8" s="1"/>
  <c r="AI91" i="8"/>
  <c r="AH91" i="8"/>
  <c r="AI90" i="8"/>
  <c r="AH90" i="8"/>
  <c r="AI89" i="8"/>
  <c r="AH89" i="8"/>
  <c r="AI88" i="8"/>
  <c r="AH88" i="8"/>
  <c r="AI87" i="8"/>
  <c r="AH87" i="8"/>
  <c r="AI86" i="8"/>
  <c r="AH86" i="8"/>
  <c r="AI85" i="8"/>
  <c r="AH85" i="8"/>
  <c r="AI84" i="8"/>
  <c r="AH84" i="8"/>
  <c r="AI83" i="8"/>
  <c r="AH83" i="8"/>
  <c r="AI82" i="8"/>
  <c r="AH82" i="8"/>
  <c r="AI81" i="8"/>
  <c r="AH81" i="8"/>
  <c r="BR80" i="8"/>
  <c r="BB80" i="8"/>
  <c r="AG80" i="8"/>
  <c r="AF80" i="8"/>
  <c r="BJ20" i="8" s="1"/>
  <c r="AE80" i="8"/>
  <c r="BI20" i="8" s="1"/>
  <c r="AD80" i="8"/>
  <c r="BH20" i="8" s="1"/>
  <c r="AC80" i="8"/>
  <c r="AB80" i="8"/>
  <c r="R80" i="8"/>
  <c r="Q80" i="8"/>
  <c r="AY20" i="8" s="1"/>
  <c r="P80" i="8"/>
  <c r="O80" i="8"/>
  <c r="AW20" i="8" s="1"/>
  <c r="N80" i="8"/>
  <c r="M80" i="8"/>
  <c r="AU20" i="8" s="1"/>
  <c r="L80" i="8"/>
  <c r="AT20" i="8"/>
  <c r="J80" i="8"/>
  <c r="I80" i="8"/>
  <c r="H80" i="8"/>
  <c r="G80" i="8"/>
  <c r="F80" i="8"/>
  <c r="E80" i="8"/>
  <c r="BI79" i="8"/>
  <c r="BE79" i="8"/>
  <c r="AI79" i="8"/>
  <c r="AH79" i="8"/>
  <c r="BT78" i="8"/>
  <c r="BF78" i="8"/>
  <c r="BD78" i="8"/>
  <c r="AI78" i="8"/>
  <c r="AH78" i="8"/>
  <c r="BI77" i="8"/>
  <c r="AI77" i="8"/>
  <c r="AH77" i="8"/>
  <c r="BU76" i="8"/>
  <c r="BQ76" i="8"/>
  <c r="BJ76" i="8"/>
  <c r="BH76" i="8"/>
  <c r="BG76" i="8"/>
  <c r="BE76" i="8"/>
  <c r="BB76" i="8"/>
  <c r="AG76" i="8"/>
  <c r="AF76" i="8"/>
  <c r="BJ18" i="8" s="1"/>
  <c r="AE76" i="8"/>
  <c r="BI18" i="8" s="1"/>
  <c r="AD76" i="8"/>
  <c r="AC76" i="8"/>
  <c r="AB76" i="8"/>
  <c r="BG18" i="8" s="1"/>
  <c r="BB18" i="8"/>
  <c r="BA18" i="8"/>
  <c r="R76" i="8"/>
  <c r="AZ18" i="8" s="1"/>
  <c r="Q76" i="8"/>
  <c r="P76" i="8"/>
  <c r="AX18" i="8" s="1"/>
  <c r="O76" i="8"/>
  <c r="AW18" i="8" s="1"/>
  <c r="N76" i="8"/>
  <c r="M76" i="8"/>
  <c r="AU18" i="8" s="1"/>
  <c r="L76" i="8"/>
  <c r="AT18" i="8"/>
  <c r="J76" i="8"/>
  <c r="I76" i="8"/>
  <c r="AS18" i="8" s="1"/>
  <c r="H76" i="8"/>
  <c r="G76" i="8"/>
  <c r="F76" i="8"/>
  <c r="E76" i="8"/>
  <c r="BT75" i="8"/>
  <c r="BD75" i="8"/>
  <c r="AI75" i="8"/>
  <c r="AH75" i="8"/>
  <c r="AG75" i="8"/>
  <c r="AI74" i="8"/>
  <c r="AH74" i="8"/>
  <c r="BW73" i="8"/>
  <c r="BW80" i="8" s="1"/>
  <c r="BV73" i="8"/>
  <c r="BV80" i="8" s="1"/>
  <c r="BU73" i="8"/>
  <c r="BU80" i="8" s="1"/>
  <c r="BT73" i="8"/>
  <c r="BT80" i="8" s="1"/>
  <c r="BS73" i="8"/>
  <c r="BS80" i="8" s="1"/>
  <c r="BR73" i="8"/>
  <c r="BQ73" i="8"/>
  <c r="BQ80" i="8" s="1"/>
  <c r="BP73" i="8"/>
  <c r="BP80" i="8" s="1"/>
  <c r="BO73" i="8"/>
  <c r="BO80" i="8" s="1"/>
  <c r="BN73" i="8"/>
  <c r="BN80" i="8" s="1"/>
  <c r="BM73" i="8"/>
  <c r="BM80" i="8" s="1"/>
  <c r="BL73" i="8"/>
  <c r="BL80" i="8" s="1"/>
  <c r="BK73" i="8"/>
  <c r="BK80" i="8" s="1"/>
  <c r="BJ73" i="8"/>
  <c r="BJ80" i="8" s="1"/>
  <c r="BI73" i="8"/>
  <c r="BI80" i="8" s="1"/>
  <c r="BH73" i="8"/>
  <c r="BH80" i="8" s="1"/>
  <c r="BG73" i="8"/>
  <c r="BG80" i="8" s="1"/>
  <c r="BF73" i="8"/>
  <c r="BF80" i="8" s="1"/>
  <c r="BE73" i="8"/>
  <c r="BE80" i="8" s="1"/>
  <c r="BD73" i="8"/>
  <c r="BD80" i="8" s="1"/>
  <c r="BC73" i="8"/>
  <c r="BC80" i="8" s="1"/>
  <c r="BB73" i="8"/>
  <c r="BA73" i="8"/>
  <c r="BA80" i="8" s="1"/>
  <c r="AZ73" i="8"/>
  <c r="AZ80" i="8" s="1"/>
  <c r="AI73" i="8"/>
  <c r="AH73" i="8"/>
  <c r="BW72" i="8"/>
  <c r="BW79" i="8" s="1"/>
  <c r="BV72" i="8"/>
  <c r="BV79" i="8" s="1"/>
  <c r="BU72" i="8"/>
  <c r="BU79" i="8" s="1"/>
  <c r="BT72" i="8"/>
  <c r="BT79" i="8" s="1"/>
  <c r="BS72" i="8"/>
  <c r="BS79" i="8" s="1"/>
  <c r="BR72" i="8"/>
  <c r="BR79" i="8" s="1"/>
  <c r="BQ72" i="8"/>
  <c r="BQ79" i="8" s="1"/>
  <c r="BP72" i="8"/>
  <c r="BP79" i="8" s="1"/>
  <c r="BO72" i="8"/>
  <c r="BO79" i="8" s="1"/>
  <c r="BN72" i="8"/>
  <c r="BN79" i="8" s="1"/>
  <c r="BM72" i="8"/>
  <c r="BM79" i="8" s="1"/>
  <c r="BL72" i="8"/>
  <c r="BL79" i="8" s="1"/>
  <c r="BK72" i="8"/>
  <c r="BK79" i="8" s="1"/>
  <c r="BJ72" i="8"/>
  <c r="BJ79" i="8" s="1"/>
  <c r="BI72" i="8"/>
  <c r="BH72" i="8"/>
  <c r="BH79" i="8" s="1"/>
  <c r="BG72" i="8"/>
  <c r="BG79" i="8" s="1"/>
  <c r="BF72" i="8"/>
  <c r="BF79" i="8" s="1"/>
  <c r="BE72" i="8"/>
  <c r="BD72" i="8"/>
  <c r="BD79" i="8" s="1"/>
  <c r="BC72" i="8"/>
  <c r="BC79" i="8" s="1"/>
  <c r="BB72" i="8"/>
  <c r="BB79" i="8" s="1"/>
  <c r="BA72" i="8"/>
  <c r="BA79" i="8" s="1"/>
  <c r="AZ72" i="8"/>
  <c r="AZ79" i="8" s="1"/>
  <c r="AI72" i="8"/>
  <c r="AH72" i="8"/>
  <c r="BW71" i="8"/>
  <c r="BW78" i="8" s="1"/>
  <c r="BV71" i="8"/>
  <c r="BV78" i="8" s="1"/>
  <c r="BU71" i="8"/>
  <c r="BU78" i="8" s="1"/>
  <c r="BT71" i="8"/>
  <c r="BS71" i="8"/>
  <c r="BS78" i="8" s="1"/>
  <c r="BR71" i="8"/>
  <c r="BR78" i="8" s="1"/>
  <c r="BQ71" i="8"/>
  <c r="BQ78" i="8" s="1"/>
  <c r="BP71" i="8"/>
  <c r="BP78" i="8" s="1"/>
  <c r="BO71" i="8"/>
  <c r="BO78" i="8" s="1"/>
  <c r="BN71" i="8"/>
  <c r="BN78" i="8" s="1"/>
  <c r="BM71" i="8"/>
  <c r="BM78" i="8" s="1"/>
  <c r="BL71" i="8"/>
  <c r="BL78" i="8" s="1"/>
  <c r="BK71" i="8"/>
  <c r="BK78" i="8" s="1"/>
  <c r="BJ71" i="8"/>
  <c r="BJ78" i="8" s="1"/>
  <c r="BI71" i="8"/>
  <c r="BI78" i="8" s="1"/>
  <c r="BH71" i="8"/>
  <c r="BH78" i="8" s="1"/>
  <c r="BG71" i="8"/>
  <c r="BG78" i="8" s="1"/>
  <c r="BF71" i="8"/>
  <c r="BE71" i="8"/>
  <c r="BE78" i="8" s="1"/>
  <c r="BD71" i="8"/>
  <c r="BC71" i="8"/>
  <c r="BC78" i="8" s="1"/>
  <c r="BB71" i="8"/>
  <c r="BB78" i="8" s="1"/>
  <c r="BA71" i="8"/>
  <c r="BA78" i="8" s="1"/>
  <c r="AZ71" i="8"/>
  <c r="AZ78" i="8" s="1"/>
  <c r="AI71" i="8"/>
  <c r="AH71" i="8"/>
  <c r="BW70" i="8"/>
  <c r="BW77" i="8" s="1"/>
  <c r="BV70" i="8"/>
  <c r="BV77" i="8" s="1"/>
  <c r="BU70" i="8"/>
  <c r="BU77" i="8" s="1"/>
  <c r="BT70" i="8"/>
  <c r="BT77" i="8" s="1"/>
  <c r="BS70" i="8"/>
  <c r="BS77" i="8" s="1"/>
  <c r="BR70" i="8"/>
  <c r="BR77" i="8" s="1"/>
  <c r="BQ70" i="8"/>
  <c r="BQ77" i="8" s="1"/>
  <c r="BP70" i="8"/>
  <c r="BP77" i="8" s="1"/>
  <c r="BO70" i="8"/>
  <c r="BO77" i="8" s="1"/>
  <c r="BN70" i="8"/>
  <c r="BN77" i="8" s="1"/>
  <c r="BM70" i="8"/>
  <c r="BM77" i="8" s="1"/>
  <c r="BL70" i="8"/>
  <c r="BL77" i="8" s="1"/>
  <c r="BK70" i="8"/>
  <c r="BK77" i="8" s="1"/>
  <c r="BJ70" i="8"/>
  <c r="BJ77" i="8" s="1"/>
  <c r="BI70" i="8"/>
  <c r="BH70" i="8"/>
  <c r="BH77" i="8" s="1"/>
  <c r="BG70" i="8"/>
  <c r="BG77" i="8" s="1"/>
  <c r="BF70" i="8"/>
  <c r="BF77" i="8" s="1"/>
  <c r="BE70" i="8"/>
  <c r="BE77" i="8" s="1"/>
  <c r="BD70" i="8"/>
  <c r="BD77" i="8" s="1"/>
  <c r="BC70" i="8"/>
  <c r="BC77" i="8" s="1"/>
  <c r="BB70" i="8"/>
  <c r="BB77" i="8" s="1"/>
  <c r="BA70" i="8"/>
  <c r="BA77" i="8" s="1"/>
  <c r="AZ70" i="8"/>
  <c r="AZ77" i="8" s="1"/>
  <c r="AI70" i="8"/>
  <c r="AH70" i="8"/>
  <c r="BW69" i="8"/>
  <c r="BW76" i="8" s="1"/>
  <c r="BV69" i="8"/>
  <c r="BV76" i="8" s="1"/>
  <c r="BU69" i="8"/>
  <c r="BT69" i="8"/>
  <c r="BT76" i="8" s="1"/>
  <c r="BS69" i="8"/>
  <c r="BS76" i="8" s="1"/>
  <c r="BR69" i="8"/>
  <c r="BR76" i="8" s="1"/>
  <c r="BQ69" i="8"/>
  <c r="BP69" i="8"/>
  <c r="BP76" i="8" s="1"/>
  <c r="BO69" i="8"/>
  <c r="BO76" i="8" s="1"/>
  <c r="BN69" i="8"/>
  <c r="BN76" i="8" s="1"/>
  <c r="BM69" i="8"/>
  <c r="BM76" i="8" s="1"/>
  <c r="BL69" i="8"/>
  <c r="BL76" i="8" s="1"/>
  <c r="BK69" i="8"/>
  <c r="BK76" i="8" s="1"/>
  <c r="BJ69" i="8"/>
  <c r="BI69" i="8"/>
  <c r="BI76" i="8" s="1"/>
  <c r="BH69" i="8"/>
  <c r="BG69" i="8"/>
  <c r="BF69" i="8"/>
  <c r="BF76" i="8" s="1"/>
  <c r="BE69" i="8"/>
  <c r="BD69" i="8"/>
  <c r="BD76" i="8" s="1"/>
  <c r="BC69" i="8"/>
  <c r="BC76" i="8" s="1"/>
  <c r="BB69" i="8"/>
  <c r="BA69" i="8"/>
  <c r="BA76" i="8" s="1"/>
  <c r="AZ69" i="8"/>
  <c r="AZ76" i="8" s="1"/>
  <c r="AI69" i="8"/>
  <c r="AH69" i="8"/>
  <c r="BW68" i="8"/>
  <c r="BW75" i="8" s="1"/>
  <c r="BV68" i="8"/>
  <c r="BV75" i="8" s="1"/>
  <c r="BU68" i="8"/>
  <c r="BU75" i="8" s="1"/>
  <c r="BT68" i="8"/>
  <c r="BS68" i="8"/>
  <c r="BS75" i="8" s="1"/>
  <c r="BR68" i="8"/>
  <c r="BR75" i="8" s="1"/>
  <c r="BQ68" i="8"/>
  <c r="BQ75" i="8" s="1"/>
  <c r="BP68" i="8"/>
  <c r="BP75" i="8" s="1"/>
  <c r="BO68" i="8"/>
  <c r="BO75" i="8" s="1"/>
  <c r="BN68" i="8"/>
  <c r="BN75" i="8" s="1"/>
  <c r="BM68" i="8"/>
  <c r="BM75" i="8" s="1"/>
  <c r="BL68" i="8"/>
  <c r="BL75" i="8" s="1"/>
  <c r="BK68" i="8"/>
  <c r="BK75" i="8" s="1"/>
  <c r="BJ68" i="8"/>
  <c r="BJ75" i="8" s="1"/>
  <c r="BI68" i="8"/>
  <c r="BI75" i="8" s="1"/>
  <c r="BH68" i="8"/>
  <c r="BH75" i="8" s="1"/>
  <c r="BG68" i="8"/>
  <c r="BG75" i="8" s="1"/>
  <c r="BF68" i="8"/>
  <c r="BF75" i="8" s="1"/>
  <c r="BE68" i="8"/>
  <c r="BE75" i="8" s="1"/>
  <c r="BD68" i="8"/>
  <c r="BC68" i="8"/>
  <c r="BC75" i="8" s="1"/>
  <c r="BB68" i="8"/>
  <c r="BB75" i="8" s="1"/>
  <c r="BA68" i="8"/>
  <c r="BA75" i="8" s="1"/>
  <c r="AZ68" i="8"/>
  <c r="AZ75" i="8" s="1"/>
  <c r="AI68" i="8"/>
  <c r="AH68" i="8"/>
  <c r="AI67" i="8"/>
  <c r="AH67" i="8"/>
  <c r="AI66" i="8"/>
  <c r="AH66" i="8"/>
  <c r="AI65" i="8"/>
  <c r="AH65" i="8"/>
  <c r="AI64" i="8"/>
  <c r="AH64" i="8"/>
  <c r="AI63" i="8"/>
  <c r="AH63" i="8"/>
  <c r="AG62" i="8"/>
  <c r="AF62" i="8"/>
  <c r="BJ17" i="8" s="1"/>
  <c r="AE62" i="8"/>
  <c r="AD62" i="8"/>
  <c r="BH17" i="8" s="1"/>
  <c r="AC62" i="8"/>
  <c r="AB62" i="8"/>
  <c r="BE17" i="8"/>
  <c r="BD17" i="8"/>
  <c r="BC17" i="8"/>
  <c r="R62" i="8"/>
  <c r="Q62" i="8"/>
  <c r="AY17" i="8" s="1"/>
  <c r="P62" i="8"/>
  <c r="O62" i="8"/>
  <c r="N62" i="8"/>
  <c r="AV17" i="8" s="1"/>
  <c r="M62" i="8"/>
  <c r="AU17" i="8" s="1"/>
  <c r="L62" i="8"/>
  <c r="J62" i="8"/>
  <c r="I62" i="8"/>
  <c r="AS17" i="8" s="1"/>
  <c r="H62" i="8"/>
  <c r="G62" i="8"/>
  <c r="F62" i="8"/>
  <c r="AQ17" i="8" s="1"/>
  <c r="E62" i="8"/>
  <c r="AP17" i="8" s="1"/>
  <c r="AI61" i="8"/>
  <c r="AH61" i="8"/>
  <c r="AI60" i="8"/>
  <c r="AH60" i="8"/>
  <c r="AI59" i="8"/>
  <c r="AH59" i="8"/>
  <c r="AG58" i="8"/>
  <c r="AF58" i="8"/>
  <c r="AE58" i="8"/>
  <c r="BI16" i="8" s="1"/>
  <c r="AD58" i="8"/>
  <c r="AC58" i="8"/>
  <c r="AB58" i="8"/>
  <c r="BG16" i="8" s="1"/>
  <c r="R58" i="8"/>
  <c r="AZ16" i="8" s="1"/>
  <c r="Q58" i="8"/>
  <c r="AY16" i="8" s="1"/>
  <c r="P58" i="8"/>
  <c r="AX16" i="8" s="1"/>
  <c r="O58" i="8"/>
  <c r="N58" i="8"/>
  <c r="M58" i="8"/>
  <c r="L58" i="8"/>
  <c r="AT16" i="8"/>
  <c r="J58" i="8"/>
  <c r="I58" i="8"/>
  <c r="AS16" i="8" s="1"/>
  <c r="H58" i="8"/>
  <c r="H97" i="8" s="1"/>
  <c r="H99" i="8" s="1"/>
  <c r="G58" i="8"/>
  <c r="F58" i="8"/>
  <c r="E58" i="8"/>
  <c r="AI57" i="8"/>
  <c r="AH57" i="8"/>
  <c r="AI56" i="8"/>
  <c r="AH56" i="8"/>
  <c r="AI55" i="8"/>
  <c r="AH55" i="8"/>
  <c r="AI54" i="8"/>
  <c r="AH54" i="8"/>
  <c r="AI53" i="8"/>
  <c r="AH53" i="8"/>
  <c r="AI52" i="8"/>
  <c r="AH52" i="8"/>
  <c r="AI51" i="8"/>
  <c r="AH51" i="8"/>
  <c r="AI50" i="8"/>
  <c r="AH50" i="8"/>
  <c r="AI49" i="8"/>
  <c r="AH49" i="8"/>
  <c r="AI48" i="8"/>
  <c r="AH48" i="8"/>
  <c r="AI47" i="8"/>
  <c r="AH47" i="8"/>
  <c r="AI46" i="8"/>
  <c r="AH46" i="8"/>
  <c r="AI45" i="8"/>
  <c r="AH45" i="8"/>
  <c r="AI44" i="8"/>
  <c r="AH44" i="8"/>
  <c r="AI43" i="8"/>
  <c r="AH43" i="8"/>
  <c r="AI42" i="8"/>
  <c r="AH42" i="8"/>
  <c r="AI41" i="8"/>
  <c r="AH41" i="8"/>
  <c r="AI40" i="8"/>
  <c r="AH40" i="8"/>
  <c r="AI39" i="8"/>
  <c r="AH39" i="8"/>
  <c r="AI38" i="8"/>
  <c r="AH38" i="8"/>
  <c r="AI37" i="8"/>
  <c r="AH37" i="8"/>
  <c r="AI36" i="8"/>
  <c r="AH36" i="8"/>
  <c r="AI35" i="8"/>
  <c r="AH35" i="8"/>
  <c r="AI34" i="8"/>
  <c r="AH34" i="8"/>
  <c r="AI33" i="8"/>
  <c r="AH33" i="8"/>
  <c r="AI32" i="8"/>
  <c r="AH32" i="8"/>
  <c r="AI31" i="8"/>
  <c r="AH31" i="8"/>
  <c r="AI30" i="8"/>
  <c r="AH30" i="8"/>
  <c r="AI29" i="8"/>
  <c r="AH29" i="8"/>
  <c r="AI28" i="8"/>
  <c r="AH28" i="8"/>
  <c r="AI27" i="8"/>
  <c r="AH27" i="8"/>
  <c r="AI26" i="8"/>
  <c r="AH26" i="8"/>
  <c r="AI25" i="8"/>
  <c r="AH25" i="8"/>
  <c r="AI24" i="8"/>
  <c r="AH24" i="8"/>
  <c r="BA23" i="8"/>
  <c r="AI23" i="8"/>
  <c r="AH23" i="8"/>
  <c r="AI22" i="8"/>
  <c r="AH22" i="8"/>
  <c r="BJ21" i="8"/>
  <c r="BI21" i="8"/>
  <c r="BH21" i="8"/>
  <c r="BG21" i="8"/>
  <c r="BF21" i="8"/>
  <c r="BE21" i="8"/>
  <c r="BD21" i="8"/>
  <c r="BC21" i="8"/>
  <c r="BB21" i="8"/>
  <c r="BA21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I21" i="8"/>
  <c r="AH21" i="8"/>
  <c r="BG20" i="8"/>
  <c r="BF20" i="8"/>
  <c r="BE20" i="8"/>
  <c r="BD20" i="8"/>
  <c r="BC20" i="8"/>
  <c r="BB20" i="8"/>
  <c r="BA20" i="8"/>
  <c r="AZ20" i="8"/>
  <c r="AX20" i="8"/>
  <c r="AV20" i="8"/>
  <c r="AS20" i="8"/>
  <c r="AR20" i="8"/>
  <c r="AQ20" i="8"/>
  <c r="AP20" i="8"/>
  <c r="AO20" i="8"/>
  <c r="AM20" i="8"/>
  <c r="AI20" i="8"/>
  <c r="AH20" i="8"/>
  <c r="BJ19" i="8"/>
  <c r="BI19" i="8"/>
  <c r="BF19" i="8"/>
  <c r="BE19" i="8"/>
  <c r="BD19" i="8"/>
  <c r="BC19" i="8"/>
  <c r="BB19" i="8"/>
  <c r="BA19" i="8"/>
  <c r="AO19" i="8"/>
  <c r="AI19" i="8"/>
  <c r="AH19" i="8"/>
  <c r="BH18" i="8"/>
  <c r="BF18" i="8"/>
  <c r="BE18" i="8"/>
  <c r="BD18" i="8"/>
  <c r="BC18" i="8"/>
  <c r="AY18" i="8"/>
  <c r="AV18" i="8"/>
  <c r="AR18" i="8"/>
  <c r="AQ18" i="8"/>
  <c r="AO18" i="8"/>
  <c r="AN18" i="8"/>
  <c r="AM18" i="8"/>
  <c r="AI18" i="8"/>
  <c r="AH18" i="8"/>
  <c r="BI17" i="8"/>
  <c r="BG17" i="8"/>
  <c r="BF17" i="8"/>
  <c r="BB17" i="8"/>
  <c r="BA17" i="8"/>
  <c r="AZ17" i="8"/>
  <c r="AX17" i="8"/>
  <c r="AW17" i="8"/>
  <c r="AT17" i="8"/>
  <c r="AR17" i="8"/>
  <c r="AO17" i="8"/>
  <c r="AN17" i="8"/>
  <c r="AM17" i="8"/>
  <c r="AI17" i="8"/>
  <c r="AH17" i="8"/>
  <c r="BH16" i="8"/>
  <c r="BF16" i="8"/>
  <c r="BD16" i="8"/>
  <c r="BB16" i="8"/>
  <c r="BA16" i="8"/>
  <c r="BA22" i="8" s="1"/>
  <c r="BA24" i="8" s="1"/>
  <c r="AV16" i="8"/>
  <c r="AU16" i="8"/>
  <c r="AR16" i="8"/>
  <c r="AN16" i="8"/>
  <c r="AI16" i="8"/>
  <c r="AH16" i="8"/>
  <c r="AI15" i="8"/>
  <c r="AH15" i="8"/>
  <c r="AI14" i="8"/>
  <c r="AH14" i="8"/>
  <c r="AI13" i="8"/>
  <c r="AH13" i="8"/>
  <c r="AL12" i="8"/>
  <c r="AI12" i="8"/>
  <c r="AH12" i="8"/>
  <c r="AI11" i="8"/>
  <c r="AH11" i="8"/>
  <c r="AE5" i="8"/>
  <c r="Z5" i="8"/>
  <c r="Y5" i="8"/>
  <c r="X5" i="8"/>
  <c r="W5" i="8"/>
  <c r="V5" i="8"/>
  <c r="U5" i="8"/>
  <c r="T5" i="8"/>
  <c r="S5" i="8"/>
  <c r="R5" i="8"/>
  <c r="K5" i="8"/>
  <c r="H5" i="8"/>
  <c r="G5" i="8"/>
  <c r="D5" i="8"/>
  <c r="C5" i="8"/>
  <c r="B5" i="8"/>
  <c r="AG4" i="8"/>
  <c r="K4" i="8"/>
  <c r="E4" i="8"/>
  <c r="H4" i="8" s="1"/>
  <c r="B4" i="8"/>
  <c r="D258" i="8" s="1"/>
  <c r="AG3" i="8"/>
  <c r="AG2" i="8"/>
  <c r="AG6" i="8" s="1"/>
  <c r="AF58" i="7"/>
  <c r="AF62" i="7"/>
  <c r="AF76" i="7"/>
  <c r="AF80" i="7"/>
  <c r="AF92" i="7"/>
  <c r="AF97" i="7" s="1"/>
  <c r="AF99" i="7" s="1"/>
  <c r="AF101" i="7"/>
  <c r="AF102" i="7"/>
  <c r="AF103" i="7"/>
  <c r="AF104" i="7"/>
  <c r="AF107" i="7" s="1"/>
  <c r="AF105" i="7"/>
  <c r="AF118" i="7"/>
  <c r="AE58" i="7"/>
  <c r="AE62" i="7"/>
  <c r="AE76" i="7"/>
  <c r="AE80" i="7"/>
  <c r="AE92" i="7"/>
  <c r="AE97" i="7" s="1"/>
  <c r="AE99" i="7" s="1"/>
  <c r="AE101" i="7"/>
  <c r="AE102" i="7"/>
  <c r="AE103" i="7"/>
  <c r="AE104" i="7"/>
  <c r="AE105" i="7"/>
  <c r="AD58" i="7"/>
  <c r="AD62" i="7"/>
  <c r="AD76" i="7"/>
  <c r="AD80" i="7"/>
  <c r="AD92" i="7"/>
  <c r="AD101" i="7"/>
  <c r="AD102" i="7"/>
  <c r="AD103" i="7"/>
  <c r="AD104" i="7"/>
  <c r="AD105" i="7"/>
  <c r="AD118" i="7"/>
  <c r="AC58" i="7"/>
  <c r="AC62" i="7"/>
  <c r="AC76" i="7"/>
  <c r="AC80" i="7"/>
  <c r="AC92" i="7"/>
  <c r="AC108" i="7" s="1"/>
  <c r="AC101" i="7"/>
  <c r="AC102" i="7"/>
  <c r="AC103" i="7"/>
  <c r="AC104" i="7"/>
  <c r="AC105" i="7"/>
  <c r="AC107" i="7"/>
  <c r="AC118" i="7"/>
  <c r="V57" i="7"/>
  <c r="U57" i="7"/>
  <c r="T57" i="7"/>
  <c r="S57" i="7"/>
  <c r="R57" i="7"/>
  <c r="R58" i="7"/>
  <c r="R62" i="7"/>
  <c r="R252" i="12" l="1"/>
  <c r="S246" i="12"/>
  <c r="R118" i="12"/>
  <c r="O251" i="11"/>
  <c r="N252" i="11"/>
  <c r="N118" i="11"/>
  <c r="R246" i="11"/>
  <c r="K247" i="10"/>
  <c r="J252" i="10"/>
  <c r="N246" i="10"/>
  <c r="M118" i="10"/>
  <c r="K246" i="9"/>
  <c r="H251" i="9"/>
  <c r="G118" i="9"/>
  <c r="H247" i="9"/>
  <c r="G252" i="9"/>
  <c r="AE97" i="8"/>
  <c r="AE99" i="8" s="1"/>
  <c r="AE100" i="8" s="1"/>
  <c r="AE7" i="8" s="1"/>
  <c r="AD107" i="8"/>
  <c r="BH23" i="8" s="1"/>
  <c r="AC5" i="8"/>
  <c r="BH19" i="8"/>
  <c r="BH22" i="8"/>
  <c r="BH24" i="8" s="1"/>
  <c r="AC97" i="8"/>
  <c r="AC99" i="8" s="1"/>
  <c r="BG19" i="8"/>
  <c r="BG22" i="8" s="1"/>
  <c r="BD22" i="8"/>
  <c r="BD24" i="8" s="1"/>
  <c r="R107" i="8"/>
  <c r="AZ23" i="8" s="1"/>
  <c r="Q107" i="8"/>
  <c r="P5" i="8"/>
  <c r="AY22" i="8"/>
  <c r="AI103" i="8"/>
  <c r="AX19" i="8"/>
  <c r="AX22" i="8" s="1"/>
  <c r="O97" i="8"/>
  <c r="O99" i="8" s="1"/>
  <c r="N5" i="8"/>
  <c r="AW16" i="8"/>
  <c r="AW22" i="8" s="1"/>
  <c r="N107" i="8"/>
  <c r="AV23" i="8" s="1"/>
  <c r="J5" i="8"/>
  <c r="L5" i="8"/>
  <c r="M97" i="8"/>
  <c r="M99" i="8" s="1"/>
  <c r="K107" i="8"/>
  <c r="K97" i="8"/>
  <c r="K99" i="8" s="1"/>
  <c r="AT23" i="8"/>
  <c r="K108" i="8"/>
  <c r="J107" i="8"/>
  <c r="J108" i="8" s="1"/>
  <c r="I5" i="8"/>
  <c r="I107" i="8"/>
  <c r="AS23" i="8" s="1"/>
  <c r="G97" i="8"/>
  <c r="G99" i="8" s="1"/>
  <c r="F5" i="8"/>
  <c r="AR22" i="8"/>
  <c r="F107" i="8"/>
  <c r="AQ23" i="8" s="1"/>
  <c r="AI76" i="8"/>
  <c r="AP18" i="8"/>
  <c r="D107" i="8"/>
  <c r="D108" i="8"/>
  <c r="D97" i="8"/>
  <c r="D99" i="8" s="1"/>
  <c r="D100" i="8" s="1"/>
  <c r="AO22" i="8"/>
  <c r="AN19" i="8"/>
  <c r="AN22" i="8" s="1"/>
  <c r="AN24" i="8" s="1"/>
  <c r="C97" i="8"/>
  <c r="C99" i="8" s="1"/>
  <c r="C100" i="8" s="1"/>
  <c r="AI80" i="8"/>
  <c r="AH80" i="8"/>
  <c r="AF5" i="8"/>
  <c r="AM19" i="8"/>
  <c r="BG84" i="8" a="1"/>
  <c r="BI104" i="8" s="1"/>
  <c r="AH101" i="8"/>
  <c r="B97" i="8"/>
  <c r="B99" i="8" s="1"/>
  <c r="B100" i="8" s="1"/>
  <c r="AL13" i="8"/>
  <c r="AS22" i="8"/>
  <c r="AS24" i="8" s="1"/>
  <c r="AM23" i="8"/>
  <c r="E97" i="8"/>
  <c r="E99" i="8" s="1"/>
  <c r="AP16" i="8"/>
  <c r="AP22" i="8" s="1"/>
  <c r="AY23" i="8"/>
  <c r="AY24" i="8" s="1"/>
  <c r="Q108" i="8"/>
  <c r="BC16" i="8"/>
  <c r="BC22" i="8" s="1"/>
  <c r="F97" i="8"/>
  <c r="F99" i="8" s="1"/>
  <c r="F100" i="8" s="1"/>
  <c r="F7" i="8" s="1"/>
  <c r="AQ16" i="8"/>
  <c r="N97" i="8"/>
  <c r="N99" i="8" s="1"/>
  <c r="N100" i="8" s="1"/>
  <c r="N7" i="8" s="1"/>
  <c r="V7" i="8"/>
  <c r="AD97" i="8"/>
  <c r="AD99" i="8" s="1"/>
  <c r="AD100" i="8" s="1"/>
  <c r="AD7" i="8" s="1"/>
  <c r="P97" i="8"/>
  <c r="P99" i="8" s="1"/>
  <c r="N108" i="8"/>
  <c r="M5" i="8"/>
  <c r="AV19" i="8"/>
  <c r="AV22" i="8" s="1"/>
  <c r="AV24" i="8" s="1"/>
  <c r="Q97" i="8"/>
  <c r="Q99" i="8" s="1"/>
  <c r="Q100" i="8" s="1"/>
  <c r="Q7" i="8" s="1"/>
  <c r="AU22" i="8"/>
  <c r="BF22" i="8"/>
  <c r="BF24" i="8" s="1"/>
  <c r="X7" i="8"/>
  <c r="BE16" i="8"/>
  <c r="BE22" i="8" s="1"/>
  <c r="BJ16" i="8"/>
  <c r="BJ22" i="8" s="1"/>
  <c r="AF97" i="8"/>
  <c r="AF99" i="8" s="1"/>
  <c r="AH62" i="8"/>
  <c r="I97" i="8"/>
  <c r="I99" i="8" s="1"/>
  <c r="I100" i="8" s="1"/>
  <c r="I7" i="8" s="1"/>
  <c r="Y7" i="8"/>
  <c r="AG97" i="8"/>
  <c r="AI62" i="8"/>
  <c r="G107" i="8"/>
  <c r="AR23" i="8" s="1"/>
  <c r="AR24" i="8" s="1"/>
  <c r="O107" i="8"/>
  <c r="AW23" i="8" s="1"/>
  <c r="AW24" i="8" s="1"/>
  <c r="AE107" i="8"/>
  <c r="BI23" i="8" s="1"/>
  <c r="F108" i="8"/>
  <c r="AQ19" i="8"/>
  <c r="E5" i="8"/>
  <c r="AH76" i="8"/>
  <c r="AM22" i="8"/>
  <c r="BI22" i="8"/>
  <c r="BB22" i="8"/>
  <c r="AT22" i="8"/>
  <c r="AT24" i="8" s="1"/>
  <c r="AI92" i="8"/>
  <c r="AZ19" i="8"/>
  <c r="AZ22" i="8" s="1"/>
  <c r="AZ24" i="8" s="1"/>
  <c r="R108" i="8"/>
  <c r="AH92" i="8"/>
  <c r="AO23" i="8"/>
  <c r="L107" i="8"/>
  <c r="L108" i="8" s="1"/>
  <c r="BB23" i="8"/>
  <c r="AB107" i="8"/>
  <c r="BG23" i="8" s="1"/>
  <c r="E107" i="8"/>
  <c r="AP23" i="8" s="1"/>
  <c r="AH104" i="8"/>
  <c r="M107" i="8"/>
  <c r="AU23" i="8" s="1"/>
  <c r="BC23" i="8"/>
  <c r="AC107" i="8"/>
  <c r="AC108" i="8" s="1"/>
  <c r="J97" i="8"/>
  <c r="J99" i="8" s="1"/>
  <c r="J100" i="8" s="1"/>
  <c r="J7" i="8" s="1"/>
  <c r="R97" i="8"/>
  <c r="R99" i="8" s="1"/>
  <c r="R100" i="8" s="1"/>
  <c r="R7" i="8" s="1"/>
  <c r="Z7" i="8"/>
  <c r="AH58" i="8"/>
  <c r="H107" i="8"/>
  <c r="H108" i="8" s="1"/>
  <c r="P107" i="8"/>
  <c r="AF107" i="8"/>
  <c r="D252" i="8"/>
  <c r="E246" i="8"/>
  <c r="C7" i="8"/>
  <c r="S7" i="8"/>
  <c r="AA7" i="8"/>
  <c r="AI58" i="8"/>
  <c r="AI105" i="8"/>
  <c r="I108" i="8"/>
  <c r="L97" i="8"/>
  <c r="L99" i="8" s="1"/>
  <c r="T7" i="8"/>
  <c r="AB97" i="8"/>
  <c r="AB99" i="8" s="1"/>
  <c r="M108" i="8"/>
  <c r="AI101" i="8"/>
  <c r="AI104" i="8"/>
  <c r="AH103" i="8"/>
  <c r="AH105" i="8"/>
  <c r="AF108" i="7"/>
  <c r="AF100" i="7"/>
  <c r="AE107" i="7"/>
  <c r="AE100" i="7" s="1"/>
  <c r="AE108" i="7"/>
  <c r="AD107" i="7"/>
  <c r="AD108" i="7" s="1"/>
  <c r="AD97" i="7"/>
  <c r="AD99" i="7" s="1"/>
  <c r="AD100" i="7" s="1"/>
  <c r="AC97" i="7"/>
  <c r="AC99" i="7" s="1"/>
  <c r="AC100" i="7" s="1"/>
  <c r="S252" i="12" l="1"/>
  <c r="T246" i="12"/>
  <c r="S246" i="11"/>
  <c r="P251" i="11"/>
  <c r="O252" i="11"/>
  <c r="O118" i="11"/>
  <c r="O246" i="10"/>
  <c r="N118" i="10"/>
  <c r="L247" i="10"/>
  <c r="K252" i="10"/>
  <c r="I247" i="9"/>
  <c r="H252" i="9"/>
  <c r="I251" i="9"/>
  <c r="H118" i="9"/>
  <c r="L246" i="9"/>
  <c r="AE108" i="8"/>
  <c r="AD108" i="8"/>
  <c r="BG24" i="8"/>
  <c r="AB108" i="8"/>
  <c r="BB24" i="8"/>
  <c r="P100" i="8"/>
  <c r="P7" i="8" s="1"/>
  <c r="O108" i="8"/>
  <c r="M100" i="8"/>
  <c r="M7" i="8" s="1"/>
  <c r="K100" i="8"/>
  <c r="K7" i="8" s="1"/>
  <c r="G108" i="8"/>
  <c r="G100" i="8"/>
  <c r="G7" i="8" s="1"/>
  <c r="AO24" i="8"/>
  <c r="BG96" i="8"/>
  <c r="BG107" i="8"/>
  <c r="BJ101" i="8"/>
  <c r="BK102" i="8"/>
  <c r="BJ96" i="8"/>
  <c r="BJ102" i="8"/>
  <c r="BK104" i="8"/>
  <c r="BJ94" i="8"/>
  <c r="BI98" i="8"/>
  <c r="BK90" i="8"/>
  <c r="BL103" i="8"/>
  <c r="BL97" i="8"/>
  <c r="BI107" i="8"/>
  <c r="BK87" i="8"/>
  <c r="BI90" i="8"/>
  <c r="BK93" i="8"/>
  <c r="BG93" i="8"/>
  <c r="BI93" i="8"/>
  <c r="BH99" i="8"/>
  <c r="BJ91" i="8"/>
  <c r="BK85" i="8"/>
  <c r="BJ93" i="8"/>
  <c r="BH92" i="8"/>
  <c r="BL94" i="8"/>
  <c r="BK95" i="8"/>
  <c r="BH107" i="8"/>
  <c r="BH94" i="8"/>
  <c r="BI89" i="8"/>
  <c r="BG88" i="8"/>
  <c r="BL107" i="8"/>
  <c r="BJ97" i="8"/>
  <c r="BK84" i="8"/>
  <c r="BH102" i="8"/>
  <c r="BH85" i="8"/>
  <c r="BJ85" i="8"/>
  <c r="BI84" i="8"/>
  <c r="BL85" i="8"/>
  <c r="BG86" i="8"/>
  <c r="BL104" i="8"/>
  <c r="BG84" i="8"/>
  <c r="BJ98" i="8"/>
  <c r="BK86" i="8"/>
  <c r="BH87" i="8"/>
  <c r="BG94" i="8"/>
  <c r="BJ90" i="8"/>
  <c r="BI100" i="8"/>
  <c r="BK99" i="8"/>
  <c r="BJ88" i="8"/>
  <c r="BK96" i="8"/>
  <c r="BI95" i="8"/>
  <c r="BG106" i="8"/>
  <c r="BL92" i="8"/>
  <c r="BJ103" i="8"/>
  <c r="BL91" i="8"/>
  <c r="BI86" i="8"/>
  <c r="BJ89" i="8"/>
  <c r="BI105" i="8"/>
  <c r="BL87" i="8"/>
  <c r="BG105" i="8"/>
  <c r="BH97" i="8"/>
  <c r="BG89" i="8"/>
  <c r="BK105" i="8"/>
  <c r="BL99" i="8"/>
  <c r="BL89" i="8"/>
  <c r="BJ100" i="8"/>
  <c r="BI87" i="8"/>
  <c r="BG98" i="8"/>
  <c r="BL84" i="8"/>
  <c r="BJ95" i="8"/>
  <c r="BH106" i="8"/>
  <c r="BH104" i="8"/>
  <c r="BI85" i="8"/>
  <c r="BH101" i="8"/>
  <c r="BK89" i="8"/>
  <c r="BL106" i="8"/>
  <c r="BG99" i="8"/>
  <c r="BL90" i="8"/>
  <c r="BG85" i="8"/>
  <c r="BK101" i="8"/>
  <c r="BH91" i="8"/>
  <c r="BL101" i="8"/>
  <c r="BK88" i="8"/>
  <c r="BI99" i="8"/>
  <c r="BH86" i="8"/>
  <c r="BL96" i="8"/>
  <c r="BJ107" i="8"/>
  <c r="BG100" i="8"/>
  <c r="BK107" i="8"/>
  <c r="BJ106" i="8"/>
  <c r="BG97" i="8"/>
  <c r="BH105" i="8"/>
  <c r="BG92" i="8"/>
  <c r="BH84" i="8"/>
  <c r="BI101" i="8"/>
  <c r="BH93" i="8"/>
  <c r="BL86" i="8"/>
  <c r="BG104" i="8"/>
  <c r="BJ92" i="8"/>
  <c r="BH103" i="8"/>
  <c r="BG90" i="8"/>
  <c r="BK100" i="8"/>
  <c r="BJ87" i="8"/>
  <c r="BH98" i="8"/>
  <c r="BL95" i="8"/>
  <c r="BG103" i="8"/>
  <c r="BL102" i="8"/>
  <c r="BI102" i="8"/>
  <c r="BI92" i="8"/>
  <c r="BG101" i="8"/>
  <c r="BI94" i="8"/>
  <c r="BJ86" i="8"/>
  <c r="BK103" i="8"/>
  <c r="BG95" i="8"/>
  <c r="BH89" i="8"/>
  <c r="BI106" i="8"/>
  <c r="BL93" i="8"/>
  <c r="BJ104" i="8"/>
  <c r="BI91" i="8"/>
  <c r="BG102" i="8"/>
  <c r="BL88" i="8"/>
  <c r="BJ99" i="8"/>
  <c r="BK91" i="8"/>
  <c r="BL98" i="8"/>
  <c r="BK98" i="8"/>
  <c r="BK106" i="8"/>
  <c r="BK97" i="8"/>
  <c r="BH88" i="8"/>
  <c r="BI96" i="8"/>
  <c r="BH96" i="8"/>
  <c r="BI88" i="8"/>
  <c r="BJ105" i="8"/>
  <c r="BI97" i="8"/>
  <c r="BG91" i="8"/>
  <c r="BJ84" i="8"/>
  <c r="BH95" i="8"/>
  <c r="BL105" i="8"/>
  <c r="BK92" i="8"/>
  <c r="BI103" i="8"/>
  <c r="BH90" i="8"/>
  <c r="BL100" i="8"/>
  <c r="BH100" i="8"/>
  <c r="BG87" i="8"/>
  <c r="BK94" i="8"/>
  <c r="E108" i="8"/>
  <c r="F246" i="8"/>
  <c r="E118" i="8"/>
  <c r="E252" i="8"/>
  <c r="B256" i="8"/>
  <c r="E100" i="8"/>
  <c r="E7" i="8" s="1"/>
  <c r="AB100" i="8"/>
  <c r="AB7" i="8" s="1"/>
  <c r="AI107" i="8"/>
  <c r="AC100" i="8"/>
  <c r="AC7" i="8" s="1"/>
  <c r="AI97" i="8"/>
  <c r="AH97" i="8"/>
  <c r="W7" i="8"/>
  <c r="AP24" i="8"/>
  <c r="AU24" i="8"/>
  <c r="C256" i="8"/>
  <c r="AH107" i="8"/>
  <c r="O100" i="8"/>
  <c r="O7" i="8" s="1"/>
  <c r="AM24" i="8"/>
  <c r="BE24" i="8"/>
  <c r="L100" i="8"/>
  <c r="L7" i="8" s="1"/>
  <c r="AF108" i="8"/>
  <c r="BJ23" i="8"/>
  <c r="BJ24" i="8" s="1"/>
  <c r="AQ22" i="8"/>
  <c r="AQ24" i="8" s="1"/>
  <c r="D7" i="8"/>
  <c r="BE23" i="8"/>
  <c r="AF100" i="8"/>
  <c r="AF7" i="8" s="1"/>
  <c r="H100" i="8"/>
  <c r="H7" i="8" s="1"/>
  <c r="P108" i="8"/>
  <c r="AX23" i="8"/>
  <c r="AX24" i="8" s="1"/>
  <c r="BI24" i="8"/>
  <c r="BC24" i="8"/>
  <c r="U7" i="8"/>
  <c r="T252" i="12" l="1"/>
  <c r="U246" i="12"/>
  <c r="Q251" i="11"/>
  <c r="P252" i="11"/>
  <c r="T246" i="11"/>
  <c r="M247" i="10"/>
  <c r="L252" i="10"/>
  <c r="P246" i="10"/>
  <c r="O118" i="10"/>
  <c r="M246" i="9"/>
  <c r="J251" i="9"/>
  <c r="I118" i="9"/>
  <c r="J247" i="9"/>
  <c r="I252" i="9"/>
  <c r="K6" i="8"/>
  <c r="AT8" i="8"/>
  <c r="AT9" i="8"/>
  <c r="AH99" i="8"/>
  <c r="AI99" i="8"/>
  <c r="G246" i="8"/>
  <c r="F118" i="8"/>
  <c r="F252" i="8"/>
  <c r="AH108" i="8"/>
  <c r="AI108" i="8"/>
  <c r="U252" i="12" l="1"/>
  <c r="V246" i="12"/>
  <c r="U246" i="11"/>
  <c r="R251" i="11"/>
  <c r="Q252" i="11"/>
  <c r="Q118" i="11"/>
  <c r="N247" i="10"/>
  <c r="M252" i="10"/>
  <c r="Q246" i="10"/>
  <c r="K247" i="9"/>
  <c r="J252" i="9"/>
  <c r="K251" i="9"/>
  <c r="J118" i="9"/>
  <c r="N246" i="9"/>
  <c r="AI100" i="8"/>
  <c r="AH100" i="8"/>
  <c r="B7" i="8"/>
  <c r="A7" i="8" s="1"/>
  <c r="H246" i="8"/>
  <c r="G118" i="8"/>
  <c r="G252" i="8"/>
  <c r="W246" i="12" l="1"/>
  <c r="V252" i="12"/>
  <c r="S251" i="11"/>
  <c r="R252" i="11"/>
  <c r="R118" i="11"/>
  <c r="V246" i="11"/>
  <c r="O247" i="10"/>
  <c r="N252" i="10"/>
  <c r="Q118" i="10"/>
  <c r="R246" i="10"/>
  <c r="O246" i="9"/>
  <c r="L251" i="9"/>
  <c r="K118" i="9"/>
  <c r="L247" i="9"/>
  <c r="K252" i="9"/>
  <c r="I246" i="8"/>
  <c r="H252" i="8"/>
  <c r="H118" i="8"/>
  <c r="X246" i="12" l="1"/>
  <c r="W252" i="12"/>
  <c r="W246" i="11"/>
  <c r="T251" i="11"/>
  <c r="S252" i="11"/>
  <c r="S118" i="11"/>
  <c r="P247" i="10"/>
  <c r="O252" i="10"/>
  <c r="R118" i="10"/>
  <c r="S246" i="10"/>
  <c r="P246" i="9"/>
  <c r="M247" i="9"/>
  <c r="L252" i="9"/>
  <c r="M251" i="9"/>
  <c r="L118" i="9"/>
  <c r="I252" i="8"/>
  <c r="I118" i="8"/>
  <c r="J246" i="8"/>
  <c r="X118" i="12" l="1"/>
  <c r="Y246" i="12"/>
  <c r="X252" i="12"/>
  <c r="U251" i="11"/>
  <c r="T252" i="11"/>
  <c r="T118" i="11"/>
  <c r="X246" i="11"/>
  <c r="Q247" i="10"/>
  <c r="P252" i="10"/>
  <c r="S118" i="10"/>
  <c r="T246" i="10"/>
  <c r="N251" i="9"/>
  <c r="N118" i="9" s="1"/>
  <c r="M118" i="9"/>
  <c r="N247" i="9"/>
  <c r="M252" i="9"/>
  <c r="Q246" i="9"/>
  <c r="J252" i="8"/>
  <c r="J118" i="8"/>
  <c r="K246" i="8"/>
  <c r="Z246" i="12" l="1"/>
  <c r="Y252" i="12"/>
  <c r="Y246" i="11"/>
  <c r="V251" i="11"/>
  <c r="U118" i="11"/>
  <c r="U252" i="11"/>
  <c r="R247" i="10"/>
  <c r="Q252" i="10"/>
  <c r="T118" i="10"/>
  <c r="U246" i="10"/>
  <c r="R246" i="9"/>
  <c r="O247" i="9"/>
  <c r="N252" i="9"/>
  <c r="O251" i="9"/>
  <c r="K252" i="8"/>
  <c r="L246" i="8"/>
  <c r="Z252" i="12" l="1"/>
  <c r="AA246" i="12"/>
  <c r="W251" i="11"/>
  <c r="V252" i="11"/>
  <c r="V118" i="11"/>
  <c r="Z246" i="11"/>
  <c r="S247" i="10"/>
  <c r="R252" i="10"/>
  <c r="U118" i="10"/>
  <c r="V246" i="10"/>
  <c r="P251" i="9"/>
  <c r="O118" i="9"/>
  <c r="P247" i="9"/>
  <c r="O252" i="9"/>
  <c r="S246" i="9"/>
  <c r="L252" i="8"/>
  <c r="L118" i="8"/>
  <c r="M246" i="8"/>
  <c r="AA252" i="12" l="1"/>
  <c r="AB246" i="12"/>
  <c r="X251" i="11"/>
  <c r="W252" i="11"/>
  <c r="W118" i="11"/>
  <c r="AA246" i="11"/>
  <c r="W246" i="10"/>
  <c r="T247" i="10"/>
  <c r="S252" i="10"/>
  <c r="Q251" i="9"/>
  <c r="R251" i="9" s="1"/>
  <c r="P118" i="9"/>
  <c r="T246" i="9"/>
  <c r="Q247" i="9"/>
  <c r="P252" i="9"/>
  <c r="Q118" i="9"/>
  <c r="N246" i="8"/>
  <c r="M118" i="8"/>
  <c r="M252" i="8"/>
  <c r="AB118" i="12" l="1"/>
  <c r="AB252" i="12"/>
  <c r="AC246" i="12"/>
  <c r="Y251" i="11"/>
  <c r="X252" i="11"/>
  <c r="X118" i="11"/>
  <c r="AB246" i="11"/>
  <c r="U247" i="10"/>
  <c r="T252" i="10"/>
  <c r="X246" i="10"/>
  <c r="W118" i="10"/>
  <c r="S251" i="9"/>
  <c r="R118" i="9"/>
  <c r="R247" i="9"/>
  <c r="Q252" i="9"/>
  <c r="U246" i="9"/>
  <c r="O246" i="8"/>
  <c r="N252" i="8"/>
  <c r="N118" i="8"/>
  <c r="AC118" i="12" l="1"/>
  <c r="AD246" i="12"/>
  <c r="AC252" i="12"/>
  <c r="AC246" i="11"/>
  <c r="Z251" i="11"/>
  <c r="Y252" i="11"/>
  <c r="Y246" i="10"/>
  <c r="X118" i="10"/>
  <c r="V247" i="10"/>
  <c r="U252" i="10"/>
  <c r="V246" i="9"/>
  <c r="S247" i="9"/>
  <c r="R252" i="9"/>
  <c r="T251" i="9"/>
  <c r="S118" i="9"/>
  <c r="P246" i="8"/>
  <c r="O118" i="8"/>
  <c r="O252" i="8"/>
  <c r="AE246" i="12" l="1"/>
  <c r="AD118" i="12"/>
  <c r="AD252" i="12"/>
  <c r="AA251" i="11"/>
  <c r="Z252" i="11"/>
  <c r="AD246" i="11"/>
  <c r="W247" i="10"/>
  <c r="V252" i="10"/>
  <c r="Z246" i="10"/>
  <c r="U251" i="9"/>
  <c r="T118" i="9"/>
  <c r="T247" i="9"/>
  <c r="S252" i="9"/>
  <c r="W246" i="9"/>
  <c r="Q246" i="8"/>
  <c r="P252" i="8"/>
  <c r="AF246" i="12" l="1"/>
  <c r="AE252" i="12"/>
  <c r="AE118" i="12"/>
  <c r="AB251" i="11"/>
  <c r="AA252" i="11"/>
  <c r="AA118" i="11"/>
  <c r="AE246" i="11"/>
  <c r="AA246" i="10"/>
  <c r="X247" i="10"/>
  <c r="W252" i="10"/>
  <c r="X246" i="9"/>
  <c r="U247" i="9"/>
  <c r="T252" i="9"/>
  <c r="V251" i="9"/>
  <c r="U118" i="9"/>
  <c r="Q252" i="8"/>
  <c r="Q118" i="8"/>
  <c r="R246" i="8"/>
  <c r="AF118" i="12" l="1"/>
  <c r="B246" i="12"/>
  <c r="B118" i="12" s="1"/>
  <c r="AF252" i="12"/>
  <c r="AF246" i="11"/>
  <c r="AC251" i="11"/>
  <c r="AB118" i="11"/>
  <c r="AB252" i="11"/>
  <c r="Y247" i="10"/>
  <c r="X252" i="10"/>
  <c r="AA118" i="10"/>
  <c r="AB246" i="10"/>
  <c r="W251" i="9"/>
  <c r="V118" i="9"/>
  <c r="V247" i="9"/>
  <c r="U252" i="9"/>
  <c r="Y246" i="9"/>
  <c r="R252" i="8"/>
  <c r="R118" i="8"/>
  <c r="S246" i="8"/>
  <c r="B252" i="12" l="1"/>
  <c r="AD251" i="11"/>
  <c r="AC118" i="11"/>
  <c r="AC252" i="11"/>
  <c r="B246" i="11"/>
  <c r="AB118" i="10"/>
  <c r="AC246" i="10"/>
  <c r="Z247" i="10"/>
  <c r="Y252" i="10"/>
  <c r="Z246" i="9"/>
  <c r="W247" i="9"/>
  <c r="V252" i="9"/>
  <c r="X251" i="9"/>
  <c r="W118" i="9"/>
  <c r="S252" i="8"/>
  <c r="T246" i="8"/>
  <c r="AI118" i="12" l="1"/>
  <c r="AH118" i="12"/>
  <c r="AE251" i="11"/>
  <c r="AD252" i="11"/>
  <c r="AD118" i="11"/>
  <c r="AA247" i="10"/>
  <c r="Z252" i="10"/>
  <c r="AD246" i="10"/>
  <c r="Y251" i="9"/>
  <c r="Z251" i="9" s="1"/>
  <c r="AA251" i="9" s="1"/>
  <c r="AB251" i="9" s="1"/>
  <c r="AC251" i="9" s="1"/>
  <c r="AD251" i="9" s="1"/>
  <c r="AE251" i="9" s="1"/>
  <c r="AF251" i="9" s="1"/>
  <c r="B251" i="9" s="1"/>
  <c r="X118" i="9"/>
  <c r="X247" i="9"/>
  <c r="W252" i="9"/>
  <c r="AA246" i="9"/>
  <c r="T252" i="8"/>
  <c r="U246" i="8"/>
  <c r="AF251" i="11" l="1"/>
  <c r="AE252" i="11"/>
  <c r="AE118" i="11"/>
  <c r="AE246" i="10"/>
  <c r="AB247" i="10"/>
  <c r="AA252" i="10"/>
  <c r="AA118" i="9"/>
  <c r="AB246" i="9"/>
  <c r="Y247" i="9"/>
  <c r="X252" i="9"/>
  <c r="V246" i="8"/>
  <c r="U252" i="8"/>
  <c r="B251" i="11" l="1"/>
  <c r="AF252" i="11"/>
  <c r="AF118" i="11"/>
  <c r="AC247" i="10"/>
  <c r="AB252" i="10"/>
  <c r="AF246" i="10"/>
  <c r="Z247" i="9"/>
  <c r="Y252" i="9"/>
  <c r="AB118" i="9"/>
  <c r="AC246" i="9"/>
  <c r="W246" i="8"/>
  <c r="V252" i="8"/>
  <c r="B252" i="11" l="1"/>
  <c r="AD247" i="10"/>
  <c r="AC252" i="10"/>
  <c r="B246" i="10"/>
  <c r="AC118" i="9"/>
  <c r="AD246" i="9"/>
  <c r="AA247" i="9"/>
  <c r="Z252" i="9"/>
  <c r="X246" i="8"/>
  <c r="W252" i="8"/>
  <c r="AI118" i="11" l="1"/>
  <c r="AH118" i="11"/>
  <c r="AE247" i="10"/>
  <c r="AD252" i="10"/>
  <c r="AE246" i="9"/>
  <c r="AD118" i="9"/>
  <c r="AB247" i="9"/>
  <c r="AA252" i="9"/>
  <c r="Y246" i="8"/>
  <c r="X252" i="8"/>
  <c r="AF247" i="10" l="1"/>
  <c r="AE252" i="10"/>
  <c r="AI118" i="10"/>
  <c r="AH118" i="10"/>
  <c r="AC247" i="9"/>
  <c r="AB252" i="9"/>
  <c r="AF246" i="9"/>
  <c r="AE118" i="9"/>
  <c r="Y252" i="8"/>
  <c r="Z246" i="8"/>
  <c r="B247" i="10" l="1"/>
  <c r="B252" i="10" s="1"/>
  <c r="AF252" i="10"/>
  <c r="AF118" i="9"/>
  <c r="B246" i="9"/>
  <c r="AD247" i="9"/>
  <c r="AC252" i="9"/>
  <c r="Z252" i="8"/>
  <c r="AA246" i="8"/>
  <c r="AE247" i="9" l="1"/>
  <c r="AD252" i="9"/>
  <c r="B118" i="9"/>
  <c r="AA252" i="8"/>
  <c r="AB246" i="8"/>
  <c r="AI118" i="9" l="1"/>
  <c r="AH118" i="9"/>
  <c r="AF247" i="9"/>
  <c r="AE252" i="9"/>
  <c r="AB252" i="8"/>
  <c r="AB118" i="8"/>
  <c r="AC246" i="8"/>
  <c r="B247" i="9" l="1"/>
  <c r="B252" i="9" s="1"/>
  <c r="AF252" i="9"/>
  <c r="AC118" i="8"/>
  <c r="AD246" i="8"/>
  <c r="AC252" i="8"/>
  <c r="AE246" i="8" l="1"/>
  <c r="AD252" i="8"/>
  <c r="AD118" i="8"/>
  <c r="AF246" i="8" l="1"/>
  <c r="AE252" i="8"/>
  <c r="AE118" i="8"/>
  <c r="AF252" i="8" l="1"/>
  <c r="AF118" i="8"/>
  <c r="B246" i="8"/>
  <c r="B252" i="8" l="1"/>
  <c r="AI118" i="8" l="1"/>
  <c r="AH118" i="8"/>
  <c r="Q57" i="7" l="1"/>
  <c r="K57" i="7"/>
  <c r="J57" i="7"/>
  <c r="I57" i="7" l="1"/>
  <c r="H57" i="7"/>
  <c r="G57" i="7"/>
  <c r="F121" i="7"/>
  <c r="F57" i="7"/>
  <c r="E57" i="7" l="1"/>
  <c r="D121" i="7"/>
  <c r="D57" i="7"/>
  <c r="D58" i="7"/>
  <c r="D62" i="7"/>
  <c r="D76" i="7"/>
  <c r="AO18" i="7" s="1"/>
  <c r="D80" i="7"/>
  <c r="AO20" i="7" s="1"/>
  <c r="D92" i="7"/>
  <c r="C5" i="7" s="1"/>
  <c r="D101" i="7"/>
  <c r="D102" i="7"/>
  <c r="D103" i="7"/>
  <c r="D104" i="7"/>
  <c r="D105" i="7"/>
  <c r="D118" i="7"/>
  <c r="C121" i="7"/>
  <c r="C57" i="7"/>
  <c r="AI57" i="7" s="1"/>
  <c r="C58" i="7"/>
  <c r="C62" i="7"/>
  <c r="C76" i="7"/>
  <c r="C80" i="7"/>
  <c r="AH125" i="7"/>
  <c r="AI125" i="7"/>
  <c r="AH124" i="7"/>
  <c r="AI124" i="7"/>
  <c r="B121" i="7"/>
  <c r="AH121" i="7" s="1"/>
  <c r="B57" i="7"/>
  <c r="B80" i="7"/>
  <c r="B76" i="7"/>
  <c r="B62" i="7"/>
  <c r="B58" i="7"/>
  <c r="AG252" i="7"/>
  <c r="C252" i="7"/>
  <c r="D251" i="7"/>
  <c r="D250" i="7"/>
  <c r="E250" i="7" s="1"/>
  <c r="F250" i="7" s="1"/>
  <c r="G250" i="7" s="1"/>
  <c r="H250" i="7" s="1"/>
  <c r="I250" i="7" s="1"/>
  <c r="J250" i="7" s="1"/>
  <c r="K250" i="7" s="1"/>
  <c r="L250" i="7" s="1"/>
  <c r="M250" i="7" s="1"/>
  <c r="N250" i="7" s="1"/>
  <c r="O250" i="7" s="1"/>
  <c r="P250" i="7" s="1"/>
  <c r="Q250" i="7" s="1"/>
  <c r="R250" i="7" s="1"/>
  <c r="S250" i="7" s="1"/>
  <c r="T250" i="7" s="1"/>
  <c r="U250" i="7" s="1"/>
  <c r="V250" i="7" s="1"/>
  <c r="W250" i="7" s="1"/>
  <c r="X250" i="7" s="1"/>
  <c r="Y250" i="7" s="1"/>
  <c r="Z250" i="7" s="1"/>
  <c r="AA250" i="7" s="1"/>
  <c r="AB250" i="7" s="1"/>
  <c r="AC250" i="7" s="1"/>
  <c r="AD250" i="7" s="1"/>
  <c r="AE250" i="7" s="1"/>
  <c r="AF250" i="7" s="1"/>
  <c r="B250" i="7" s="1"/>
  <c r="D249" i="7"/>
  <c r="E249" i="7" s="1"/>
  <c r="F249" i="7" s="1"/>
  <c r="G249" i="7" s="1"/>
  <c r="H249" i="7" s="1"/>
  <c r="I249" i="7" s="1"/>
  <c r="J249" i="7" s="1"/>
  <c r="K249" i="7" s="1"/>
  <c r="L249" i="7" s="1"/>
  <c r="M249" i="7" s="1"/>
  <c r="N249" i="7" s="1"/>
  <c r="O249" i="7" s="1"/>
  <c r="P249" i="7" s="1"/>
  <c r="Q249" i="7" s="1"/>
  <c r="R249" i="7" s="1"/>
  <c r="S249" i="7" s="1"/>
  <c r="T249" i="7" s="1"/>
  <c r="U249" i="7" s="1"/>
  <c r="V249" i="7" s="1"/>
  <c r="W249" i="7" s="1"/>
  <c r="X249" i="7" s="1"/>
  <c r="Y249" i="7" s="1"/>
  <c r="Z249" i="7" s="1"/>
  <c r="AA249" i="7" s="1"/>
  <c r="AB249" i="7" s="1"/>
  <c r="AC249" i="7" s="1"/>
  <c r="AD249" i="7" s="1"/>
  <c r="AE249" i="7" s="1"/>
  <c r="AF249" i="7" s="1"/>
  <c r="B249" i="7" s="1"/>
  <c r="D248" i="7"/>
  <c r="E248" i="7" s="1"/>
  <c r="F248" i="7" s="1"/>
  <c r="G248" i="7" s="1"/>
  <c r="H248" i="7" s="1"/>
  <c r="I248" i="7" s="1"/>
  <c r="J248" i="7" s="1"/>
  <c r="K248" i="7" s="1"/>
  <c r="L248" i="7" s="1"/>
  <c r="M248" i="7" s="1"/>
  <c r="N248" i="7" s="1"/>
  <c r="O248" i="7" s="1"/>
  <c r="P248" i="7" s="1"/>
  <c r="Q248" i="7" s="1"/>
  <c r="R248" i="7" s="1"/>
  <c r="S248" i="7" s="1"/>
  <c r="T248" i="7" s="1"/>
  <c r="U248" i="7" s="1"/>
  <c r="V248" i="7" s="1"/>
  <c r="W248" i="7" s="1"/>
  <c r="X248" i="7" s="1"/>
  <c r="Y248" i="7" s="1"/>
  <c r="Z248" i="7" s="1"/>
  <c r="AA248" i="7" s="1"/>
  <c r="AB248" i="7" s="1"/>
  <c r="AC248" i="7" s="1"/>
  <c r="AD248" i="7" s="1"/>
  <c r="AE248" i="7" s="1"/>
  <c r="AF248" i="7" s="1"/>
  <c r="B248" i="7" s="1"/>
  <c r="D247" i="7"/>
  <c r="E247" i="7" s="1"/>
  <c r="F247" i="7" s="1"/>
  <c r="G247" i="7" s="1"/>
  <c r="H247" i="7" s="1"/>
  <c r="I247" i="7" s="1"/>
  <c r="J247" i="7" s="1"/>
  <c r="K247" i="7" s="1"/>
  <c r="L247" i="7" s="1"/>
  <c r="M247" i="7" s="1"/>
  <c r="N247" i="7" s="1"/>
  <c r="O247" i="7" s="1"/>
  <c r="P247" i="7" s="1"/>
  <c r="Q247" i="7" s="1"/>
  <c r="R247" i="7" s="1"/>
  <c r="S247" i="7" s="1"/>
  <c r="T247" i="7" s="1"/>
  <c r="U247" i="7" s="1"/>
  <c r="V247" i="7" s="1"/>
  <c r="W247" i="7" s="1"/>
  <c r="X247" i="7" s="1"/>
  <c r="Y247" i="7" s="1"/>
  <c r="Z247" i="7" s="1"/>
  <c r="AA247" i="7" s="1"/>
  <c r="AB247" i="7" s="1"/>
  <c r="AC247" i="7" s="1"/>
  <c r="AD247" i="7" s="1"/>
  <c r="AE247" i="7" s="1"/>
  <c r="AF247" i="7" s="1"/>
  <c r="B247" i="7" s="1"/>
  <c r="E246" i="7"/>
  <c r="F246" i="7" s="1"/>
  <c r="D246" i="7"/>
  <c r="AG244" i="7"/>
  <c r="AF244" i="7"/>
  <c r="AE244" i="7"/>
  <c r="AD244" i="7"/>
  <c r="AC244" i="7"/>
  <c r="AB244" i="7"/>
  <c r="AA244" i="7"/>
  <c r="Z244" i="7"/>
  <c r="Y244" i="7"/>
  <c r="Y118" i="7" s="1"/>
  <c r="X244" i="7"/>
  <c r="W244" i="7"/>
  <c r="V244" i="7"/>
  <c r="U244" i="7"/>
  <c r="T244" i="7"/>
  <c r="S244" i="7"/>
  <c r="R244" i="7"/>
  <c r="Q244" i="7"/>
  <c r="P244" i="7"/>
  <c r="O244" i="7"/>
  <c r="N244" i="7"/>
  <c r="M244" i="7"/>
  <c r="L244" i="7"/>
  <c r="K244" i="7"/>
  <c r="J244" i="7"/>
  <c r="I244" i="7"/>
  <c r="H244" i="7"/>
  <c r="G244" i="7"/>
  <c r="F244" i="7"/>
  <c r="E244" i="7"/>
  <c r="D244" i="7"/>
  <c r="C244" i="7"/>
  <c r="B244" i="7"/>
  <c r="AI130" i="7"/>
  <c r="AH130" i="7"/>
  <c r="AI129" i="7"/>
  <c r="AH129" i="7"/>
  <c r="AI128" i="7"/>
  <c r="AH128" i="7"/>
  <c r="AI127" i="7"/>
  <c r="AH127" i="7"/>
  <c r="AI126" i="7"/>
  <c r="AH126" i="7"/>
  <c r="AI123" i="7"/>
  <c r="AH123" i="7"/>
  <c r="AI122" i="7"/>
  <c r="AH122" i="7"/>
  <c r="AI121" i="7"/>
  <c r="AI120" i="7"/>
  <c r="AH120" i="7"/>
  <c r="AI119" i="7"/>
  <c r="AH119" i="7"/>
  <c r="Z118" i="7"/>
  <c r="C118" i="7"/>
  <c r="AI117" i="7"/>
  <c r="AH117" i="7"/>
  <c r="AI116" i="7"/>
  <c r="AH116" i="7"/>
  <c r="AI115" i="7"/>
  <c r="AH115" i="7"/>
  <c r="AI114" i="7"/>
  <c r="AH114" i="7"/>
  <c r="AI113" i="7"/>
  <c r="AH113" i="7"/>
  <c r="AI112" i="7"/>
  <c r="AH112" i="7"/>
  <c r="AI111" i="7"/>
  <c r="AH111" i="7"/>
  <c r="AI110" i="7"/>
  <c r="AH110" i="7"/>
  <c r="AI109" i="7"/>
  <c r="AH109" i="7"/>
  <c r="AI106" i="7"/>
  <c r="AH106" i="7"/>
  <c r="AB105" i="7"/>
  <c r="AA105" i="7"/>
  <c r="Z105" i="7"/>
  <c r="Y105" i="7"/>
  <c r="X105" i="7"/>
  <c r="W105" i="7"/>
  <c r="V105" i="7"/>
  <c r="U105" i="7"/>
  <c r="T105" i="7"/>
  <c r="S105" i="7"/>
  <c r="R105" i="7"/>
  <c r="Q105" i="7"/>
  <c r="P105" i="7"/>
  <c r="O105" i="7"/>
  <c r="N105" i="7"/>
  <c r="M105" i="7"/>
  <c r="L105" i="7"/>
  <c r="K105" i="7"/>
  <c r="J105" i="7"/>
  <c r="I105" i="7"/>
  <c r="H105" i="7"/>
  <c r="G105" i="7"/>
  <c r="F105" i="7"/>
  <c r="E105" i="7"/>
  <c r="C105" i="7"/>
  <c r="B105" i="7"/>
  <c r="AB104" i="7"/>
  <c r="AA104" i="7"/>
  <c r="Z104" i="7"/>
  <c r="Y104" i="7"/>
  <c r="X104" i="7"/>
  <c r="W104" i="7"/>
  <c r="V104" i="7"/>
  <c r="U104" i="7"/>
  <c r="T104" i="7"/>
  <c r="S104" i="7"/>
  <c r="R104" i="7"/>
  <c r="Q104" i="7"/>
  <c r="P104" i="7"/>
  <c r="O104" i="7"/>
  <c r="N104" i="7"/>
  <c r="M104" i="7"/>
  <c r="L104" i="7"/>
  <c r="K104" i="7"/>
  <c r="J104" i="7"/>
  <c r="I104" i="7"/>
  <c r="H104" i="7"/>
  <c r="G104" i="7"/>
  <c r="F104" i="7"/>
  <c r="E104" i="7"/>
  <c r="C104" i="7"/>
  <c r="B104" i="7"/>
  <c r="AB103" i="7"/>
  <c r="AA103" i="7"/>
  <c r="Z103" i="7"/>
  <c r="Y103" i="7"/>
  <c r="X103" i="7"/>
  <c r="W103" i="7"/>
  <c r="V103" i="7"/>
  <c r="U103" i="7"/>
  <c r="T103" i="7"/>
  <c r="S103" i="7"/>
  <c r="R103" i="7"/>
  <c r="Q103" i="7"/>
  <c r="P103" i="7"/>
  <c r="O103" i="7"/>
  <c r="N103" i="7"/>
  <c r="M103" i="7"/>
  <c r="L103" i="7"/>
  <c r="K103" i="7"/>
  <c r="J103" i="7"/>
  <c r="I103" i="7"/>
  <c r="H103" i="7"/>
  <c r="G103" i="7"/>
  <c r="F103" i="7"/>
  <c r="E103" i="7"/>
  <c r="C103" i="7"/>
  <c r="B103" i="7"/>
  <c r="AB102" i="7"/>
  <c r="AA102" i="7"/>
  <c r="Z102" i="7"/>
  <c r="Y102" i="7"/>
  <c r="X102" i="7"/>
  <c r="W102" i="7"/>
  <c r="V102" i="7"/>
  <c r="U102" i="7"/>
  <c r="T102" i="7"/>
  <c r="S102" i="7"/>
  <c r="R102" i="7"/>
  <c r="Q102" i="7"/>
  <c r="P102" i="7"/>
  <c r="O102" i="7"/>
  <c r="N102" i="7"/>
  <c r="M102" i="7"/>
  <c r="L102" i="7"/>
  <c r="K102" i="7"/>
  <c r="J102" i="7"/>
  <c r="I102" i="7"/>
  <c r="H102" i="7"/>
  <c r="G102" i="7"/>
  <c r="F102" i="7"/>
  <c r="E102" i="7"/>
  <c r="C102" i="7"/>
  <c r="B102" i="7"/>
  <c r="BJ23" i="7"/>
  <c r="AB101" i="7"/>
  <c r="AA101" i="7"/>
  <c r="Z101" i="7"/>
  <c r="Y101" i="7"/>
  <c r="X101" i="7"/>
  <c r="W101" i="7"/>
  <c r="V101" i="7"/>
  <c r="U101" i="7"/>
  <c r="T101" i="7"/>
  <c r="S101" i="7"/>
  <c r="R101" i="7"/>
  <c r="Q101" i="7"/>
  <c r="P101" i="7"/>
  <c r="P107" i="7" s="1"/>
  <c r="O101" i="7"/>
  <c r="N101" i="7"/>
  <c r="M101" i="7"/>
  <c r="L101" i="7"/>
  <c r="K101" i="7"/>
  <c r="J101" i="7"/>
  <c r="I101" i="7"/>
  <c r="H101" i="7"/>
  <c r="G101" i="7"/>
  <c r="F101" i="7"/>
  <c r="E101" i="7"/>
  <c r="C101" i="7"/>
  <c r="B101" i="7"/>
  <c r="AI98" i="7"/>
  <c r="AH98" i="7"/>
  <c r="AI96" i="7"/>
  <c r="AH96" i="7"/>
  <c r="AG96" i="7"/>
  <c r="AI95" i="7"/>
  <c r="AH95" i="7"/>
  <c r="AI94" i="7"/>
  <c r="AH94" i="7"/>
  <c r="AI93" i="7"/>
  <c r="AH93" i="7"/>
  <c r="AG92" i="7"/>
  <c r="AD5" i="7"/>
  <c r="AB92" i="7"/>
  <c r="AA5" i="7" s="1"/>
  <c r="AA92" i="7"/>
  <c r="Z5" i="7" s="1"/>
  <c r="Z92" i="7"/>
  <c r="Y92" i="7"/>
  <c r="X92" i="7"/>
  <c r="W92" i="7"/>
  <c r="V5" i="7" s="1"/>
  <c r="V92" i="7"/>
  <c r="BD19" i="7" s="1"/>
  <c r="U92" i="7"/>
  <c r="BC19" i="7" s="1"/>
  <c r="T92" i="7"/>
  <c r="S5" i="7" s="1"/>
  <c r="S92" i="7"/>
  <c r="BA19" i="7" s="1"/>
  <c r="R92" i="7"/>
  <c r="AZ19" i="7" s="1"/>
  <c r="Q92" i="7"/>
  <c r="AY19" i="7" s="1"/>
  <c r="P92" i="7"/>
  <c r="O92" i="7"/>
  <c r="N5" i="7" s="1"/>
  <c r="N92" i="7"/>
  <c r="M92" i="7"/>
  <c r="L92" i="7"/>
  <c r="K92" i="7"/>
  <c r="J92" i="7"/>
  <c r="I92" i="7"/>
  <c r="H92" i="7"/>
  <c r="G5" i="7" s="1"/>
  <c r="G92" i="7"/>
  <c r="AR19" i="7" s="1"/>
  <c r="F92" i="7"/>
  <c r="E5" i="7" s="1"/>
  <c r="E92" i="7"/>
  <c r="C92" i="7"/>
  <c r="B5" i="7" s="1"/>
  <c r="B92" i="7"/>
  <c r="AM19" i="7" s="1"/>
  <c r="AI91" i="7"/>
  <c r="AH91" i="7"/>
  <c r="AI90" i="7"/>
  <c r="AH90" i="7"/>
  <c r="AI89" i="7"/>
  <c r="AH89" i="7"/>
  <c r="AI88" i="7"/>
  <c r="AH88" i="7"/>
  <c r="AI87" i="7"/>
  <c r="AH87" i="7"/>
  <c r="AI86" i="7"/>
  <c r="AH86" i="7"/>
  <c r="AI85" i="7"/>
  <c r="AH85" i="7"/>
  <c r="AI84" i="7"/>
  <c r="AH84" i="7"/>
  <c r="AI83" i="7"/>
  <c r="AH83" i="7"/>
  <c r="AI82" i="7"/>
  <c r="AH82" i="7"/>
  <c r="AI81" i="7"/>
  <c r="AH81" i="7"/>
  <c r="AG80" i="7"/>
  <c r="AB80" i="7"/>
  <c r="AA80" i="7"/>
  <c r="Z80" i="7"/>
  <c r="BF20" i="7" s="1"/>
  <c r="Y80" i="7"/>
  <c r="X80" i="7"/>
  <c r="BE20" i="7" s="1"/>
  <c r="W80" i="7"/>
  <c r="V80" i="7"/>
  <c r="U80" i="7"/>
  <c r="T80" i="7"/>
  <c r="S80" i="7"/>
  <c r="R80" i="7"/>
  <c r="AZ20" i="7" s="1"/>
  <c r="Q80" i="7"/>
  <c r="AY20" i="7" s="1"/>
  <c r="P80" i="7"/>
  <c r="O80" i="7"/>
  <c r="N80" i="7"/>
  <c r="AV20" i="7" s="1"/>
  <c r="M80" i="7"/>
  <c r="L80" i="7"/>
  <c r="K80" i="7"/>
  <c r="J80" i="7"/>
  <c r="I80" i="7"/>
  <c r="AS20" i="7" s="1"/>
  <c r="H80" i="7"/>
  <c r="G80" i="7"/>
  <c r="F80" i="7"/>
  <c r="AQ20" i="7" s="1"/>
  <c r="E80" i="7"/>
  <c r="AP20" i="7" s="1"/>
  <c r="AN20" i="7"/>
  <c r="BJ79" i="7"/>
  <c r="AI79" i="7"/>
  <c r="AH79" i="7"/>
  <c r="AI78" i="7"/>
  <c r="AH78" i="7"/>
  <c r="BE77" i="7"/>
  <c r="AI77" i="7"/>
  <c r="AH77" i="7"/>
  <c r="BQ76" i="7"/>
  <c r="BO76" i="7"/>
  <c r="BJ18" i="7"/>
  <c r="BI18" i="7"/>
  <c r="BH18" i="7"/>
  <c r="AB76" i="7"/>
  <c r="AA76" i="7"/>
  <c r="Z76" i="7"/>
  <c r="Y76" i="7"/>
  <c r="X76" i="7"/>
  <c r="BE18" i="7" s="1"/>
  <c r="W76" i="7"/>
  <c r="V76" i="7"/>
  <c r="BD18" i="7" s="1"/>
  <c r="U76" i="7"/>
  <c r="BC18" i="7" s="1"/>
  <c r="T76" i="7"/>
  <c r="S76" i="7"/>
  <c r="BA18" i="7" s="1"/>
  <c r="R76" i="7"/>
  <c r="AZ18" i="7" s="1"/>
  <c r="Q76" i="7"/>
  <c r="AY18" i="7" s="1"/>
  <c r="P76" i="7"/>
  <c r="AX18" i="7" s="1"/>
  <c r="O76" i="7"/>
  <c r="N76" i="7"/>
  <c r="AV18" i="7" s="1"/>
  <c r="M76" i="7"/>
  <c r="AU18" i="7" s="1"/>
  <c r="L76" i="7"/>
  <c r="K76" i="7"/>
  <c r="J76" i="7"/>
  <c r="I76" i="7"/>
  <c r="AS18" i="7" s="1"/>
  <c r="H76" i="7"/>
  <c r="G76" i="7"/>
  <c r="AR18" i="7" s="1"/>
  <c r="F76" i="7"/>
  <c r="E76" i="7"/>
  <c r="AP18" i="7" s="1"/>
  <c r="BH75" i="7"/>
  <c r="AI75" i="7"/>
  <c r="AH75" i="7"/>
  <c r="AG75" i="7"/>
  <c r="AG76" i="7" s="1"/>
  <c r="AG3" i="7" s="1"/>
  <c r="AI74" i="7"/>
  <c r="AH74" i="7"/>
  <c r="BW73" i="7"/>
  <c r="BW80" i="7" s="1"/>
  <c r="BV73" i="7"/>
  <c r="BV80" i="7" s="1"/>
  <c r="BU73" i="7"/>
  <c r="BU80" i="7" s="1"/>
  <c r="BT73" i="7"/>
  <c r="BT80" i="7" s="1"/>
  <c r="BS73" i="7"/>
  <c r="BS80" i="7" s="1"/>
  <c r="BR73" i="7"/>
  <c r="BR80" i="7" s="1"/>
  <c r="BQ73" i="7"/>
  <c r="BQ80" i="7" s="1"/>
  <c r="BP73" i="7"/>
  <c r="BP80" i="7" s="1"/>
  <c r="BO73" i="7"/>
  <c r="BO80" i="7" s="1"/>
  <c r="BN73" i="7"/>
  <c r="BN80" i="7" s="1"/>
  <c r="BM73" i="7"/>
  <c r="BM80" i="7" s="1"/>
  <c r="BL73" i="7"/>
  <c r="BL80" i="7" s="1"/>
  <c r="BK73" i="7"/>
  <c r="BK80" i="7" s="1"/>
  <c r="BJ73" i="7"/>
  <c r="BJ80" i="7" s="1"/>
  <c r="BI73" i="7"/>
  <c r="BI80" i="7" s="1"/>
  <c r="BH73" i="7"/>
  <c r="BH80" i="7" s="1"/>
  <c r="BG73" i="7"/>
  <c r="BG80" i="7" s="1"/>
  <c r="BF73" i="7"/>
  <c r="BF80" i="7" s="1"/>
  <c r="BE73" i="7"/>
  <c r="BE80" i="7" s="1"/>
  <c r="BD73" i="7"/>
  <c r="BD80" i="7" s="1"/>
  <c r="BC73" i="7"/>
  <c r="BC80" i="7" s="1"/>
  <c r="BB73" i="7"/>
  <c r="BB80" i="7" s="1"/>
  <c r="BA73" i="7"/>
  <c r="BA80" i="7" s="1"/>
  <c r="AZ73" i="7"/>
  <c r="AZ80" i="7" s="1"/>
  <c r="AI73" i="7"/>
  <c r="AH73" i="7"/>
  <c r="BW72" i="7"/>
  <c r="BW79" i="7" s="1"/>
  <c r="BV72" i="7"/>
  <c r="BV79" i="7" s="1"/>
  <c r="BU72" i="7"/>
  <c r="BU79" i="7" s="1"/>
  <c r="BT72" i="7"/>
  <c r="BT79" i="7" s="1"/>
  <c r="BS72" i="7"/>
  <c r="BS79" i="7" s="1"/>
  <c r="BR72" i="7"/>
  <c r="BR79" i="7" s="1"/>
  <c r="BQ72" i="7"/>
  <c r="BQ79" i="7" s="1"/>
  <c r="BP72" i="7"/>
  <c r="BP79" i="7" s="1"/>
  <c r="BO72" i="7"/>
  <c r="BO79" i="7" s="1"/>
  <c r="BN72" i="7"/>
  <c r="BN79" i="7" s="1"/>
  <c r="BM72" i="7"/>
  <c r="BM79" i="7" s="1"/>
  <c r="BL72" i="7"/>
  <c r="BL79" i="7" s="1"/>
  <c r="BK72" i="7"/>
  <c r="BK79" i="7" s="1"/>
  <c r="BJ72" i="7"/>
  <c r="BI72" i="7"/>
  <c r="BI79" i="7" s="1"/>
  <c r="BH72" i="7"/>
  <c r="BH79" i="7" s="1"/>
  <c r="BG72" i="7"/>
  <c r="BG79" i="7" s="1"/>
  <c r="BF72" i="7"/>
  <c r="BF79" i="7" s="1"/>
  <c r="BE72" i="7"/>
  <c r="BE79" i="7" s="1"/>
  <c r="BD72" i="7"/>
  <c r="BD79" i="7" s="1"/>
  <c r="BC72" i="7"/>
  <c r="BC79" i="7" s="1"/>
  <c r="BB72" i="7"/>
  <c r="BB79" i="7" s="1"/>
  <c r="BA72" i="7"/>
  <c r="BA79" i="7" s="1"/>
  <c r="AZ72" i="7"/>
  <c r="AZ79" i="7" s="1"/>
  <c r="AI72" i="7"/>
  <c r="AH72" i="7"/>
  <c r="BW71" i="7"/>
  <c r="BW78" i="7" s="1"/>
  <c r="BV71" i="7"/>
  <c r="BV78" i="7" s="1"/>
  <c r="BU71" i="7"/>
  <c r="BU78" i="7" s="1"/>
  <c r="BT71" i="7"/>
  <c r="BT78" i="7" s="1"/>
  <c r="BS71" i="7"/>
  <c r="BS78" i="7" s="1"/>
  <c r="BR71" i="7"/>
  <c r="BR78" i="7" s="1"/>
  <c r="BQ71" i="7"/>
  <c r="BQ78" i="7" s="1"/>
  <c r="BP71" i="7"/>
  <c r="BP78" i="7" s="1"/>
  <c r="BO71" i="7"/>
  <c r="BO78" i="7" s="1"/>
  <c r="BN71" i="7"/>
  <c r="BN78" i="7" s="1"/>
  <c r="BM71" i="7"/>
  <c r="BM78" i="7" s="1"/>
  <c r="BL71" i="7"/>
  <c r="BL78" i="7" s="1"/>
  <c r="BK71" i="7"/>
  <c r="BK78" i="7" s="1"/>
  <c r="BJ71" i="7"/>
  <c r="BJ78" i="7" s="1"/>
  <c r="BI71" i="7"/>
  <c r="BI78" i="7" s="1"/>
  <c r="BH71" i="7"/>
  <c r="BH78" i="7" s="1"/>
  <c r="BG71" i="7"/>
  <c r="BG78" i="7" s="1"/>
  <c r="BF71" i="7"/>
  <c r="BF78" i="7" s="1"/>
  <c r="BE71" i="7"/>
  <c r="BE78" i="7" s="1"/>
  <c r="BD71" i="7"/>
  <c r="BD78" i="7" s="1"/>
  <c r="BC71" i="7"/>
  <c r="BC78" i="7" s="1"/>
  <c r="BB71" i="7"/>
  <c r="BB78" i="7" s="1"/>
  <c r="BA71" i="7"/>
  <c r="BA78" i="7" s="1"/>
  <c r="AZ71" i="7"/>
  <c r="AZ78" i="7" s="1"/>
  <c r="AI71" i="7"/>
  <c r="AH71" i="7"/>
  <c r="BW70" i="7"/>
  <c r="BW77" i="7" s="1"/>
  <c r="BV70" i="7"/>
  <c r="BV77" i="7" s="1"/>
  <c r="BU70" i="7"/>
  <c r="BU77" i="7" s="1"/>
  <c r="BT70" i="7"/>
  <c r="BT77" i="7" s="1"/>
  <c r="BS70" i="7"/>
  <c r="BS77" i="7" s="1"/>
  <c r="BR70" i="7"/>
  <c r="BR77" i="7" s="1"/>
  <c r="BQ70" i="7"/>
  <c r="BQ77" i="7" s="1"/>
  <c r="BP70" i="7"/>
  <c r="BP77" i="7" s="1"/>
  <c r="BO70" i="7"/>
  <c r="BO77" i="7" s="1"/>
  <c r="BN70" i="7"/>
  <c r="BN77" i="7" s="1"/>
  <c r="BM70" i="7"/>
  <c r="BM77" i="7" s="1"/>
  <c r="BL70" i="7"/>
  <c r="BL77" i="7" s="1"/>
  <c r="BK70" i="7"/>
  <c r="BK77" i="7" s="1"/>
  <c r="BJ70" i="7"/>
  <c r="BJ77" i="7" s="1"/>
  <c r="BI70" i="7"/>
  <c r="BI77" i="7" s="1"/>
  <c r="BH70" i="7"/>
  <c r="BH77" i="7" s="1"/>
  <c r="BG70" i="7"/>
  <c r="BG77" i="7" s="1"/>
  <c r="BF70" i="7"/>
  <c r="BF77" i="7" s="1"/>
  <c r="BE70" i="7"/>
  <c r="BD70" i="7"/>
  <c r="BD77" i="7" s="1"/>
  <c r="BC70" i="7"/>
  <c r="BC77" i="7" s="1"/>
  <c r="BB70" i="7"/>
  <c r="BB77" i="7" s="1"/>
  <c r="BA70" i="7"/>
  <c r="BA77" i="7" s="1"/>
  <c r="AZ70" i="7"/>
  <c r="AZ77" i="7" s="1"/>
  <c r="AI70" i="7"/>
  <c r="AH70" i="7"/>
  <c r="BW69" i="7"/>
  <c r="BW76" i="7" s="1"/>
  <c r="BV69" i="7"/>
  <c r="BV76" i="7" s="1"/>
  <c r="BU69" i="7"/>
  <c r="BU76" i="7" s="1"/>
  <c r="BT69" i="7"/>
  <c r="BT76" i="7" s="1"/>
  <c r="BS69" i="7"/>
  <c r="BS76" i="7" s="1"/>
  <c r="BR69" i="7"/>
  <c r="BR76" i="7" s="1"/>
  <c r="BQ69" i="7"/>
  <c r="BP69" i="7"/>
  <c r="BP76" i="7" s="1"/>
  <c r="BO69" i="7"/>
  <c r="BN69" i="7"/>
  <c r="BN76" i="7" s="1"/>
  <c r="BM69" i="7"/>
  <c r="BM76" i="7" s="1"/>
  <c r="BL69" i="7"/>
  <c r="BL76" i="7" s="1"/>
  <c r="BK69" i="7"/>
  <c r="BK76" i="7" s="1"/>
  <c r="BJ69" i="7"/>
  <c r="BJ76" i="7" s="1"/>
  <c r="BI69" i="7"/>
  <c r="BI76" i="7" s="1"/>
  <c r="BH69" i="7"/>
  <c r="BH76" i="7" s="1"/>
  <c r="BG69" i="7"/>
  <c r="BG76" i="7" s="1"/>
  <c r="BF69" i="7"/>
  <c r="BF76" i="7" s="1"/>
  <c r="BE69" i="7"/>
  <c r="BE76" i="7" s="1"/>
  <c r="BD69" i="7"/>
  <c r="BD76" i="7" s="1"/>
  <c r="BC69" i="7"/>
  <c r="BC76" i="7" s="1"/>
  <c r="BB69" i="7"/>
  <c r="BB76" i="7" s="1"/>
  <c r="BA69" i="7"/>
  <c r="BA76" i="7" s="1"/>
  <c r="AZ69" i="7"/>
  <c r="AZ76" i="7" s="1"/>
  <c r="AI69" i="7"/>
  <c r="AH69" i="7"/>
  <c r="BW68" i="7"/>
  <c r="BW75" i="7" s="1"/>
  <c r="BV68" i="7"/>
  <c r="BV75" i="7" s="1"/>
  <c r="BU68" i="7"/>
  <c r="BU75" i="7" s="1"/>
  <c r="BT68" i="7"/>
  <c r="BT75" i="7" s="1"/>
  <c r="BS68" i="7"/>
  <c r="BS75" i="7" s="1"/>
  <c r="BR68" i="7"/>
  <c r="BR75" i="7" s="1"/>
  <c r="BQ68" i="7"/>
  <c r="BQ75" i="7" s="1"/>
  <c r="BP68" i="7"/>
  <c r="BP75" i="7" s="1"/>
  <c r="BO68" i="7"/>
  <c r="BO75" i="7" s="1"/>
  <c r="BN68" i="7"/>
  <c r="BN75" i="7" s="1"/>
  <c r="BM68" i="7"/>
  <c r="BM75" i="7" s="1"/>
  <c r="BL68" i="7"/>
  <c r="BL75" i="7" s="1"/>
  <c r="BK68" i="7"/>
  <c r="BK75" i="7" s="1"/>
  <c r="BJ68" i="7"/>
  <c r="BJ75" i="7" s="1"/>
  <c r="BI68" i="7"/>
  <c r="BI75" i="7" s="1"/>
  <c r="BH68" i="7"/>
  <c r="BG68" i="7"/>
  <c r="BG75" i="7" s="1"/>
  <c r="BF68" i="7"/>
  <c r="BF75" i="7" s="1"/>
  <c r="BE68" i="7"/>
  <c r="BE75" i="7" s="1"/>
  <c r="BD68" i="7"/>
  <c r="BD75" i="7" s="1"/>
  <c r="BC68" i="7"/>
  <c r="BC75" i="7" s="1"/>
  <c r="BB68" i="7"/>
  <c r="BB75" i="7" s="1"/>
  <c r="BA68" i="7"/>
  <c r="BA75" i="7" s="1"/>
  <c r="AZ68" i="7"/>
  <c r="AZ75" i="7" s="1"/>
  <c r="AI68" i="7"/>
  <c r="AH68" i="7"/>
  <c r="AI67" i="7"/>
  <c r="AH67" i="7"/>
  <c r="AI66" i="7"/>
  <c r="AH66" i="7"/>
  <c r="AI65" i="7"/>
  <c r="AH65" i="7"/>
  <c r="AI64" i="7"/>
  <c r="AH64" i="7"/>
  <c r="AI63" i="7"/>
  <c r="AH63" i="7"/>
  <c r="AG62" i="7"/>
  <c r="BJ17" i="7"/>
  <c r="BI17" i="7"/>
  <c r="AB62" i="7"/>
  <c r="AA62" i="7"/>
  <c r="Z62" i="7"/>
  <c r="BF17" i="7" s="1"/>
  <c r="Y62" i="7"/>
  <c r="X62" i="7"/>
  <c r="BE17" i="7" s="1"/>
  <c r="W62" i="7"/>
  <c r="V62" i="7"/>
  <c r="BD17" i="7" s="1"/>
  <c r="U62" i="7"/>
  <c r="BC17" i="7" s="1"/>
  <c r="T62" i="7"/>
  <c r="BB17" i="7" s="1"/>
  <c r="S62" i="7"/>
  <c r="Q62" i="7"/>
  <c r="P62" i="7"/>
  <c r="AX17" i="7" s="1"/>
  <c r="O62" i="7"/>
  <c r="AW17" i="7" s="1"/>
  <c r="N62" i="7"/>
  <c r="AV17" i="7" s="1"/>
  <c r="M62" i="7"/>
  <c r="AU17" i="7" s="1"/>
  <c r="L62" i="7"/>
  <c r="K62" i="7"/>
  <c r="J62" i="7"/>
  <c r="I62" i="7"/>
  <c r="H62" i="7"/>
  <c r="G62" i="7"/>
  <c r="AR17" i="7" s="1"/>
  <c r="F62" i="7"/>
  <c r="E62" i="7"/>
  <c r="AP17" i="7" s="1"/>
  <c r="AI61" i="7"/>
  <c r="AH61" i="7"/>
  <c r="AI60" i="7"/>
  <c r="AH60" i="7"/>
  <c r="AI59" i="7"/>
  <c r="AH59" i="7"/>
  <c r="AG58" i="7"/>
  <c r="BJ16" i="7"/>
  <c r="AB58" i="7"/>
  <c r="AA58" i="7"/>
  <c r="Z58" i="7"/>
  <c r="Y58" i="7"/>
  <c r="X58" i="7"/>
  <c r="BE16" i="7" s="1"/>
  <c r="W58" i="7"/>
  <c r="V58" i="7"/>
  <c r="U58" i="7"/>
  <c r="T58" i="7"/>
  <c r="S58" i="7"/>
  <c r="BA16" i="7" s="1"/>
  <c r="Q58" i="7"/>
  <c r="P58" i="7"/>
  <c r="AX16" i="7" s="1"/>
  <c r="O58" i="7"/>
  <c r="AW16" i="7" s="1"/>
  <c r="N58" i="7"/>
  <c r="M58" i="7"/>
  <c r="L58" i="7"/>
  <c r="K58" i="7"/>
  <c r="AT16" i="7" s="1"/>
  <c r="J58" i="7"/>
  <c r="I58" i="7"/>
  <c r="AS16" i="7" s="1"/>
  <c r="H58" i="7"/>
  <c r="G58" i="7"/>
  <c r="F58" i="7"/>
  <c r="E58" i="7"/>
  <c r="AI56" i="7"/>
  <c r="AH56" i="7"/>
  <c r="AI55" i="7"/>
  <c r="AH55" i="7"/>
  <c r="AI54" i="7"/>
  <c r="AH54" i="7"/>
  <c r="AI53" i="7"/>
  <c r="AH53" i="7"/>
  <c r="AI52" i="7"/>
  <c r="AH52" i="7"/>
  <c r="AI51" i="7"/>
  <c r="AH51" i="7"/>
  <c r="AI50" i="7"/>
  <c r="AH50" i="7"/>
  <c r="AI49" i="7"/>
  <c r="AH49" i="7"/>
  <c r="AI48" i="7"/>
  <c r="AH48" i="7"/>
  <c r="AI47" i="7"/>
  <c r="AH47" i="7"/>
  <c r="AI46" i="7"/>
  <c r="AH46" i="7"/>
  <c r="AI45" i="7"/>
  <c r="AH45" i="7"/>
  <c r="AI44" i="7"/>
  <c r="AH44" i="7"/>
  <c r="AI43" i="7"/>
  <c r="AH43" i="7"/>
  <c r="AI42" i="7"/>
  <c r="AH42" i="7"/>
  <c r="AI41" i="7"/>
  <c r="AH41" i="7"/>
  <c r="AI40" i="7"/>
  <c r="AH40" i="7"/>
  <c r="AI39" i="7"/>
  <c r="AH39" i="7"/>
  <c r="AI38" i="7"/>
  <c r="AH38" i="7"/>
  <c r="AI37" i="7"/>
  <c r="AH37" i="7"/>
  <c r="AI36" i="7"/>
  <c r="AH36" i="7"/>
  <c r="AI35" i="7"/>
  <c r="AH35" i="7"/>
  <c r="AI34" i="7"/>
  <c r="AH34" i="7"/>
  <c r="AI33" i="7"/>
  <c r="AH33" i="7"/>
  <c r="AI32" i="7"/>
  <c r="AH32" i="7"/>
  <c r="AI31" i="7"/>
  <c r="AH31" i="7"/>
  <c r="AI30" i="7"/>
  <c r="AH30" i="7"/>
  <c r="AI29" i="7"/>
  <c r="AH29" i="7"/>
  <c r="AI28" i="7"/>
  <c r="AH28" i="7"/>
  <c r="AI27" i="7"/>
  <c r="AH27" i="7"/>
  <c r="AI26" i="7"/>
  <c r="AH26" i="7"/>
  <c r="AI25" i="7"/>
  <c r="AH25" i="7"/>
  <c r="AI24" i="7"/>
  <c r="AH24" i="7"/>
  <c r="AI23" i="7"/>
  <c r="AH23" i="7"/>
  <c r="AI22" i="7"/>
  <c r="AH22" i="7"/>
  <c r="BJ21" i="7"/>
  <c r="BI21" i="7"/>
  <c r="BH21" i="7"/>
  <c r="BG21" i="7"/>
  <c r="BF21" i="7"/>
  <c r="BE21" i="7"/>
  <c r="BD21" i="7"/>
  <c r="BC21" i="7"/>
  <c r="BB21" i="7"/>
  <c r="BA21" i="7"/>
  <c r="AZ21" i="7"/>
  <c r="AY21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I21" i="7"/>
  <c r="AH21" i="7"/>
  <c r="BJ20" i="7"/>
  <c r="BI20" i="7"/>
  <c r="BH20" i="7"/>
  <c r="BG20" i="7"/>
  <c r="BD20" i="7"/>
  <c r="BC20" i="7"/>
  <c r="BB20" i="7"/>
  <c r="BA20" i="7"/>
  <c r="AX20" i="7"/>
  <c r="AW20" i="7"/>
  <c r="AU20" i="7"/>
  <c r="AT20" i="7"/>
  <c r="AR20" i="7"/>
  <c r="AM20" i="7"/>
  <c r="AI20" i="7"/>
  <c r="AH20" i="7"/>
  <c r="BJ19" i="7"/>
  <c r="BI19" i="7"/>
  <c r="BH19" i="7"/>
  <c r="BF19" i="7"/>
  <c r="BE19" i="7"/>
  <c r="AX19" i="7"/>
  <c r="AW19" i="7"/>
  <c r="AV19" i="7"/>
  <c r="AU19" i="7"/>
  <c r="AT19" i="7"/>
  <c r="AS19" i="7"/>
  <c r="AI19" i="7"/>
  <c r="AH19" i="7"/>
  <c r="BG18" i="7"/>
  <c r="BF18" i="7"/>
  <c r="BB18" i="7"/>
  <c r="AW18" i="7"/>
  <c r="AT18" i="7"/>
  <c r="AQ18" i="7"/>
  <c r="AN18" i="7"/>
  <c r="AM18" i="7"/>
  <c r="AI18" i="7"/>
  <c r="AH18" i="7"/>
  <c r="BH17" i="7"/>
  <c r="BG17" i="7"/>
  <c r="BA17" i="7"/>
  <c r="AZ17" i="7"/>
  <c r="AY17" i="7"/>
  <c r="AT17" i="7"/>
  <c r="AS17" i="7"/>
  <c r="AO17" i="7"/>
  <c r="AN17" i="7"/>
  <c r="AM17" i="7"/>
  <c r="AI17" i="7"/>
  <c r="AH17" i="7"/>
  <c r="BI16" i="7"/>
  <c r="BH16" i="7"/>
  <c r="BF16" i="7"/>
  <c r="BB16" i="7"/>
  <c r="AZ16" i="7"/>
  <c r="AY16" i="7"/>
  <c r="AR16" i="7"/>
  <c r="AQ16" i="7"/>
  <c r="AN16" i="7"/>
  <c r="AM16" i="7"/>
  <c r="AI16" i="7"/>
  <c r="AH16" i="7"/>
  <c r="AI15" i="7"/>
  <c r="AH15" i="7"/>
  <c r="AI14" i="7"/>
  <c r="AH14" i="7"/>
  <c r="AI13" i="7"/>
  <c r="AH13" i="7"/>
  <c r="AL12" i="7"/>
  <c r="AI12" i="7"/>
  <c r="AH12" i="7"/>
  <c r="AI11" i="7"/>
  <c r="AH11" i="7"/>
  <c r="AE5" i="7"/>
  <c r="AC5" i="7"/>
  <c r="AB5" i="7"/>
  <c r="Y5" i="7"/>
  <c r="X5" i="7"/>
  <c r="W5" i="7"/>
  <c r="P5" i="7"/>
  <c r="O5" i="7"/>
  <c r="M5" i="7"/>
  <c r="L5" i="7"/>
  <c r="J5" i="7"/>
  <c r="I5" i="7"/>
  <c r="H5" i="7"/>
  <c r="AG4" i="7"/>
  <c r="K4" i="7"/>
  <c r="E4" i="7"/>
  <c r="H4" i="7" s="1"/>
  <c r="B4" i="7"/>
  <c r="D258" i="7" s="1"/>
  <c r="AG2" i="7"/>
  <c r="AF121" i="6"/>
  <c r="AF57" i="6"/>
  <c r="AF58" i="6"/>
  <c r="AF62" i="6"/>
  <c r="AE121" i="6"/>
  <c r="AE118" i="6" s="1"/>
  <c r="AE57" i="6"/>
  <c r="AE58" i="6"/>
  <c r="AE62" i="6"/>
  <c r="AE76" i="6"/>
  <c r="AE80" i="6"/>
  <c r="AE92" i="6"/>
  <c r="AE101" i="6"/>
  <c r="AE102" i="6"/>
  <c r="AE103" i="6"/>
  <c r="AE104" i="6"/>
  <c r="AE105" i="6"/>
  <c r="AE107" i="6" s="1"/>
  <c r="AD57" i="6"/>
  <c r="AC121" i="6"/>
  <c r="AC57" i="6"/>
  <c r="U5" i="7" l="1"/>
  <c r="BG19" i="7"/>
  <c r="AB97" i="7"/>
  <c r="AB99" i="7" s="1"/>
  <c r="AA107" i="7"/>
  <c r="BF22" i="7"/>
  <c r="Y107" i="7"/>
  <c r="X107" i="7"/>
  <c r="BE23" i="7" s="1"/>
  <c r="X108" i="7"/>
  <c r="BE22" i="7"/>
  <c r="BE24" i="7" s="1"/>
  <c r="W97" i="7"/>
  <c r="W99" i="7" s="1"/>
  <c r="T5" i="7"/>
  <c r="U97" i="7"/>
  <c r="U99" i="7" s="1"/>
  <c r="T97" i="7"/>
  <c r="T99" i="7" s="1"/>
  <c r="S107" i="7"/>
  <c r="BA23" i="7" s="1"/>
  <c r="R5" i="7"/>
  <c r="BA22" i="7"/>
  <c r="BA24" i="7" s="1"/>
  <c r="Q5" i="7"/>
  <c r="Q107" i="7"/>
  <c r="AY23" i="7" s="1"/>
  <c r="AY22" i="7"/>
  <c r="BJ22" i="7"/>
  <c r="BJ24" i="7" s="1"/>
  <c r="AG6" i="7"/>
  <c r="BG16" i="7"/>
  <c r="BG22" i="7" s="1"/>
  <c r="BB19" i="7"/>
  <c r="BB22" i="7" s="1"/>
  <c r="V97" i="7"/>
  <c r="V99" i="7" s="1"/>
  <c r="I107" i="7"/>
  <c r="AS23" i="7" s="1"/>
  <c r="BH22" i="7"/>
  <c r="J107" i="7"/>
  <c r="R107" i="7"/>
  <c r="AZ23" i="7" s="1"/>
  <c r="Z107" i="7"/>
  <c r="BF23" i="7" s="1"/>
  <c r="BF24" i="7" s="1"/>
  <c r="BI22" i="7"/>
  <c r="T107" i="7"/>
  <c r="BB23" i="7" s="1"/>
  <c r="AB107" i="7"/>
  <c r="BG23" i="7" s="1"/>
  <c r="AZ22" i="7"/>
  <c r="R97" i="7"/>
  <c r="R99" i="7" s="1"/>
  <c r="Z97" i="7"/>
  <c r="Z99" i="7" s="1"/>
  <c r="Z100" i="7" s="1"/>
  <c r="Z7" i="7" s="1"/>
  <c r="Y108" i="7"/>
  <c r="M107" i="7"/>
  <c r="AU23" i="7" s="1"/>
  <c r="U107" i="7"/>
  <c r="BC23" i="7" s="1"/>
  <c r="AC7" i="7"/>
  <c r="W107" i="7"/>
  <c r="BI23" i="7"/>
  <c r="J108" i="7"/>
  <c r="Z108" i="7"/>
  <c r="F107" i="7"/>
  <c r="AQ23" i="7" s="1"/>
  <c r="V107" i="7"/>
  <c r="BD23" i="7" s="1"/>
  <c r="BH23" i="7"/>
  <c r="S108" i="7"/>
  <c r="AA108" i="7"/>
  <c r="P108" i="7"/>
  <c r="AX23" i="7"/>
  <c r="AX22" i="7"/>
  <c r="AX24" i="7" s="1"/>
  <c r="O107" i="7"/>
  <c r="AW23" i="7" s="1"/>
  <c r="AW22" i="7"/>
  <c r="AW24" i="7" s="1"/>
  <c r="N107" i="7"/>
  <c r="AV23" i="7" s="1"/>
  <c r="N97" i="7"/>
  <c r="N99" i="7" s="1"/>
  <c r="M97" i="7"/>
  <c r="M99" i="7" s="1"/>
  <c r="L107" i="7"/>
  <c r="L108" i="7" s="1"/>
  <c r="K5" i="7"/>
  <c r="L97" i="7"/>
  <c r="L99" i="7" s="1"/>
  <c r="L100" i="7" s="1"/>
  <c r="L7" i="7" s="1"/>
  <c r="K107" i="7"/>
  <c r="AT23" i="7" s="1"/>
  <c r="K108" i="7"/>
  <c r="AT22" i="7"/>
  <c r="J97" i="7"/>
  <c r="J99" i="7" s="1"/>
  <c r="J100" i="7" s="1"/>
  <c r="J7" i="7" s="1"/>
  <c r="AS22" i="7"/>
  <c r="H107" i="7"/>
  <c r="H108" i="7" s="1"/>
  <c r="AI62" i="7"/>
  <c r="F5" i="7"/>
  <c r="G107" i="7"/>
  <c r="AR23" i="7" s="1"/>
  <c r="AR22" i="7"/>
  <c r="G97" i="7"/>
  <c r="G99" i="7" s="1"/>
  <c r="AQ19" i="7"/>
  <c r="AQ17" i="7"/>
  <c r="AH62" i="7"/>
  <c r="F97" i="7"/>
  <c r="F99" i="7" s="1"/>
  <c r="F100" i="7" s="1"/>
  <c r="F7" i="7" s="1"/>
  <c r="AQ22" i="7"/>
  <c r="AQ24" i="7" s="1"/>
  <c r="E107" i="7"/>
  <c r="AP23" i="7" s="1"/>
  <c r="D5" i="7"/>
  <c r="AP19" i="7"/>
  <c r="E97" i="7"/>
  <c r="E99" i="7" s="1"/>
  <c r="AI104" i="7"/>
  <c r="D107" i="7"/>
  <c r="AO23" i="7" s="1"/>
  <c r="AH80" i="7"/>
  <c r="AI80" i="7"/>
  <c r="D97" i="7"/>
  <c r="D99" i="7" s="1"/>
  <c r="AI76" i="7"/>
  <c r="AO19" i="7"/>
  <c r="AN19" i="7"/>
  <c r="AN22" i="7" s="1"/>
  <c r="AI58" i="7"/>
  <c r="AI105" i="7"/>
  <c r="AI103" i="7"/>
  <c r="C107" i="7"/>
  <c r="AN23" i="7" s="1"/>
  <c r="AF5" i="7"/>
  <c r="AH103" i="7"/>
  <c r="AH57" i="7"/>
  <c r="B97" i="7"/>
  <c r="B99" i="7" s="1"/>
  <c r="AM22" i="7"/>
  <c r="AH76" i="7"/>
  <c r="AU16" i="7"/>
  <c r="AU22" i="7" s="1"/>
  <c r="BC16" i="7"/>
  <c r="BC22" i="7" s="1"/>
  <c r="H97" i="7"/>
  <c r="H99" i="7" s="1"/>
  <c r="H100" i="7" s="1"/>
  <c r="H7" i="7" s="1"/>
  <c r="P97" i="7"/>
  <c r="P99" i="7" s="1"/>
  <c r="P100" i="7" s="1"/>
  <c r="P7" i="7" s="1"/>
  <c r="X97" i="7"/>
  <c r="X99" i="7" s="1"/>
  <c r="X100" i="7" s="1"/>
  <c r="X7" i="7" s="1"/>
  <c r="AF7" i="7"/>
  <c r="BG84" i="7" a="1"/>
  <c r="O97" i="7"/>
  <c r="O99" i="7" s="1"/>
  <c r="O100" i="7" s="1"/>
  <c r="O7" i="7" s="1"/>
  <c r="AI102" i="7"/>
  <c r="AL13" i="7"/>
  <c r="AV16" i="7"/>
  <c r="AV22" i="7" s="1"/>
  <c r="AV24" i="7" s="1"/>
  <c r="BD16" i="7"/>
  <c r="BD22" i="7" s="1"/>
  <c r="I97" i="7"/>
  <c r="I99" i="7" s="1"/>
  <c r="Q97" i="7"/>
  <c r="Q99" i="7" s="1"/>
  <c r="Q100" i="7" s="1"/>
  <c r="Q7" i="7" s="1"/>
  <c r="Y97" i="7"/>
  <c r="Y99" i="7" s="1"/>
  <c r="Y100" i="7" s="1"/>
  <c r="Y7" i="7" s="1"/>
  <c r="AG97" i="7"/>
  <c r="AI101" i="7"/>
  <c r="AO16" i="7"/>
  <c r="AH58" i="7"/>
  <c r="I108" i="7"/>
  <c r="Q108" i="7"/>
  <c r="AG99" i="7"/>
  <c r="D252" i="7"/>
  <c r="E251" i="7"/>
  <c r="E252" i="7" s="1"/>
  <c r="AP16" i="7"/>
  <c r="C97" i="7"/>
  <c r="C99" i="7" s="1"/>
  <c r="C100" i="7" s="1"/>
  <c r="C7" i="7" s="1"/>
  <c r="K97" i="7"/>
  <c r="K99" i="7" s="1"/>
  <c r="S97" i="7"/>
  <c r="S99" i="7" s="1"/>
  <c r="S100" i="7" s="1"/>
  <c r="S7" i="7" s="1"/>
  <c r="AA97" i="7"/>
  <c r="AA99" i="7" s="1"/>
  <c r="AA100" i="7" s="1"/>
  <c r="AA7" i="7" s="1"/>
  <c r="AI92" i="7"/>
  <c r="AH92" i="7"/>
  <c r="G246" i="7"/>
  <c r="AH101" i="7"/>
  <c r="B107" i="7"/>
  <c r="B108" i="7" s="1"/>
  <c r="AH102" i="7"/>
  <c r="AH104" i="7"/>
  <c r="AH105" i="7"/>
  <c r="AE108" i="6"/>
  <c r="AE97" i="6"/>
  <c r="AE99" i="6" s="1"/>
  <c r="AE100" i="6" s="1"/>
  <c r="BI24" i="7" l="1"/>
  <c r="BH24" i="7"/>
  <c r="W100" i="7"/>
  <c r="W7" i="7" s="1"/>
  <c r="W108" i="7"/>
  <c r="BC24" i="7"/>
  <c r="T100" i="7"/>
  <c r="T7" i="7" s="1"/>
  <c r="BB24" i="7"/>
  <c r="R108" i="7"/>
  <c r="AY24" i="7"/>
  <c r="U100" i="7"/>
  <c r="U7" i="7" s="1"/>
  <c r="BG24" i="7"/>
  <c r="AB108" i="7"/>
  <c r="I100" i="7"/>
  <c r="I7" i="7" s="1"/>
  <c r="O108" i="7"/>
  <c r="AU24" i="7"/>
  <c r="T108" i="7"/>
  <c r="E100" i="7"/>
  <c r="E7" i="7" s="1"/>
  <c r="U108" i="7"/>
  <c r="D108" i="7"/>
  <c r="AS24" i="7"/>
  <c r="M100" i="7"/>
  <c r="M7" i="7" s="1"/>
  <c r="R100" i="7"/>
  <c r="R7" i="7" s="1"/>
  <c r="M108" i="7"/>
  <c r="AE7" i="7"/>
  <c r="BD24" i="7"/>
  <c r="G108" i="7"/>
  <c r="K100" i="7"/>
  <c r="K7" i="7" s="1"/>
  <c r="AO22" i="7"/>
  <c r="AO24" i="7" s="1"/>
  <c r="V108" i="7"/>
  <c r="G100" i="7"/>
  <c r="G7" i="7" s="1"/>
  <c r="AZ24" i="7"/>
  <c r="AD7" i="7"/>
  <c r="AP22" i="7"/>
  <c r="AP24" i="7" s="1"/>
  <c r="F108" i="7"/>
  <c r="D100" i="7"/>
  <c r="D7" i="7" s="1"/>
  <c r="E108" i="7"/>
  <c r="AT24" i="7"/>
  <c r="AB100" i="7"/>
  <c r="AB7" i="7" s="1"/>
  <c r="V100" i="7"/>
  <c r="V7" i="7" s="1"/>
  <c r="N108" i="7"/>
  <c r="N100" i="7"/>
  <c r="N7" i="7" s="1"/>
  <c r="AR24" i="7"/>
  <c r="AN24" i="7"/>
  <c r="C108" i="7"/>
  <c r="AT8" i="7"/>
  <c r="BJ107" i="7"/>
  <c r="BH106" i="7"/>
  <c r="BL104" i="7"/>
  <c r="BJ103" i="7"/>
  <c r="BH102" i="7"/>
  <c r="BL100" i="7"/>
  <c r="BJ99" i="7"/>
  <c r="BH98" i="7"/>
  <c r="BL96" i="7"/>
  <c r="BJ95" i="7"/>
  <c r="BH94" i="7"/>
  <c r="BL92" i="7"/>
  <c r="BJ91" i="7"/>
  <c r="BH90" i="7"/>
  <c r="BL88" i="7"/>
  <c r="BJ87" i="7"/>
  <c r="BH86" i="7"/>
  <c r="BL84" i="7"/>
  <c r="BH107" i="7"/>
  <c r="BL105" i="7"/>
  <c r="BJ104" i="7"/>
  <c r="BH103" i="7"/>
  <c r="BL101" i="7"/>
  <c r="BJ100" i="7"/>
  <c r="BH99" i="7"/>
  <c r="BL97" i="7"/>
  <c r="BJ96" i="7"/>
  <c r="BH95" i="7"/>
  <c r="BL93" i="7"/>
  <c r="BJ92" i="7"/>
  <c r="BH91" i="7"/>
  <c r="BL89" i="7"/>
  <c r="BJ88" i="7"/>
  <c r="BH87" i="7"/>
  <c r="BL85" i="7"/>
  <c r="BJ84" i="7"/>
  <c r="BG107" i="7"/>
  <c r="BK105" i="7"/>
  <c r="BI104" i="7"/>
  <c r="BG103" i="7"/>
  <c r="BK101" i="7"/>
  <c r="BI100" i="7"/>
  <c r="BG99" i="7"/>
  <c r="BK97" i="7"/>
  <c r="BI96" i="7"/>
  <c r="BG95" i="7"/>
  <c r="BK93" i="7"/>
  <c r="BI92" i="7"/>
  <c r="BG91" i="7"/>
  <c r="BK89" i="7"/>
  <c r="BI88" i="7"/>
  <c r="BG87" i="7"/>
  <c r="BK85" i="7"/>
  <c r="BI84" i="7"/>
  <c r="BL107" i="7"/>
  <c r="BJ106" i="7"/>
  <c r="BH105" i="7"/>
  <c r="BL103" i="7"/>
  <c r="BJ102" i="7"/>
  <c r="BH101" i="7"/>
  <c r="BL99" i="7"/>
  <c r="BJ98" i="7"/>
  <c r="BH97" i="7"/>
  <c r="BL95" i="7"/>
  <c r="BJ94" i="7"/>
  <c r="BH93" i="7"/>
  <c r="BL91" i="7"/>
  <c r="BJ90" i="7"/>
  <c r="BH89" i="7"/>
  <c r="BL87" i="7"/>
  <c r="BJ86" i="7"/>
  <c r="BH85" i="7"/>
  <c r="BI107" i="7"/>
  <c r="BK104" i="7"/>
  <c r="BG102" i="7"/>
  <c r="BI99" i="7"/>
  <c r="BK96" i="7"/>
  <c r="BG94" i="7"/>
  <c r="BI91" i="7"/>
  <c r="BK88" i="7"/>
  <c r="BG86" i="7"/>
  <c r="BG100" i="7"/>
  <c r="BL106" i="7"/>
  <c r="BH104" i="7"/>
  <c r="BJ101" i="7"/>
  <c r="BL98" i="7"/>
  <c r="BH96" i="7"/>
  <c r="BJ93" i="7"/>
  <c r="BL90" i="7"/>
  <c r="BH88" i="7"/>
  <c r="BJ85" i="7"/>
  <c r="BI105" i="7"/>
  <c r="BK94" i="7"/>
  <c r="BK86" i="7"/>
  <c r="BK106" i="7"/>
  <c r="BG104" i="7"/>
  <c r="BI101" i="7"/>
  <c r="BK98" i="7"/>
  <c r="BG96" i="7"/>
  <c r="BI93" i="7"/>
  <c r="BK90" i="7"/>
  <c r="BG88" i="7"/>
  <c r="BI85" i="7"/>
  <c r="BK102" i="7"/>
  <c r="BG92" i="7"/>
  <c r="BG84" i="7"/>
  <c r="BI106" i="7"/>
  <c r="BK103" i="7"/>
  <c r="BG101" i="7"/>
  <c r="BI98" i="7"/>
  <c r="BK95" i="7"/>
  <c r="BG93" i="7"/>
  <c r="BI90" i="7"/>
  <c r="BK87" i="7"/>
  <c r="BG85" i="7"/>
  <c r="BI97" i="7"/>
  <c r="BG106" i="7"/>
  <c r="BI103" i="7"/>
  <c r="BK100" i="7"/>
  <c r="BG98" i="7"/>
  <c r="BI95" i="7"/>
  <c r="BK92" i="7"/>
  <c r="BG90" i="7"/>
  <c r="BI87" i="7"/>
  <c r="BK84" i="7"/>
  <c r="BI89" i="7"/>
  <c r="BJ105" i="7"/>
  <c r="BL102" i="7"/>
  <c r="BH100" i="7"/>
  <c r="BJ97" i="7"/>
  <c r="BL94" i="7"/>
  <c r="BH92" i="7"/>
  <c r="BJ89" i="7"/>
  <c r="BL86" i="7"/>
  <c r="BH84" i="7"/>
  <c r="BK107" i="7"/>
  <c r="BG105" i="7"/>
  <c r="BI102" i="7"/>
  <c r="BK99" i="7"/>
  <c r="BG97" i="7"/>
  <c r="BI94" i="7"/>
  <c r="BK91" i="7"/>
  <c r="BG89" i="7"/>
  <c r="BI86" i="7"/>
  <c r="B256" i="7"/>
  <c r="H246" i="7"/>
  <c r="F251" i="7"/>
  <c r="E118" i="7"/>
  <c r="AI97" i="7"/>
  <c r="AH99" i="7"/>
  <c r="B100" i="7"/>
  <c r="AI99" i="7"/>
  <c r="C256" i="7"/>
  <c r="AH97" i="7"/>
  <c r="AI107" i="7"/>
  <c r="AH107" i="7"/>
  <c r="AM23" i="7"/>
  <c r="AM24" i="7" s="1"/>
  <c r="AB57" i="6"/>
  <c r="AI108" i="7" l="1"/>
  <c r="AH108" i="7"/>
  <c r="AT9" i="7"/>
  <c r="G251" i="7"/>
  <c r="F118" i="7"/>
  <c r="F252" i="7"/>
  <c r="I246" i="7"/>
  <c r="AI100" i="7"/>
  <c r="B7" i="7"/>
  <c r="A7" i="7" s="1"/>
  <c r="AH100" i="7"/>
  <c r="K6" i="7"/>
  <c r="J246" i="7" l="1"/>
  <c r="H251" i="7"/>
  <c r="G252" i="7"/>
  <c r="G118" i="7"/>
  <c r="I251" i="7" l="1"/>
  <c r="H252" i="7"/>
  <c r="H118" i="7"/>
  <c r="K246" i="7"/>
  <c r="L246" i="7" l="1"/>
  <c r="J251" i="7"/>
  <c r="I252" i="7"/>
  <c r="I118" i="7"/>
  <c r="K251" i="7" l="1"/>
  <c r="J118" i="7"/>
  <c r="J252" i="7"/>
  <c r="M246" i="7"/>
  <c r="N246" i="7" l="1"/>
  <c r="L251" i="7"/>
  <c r="K252" i="7"/>
  <c r="K118" i="7"/>
  <c r="M251" i="7" l="1"/>
  <c r="L252" i="7"/>
  <c r="L118" i="7"/>
  <c r="O246" i="7"/>
  <c r="P246" i="7" l="1"/>
  <c r="N251" i="7"/>
  <c r="M118" i="7"/>
  <c r="M252" i="7"/>
  <c r="O251" i="7" l="1"/>
  <c r="N252" i="7"/>
  <c r="N118" i="7"/>
  <c r="Q246" i="7"/>
  <c r="R246" i="7" l="1"/>
  <c r="P251" i="7"/>
  <c r="O252" i="7"/>
  <c r="O118" i="7"/>
  <c r="Q251" i="7" l="1"/>
  <c r="P252" i="7"/>
  <c r="S246" i="7"/>
  <c r="T246" i="7" l="1"/>
  <c r="R251" i="7"/>
  <c r="Q252" i="7"/>
  <c r="Q118" i="7"/>
  <c r="S251" i="7" l="1"/>
  <c r="R252" i="7"/>
  <c r="R118" i="7"/>
  <c r="U246" i="7"/>
  <c r="V246" i="7" l="1"/>
  <c r="T251" i="7"/>
  <c r="S252" i="7"/>
  <c r="S118" i="7"/>
  <c r="U251" i="7" l="1"/>
  <c r="T252" i="7"/>
  <c r="T118" i="7"/>
  <c r="W246" i="7"/>
  <c r="X246" i="7" l="1"/>
  <c r="V251" i="7"/>
  <c r="U118" i="7"/>
  <c r="U252" i="7"/>
  <c r="W251" i="7" l="1"/>
  <c r="V118" i="7"/>
  <c r="V252" i="7"/>
  <c r="Y246" i="7"/>
  <c r="Z246" i="7" l="1"/>
  <c r="X251" i="7"/>
  <c r="W252" i="7"/>
  <c r="W118" i="7"/>
  <c r="AA246" i="7" l="1"/>
  <c r="Y251" i="7"/>
  <c r="X252" i="7"/>
  <c r="X118" i="7"/>
  <c r="AB246" i="7" l="1"/>
  <c r="Z251" i="7"/>
  <c r="Y252" i="7"/>
  <c r="AA251" i="7" l="1"/>
  <c r="Z252" i="7"/>
  <c r="AC246" i="7"/>
  <c r="AB251" i="7" l="1"/>
  <c r="AA252" i="7"/>
  <c r="AA118" i="7"/>
  <c r="AD246" i="7"/>
  <c r="AE246" i="7" l="1"/>
  <c r="AC251" i="7"/>
  <c r="AB252" i="7"/>
  <c r="AB118" i="7"/>
  <c r="AD251" i="7" l="1"/>
  <c r="AC252" i="7"/>
  <c r="AF246" i="7"/>
  <c r="B246" i="7" l="1"/>
  <c r="AE251" i="7"/>
  <c r="AD252" i="7"/>
  <c r="AF251" i="7" l="1"/>
  <c r="AE252" i="7"/>
  <c r="AE118" i="7"/>
  <c r="B251" i="7" l="1"/>
  <c r="AF252" i="7"/>
  <c r="B252" i="7" l="1"/>
  <c r="B118" i="7"/>
  <c r="AI118" i="7" l="1"/>
  <c r="AH118" i="7"/>
  <c r="L121" i="6" l="1"/>
  <c r="K121" i="6"/>
  <c r="J121" i="6"/>
  <c r="I121" i="6"/>
  <c r="H121" i="6"/>
  <c r="G121" i="6"/>
  <c r="F121" i="6"/>
  <c r="AH125" i="6"/>
  <c r="AI125" i="6"/>
  <c r="AH124" i="6"/>
  <c r="AI124" i="6"/>
  <c r="E121" i="6"/>
  <c r="D58" i="6" l="1"/>
  <c r="D62" i="6"/>
  <c r="D76" i="6"/>
  <c r="D80" i="6"/>
  <c r="D92" i="6"/>
  <c r="AO19" i="6" s="1"/>
  <c r="D101" i="6"/>
  <c r="D107" i="6" s="1"/>
  <c r="D102" i="6"/>
  <c r="D103" i="6"/>
  <c r="D104" i="6"/>
  <c r="D105" i="6"/>
  <c r="D118" i="6"/>
  <c r="C58" i="6"/>
  <c r="C62" i="6"/>
  <c r="C76" i="6"/>
  <c r="C80" i="6"/>
  <c r="C92" i="6"/>
  <c r="C97" i="6" s="1"/>
  <c r="C99" i="6" s="1"/>
  <c r="C101" i="6"/>
  <c r="C102" i="6"/>
  <c r="C103" i="6"/>
  <c r="C104" i="6"/>
  <c r="C105" i="6"/>
  <c r="C118" i="6"/>
  <c r="B118" i="6"/>
  <c r="B105" i="6"/>
  <c r="B104" i="6"/>
  <c r="B103" i="6"/>
  <c r="B102" i="6"/>
  <c r="B101" i="6"/>
  <c r="B92" i="6"/>
  <c r="AM19" i="6" s="1"/>
  <c r="B80" i="6"/>
  <c r="B76" i="6"/>
  <c r="B62" i="6"/>
  <c r="AM17" i="6" s="1"/>
  <c r="B58" i="6"/>
  <c r="AG252" i="6"/>
  <c r="C252" i="6"/>
  <c r="E251" i="6"/>
  <c r="D251" i="6"/>
  <c r="E250" i="6"/>
  <c r="F250" i="6" s="1"/>
  <c r="D250" i="6"/>
  <c r="I249" i="6"/>
  <c r="J249" i="6" s="1"/>
  <c r="K249" i="6" s="1"/>
  <c r="L249" i="6" s="1"/>
  <c r="M249" i="6" s="1"/>
  <c r="N249" i="6" s="1"/>
  <c r="O249" i="6" s="1"/>
  <c r="P249" i="6" s="1"/>
  <c r="Q249" i="6" s="1"/>
  <c r="R249" i="6" s="1"/>
  <c r="S249" i="6" s="1"/>
  <c r="T249" i="6" s="1"/>
  <c r="U249" i="6" s="1"/>
  <c r="V249" i="6" s="1"/>
  <c r="W249" i="6" s="1"/>
  <c r="X249" i="6" s="1"/>
  <c r="Y249" i="6" s="1"/>
  <c r="Z249" i="6" s="1"/>
  <c r="AA249" i="6" s="1"/>
  <c r="AB249" i="6" s="1"/>
  <c r="AC249" i="6" s="1"/>
  <c r="AD249" i="6" s="1"/>
  <c r="AE249" i="6" s="1"/>
  <c r="AF249" i="6" s="1"/>
  <c r="B249" i="6" s="1"/>
  <c r="D249" i="6"/>
  <c r="E249" i="6" s="1"/>
  <c r="F249" i="6" s="1"/>
  <c r="G249" i="6" s="1"/>
  <c r="H249" i="6" s="1"/>
  <c r="N248" i="6"/>
  <c r="O248" i="6" s="1"/>
  <c r="P248" i="6" s="1"/>
  <c r="Q248" i="6" s="1"/>
  <c r="R248" i="6" s="1"/>
  <c r="S248" i="6" s="1"/>
  <c r="T248" i="6" s="1"/>
  <c r="U248" i="6" s="1"/>
  <c r="V248" i="6" s="1"/>
  <c r="W248" i="6" s="1"/>
  <c r="X248" i="6" s="1"/>
  <c r="Y248" i="6" s="1"/>
  <c r="Z248" i="6" s="1"/>
  <c r="AA248" i="6" s="1"/>
  <c r="AB248" i="6" s="1"/>
  <c r="AC248" i="6" s="1"/>
  <c r="AD248" i="6" s="1"/>
  <c r="AE248" i="6" s="1"/>
  <c r="AF248" i="6" s="1"/>
  <c r="B248" i="6" s="1"/>
  <c r="F248" i="6"/>
  <c r="G248" i="6" s="1"/>
  <c r="H248" i="6" s="1"/>
  <c r="I248" i="6" s="1"/>
  <c r="J248" i="6" s="1"/>
  <c r="K248" i="6" s="1"/>
  <c r="L248" i="6" s="1"/>
  <c r="M248" i="6" s="1"/>
  <c r="E248" i="6"/>
  <c r="D248" i="6"/>
  <c r="E247" i="6"/>
  <c r="F247" i="6" s="1"/>
  <c r="G247" i="6" s="1"/>
  <c r="H247" i="6" s="1"/>
  <c r="I247" i="6" s="1"/>
  <c r="J247" i="6" s="1"/>
  <c r="K247" i="6" s="1"/>
  <c r="L247" i="6" s="1"/>
  <c r="M247" i="6" s="1"/>
  <c r="N247" i="6" s="1"/>
  <c r="O247" i="6" s="1"/>
  <c r="P247" i="6" s="1"/>
  <c r="Q247" i="6" s="1"/>
  <c r="R247" i="6" s="1"/>
  <c r="S247" i="6" s="1"/>
  <c r="T247" i="6" s="1"/>
  <c r="U247" i="6" s="1"/>
  <c r="V247" i="6" s="1"/>
  <c r="W247" i="6" s="1"/>
  <c r="X247" i="6" s="1"/>
  <c r="Y247" i="6" s="1"/>
  <c r="Z247" i="6" s="1"/>
  <c r="AA247" i="6" s="1"/>
  <c r="AB247" i="6" s="1"/>
  <c r="AC247" i="6" s="1"/>
  <c r="AD247" i="6" s="1"/>
  <c r="AE247" i="6" s="1"/>
  <c r="AF247" i="6" s="1"/>
  <c r="B247" i="6" s="1"/>
  <c r="D247" i="6"/>
  <c r="D252" i="6" s="1"/>
  <c r="E246" i="6"/>
  <c r="F246" i="6" s="1"/>
  <c r="G246" i="6" s="1"/>
  <c r="D246" i="6"/>
  <c r="AG244" i="6"/>
  <c r="AF244" i="6"/>
  <c r="AE244" i="6"/>
  <c r="AD244" i="6"/>
  <c r="AC244" i="6"/>
  <c r="AB244" i="6"/>
  <c r="AA244" i="6"/>
  <c r="Z244" i="6"/>
  <c r="Z118" i="6" s="1"/>
  <c r="Y244" i="6"/>
  <c r="Y118" i="6" s="1"/>
  <c r="X244" i="6"/>
  <c r="W244" i="6"/>
  <c r="V244" i="6"/>
  <c r="U244" i="6"/>
  <c r="T244" i="6"/>
  <c r="S244" i="6"/>
  <c r="R244" i="6"/>
  <c r="Q244" i="6"/>
  <c r="P244" i="6"/>
  <c r="O244" i="6"/>
  <c r="N244" i="6"/>
  <c r="M244" i="6"/>
  <c r="L244" i="6"/>
  <c r="K244" i="6"/>
  <c r="J244" i="6"/>
  <c r="I244" i="6"/>
  <c r="H244" i="6"/>
  <c r="G244" i="6"/>
  <c r="F244" i="6"/>
  <c r="E244" i="6"/>
  <c r="D244" i="6"/>
  <c r="C244" i="6"/>
  <c r="B244" i="6"/>
  <c r="AI130" i="6"/>
  <c r="AH130" i="6"/>
  <c r="AI129" i="6"/>
  <c r="AH129" i="6"/>
  <c r="AI128" i="6"/>
  <c r="AH128" i="6"/>
  <c r="AI127" i="6"/>
  <c r="AH127" i="6"/>
  <c r="AI126" i="6"/>
  <c r="AH126" i="6"/>
  <c r="AI123" i="6"/>
  <c r="AH123" i="6"/>
  <c r="AI122" i="6"/>
  <c r="AH122" i="6"/>
  <c r="AI121" i="6"/>
  <c r="AH121" i="6"/>
  <c r="AI120" i="6"/>
  <c r="AH120" i="6"/>
  <c r="AI119" i="6"/>
  <c r="AH119" i="6"/>
  <c r="AI117" i="6"/>
  <c r="AH117" i="6"/>
  <c r="AI116" i="6"/>
  <c r="AH116" i="6"/>
  <c r="AI115" i="6"/>
  <c r="AH115" i="6"/>
  <c r="AI114" i="6"/>
  <c r="AH114" i="6"/>
  <c r="AI113" i="6"/>
  <c r="AH113" i="6"/>
  <c r="AI112" i="6"/>
  <c r="AH112" i="6"/>
  <c r="AI111" i="6"/>
  <c r="AH111" i="6"/>
  <c r="AI110" i="6"/>
  <c r="AH110" i="6"/>
  <c r="AI109" i="6"/>
  <c r="AH109" i="6"/>
  <c r="AI106" i="6"/>
  <c r="AH106" i="6"/>
  <c r="AF105" i="6"/>
  <c r="AD105" i="6"/>
  <c r="AC105" i="6"/>
  <c r="AB105" i="6"/>
  <c r="AA105" i="6"/>
  <c r="Z105" i="6"/>
  <c r="Y105" i="6"/>
  <c r="X105" i="6"/>
  <c r="W105" i="6"/>
  <c r="V105" i="6"/>
  <c r="U105" i="6"/>
  <c r="T105" i="6"/>
  <c r="S105" i="6"/>
  <c r="R105" i="6"/>
  <c r="Q105" i="6"/>
  <c r="P105" i="6"/>
  <c r="O105" i="6"/>
  <c r="N105" i="6"/>
  <c r="M105" i="6"/>
  <c r="L105" i="6"/>
  <c r="K105" i="6"/>
  <c r="J105" i="6"/>
  <c r="I105" i="6"/>
  <c r="H105" i="6"/>
  <c r="G105" i="6"/>
  <c r="F105" i="6"/>
  <c r="E105" i="6"/>
  <c r="AF104" i="6"/>
  <c r="AD104" i="6"/>
  <c r="AC104" i="6"/>
  <c r="AB104" i="6"/>
  <c r="AA104" i="6"/>
  <c r="Z104" i="6"/>
  <c r="Y104" i="6"/>
  <c r="X104" i="6"/>
  <c r="W104" i="6"/>
  <c r="V104" i="6"/>
  <c r="U104" i="6"/>
  <c r="T104" i="6"/>
  <c r="S104" i="6"/>
  <c r="R104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AF103" i="6"/>
  <c r="AD103" i="6"/>
  <c r="AC103" i="6"/>
  <c r="AB103" i="6"/>
  <c r="AA103" i="6"/>
  <c r="Z103" i="6"/>
  <c r="Y103" i="6"/>
  <c r="Y107" i="6" s="1"/>
  <c r="X103" i="6"/>
  <c r="W103" i="6"/>
  <c r="V103" i="6"/>
  <c r="U103" i="6"/>
  <c r="T103" i="6"/>
  <c r="S103" i="6"/>
  <c r="R103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AF102" i="6"/>
  <c r="AD102" i="6"/>
  <c r="AC102" i="6"/>
  <c r="AB102" i="6"/>
  <c r="AA102" i="6"/>
  <c r="Z102" i="6"/>
  <c r="Y102" i="6"/>
  <c r="X102" i="6"/>
  <c r="W102" i="6"/>
  <c r="V102" i="6"/>
  <c r="U102" i="6"/>
  <c r="T102" i="6"/>
  <c r="S102" i="6"/>
  <c r="R102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E107" i="6" s="1"/>
  <c r="AF101" i="6"/>
  <c r="AF107" i="6" s="1"/>
  <c r="BJ23" i="6" s="1"/>
  <c r="AD101" i="6"/>
  <c r="AC101" i="6"/>
  <c r="AB101" i="6"/>
  <c r="AA101" i="6"/>
  <c r="Z101" i="6"/>
  <c r="Y101" i="6"/>
  <c r="X101" i="6"/>
  <c r="W101" i="6"/>
  <c r="V101" i="6"/>
  <c r="U101" i="6"/>
  <c r="T101" i="6"/>
  <c r="T107" i="6" s="1"/>
  <c r="S101" i="6"/>
  <c r="R101" i="6"/>
  <c r="Q101" i="6"/>
  <c r="P101" i="6"/>
  <c r="O101" i="6"/>
  <c r="O107" i="6" s="1"/>
  <c r="N101" i="6"/>
  <c r="M101" i="6"/>
  <c r="L101" i="6"/>
  <c r="K101" i="6"/>
  <c r="J101" i="6"/>
  <c r="I101" i="6"/>
  <c r="H101" i="6"/>
  <c r="H107" i="6" s="1"/>
  <c r="G101" i="6"/>
  <c r="F101" i="6"/>
  <c r="E101" i="6"/>
  <c r="AI98" i="6"/>
  <c r="AH98" i="6"/>
  <c r="AI96" i="6"/>
  <c r="AH96" i="6"/>
  <c r="AG96" i="6"/>
  <c r="AI95" i="6"/>
  <c r="AH95" i="6"/>
  <c r="AI94" i="6"/>
  <c r="AH94" i="6"/>
  <c r="AI93" i="6"/>
  <c r="AH93" i="6"/>
  <c r="AG92" i="6"/>
  <c r="AF92" i="6"/>
  <c r="AE5" i="6" s="1"/>
  <c r="AD92" i="6"/>
  <c r="AC5" i="6" s="1"/>
  <c r="AC92" i="6"/>
  <c r="AB5" i="6" s="1"/>
  <c r="AB92" i="6"/>
  <c r="BG19" i="6" s="1"/>
  <c r="AA92" i="6"/>
  <c r="Z5" i="6" s="1"/>
  <c r="Z92" i="6"/>
  <c r="Y92" i="6"/>
  <c r="X5" i="6" s="1"/>
  <c r="X92" i="6"/>
  <c r="W5" i="6" s="1"/>
  <c r="W92" i="6"/>
  <c r="V5" i="6" s="1"/>
  <c r="V92" i="6"/>
  <c r="BD19" i="6" s="1"/>
  <c r="U92" i="6"/>
  <c r="T5" i="6" s="1"/>
  <c r="T92" i="6"/>
  <c r="BB19" i="6" s="1"/>
  <c r="S92" i="6"/>
  <c r="R5" i="6" s="1"/>
  <c r="R92" i="6"/>
  <c r="AZ19" i="6" s="1"/>
  <c r="Q92" i="6"/>
  <c r="P5" i="6" s="1"/>
  <c r="P92" i="6"/>
  <c r="O5" i="6" s="1"/>
  <c r="O92" i="6"/>
  <c r="N5" i="6" s="1"/>
  <c r="N92" i="6"/>
  <c r="M5" i="6" s="1"/>
  <c r="M92" i="6"/>
  <c r="L5" i="6" s="1"/>
  <c r="L92" i="6"/>
  <c r="K5" i="6" s="1"/>
  <c r="K92" i="6"/>
  <c r="AT19" i="6" s="1"/>
  <c r="J92" i="6"/>
  <c r="I5" i="6" s="1"/>
  <c r="I92" i="6"/>
  <c r="AS19" i="6" s="1"/>
  <c r="H92" i="6"/>
  <c r="G5" i="6" s="1"/>
  <c r="G92" i="6"/>
  <c r="F5" i="6" s="1"/>
  <c r="F92" i="6"/>
  <c r="AQ19" i="6" s="1"/>
  <c r="E92" i="6"/>
  <c r="E108" i="6" s="1"/>
  <c r="AI91" i="6"/>
  <c r="AH91" i="6"/>
  <c r="AI90" i="6"/>
  <c r="AH90" i="6"/>
  <c r="AI89" i="6"/>
  <c r="AH89" i="6"/>
  <c r="AI88" i="6"/>
  <c r="AH88" i="6"/>
  <c r="AI87" i="6"/>
  <c r="AH87" i="6"/>
  <c r="AI86" i="6"/>
  <c r="AH86" i="6"/>
  <c r="AI85" i="6"/>
  <c r="AH85" i="6"/>
  <c r="AI84" i="6"/>
  <c r="AH84" i="6"/>
  <c r="AI83" i="6"/>
  <c r="AH83" i="6"/>
  <c r="AI82" i="6"/>
  <c r="AH82" i="6"/>
  <c r="AI81" i="6"/>
  <c r="AH81" i="6"/>
  <c r="BV80" i="6"/>
  <c r="BU80" i="6"/>
  <c r="AG80" i="6"/>
  <c r="AF80" i="6"/>
  <c r="AD80" i="6"/>
  <c r="BH20" i="6" s="1"/>
  <c r="AC80" i="6"/>
  <c r="AB80" i="6"/>
  <c r="BG20" i="6" s="1"/>
  <c r="AA80" i="6"/>
  <c r="Z80" i="6"/>
  <c r="Y80" i="6"/>
  <c r="X80" i="6"/>
  <c r="W80" i="6"/>
  <c r="V80" i="6"/>
  <c r="U80" i="6"/>
  <c r="T80" i="6"/>
  <c r="BB20" i="6" s="1"/>
  <c r="S80" i="6"/>
  <c r="R80" i="6"/>
  <c r="Q80" i="6"/>
  <c r="P80" i="6"/>
  <c r="AX20" i="6" s="1"/>
  <c r="O80" i="6"/>
  <c r="N80" i="6"/>
  <c r="AV20" i="6" s="1"/>
  <c r="M80" i="6"/>
  <c r="L80" i="6"/>
  <c r="K80" i="6"/>
  <c r="AT20" i="6" s="1"/>
  <c r="J80" i="6"/>
  <c r="I80" i="6"/>
  <c r="H80" i="6"/>
  <c r="G80" i="6"/>
  <c r="AR20" i="6" s="1"/>
  <c r="F80" i="6"/>
  <c r="AQ20" i="6" s="1"/>
  <c r="E80" i="6"/>
  <c r="AO20" i="6"/>
  <c r="AN20" i="6"/>
  <c r="BP79" i="6"/>
  <c r="BE79" i="6"/>
  <c r="BD79" i="6"/>
  <c r="AI79" i="6"/>
  <c r="AH79" i="6"/>
  <c r="BV78" i="6"/>
  <c r="AI78" i="6"/>
  <c r="AH78" i="6"/>
  <c r="BP77" i="6"/>
  <c r="BE77" i="6"/>
  <c r="AI77" i="6"/>
  <c r="AH77" i="6"/>
  <c r="BV76" i="6"/>
  <c r="BK76" i="6"/>
  <c r="BJ76" i="6"/>
  <c r="BF76" i="6"/>
  <c r="BB76" i="6"/>
  <c r="AF76" i="6"/>
  <c r="BJ18" i="6" s="1"/>
  <c r="AD76" i="6"/>
  <c r="AC76" i="6"/>
  <c r="AB76" i="6"/>
  <c r="BG18" i="6" s="1"/>
  <c r="AA76" i="6"/>
  <c r="Z76" i="6"/>
  <c r="BF18" i="6" s="1"/>
  <c r="Y76" i="6"/>
  <c r="X76" i="6"/>
  <c r="W76" i="6"/>
  <c r="V76" i="6"/>
  <c r="BD18" i="6" s="1"/>
  <c r="U76" i="6"/>
  <c r="BC18" i="6" s="1"/>
  <c r="T76" i="6"/>
  <c r="BB18" i="6" s="1"/>
  <c r="S76" i="6"/>
  <c r="BA18" i="6" s="1"/>
  <c r="R76" i="6"/>
  <c r="AZ18" i="6" s="1"/>
  <c r="Q76" i="6"/>
  <c r="AY18" i="6" s="1"/>
  <c r="P76" i="6"/>
  <c r="AX18" i="6" s="1"/>
  <c r="O76" i="6"/>
  <c r="AW18" i="6" s="1"/>
  <c r="N76" i="6"/>
  <c r="AV18" i="6" s="1"/>
  <c r="M76" i="6"/>
  <c r="AU18" i="6" s="1"/>
  <c r="L76" i="6"/>
  <c r="K76" i="6"/>
  <c r="AT18" i="6" s="1"/>
  <c r="J76" i="6"/>
  <c r="I76" i="6"/>
  <c r="H76" i="6"/>
  <c r="G76" i="6"/>
  <c r="AR18" i="6" s="1"/>
  <c r="F76" i="6"/>
  <c r="AQ18" i="6" s="1"/>
  <c r="E76" i="6"/>
  <c r="AP18" i="6" s="1"/>
  <c r="AO18" i="6"/>
  <c r="BC75" i="6"/>
  <c r="AI75" i="6"/>
  <c r="AH75" i="6"/>
  <c r="AG75" i="6"/>
  <c r="AG76" i="6" s="1"/>
  <c r="AG3" i="6" s="1"/>
  <c r="AI74" i="6"/>
  <c r="AH74" i="6"/>
  <c r="BW73" i="6"/>
  <c r="BW80" i="6" s="1"/>
  <c r="BV73" i="6"/>
  <c r="BU73" i="6"/>
  <c r="BT73" i="6"/>
  <c r="BT80" i="6" s="1"/>
  <c r="BS73" i="6"/>
  <c r="BS80" i="6" s="1"/>
  <c r="BR73" i="6"/>
  <c r="BR80" i="6" s="1"/>
  <c r="BQ73" i="6"/>
  <c r="BQ80" i="6" s="1"/>
  <c r="BP73" i="6"/>
  <c r="BP80" i="6" s="1"/>
  <c r="BO73" i="6"/>
  <c r="BO80" i="6" s="1"/>
  <c r="BN73" i="6"/>
  <c r="BN80" i="6" s="1"/>
  <c r="BM73" i="6"/>
  <c r="BM80" i="6" s="1"/>
  <c r="BL73" i="6"/>
  <c r="BL80" i="6" s="1"/>
  <c r="BK73" i="6"/>
  <c r="BK80" i="6" s="1"/>
  <c r="BJ73" i="6"/>
  <c r="BJ80" i="6" s="1"/>
  <c r="BI73" i="6"/>
  <c r="BI80" i="6" s="1"/>
  <c r="BH73" i="6"/>
  <c r="BH80" i="6" s="1"/>
  <c r="BG73" i="6"/>
  <c r="BG80" i="6" s="1"/>
  <c r="BF73" i="6"/>
  <c r="BF80" i="6" s="1"/>
  <c r="BE73" i="6"/>
  <c r="BE80" i="6" s="1"/>
  <c r="BD73" i="6"/>
  <c r="BD80" i="6" s="1"/>
  <c r="BC73" i="6"/>
  <c r="BC80" i="6" s="1"/>
  <c r="BB73" i="6"/>
  <c r="BB80" i="6" s="1"/>
  <c r="BA73" i="6"/>
  <c r="BA80" i="6" s="1"/>
  <c r="AZ73" i="6"/>
  <c r="AZ80" i="6" s="1"/>
  <c r="AI73" i="6"/>
  <c r="AH73" i="6"/>
  <c r="BW72" i="6"/>
  <c r="BW79" i="6" s="1"/>
  <c r="BV72" i="6"/>
  <c r="BV79" i="6" s="1"/>
  <c r="BU72" i="6"/>
  <c r="BU79" i="6" s="1"/>
  <c r="BT72" i="6"/>
  <c r="BT79" i="6" s="1"/>
  <c r="BS72" i="6"/>
  <c r="BS79" i="6" s="1"/>
  <c r="BR72" i="6"/>
  <c r="BR79" i="6" s="1"/>
  <c r="BQ72" i="6"/>
  <c r="BQ79" i="6" s="1"/>
  <c r="BP72" i="6"/>
  <c r="BO72" i="6"/>
  <c r="BO79" i="6" s="1"/>
  <c r="BN72" i="6"/>
  <c r="BN79" i="6" s="1"/>
  <c r="BM72" i="6"/>
  <c r="BM79" i="6" s="1"/>
  <c r="BL72" i="6"/>
  <c r="BL79" i="6" s="1"/>
  <c r="BK72" i="6"/>
  <c r="BK79" i="6" s="1"/>
  <c r="BJ72" i="6"/>
  <c r="BJ79" i="6" s="1"/>
  <c r="BI72" i="6"/>
  <c r="BI79" i="6" s="1"/>
  <c r="BH72" i="6"/>
  <c r="BH79" i="6" s="1"/>
  <c r="BG72" i="6"/>
  <c r="BG79" i="6" s="1"/>
  <c r="BF72" i="6"/>
  <c r="BF79" i="6" s="1"/>
  <c r="BE72" i="6"/>
  <c r="BD72" i="6"/>
  <c r="BC72" i="6"/>
  <c r="BC79" i="6" s="1"/>
  <c r="BB72" i="6"/>
  <c r="BB79" i="6" s="1"/>
  <c r="BA72" i="6"/>
  <c r="BA79" i="6" s="1"/>
  <c r="AZ72" i="6"/>
  <c r="AZ79" i="6" s="1"/>
  <c r="AI72" i="6"/>
  <c r="AH72" i="6"/>
  <c r="BW71" i="6"/>
  <c r="BW78" i="6" s="1"/>
  <c r="BV71" i="6"/>
  <c r="BU71" i="6"/>
  <c r="BU78" i="6" s="1"/>
  <c r="BT71" i="6"/>
  <c r="BT78" i="6" s="1"/>
  <c r="BS71" i="6"/>
  <c r="BS78" i="6" s="1"/>
  <c r="BR71" i="6"/>
  <c r="BR78" i="6" s="1"/>
  <c r="BQ71" i="6"/>
  <c r="BQ78" i="6" s="1"/>
  <c r="BP71" i="6"/>
  <c r="BP78" i="6" s="1"/>
  <c r="BO71" i="6"/>
  <c r="BO78" i="6" s="1"/>
  <c r="BN71" i="6"/>
  <c r="BN78" i="6" s="1"/>
  <c r="BM71" i="6"/>
  <c r="BM78" i="6" s="1"/>
  <c r="BL71" i="6"/>
  <c r="BL78" i="6" s="1"/>
  <c r="BK71" i="6"/>
  <c r="BK78" i="6" s="1"/>
  <c r="BJ71" i="6"/>
  <c r="BJ78" i="6" s="1"/>
  <c r="BI71" i="6"/>
  <c r="BI78" i="6" s="1"/>
  <c r="BH71" i="6"/>
  <c r="BH78" i="6" s="1"/>
  <c r="BG71" i="6"/>
  <c r="BG78" i="6" s="1"/>
  <c r="BF71" i="6"/>
  <c r="BF78" i="6" s="1"/>
  <c r="BE71" i="6"/>
  <c r="BE78" i="6" s="1"/>
  <c r="BD71" i="6"/>
  <c r="BD78" i="6" s="1"/>
  <c r="BC71" i="6"/>
  <c r="BC78" i="6" s="1"/>
  <c r="BB71" i="6"/>
  <c r="BB78" i="6" s="1"/>
  <c r="BA71" i="6"/>
  <c r="BA78" i="6" s="1"/>
  <c r="AZ71" i="6"/>
  <c r="AZ78" i="6" s="1"/>
  <c r="AI71" i="6"/>
  <c r="AH71" i="6"/>
  <c r="BW70" i="6"/>
  <c r="BW77" i="6" s="1"/>
  <c r="BV70" i="6"/>
  <c r="BV77" i="6" s="1"/>
  <c r="BU70" i="6"/>
  <c r="BU77" i="6" s="1"/>
  <c r="BT70" i="6"/>
  <c r="BT77" i="6" s="1"/>
  <c r="BS70" i="6"/>
  <c r="BS77" i="6" s="1"/>
  <c r="BR70" i="6"/>
  <c r="BR77" i="6" s="1"/>
  <c r="BQ70" i="6"/>
  <c r="BQ77" i="6" s="1"/>
  <c r="BP70" i="6"/>
  <c r="BO70" i="6"/>
  <c r="BO77" i="6" s="1"/>
  <c r="BN70" i="6"/>
  <c r="BN77" i="6" s="1"/>
  <c r="BM70" i="6"/>
  <c r="BM77" i="6" s="1"/>
  <c r="BL70" i="6"/>
  <c r="BL77" i="6" s="1"/>
  <c r="BK70" i="6"/>
  <c r="BK77" i="6" s="1"/>
  <c r="BJ70" i="6"/>
  <c r="BJ77" i="6" s="1"/>
  <c r="BI70" i="6"/>
  <c r="BI77" i="6" s="1"/>
  <c r="BH70" i="6"/>
  <c r="BH77" i="6" s="1"/>
  <c r="BG70" i="6"/>
  <c r="BG77" i="6" s="1"/>
  <c r="BF70" i="6"/>
  <c r="BF77" i="6" s="1"/>
  <c r="BE70" i="6"/>
  <c r="BD70" i="6"/>
  <c r="BD77" i="6" s="1"/>
  <c r="BC70" i="6"/>
  <c r="BC77" i="6" s="1"/>
  <c r="BB70" i="6"/>
  <c r="BB77" i="6" s="1"/>
  <c r="BA70" i="6"/>
  <c r="BA77" i="6" s="1"/>
  <c r="AZ70" i="6"/>
  <c r="AZ77" i="6" s="1"/>
  <c r="AI70" i="6"/>
  <c r="AH70" i="6"/>
  <c r="BW69" i="6"/>
  <c r="BW76" i="6" s="1"/>
  <c r="BV69" i="6"/>
  <c r="BU69" i="6"/>
  <c r="BU76" i="6" s="1"/>
  <c r="BT69" i="6"/>
  <c r="BT76" i="6" s="1"/>
  <c r="BS69" i="6"/>
  <c r="BS76" i="6" s="1"/>
  <c r="BR69" i="6"/>
  <c r="BR76" i="6" s="1"/>
  <c r="BQ69" i="6"/>
  <c r="BQ76" i="6" s="1"/>
  <c r="BP69" i="6"/>
  <c r="BP76" i="6" s="1"/>
  <c r="BO69" i="6"/>
  <c r="BO76" i="6" s="1"/>
  <c r="BN69" i="6"/>
  <c r="BN76" i="6" s="1"/>
  <c r="BM69" i="6"/>
  <c r="BM76" i="6" s="1"/>
  <c r="BL69" i="6"/>
  <c r="BL76" i="6" s="1"/>
  <c r="BK69" i="6"/>
  <c r="BJ69" i="6"/>
  <c r="BI69" i="6"/>
  <c r="BI76" i="6" s="1"/>
  <c r="BH69" i="6"/>
  <c r="BH76" i="6" s="1"/>
  <c r="BG69" i="6"/>
  <c r="BG76" i="6" s="1"/>
  <c r="BF69" i="6"/>
  <c r="BE69" i="6"/>
  <c r="BE76" i="6" s="1"/>
  <c r="BD69" i="6"/>
  <c r="BD76" i="6" s="1"/>
  <c r="BC69" i="6"/>
  <c r="BC76" i="6" s="1"/>
  <c r="BB69" i="6"/>
  <c r="BA69" i="6"/>
  <c r="BA76" i="6" s="1"/>
  <c r="AZ69" i="6"/>
  <c r="AI69" i="6"/>
  <c r="AH69" i="6"/>
  <c r="BW68" i="6"/>
  <c r="BW75" i="6" s="1"/>
  <c r="BV68" i="6"/>
  <c r="BV75" i="6" s="1"/>
  <c r="BU68" i="6"/>
  <c r="BU75" i="6" s="1"/>
  <c r="BT68" i="6"/>
  <c r="BT75" i="6" s="1"/>
  <c r="BS68" i="6"/>
  <c r="BS75" i="6" s="1"/>
  <c r="BR68" i="6"/>
  <c r="BR75" i="6" s="1"/>
  <c r="BQ68" i="6"/>
  <c r="BQ75" i="6" s="1"/>
  <c r="BP68" i="6"/>
  <c r="BP75" i="6" s="1"/>
  <c r="BO68" i="6"/>
  <c r="BO75" i="6" s="1"/>
  <c r="BN68" i="6"/>
  <c r="BN75" i="6" s="1"/>
  <c r="BM68" i="6"/>
  <c r="BM75" i="6" s="1"/>
  <c r="BL68" i="6"/>
  <c r="BL75" i="6" s="1"/>
  <c r="BK68" i="6"/>
  <c r="BK75" i="6" s="1"/>
  <c r="BJ68" i="6"/>
  <c r="BJ75" i="6" s="1"/>
  <c r="BI68" i="6"/>
  <c r="BI75" i="6" s="1"/>
  <c r="BH68" i="6"/>
  <c r="BH75" i="6" s="1"/>
  <c r="BG68" i="6"/>
  <c r="BG75" i="6" s="1"/>
  <c r="BF68" i="6"/>
  <c r="BF75" i="6" s="1"/>
  <c r="BE68" i="6"/>
  <c r="BE75" i="6" s="1"/>
  <c r="BD68" i="6"/>
  <c r="BD75" i="6" s="1"/>
  <c r="BC68" i="6"/>
  <c r="BB68" i="6"/>
  <c r="BB75" i="6" s="1"/>
  <c r="BA68" i="6"/>
  <c r="BA75" i="6" s="1"/>
  <c r="AZ68" i="6"/>
  <c r="AZ75" i="6" s="1"/>
  <c r="AI68" i="6"/>
  <c r="AH68" i="6"/>
  <c r="AI67" i="6"/>
  <c r="AH67" i="6"/>
  <c r="AI66" i="6"/>
  <c r="AH66" i="6"/>
  <c r="AI65" i="6"/>
  <c r="AH65" i="6"/>
  <c r="AI64" i="6"/>
  <c r="AH64" i="6"/>
  <c r="AI63" i="6"/>
  <c r="AH63" i="6"/>
  <c r="AG62" i="6"/>
  <c r="BI17" i="6"/>
  <c r="AD62" i="6"/>
  <c r="AC62" i="6"/>
  <c r="AB62" i="6"/>
  <c r="BG17" i="6" s="1"/>
  <c r="AA62" i="6"/>
  <c r="Z62" i="6"/>
  <c r="BF17" i="6" s="1"/>
  <c r="Y62" i="6"/>
  <c r="X62" i="6"/>
  <c r="W62" i="6"/>
  <c r="V62" i="6"/>
  <c r="BD17" i="6" s="1"/>
  <c r="U62" i="6"/>
  <c r="T62" i="6"/>
  <c r="BB17" i="6" s="1"/>
  <c r="S62" i="6"/>
  <c r="BA17" i="6" s="1"/>
  <c r="R62" i="6"/>
  <c r="AZ17" i="6" s="1"/>
  <c r="Q62" i="6"/>
  <c r="AY17" i="6" s="1"/>
  <c r="P62" i="6"/>
  <c r="O62" i="6"/>
  <c r="AW17" i="6" s="1"/>
  <c r="N62" i="6"/>
  <c r="AV17" i="6" s="1"/>
  <c r="M62" i="6"/>
  <c r="L62" i="6"/>
  <c r="K62" i="6"/>
  <c r="J62" i="6"/>
  <c r="I62" i="6"/>
  <c r="AS17" i="6" s="1"/>
  <c r="H62" i="6"/>
  <c r="G62" i="6"/>
  <c r="F62" i="6"/>
  <c r="E62" i="6"/>
  <c r="AP17" i="6" s="1"/>
  <c r="AI61" i="6"/>
  <c r="AH61" i="6"/>
  <c r="AI60" i="6"/>
  <c r="AH60" i="6"/>
  <c r="AI59" i="6"/>
  <c r="AH59" i="6"/>
  <c r="AG58" i="6"/>
  <c r="AE7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AU16" i="6" s="1"/>
  <c r="L58" i="6"/>
  <c r="K58" i="6"/>
  <c r="J58" i="6"/>
  <c r="I58" i="6"/>
  <c r="H58" i="6"/>
  <c r="G58" i="6"/>
  <c r="F58" i="6"/>
  <c r="E58" i="6"/>
  <c r="AI57" i="6"/>
  <c r="AH57" i="6"/>
  <c r="AI56" i="6"/>
  <c r="AH56" i="6"/>
  <c r="AI55" i="6"/>
  <c r="AH55" i="6"/>
  <c r="AI54" i="6"/>
  <c r="AH54" i="6"/>
  <c r="AI53" i="6"/>
  <c r="AH53" i="6"/>
  <c r="AI52" i="6"/>
  <c r="AH52" i="6"/>
  <c r="AI51" i="6"/>
  <c r="AH51" i="6"/>
  <c r="AI50" i="6"/>
  <c r="AH50" i="6"/>
  <c r="AI49" i="6"/>
  <c r="AH49" i="6"/>
  <c r="AI48" i="6"/>
  <c r="AH48" i="6"/>
  <c r="AI47" i="6"/>
  <c r="AH47" i="6"/>
  <c r="AI46" i="6"/>
  <c r="AH46" i="6"/>
  <c r="AI45" i="6"/>
  <c r="AH45" i="6"/>
  <c r="AI44" i="6"/>
  <c r="AH44" i="6"/>
  <c r="AI43" i="6"/>
  <c r="AH43" i="6"/>
  <c r="AI42" i="6"/>
  <c r="AH42" i="6"/>
  <c r="AI41" i="6"/>
  <c r="AH41" i="6"/>
  <c r="AI40" i="6"/>
  <c r="AH40" i="6"/>
  <c r="AI39" i="6"/>
  <c r="AH39" i="6"/>
  <c r="AI38" i="6"/>
  <c r="AH38" i="6"/>
  <c r="AI37" i="6"/>
  <c r="AH37" i="6"/>
  <c r="AI36" i="6"/>
  <c r="AH36" i="6"/>
  <c r="AI35" i="6"/>
  <c r="AH35" i="6"/>
  <c r="AI34" i="6"/>
  <c r="AH34" i="6"/>
  <c r="AI33" i="6"/>
  <c r="AH33" i="6"/>
  <c r="AI32" i="6"/>
  <c r="AH32" i="6"/>
  <c r="AI31" i="6"/>
  <c r="AH31" i="6"/>
  <c r="AI30" i="6"/>
  <c r="AH30" i="6"/>
  <c r="AI29" i="6"/>
  <c r="AH29" i="6"/>
  <c r="AI28" i="6"/>
  <c r="AH28" i="6"/>
  <c r="AI27" i="6"/>
  <c r="AH27" i="6"/>
  <c r="AI26" i="6"/>
  <c r="AH26" i="6"/>
  <c r="AI25" i="6"/>
  <c r="AH25" i="6"/>
  <c r="AI24" i="6"/>
  <c r="AH24" i="6"/>
  <c r="BI23" i="6"/>
  <c r="AP23" i="6"/>
  <c r="AI23" i="6"/>
  <c r="AH23" i="6"/>
  <c r="AI22" i="6"/>
  <c r="AH22" i="6"/>
  <c r="BJ21" i="6"/>
  <c r="BI21" i="6"/>
  <c r="BH21" i="6"/>
  <c r="BG21" i="6"/>
  <c r="BF21" i="6"/>
  <c r="BE21" i="6"/>
  <c r="BD21" i="6"/>
  <c r="BC21" i="6"/>
  <c r="BB21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I21" i="6"/>
  <c r="AH21" i="6"/>
  <c r="BJ20" i="6"/>
  <c r="BI20" i="6"/>
  <c r="BF20" i="6"/>
  <c r="BE20" i="6"/>
  <c r="BD20" i="6"/>
  <c r="BC20" i="6"/>
  <c r="AZ20" i="6"/>
  <c r="AY20" i="6"/>
  <c r="AW20" i="6"/>
  <c r="AU20" i="6"/>
  <c r="AS20" i="6"/>
  <c r="AP20" i="6"/>
  <c r="AM20" i="6"/>
  <c r="AI20" i="6"/>
  <c r="AH20" i="6"/>
  <c r="BI19" i="6"/>
  <c r="BF19" i="6"/>
  <c r="AY19" i="6"/>
  <c r="AW19" i="6"/>
  <c r="AI19" i="6"/>
  <c r="AH19" i="6"/>
  <c r="BI18" i="6"/>
  <c r="BH18" i="6"/>
  <c r="BE18" i="6"/>
  <c r="AS18" i="6"/>
  <c r="AN18" i="6"/>
  <c r="AM18" i="6"/>
  <c r="AI18" i="6"/>
  <c r="AH18" i="6"/>
  <c r="BJ17" i="6"/>
  <c r="BH17" i="6"/>
  <c r="BE17" i="6"/>
  <c r="BC17" i="6"/>
  <c r="AX17" i="6"/>
  <c r="AU17" i="6"/>
  <c r="AT17" i="6"/>
  <c r="AR17" i="6"/>
  <c r="AQ17" i="6"/>
  <c r="AO17" i="6"/>
  <c r="AN17" i="6"/>
  <c r="AI17" i="6"/>
  <c r="AH17" i="6"/>
  <c r="BJ16" i="6"/>
  <c r="BI16" i="6"/>
  <c r="BI22" i="6" s="1"/>
  <c r="BI24" i="6" s="1"/>
  <c r="BG16" i="6"/>
  <c r="BE16" i="6"/>
  <c r="BD16" i="6"/>
  <c r="BB16" i="6"/>
  <c r="BA16" i="6"/>
  <c r="AX16" i="6"/>
  <c r="AV16" i="6"/>
  <c r="AT16" i="6"/>
  <c r="AQ16" i="6"/>
  <c r="AO16" i="6"/>
  <c r="AN16" i="6"/>
  <c r="AI16" i="6"/>
  <c r="AH16" i="6"/>
  <c r="AI15" i="6"/>
  <c r="AH15" i="6"/>
  <c r="AI14" i="6"/>
  <c r="AH14" i="6"/>
  <c r="AI13" i="6"/>
  <c r="AH13" i="6"/>
  <c r="AL12" i="6"/>
  <c r="AI12" i="6"/>
  <c r="AH12" i="6"/>
  <c r="AI11" i="6"/>
  <c r="AH11" i="6"/>
  <c r="AD5" i="6"/>
  <c r="Y5" i="6"/>
  <c r="Q5" i="6"/>
  <c r="E5" i="6"/>
  <c r="C5" i="6"/>
  <c r="AG4" i="6"/>
  <c r="K4" i="6"/>
  <c r="E4" i="6"/>
  <c r="H4" i="6" s="1"/>
  <c r="B4" i="6"/>
  <c r="D258" i="6" s="1"/>
  <c r="AF58" i="1"/>
  <c r="AF62" i="1"/>
  <c r="AF76" i="1"/>
  <c r="AF80" i="1"/>
  <c r="AF92" i="1"/>
  <c r="AF101" i="1"/>
  <c r="AF102" i="1"/>
  <c r="AF103" i="1"/>
  <c r="AF104" i="1"/>
  <c r="AF107" i="1" s="1"/>
  <c r="AF105" i="1"/>
  <c r="AF118" i="1"/>
  <c r="AE58" i="1"/>
  <c r="AE62" i="1"/>
  <c r="AE76" i="1"/>
  <c r="AE80" i="1"/>
  <c r="AE92" i="1"/>
  <c r="BI19" i="1" s="1"/>
  <c r="AE101" i="1"/>
  <c r="AE107" i="1" s="1"/>
  <c r="AE102" i="1"/>
  <c r="AE103" i="1"/>
  <c r="AE104" i="1"/>
  <c r="AE105" i="1"/>
  <c r="AE118" i="1"/>
  <c r="AG252" i="4"/>
  <c r="C252" i="4"/>
  <c r="D251" i="4"/>
  <c r="J250" i="4"/>
  <c r="K250" i="4" s="1"/>
  <c r="L250" i="4" s="1"/>
  <c r="M250" i="4" s="1"/>
  <c r="N250" i="4" s="1"/>
  <c r="O250" i="4" s="1"/>
  <c r="P250" i="4" s="1"/>
  <c r="Q250" i="4" s="1"/>
  <c r="R250" i="4" s="1"/>
  <c r="S250" i="4" s="1"/>
  <c r="T250" i="4" s="1"/>
  <c r="U250" i="4" s="1"/>
  <c r="V250" i="4" s="1"/>
  <c r="W250" i="4" s="1"/>
  <c r="X250" i="4" s="1"/>
  <c r="Y250" i="4" s="1"/>
  <c r="Z250" i="4" s="1"/>
  <c r="AA250" i="4" s="1"/>
  <c r="AB250" i="4" s="1"/>
  <c r="AC250" i="4" s="1"/>
  <c r="AD250" i="4" s="1"/>
  <c r="AE250" i="4" s="1"/>
  <c r="AF250" i="4" s="1"/>
  <c r="B250" i="4" s="1"/>
  <c r="D250" i="4"/>
  <c r="E250" i="4" s="1"/>
  <c r="F250" i="4" s="1"/>
  <c r="G250" i="4" s="1"/>
  <c r="H250" i="4" s="1"/>
  <c r="I250" i="4" s="1"/>
  <c r="X249" i="4"/>
  <c r="Y249" i="4" s="1"/>
  <c r="Z249" i="4" s="1"/>
  <c r="AA249" i="4" s="1"/>
  <c r="AB249" i="4" s="1"/>
  <c r="AC249" i="4" s="1"/>
  <c r="AD249" i="4" s="1"/>
  <c r="AE249" i="4" s="1"/>
  <c r="AF249" i="4" s="1"/>
  <c r="B249" i="4" s="1"/>
  <c r="D249" i="4"/>
  <c r="E249" i="4" s="1"/>
  <c r="F249" i="4" s="1"/>
  <c r="G249" i="4" s="1"/>
  <c r="H249" i="4" s="1"/>
  <c r="I249" i="4" s="1"/>
  <c r="J249" i="4" s="1"/>
  <c r="K249" i="4" s="1"/>
  <c r="L249" i="4" s="1"/>
  <c r="M249" i="4" s="1"/>
  <c r="N249" i="4" s="1"/>
  <c r="O249" i="4" s="1"/>
  <c r="P249" i="4" s="1"/>
  <c r="Q249" i="4" s="1"/>
  <c r="R249" i="4" s="1"/>
  <c r="S249" i="4" s="1"/>
  <c r="T249" i="4" s="1"/>
  <c r="U249" i="4" s="1"/>
  <c r="V249" i="4" s="1"/>
  <c r="W249" i="4" s="1"/>
  <c r="D248" i="4"/>
  <c r="E248" i="4" s="1"/>
  <c r="F248" i="4" s="1"/>
  <c r="G248" i="4" s="1"/>
  <c r="H248" i="4" s="1"/>
  <c r="I248" i="4" s="1"/>
  <c r="J248" i="4" s="1"/>
  <c r="K248" i="4" s="1"/>
  <c r="L248" i="4" s="1"/>
  <c r="M248" i="4" s="1"/>
  <c r="N248" i="4" s="1"/>
  <c r="O248" i="4" s="1"/>
  <c r="P248" i="4" s="1"/>
  <c r="Q248" i="4" s="1"/>
  <c r="R248" i="4" s="1"/>
  <c r="S248" i="4" s="1"/>
  <c r="T248" i="4" s="1"/>
  <c r="U248" i="4" s="1"/>
  <c r="V248" i="4" s="1"/>
  <c r="W248" i="4" s="1"/>
  <c r="X248" i="4" s="1"/>
  <c r="Y248" i="4" s="1"/>
  <c r="Z248" i="4" s="1"/>
  <c r="AA248" i="4" s="1"/>
  <c r="AB248" i="4" s="1"/>
  <c r="AC248" i="4" s="1"/>
  <c r="AD248" i="4" s="1"/>
  <c r="AE248" i="4" s="1"/>
  <c r="AF248" i="4" s="1"/>
  <c r="B248" i="4" s="1"/>
  <c r="L247" i="4"/>
  <c r="M247" i="4" s="1"/>
  <c r="N247" i="4" s="1"/>
  <c r="O247" i="4" s="1"/>
  <c r="P247" i="4" s="1"/>
  <c r="Q247" i="4" s="1"/>
  <c r="R247" i="4" s="1"/>
  <c r="S247" i="4" s="1"/>
  <c r="T247" i="4" s="1"/>
  <c r="U247" i="4" s="1"/>
  <c r="V247" i="4" s="1"/>
  <c r="W247" i="4" s="1"/>
  <c r="X247" i="4" s="1"/>
  <c r="Y247" i="4" s="1"/>
  <c r="Z247" i="4" s="1"/>
  <c r="AA247" i="4" s="1"/>
  <c r="AB247" i="4" s="1"/>
  <c r="AC247" i="4" s="1"/>
  <c r="AD247" i="4" s="1"/>
  <c r="AE247" i="4" s="1"/>
  <c r="AF247" i="4" s="1"/>
  <c r="B247" i="4" s="1"/>
  <c r="D247" i="4"/>
  <c r="E247" i="4" s="1"/>
  <c r="F247" i="4" s="1"/>
  <c r="G247" i="4" s="1"/>
  <c r="H247" i="4" s="1"/>
  <c r="I247" i="4" s="1"/>
  <c r="J247" i="4" s="1"/>
  <c r="K247" i="4" s="1"/>
  <c r="D246" i="4"/>
  <c r="D252" i="4" s="1"/>
  <c r="AG244" i="4"/>
  <c r="AF244" i="4"/>
  <c r="AE244" i="4"/>
  <c r="AD244" i="4"/>
  <c r="AC244" i="4"/>
  <c r="AB244" i="4"/>
  <c r="AA244" i="4"/>
  <c r="Z244" i="4"/>
  <c r="Y244" i="4"/>
  <c r="X244" i="4"/>
  <c r="W244" i="4"/>
  <c r="V244" i="4"/>
  <c r="U244" i="4"/>
  <c r="T244" i="4"/>
  <c r="S244" i="4"/>
  <c r="R244" i="4"/>
  <c r="Q244" i="4"/>
  <c r="P244" i="4"/>
  <c r="O244" i="4"/>
  <c r="N244" i="4"/>
  <c r="M244" i="4"/>
  <c r="L244" i="4"/>
  <c r="K244" i="4"/>
  <c r="J244" i="4"/>
  <c r="I244" i="4"/>
  <c r="H244" i="4"/>
  <c r="G244" i="4"/>
  <c r="F244" i="4"/>
  <c r="E244" i="4"/>
  <c r="D244" i="4"/>
  <c r="C244" i="4"/>
  <c r="B244" i="4"/>
  <c r="AI130" i="4"/>
  <c r="AH130" i="4"/>
  <c r="AI129" i="4"/>
  <c r="AH129" i="4"/>
  <c r="AI128" i="4"/>
  <c r="AH128" i="4"/>
  <c r="AI127" i="4"/>
  <c r="AH127" i="4"/>
  <c r="AI126" i="4"/>
  <c r="AH126" i="4"/>
  <c r="AI125" i="4"/>
  <c r="AH125" i="4"/>
  <c r="AI124" i="4"/>
  <c r="AH124" i="4"/>
  <c r="AI123" i="4"/>
  <c r="AH123" i="4"/>
  <c r="AI122" i="4"/>
  <c r="AH122" i="4"/>
  <c r="AI121" i="4"/>
  <c r="AH121" i="4"/>
  <c r="AI120" i="4"/>
  <c r="AH120" i="4"/>
  <c r="AI119" i="4"/>
  <c r="AH119" i="4"/>
  <c r="C118" i="4"/>
  <c r="AI117" i="4"/>
  <c r="AH117" i="4"/>
  <c r="AI116" i="4"/>
  <c r="AH116" i="4"/>
  <c r="AI115" i="4"/>
  <c r="AH115" i="4"/>
  <c r="AI114" i="4"/>
  <c r="AH114" i="4"/>
  <c r="AI113" i="4"/>
  <c r="AH113" i="4"/>
  <c r="AI112" i="4"/>
  <c r="AH112" i="4"/>
  <c r="AI111" i="4"/>
  <c r="AH111" i="4"/>
  <c r="AI110" i="4"/>
  <c r="AH110" i="4"/>
  <c r="AI109" i="4"/>
  <c r="AH109" i="4"/>
  <c r="AD108" i="4"/>
  <c r="AE107" i="4"/>
  <c r="BI23" i="4" s="1"/>
  <c r="U107" i="4"/>
  <c r="M107" i="4"/>
  <c r="E107" i="4"/>
  <c r="AP23" i="4" s="1"/>
  <c r="AI106" i="4"/>
  <c r="AH106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AI105" i="4" s="1"/>
  <c r="G105" i="4"/>
  <c r="F105" i="4"/>
  <c r="E105" i="4"/>
  <c r="D105" i="4"/>
  <c r="C105" i="4"/>
  <c r="B105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AH104" i="4" s="1"/>
  <c r="B104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AI103" i="4" s="1"/>
  <c r="C103" i="4"/>
  <c r="B103" i="4"/>
  <c r="AF102" i="4"/>
  <c r="AE102" i="4"/>
  <c r="AD102" i="4"/>
  <c r="AC102" i="4"/>
  <c r="AC107" i="4" s="1"/>
  <c r="AB102" i="4"/>
  <c r="AA102" i="4"/>
  <c r="AA107" i="4" s="1"/>
  <c r="Z102" i="4"/>
  <c r="Y102" i="4"/>
  <c r="Y107" i="4" s="1"/>
  <c r="X102" i="4"/>
  <c r="W102" i="4"/>
  <c r="W107" i="4" s="1"/>
  <c r="V102" i="4"/>
  <c r="U102" i="4"/>
  <c r="T102" i="4"/>
  <c r="S102" i="4"/>
  <c r="S107" i="4" s="1"/>
  <c r="BA23" i="4" s="1"/>
  <c r="R102" i="4"/>
  <c r="Q102" i="4"/>
  <c r="Q107" i="4" s="1"/>
  <c r="P102" i="4"/>
  <c r="O102" i="4"/>
  <c r="O107" i="4" s="1"/>
  <c r="N102" i="4"/>
  <c r="M102" i="4"/>
  <c r="L102" i="4"/>
  <c r="K102" i="4"/>
  <c r="K107" i="4" s="1"/>
  <c r="AT23" i="4" s="1"/>
  <c r="J102" i="4"/>
  <c r="I102" i="4"/>
  <c r="I107" i="4" s="1"/>
  <c r="H102" i="4"/>
  <c r="G102" i="4"/>
  <c r="G107" i="4" s="1"/>
  <c r="AR23" i="4" s="1"/>
  <c r="F102" i="4"/>
  <c r="E102" i="4"/>
  <c r="D102" i="4"/>
  <c r="C102" i="4"/>
  <c r="B102" i="4"/>
  <c r="AF101" i="4"/>
  <c r="AF107" i="4" s="1"/>
  <c r="AE101" i="4"/>
  <c r="AD101" i="4"/>
  <c r="AD107" i="4" s="1"/>
  <c r="AC101" i="4"/>
  <c r="AB101" i="4"/>
  <c r="AA101" i="4"/>
  <c r="Z101" i="4"/>
  <c r="Z107" i="4" s="1"/>
  <c r="Y101" i="4"/>
  <c r="X101" i="4"/>
  <c r="X107" i="4" s="1"/>
  <c r="W101" i="4"/>
  <c r="V101" i="4"/>
  <c r="V107" i="4" s="1"/>
  <c r="U101" i="4"/>
  <c r="T101" i="4"/>
  <c r="S101" i="4"/>
  <c r="R101" i="4"/>
  <c r="R107" i="4" s="1"/>
  <c r="Q101" i="4"/>
  <c r="P101" i="4"/>
  <c r="P107" i="4" s="1"/>
  <c r="O101" i="4"/>
  <c r="N101" i="4"/>
  <c r="N107" i="4" s="1"/>
  <c r="M101" i="4"/>
  <c r="L101" i="4"/>
  <c r="K101" i="4"/>
  <c r="J101" i="4"/>
  <c r="J107" i="4" s="1"/>
  <c r="I101" i="4"/>
  <c r="H101" i="4"/>
  <c r="H107" i="4" s="1"/>
  <c r="G101" i="4"/>
  <c r="F101" i="4"/>
  <c r="F107" i="4" s="1"/>
  <c r="E101" i="4"/>
  <c r="D101" i="4"/>
  <c r="C101" i="4"/>
  <c r="B101" i="4"/>
  <c r="AI98" i="4"/>
  <c r="AH98" i="4"/>
  <c r="AE97" i="4"/>
  <c r="AE99" i="4" s="1"/>
  <c r="AI96" i="4"/>
  <c r="AH96" i="4"/>
  <c r="AG96" i="4"/>
  <c r="AI95" i="4"/>
  <c r="AH95" i="4"/>
  <c r="AI94" i="4"/>
  <c r="AH94" i="4"/>
  <c r="AI93" i="4"/>
  <c r="AH93" i="4"/>
  <c r="AG92" i="4"/>
  <c r="AF92" i="4"/>
  <c r="AE92" i="4"/>
  <c r="AD92" i="4"/>
  <c r="AC92" i="4"/>
  <c r="AB92" i="4"/>
  <c r="AA92" i="4"/>
  <c r="Z92" i="4"/>
  <c r="Z108" i="4" s="1"/>
  <c r="Y92" i="4"/>
  <c r="Y108" i="4" s="1"/>
  <c r="X92" i="4"/>
  <c r="W92" i="4"/>
  <c r="V92" i="4"/>
  <c r="V108" i="4" s="1"/>
  <c r="U92" i="4"/>
  <c r="U108" i="4" s="1"/>
  <c r="T92" i="4"/>
  <c r="S92" i="4"/>
  <c r="R92" i="4"/>
  <c r="R108" i="4" s="1"/>
  <c r="Q92" i="4"/>
  <c r="Q108" i="4" s="1"/>
  <c r="P92" i="4"/>
  <c r="O92" i="4"/>
  <c r="N92" i="4"/>
  <c r="N108" i="4" s="1"/>
  <c r="M92" i="4"/>
  <c r="M108" i="4" s="1"/>
  <c r="L92" i="4"/>
  <c r="K92" i="4"/>
  <c r="J92" i="4"/>
  <c r="J108" i="4" s="1"/>
  <c r="I92" i="4"/>
  <c r="H92" i="4"/>
  <c r="G92" i="4"/>
  <c r="F92" i="4"/>
  <c r="F108" i="4" s="1"/>
  <c r="E92" i="4"/>
  <c r="D92" i="4"/>
  <c r="C92" i="4"/>
  <c r="B92" i="4"/>
  <c r="AF5" i="4" s="1"/>
  <c r="AI91" i="4"/>
  <c r="AH91" i="4"/>
  <c r="AI90" i="4"/>
  <c r="AH90" i="4"/>
  <c r="AI89" i="4"/>
  <c r="AH89" i="4"/>
  <c r="AI88" i="4"/>
  <c r="AH88" i="4"/>
  <c r="AI87" i="4"/>
  <c r="AH87" i="4"/>
  <c r="AI86" i="4"/>
  <c r="AH86" i="4"/>
  <c r="AI85" i="4"/>
  <c r="AH85" i="4"/>
  <c r="AI84" i="4"/>
  <c r="AH84" i="4"/>
  <c r="AI83" i="4"/>
  <c r="AH83" i="4"/>
  <c r="AI82" i="4"/>
  <c r="AH82" i="4"/>
  <c r="AI81" i="4"/>
  <c r="AH81" i="4"/>
  <c r="BQ80" i="4"/>
  <c r="BP80" i="4"/>
  <c r="BH80" i="4"/>
  <c r="BG80" i="4"/>
  <c r="BA80" i="4"/>
  <c r="AG80" i="4"/>
  <c r="AF80" i="4"/>
  <c r="AE80" i="4"/>
  <c r="AD80" i="4"/>
  <c r="AC80" i="4"/>
  <c r="AB80" i="4"/>
  <c r="AA80" i="4"/>
  <c r="Z80" i="4"/>
  <c r="BF20" i="4" s="1"/>
  <c r="Y80" i="4"/>
  <c r="X80" i="4"/>
  <c r="W80" i="4"/>
  <c r="V80" i="4"/>
  <c r="U80" i="4"/>
  <c r="T80" i="4"/>
  <c r="S80" i="4"/>
  <c r="S97" i="4" s="1"/>
  <c r="S99" i="4" s="1"/>
  <c r="S100" i="4" s="1"/>
  <c r="S7" i="4" s="1"/>
  <c r="R80" i="4"/>
  <c r="Q80" i="4"/>
  <c r="P80" i="4"/>
  <c r="O80" i="4"/>
  <c r="N80" i="4"/>
  <c r="M80" i="4"/>
  <c r="L80" i="4"/>
  <c r="K80" i="4"/>
  <c r="AT20" i="4" s="1"/>
  <c r="J80" i="4"/>
  <c r="I80" i="4"/>
  <c r="H80" i="4"/>
  <c r="G80" i="4"/>
  <c r="F80" i="4"/>
  <c r="AQ20" i="4" s="1"/>
  <c r="E80" i="4"/>
  <c r="D80" i="4"/>
  <c r="C80" i="4"/>
  <c r="C97" i="4" s="1"/>
  <c r="C99" i="4" s="1"/>
  <c r="B80" i="4"/>
  <c r="AH80" i="4" s="1"/>
  <c r="BS79" i="4"/>
  <c r="BP79" i="4"/>
  <c r="BK79" i="4"/>
  <c r="BC79" i="4"/>
  <c r="AZ79" i="4"/>
  <c r="AI79" i="4"/>
  <c r="AH79" i="4"/>
  <c r="BU78" i="4"/>
  <c r="BR78" i="4"/>
  <c r="BN78" i="4"/>
  <c r="BE78" i="4"/>
  <c r="AI78" i="4"/>
  <c r="AH78" i="4"/>
  <c r="BW77" i="4"/>
  <c r="BV77" i="4"/>
  <c r="BN77" i="4"/>
  <c r="BM77" i="4"/>
  <c r="BG77" i="4"/>
  <c r="BE77" i="4"/>
  <c r="BD77" i="4"/>
  <c r="AI77" i="4"/>
  <c r="AH77" i="4"/>
  <c r="BV76" i="4"/>
  <c r="BQ76" i="4"/>
  <c r="BO76" i="4"/>
  <c r="BK76" i="4"/>
  <c r="BI76" i="4"/>
  <c r="BF76" i="4"/>
  <c r="BD76" i="4"/>
  <c r="BA76" i="4"/>
  <c r="AF76" i="4"/>
  <c r="AE76" i="4"/>
  <c r="AD76" i="4"/>
  <c r="AC76" i="4"/>
  <c r="AB76" i="4"/>
  <c r="AA76" i="4"/>
  <c r="Z76" i="4"/>
  <c r="BF18" i="4" s="1"/>
  <c r="Y76" i="4"/>
  <c r="X76" i="4"/>
  <c r="W76" i="4"/>
  <c r="V76" i="4"/>
  <c r="U76" i="4"/>
  <c r="BC18" i="4" s="1"/>
  <c r="T76" i="4"/>
  <c r="S76" i="4"/>
  <c r="R76" i="4"/>
  <c r="Q76" i="4"/>
  <c r="P76" i="4"/>
  <c r="AX18" i="4" s="1"/>
  <c r="O76" i="4"/>
  <c r="AW18" i="4" s="1"/>
  <c r="AW22" i="4" s="1"/>
  <c r="AW24" i="4" s="1"/>
  <c r="N76" i="4"/>
  <c r="M76" i="4"/>
  <c r="AU18" i="4" s="1"/>
  <c r="L76" i="4"/>
  <c r="K76" i="4"/>
  <c r="J76" i="4"/>
  <c r="I76" i="4"/>
  <c r="H76" i="4"/>
  <c r="G76" i="4"/>
  <c r="AR18" i="4" s="1"/>
  <c r="F76" i="4"/>
  <c r="E76" i="4"/>
  <c r="AP18" i="4" s="1"/>
  <c r="D76" i="4"/>
  <c r="C76" i="4"/>
  <c r="B76" i="4"/>
  <c r="AM18" i="4" s="1"/>
  <c r="BV75" i="4"/>
  <c r="BS75" i="4"/>
  <c r="BP75" i="4"/>
  <c r="BN75" i="4"/>
  <c r="BK75" i="4"/>
  <c r="BH75" i="4"/>
  <c r="BF75" i="4"/>
  <c r="BC75" i="4"/>
  <c r="AZ75" i="4"/>
  <c r="AI75" i="4"/>
  <c r="AH75" i="4"/>
  <c r="AG75" i="4"/>
  <c r="AG76" i="4" s="1"/>
  <c r="AI74" i="4"/>
  <c r="AH74" i="4"/>
  <c r="BW73" i="4"/>
  <c r="BW80" i="4" s="1"/>
  <c r="BV73" i="4"/>
  <c r="BV80" i="4" s="1"/>
  <c r="BU73" i="4"/>
  <c r="BU80" i="4" s="1"/>
  <c r="BT73" i="4"/>
  <c r="BT80" i="4" s="1"/>
  <c r="BS73" i="4"/>
  <c r="BS80" i="4" s="1"/>
  <c r="BR73" i="4"/>
  <c r="BR80" i="4" s="1"/>
  <c r="BQ73" i="4"/>
  <c r="BP73" i="4"/>
  <c r="BO73" i="4"/>
  <c r="BO80" i="4" s="1"/>
  <c r="BN73" i="4"/>
  <c r="BN80" i="4" s="1"/>
  <c r="BM73" i="4"/>
  <c r="BM80" i="4" s="1"/>
  <c r="BL73" i="4"/>
  <c r="BL80" i="4" s="1"/>
  <c r="BK73" i="4"/>
  <c r="BK80" i="4" s="1"/>
  <c r="BJ73" i="4"/>
  <c r="BJ80" i="4" s="1"/>
  <c r="BI73" i="4"/>
  <c r="BI80" i="4" s="1"/>
  <c r="BH73" i="4"/>
  <c r="BG73" i="4"/>
  <c r="BF73" i="4"/>
  <c r="BF80" i="4" s="1"/>
  <c r="BE73" i="4"/>
  <c r="BE80" i="4" s="1"/>
  <c r="BD73" i="4"/>
  <c r="BD80" i="4" s="1"/>
  <c r="BC73" i="4"/>
  <c r="BC80" i="4" s="1"/>
  <c r="BB73" i="4"/>
  <c r="BB80" i="4" s="1"/>
  <c r="BA73" i="4"/>
  <c r="AZ73" i="4"/>
  <c r="AZ80" i="4" s="1"/>
  <c r="AI73" i="4"/>
  <c r="AH73" i="4"/>
  <c r="BW72" i="4"/>
  <c r="BW79" i="4" s="1"/>
  <c r="BV72" i="4"/>
  <c r="BV79" i="4" s="1"/>
  <c r="BU72" i="4"/>
  <c r="BU79" i="4" s="1"/>
  <c r="BT72" i="4"/>
  <c r="BT79" i="4" s="1"/>
  <c r="BS72" i="4"/>
  <c r="BR72" i="4"/>
  <c r="BR79" i="4" s="1"/>
  <c r="BQ72" i="4"/>
  <c r="BQ79" i="4" s="1"/>
  <c r="BP72" i="4"/>
  <c r="BO72" i="4"/>
  <c r="BO79" i="4" s="1"/>
  <c r="BN72" i="4"/>
  <c r="BN79" i="4" s="1"/>
  <c r="BM72" i="4"/>
  <c r="BM79" i="4" s="1"/>
  <c r="BL72" i="4"/>
  <c r="BL79" i="4" s="1"/>
  <c r="BK72" i="4"/>
  <c r="BJ72" i="4"/>
  <c r="BJ79" i="4" s="1"/>
  <c r="BI72" i="4"/>
  <c r="BI79" i="4" s="1"/>
  <c r="BH72" i="4"/>
  <c r="BH79" i="4" s="1"/>
  <c r="BG72" i="4"/>
  <c r="BG79" i="4" s="1"/>
  <c r="BF72" i="4"/>
  <c r="BF79" i="4" s="1"/>
  <c r="BE72" i="4"/>
  <c r="BE79" i="4" s="1"/>
  <c r="BD72" i="4"/>
  <c r="BD79" i="4" s="1"/>
  <c r="BC72" i="4"/>
  <c r="BB72" i="4"/>
  <c r="BB79" i="4" s="1"/>
  <c r="BA72" i="4"/>
  <c r="BA79" i="4" s="1"/>
  <c r="AZ72" i="4"/>
  <c r="AI72" i="4"/>
  <c r="AH72" i="4"/>
  <c r="BW71" i="4"/>
  <c r="BW78" i="4" s="1"/>
  <c r="BV71" i="4"/>
  <c r="BV78" i="4" s="1"/>
  <c r="BU71" i="4"/>
  <c r="BT71" i="4"/>
  <c r="BT78" i="4" s="1"/>
  <c r="BS71" i="4"/>
  <c r="BS78" i="4" s="1"/>
  <c r="BR71" i="4"/>
  <c r="BQ71" i="4"/>
  <c r="BQ78" i="4" s="1"/>
  <c r="BP71" i="4"/>
  <c r="BP78" i="4" s="1"/>
  <c r="BO71" i="4"/>
  <c r="BO78" i="4" s="1"/>
  <c r="BN71" i="4"/>
  <c r="BM71" i="4"/>
  <c r="BM78" i="4" s="1"/>
  <c r="BL71" i="4"/>
  <c r="BL78" i="4" s="1"/>
  <c r="BK71" i="4"/>
  <c r="BK78" i="4" s="1"/>
  <c r="BJ71" i="4"/>
  <c r="BJ78" i="4" s="1"/>
  <c r="BI71" i="4"/>
  <c r="BI78" i="4" s="1"/>
  <c r="BH71" i="4"/>
  <c r="BH78" i="4" s="1"/>
  <c r="BG71" i="4"/>
  <c r="BG78" i="4" s="1"/>
  <c r="BF71" i="4"/>
  <c r="BF78" i="4" s="1"/>
  <c r="BE71" i="4"/>
  <c r="BD71" i="4"/>
  <c r="BD78" i="4" s="1"/>
  <c r="BC71" i="4"/>
  <c r="BC78" i="4" s="1"/>
  <c r="BB71" i="4"/>
  <c r="BB78" i="4" s="1"/>
  <c r="BA71" i="4"/>
  <c r="BA78" i="4" s="1"/>
  <c r="AZ71" i="4"/>
  <c r="AZ78" i="4" s="1"/>
  <c r="AI71" i="4"/>
  <c r="AH71" i="4"/>
  <c r="BW70" i="4"/>
  <c r="BV70" i="4"/>
  <c r="BU70" i="4"/>
  <c r="BU77" i="4" s="1"/>
  <c r="BT70" i="4"/>
  <c r="BT77" i="4" s="1"/>
  <c r="BS70" i="4"/>
  <c r="BS77" i="4" s="1"/>
  <c r="BR70" i="4"/>
  <c r="BR77" i="4" s="1"/>
  <c r="BQ70" i="4"/>
  <c r="BQ77" i="4" s="1"/>
  <c r="BP70" i="4"/>
  <c r="BP77" i="4" s="1"/>
  <c r="BO70" i="4"/>
  <c r="BO77" i="4" s="1"/>
  <c r="BN70" i="4"/>
  <c r="BM70" i="4"/>
  <c r="BL70" i="4"/>
  <c r="BL77" i="4" s="1"/>
  <c r="BK70" i="4"/>
  <c r="BK77" i="4" s="1"/>
  <c r="BJ70" i="4"/>
  <c r="BJ77" i="4" s="1"/>
  <c r="BI70" i="4"/>
  <c r="BI77" i="4" s="1"/>
  <c r="BH70" i="4"/>
  <c r="BH77" i="4" s="1"/>
  <c r="BG70" i="4"/>
  <c r="BF70" i="4"/>
  <c r="BF77" i="4" s="1"/>
  <c r="BE70" i="4"/>
  <c r="BD70" i="4"/>
  <c r="BC70" i="4"/>
  <c r="BC77" i="4" s="1"/>
  <c r="BB70" i="4"/>
  <c r="BB77" i="4" s="1"/>
  <c r="BA70" i="4"/>
  <c r="BA77" i="4" s="1"/>
  <c r="AZ70" i="4"/>
  <c r="AZ77" i="4" s="1"/>
  <c r="AI70" i="4"/>
  <c r="AH70" i="4"/>
  <c r="BW69" i="4"/>
  <c r="BW76" i="4" s="1"/>
  <c r="BV69" i="4"/>
  <c r="BU69" i="4"/>
  <c r="BU76" i="4" s="1"/>
  <c r="BT69" i="4"/>
  <c r="BT76" i="4" s="1"/>
  <c r="BS69" i="4"/>
  <c r="BS76" i="4" s="1"/>
  <c r="BR69" i="4"/>
  <c r="BR76" i="4" s="1"/>
  <c r="BQ69" i="4"/>
  <c r="BP69" i="4"/>
  <c r="BP76" i="4" s="1"/>
  <c r="BO69" i="4"/>
  <c r="BN69" i="4"/>
  <c r="BN76" i="4" s="1"/>
  <c r="BM69" i="4"/>
  <c r="BM76" i="4" s="1"/>
  <c r="BL69" i="4"/>
  <c r="BL76" i="4" s="1"/>
  <c r="BK69" i="4"/>
  <c r="BJ69" i="4"/>
  <c r="BJ76" i="4" s="1"/>
  <c r="BI69" i="4"/>
  <c r="BH69" i="4"/>
  <c r="BH76" i="4" s="1"/>
  <c r="BG69" i="4"/>
  <c r="BG76" i="4" s="1"/>
  <c r="BF69" i="4"/>
  <c r="BE69" i="4"/>
  <c r="BE76" i="4" s="1"/>
  <c r="BD69" i="4"/>
  <c r="BC69" i="4"/>
  <c r="BC76" i="4" s="1"/>
  <c r="BB69" i="4"/>
  <c r="BB76" i="4" s="1"/>
  <c r="BA69" i="4"/>
  <c r="AZ69" i="4"/>
  <c r="AZ76" i="4" s="1"/>
  <c r="AI69" i="4"/>
  <c r="AH69" i="4"/>
  <c r="BW68" i="4"/>
  <c r="BW75" i="4" s="1"/>
  <c r="BV68" i="4"/>
  <c r="BU68" i="4"/>
  <c r="BU75" i="4" s="1"/>
  <c r="BT68" i="4"/>
  <c r="BT75" i="4" s="1"/>
  <c r="BS68" i="4"/>
  <c r="BR68" i="4"/>
  <c r="BR75" i="4" s="1"/>
  <c r="BQ68" i="4"/>
  <c r="BQ75" i="4" s="1"/>
  <c r="BP68" i="4"/>
  <c r="BO68" i="4"/>
  <c r="BO75" i="4" s="1"/>
  <c r="BN68" i="4"/>
  <c r="BM68" i="4"/>
  <c r="BM75" i="4" s="1"/>
  <c r="BL68" i="4"/>
  <c r="BL75" i="4" s="1"/>
  <c r="BK68" i="4"/>
  <c r="BJ68" i="4"/>
  <c r="BJ75" i="4" s="1"/>
  <c r="BI68" i="4"/>
  <c r="BI75" i="4" s="1"/>
  <c r="BH68" i="4"/>
  <c r="BG68" i="4"/>
  <c r="BG75" i="4" s="1"/>
  <c r="BF68" i="4"/>
  <c r="BE68" i="4"/>
  <c r="BE75" i="4" s="1"/>
  <c r="BD68" i="4"/>
  <c r="BD75" i="4" s="1"/>
  <c r="BC68" i="4"/>
  <c r="BB68" i="4"/>
  <c r="BB75" i="4" s="1"/>
  <c r="BA68" i="4"/>
  <c r="BA75" i="4" s="1"/>
  <c r="AZ68" i="4"/>
  <c r="AI68" i="4"/>
  <c r="AH68" i="4"/>
  <c r="AI67" i="4"/>
  <c r="AH67" i="4"/>
  <c r="AI66" i="4"/>
  <c r="AH66" i="4"/>
  <c r="AI65" i="4"/>
  <c r="AH65" i="4"/>
  <c r="AI64" i="4"/>
  <c r="AH64" i="4"/>
  <c r="AI63" i="4"/>
  <c r="AH63" i="4"/>
  <c r="AG62" i="4"/>
  <c r="AF62" i="4"/>
  <c r="AE62" i="4"/>
  <c r="BI17" i="4" s="1"/>
  <c r="AD62" i="4"/>
  <c r="AC62" i="4"/>
  <c r="AB62" i="4"/>
  <c r="AA62" i="4"/>
  <c r="Z62" i="4"/>
  <c r="Y62" i="4"/>
  <c r="X62" i="4"/>
  <c r="BE17" i="4" s="1"/>
  <c r="W62" i="4"/>
  <c r="V62" i="4"/>
  <c r="U62" i="4"/>
  <c r="BC17" i="4" s="1"/>
  <c r="T62" i="4"/>
  <c r="S62" i="4"/>
  <c r="R62" i="4"/>
  <c r="AZ17" i="4" s="1"/>
  <c r="Q62" i="4"/>
  <c r="P62" i="4"/>
  <c r="O62" i="4"/>
  <c r="AW17" i="4" s="1"/>
  <c r="N62" i="4"/>
  <c r="M62" i="4"/>
  <c r="AU17" i="4" s="1"/>
  <c r="L62" i="4"/>
  <c r="K62" i="4"/>
  <c r="J62" i="4"/>
  <c r="I62" i="4"/>
  <c r="H62" i="4"/>
  <c r="G62" i="4"/>
  <c r="AR17" i="4" s="1"/>
  <c r="F62" i="4"/>
  <c r="E62" i="4"/>
  <c r="D62" i="4"/>
  <c r="AO17" i="4" s="1"/>
  <c r="C62" i="4"/>
  <c r="B62" i="4"/>
  <c r="AI61" i="4"/>
  <c r="AH61" i="4"/>
  <c r="AI60" i="4"/>
  <c r="AH60" i="4"/>
  <c r="AI59" i="4"/>
  <c r="AH59" i="4"/>
  <c r="AG58" i="4"/>
  <c r="AG97" i="4" s="1"/>
  <c r="AF58" i="4"/>
  <c r="BJ16" i="4" s="1"/>
  <c r="AE58" i="4"/>
  <c r="AD58" i="4"/>
  <c r="AC58" i="4"/>
  <c r="AC97" i="4" s="1"/>
  <c r="AC99" i="4" s="1"/>
  <c r="AC100" i="4" s="1"/>
  <c r="AC7" i="4" s="1"/>
  <c r="AB58" i="4"/>
  <c r="AA58" i="4"/>
  <c r="Z58" i="4"/>
  <c r="Y58" i="4"/>
  <c r="Y97" i="4" s="1"/>
  <c r="Y99" i="4" s="1"/>
  <c r="Y100" i="4" s="1"/>
  <c r="Y7" i="4" s="1"/>
  <c r="X58" i="4"/>
  <c r="W58" i="4"/>
  <c r="V58" i="4"/>
  <c r="U58" i="4"/>
  <c r="T58" i="4"/>
  <c r="S58" i="4"/>
  <c r="R58" i="4"/>
  <c r="Q58" i="4"/>
  <c r="AY16" i="4" s="1"/>
  <c r="P58" i="4"/>
  <c r="P97" i="4" s="1"/>
  <c r="P99" i="4" s="1"/>
  <c r="P100" i="4" s="1"/>
  <c r="P7" i="4" s="1"/>
  <c r="O58" i="4"/>
  <c r="O97" i="4" s="1"/>
  <c r="O99" i="4" s="1"/>
  <c r="O100" i="4" s="1"/>
  <c r="O7" i="4" s="1"/>
  <c r="N58" i="4"/>
  <c r="M58" i="4"/>
  <c r="M97" i="4" s="1"/>
  <c r="M99" i="4" s="1"/>
  <c r="M100" i="4" s="1"/>
  <c r="M7" i="4" s="1"/>
  <c r="L58" i="4"/>
  <c r="L97" i="4" s="1"/>
  <c r="L99" i="4" s="1"/>
  <c r="K58" i="4"/>
  <c r="J58" i="4"/>
  <c r="I58" i="4"/>
  <c r="I97" i="4" s="1"/>
  <c r="I99" i="4" s="1"/>
  <c r="I100" i="4" s="1"/>
  <c r="I7" i="4" s="1"/>
  <c r="H58" i="4"/>
  <c r="H97" i="4" s="1"/>
  <c r="H99" i="4" s="1"/>
  <c r="H100" i="4" s="1"/>
  <c r="H7" i="4" s="1"/>
  <c r="G58" i="4"/>
  <c r="F58" i="4"/>
  <c r="E58" i="4"/>
  <c r="D58" i="4"/>
  <c r="D97" i="4" s="1"/>
  <c r="D99" i="4" s="1"/>
  <c r="C58" i="4"/>
  <c r="B58" i="4"/>
  <c r="V57" i="4"/>
  <c r="U57" i="4"/>
  <c r="T57" i="4"/>
  <c r="S57" i="4"/>
  <c r="R57" i="4"/>
  <c r="Q57" i="4"/>
  <c r="P57" i="4"/>
  <c r="N57" i="4"/>
  <c r="M57" i="4"/>
  <c r="AI56" i="4"/>
  <c r="AH56" i="4"/>
  <c r="AI55" i="4"/>
  <c r="AH55" i="4"/>
  <c r="AI54" i="4"/>
  <c r="AH54" i="4"/>
  <c r="AI53" i="4"/>
  <c r="AH53" i="4"/>
  <c r="AI52" i="4"/>
  <c r="AH52" i="4"/>
  <c r="AI51" i="4"/>
  <c r="AH51" i="4"/>
  <c r="AI50" i="4"/>
  <c r="AH50" i="4"/>
  <c r="AI49" i="4"/>
  <c r="AH49" i="4"/>
  <c r="AI48" i="4"/>
  <c r="AH48" i="4"/>
  <c r="AI47" i="4"/>
  <c r="AH47" i="4"/>
  <c r="AI46" i="4"/>
  <c r="AH46" i="4"/>
  <c r="AI45" i="4"/>
  <c r="AH45" i="4"/>
  <c r="AI44" i="4"/>
  <c r="AH44" i="4"/>
  <c r="AI43" i="4"/>
  <c r="AH43" i="4"/>
  <c r="AI42" i="4"/>
  <c r="AH42" i="4"/>
  <c r="AI41" i="4"/>
  <c r="AH41" i="4"/>
  <c r="AI40" i="4"/>
  <c r="AH40" i="4"/>
  <c r="AI39" i="4"/>
  <c r="AH39" i="4"/>
  <c r="AI38" i="4"/>
  <c r="AH38" i="4"/>
  <c r="AI37" i="4"/>
  <c r="AH37" i="4"/>
  <c r="AI36" i="4"/>
  <c r="AH36" i="4"/>
  <c r="AI35" i="4"/>
  <c r="AH35" i="4"/>
  <c r="AI34" i="4"/>
  <c r="AH34" i="4"/>
  <c r="AI33" i="4"/>
  <c r="AH33" i="4"/>
  <c r="AI32" i="4"/>
  <c r="AH32" i="4"/>
  <c r="AI31" i="4"/>
  <c r="AH31" i="4"/>
  <c r="AI30" i="4"/>
  <c r="AH30" i="4"/>
  <c r="AI29" i="4"/>
  <c r="AH29" i="4"/>
  <c r="AI28" i="4"/>
  <c r="AH28" i="4"/>
  <c r="AI27" i="4"/>
  <c r="AH27" i="4"/>
  <c r="AI26" i="4"/>
  <c r="AH26" i="4"/>
  <c r="AI25" i="4"/>
  <c r="AH25" i="4"/>
  <c r="AI24" i="4"/>
  <c r="AH24" i="4"/>
  <c r="BJ23" i="4"/>
  <c r="BH23" i="4"/>
  <c r="BF23" i="4"/>
  <c r="BE23" i="4"/>
  <c r="BD23" i="4"/>
  <c r="BC23" i="4"/>
  <c r="AZ23" i="4"/>
  <c r="AY23" i="4"/>
  <c r="AX23" i="4"/>
  <c r="AW23" i="4"/>
  <c r="AV23" i="4"/>
  <c r="AU23" i="4"/>
  <c r="AS23" i="4"/>
  <c r="AQ23" i="4"/>
  <c r="AI23" i="4"/>
  <c r="AH23" i="4"/>
  <c r="AI22" i="4"/>
  <c r="AH22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I21" i="4"/>
  <c r="AH21" i="4"/>
  <c r="BJ20" i="4"/>
  <c r="BI20" i="4"/>
  <c r="BH20" i="4"/>
  <c r="BG20" i="4"/>
  <c r="BE20" i="4"/>
  <c r="BD20" i="4"/>
  <c r="BC20" i="4"/>
  <c r="BB20" i="4"/>
  <c r="AZ20" i="4"/>
  <c r="AY20" i="4"/>
  <c r="AX20" i="4"/>
  <c r="AW20" i="4"/>
  <c r="AV20" i="4"/>
  <c r="AU20" i="4"/>
  <c r="AS20" i="4"/>
  <c r="AR20" i="4"/>
  <c r="AP20" i="4"/>
  <c r="AO20" i="4"/>
  <c r="AM20" i="4"/>
  <c r="AI20" i="4"/>
  <c r="AH20" i="4"/>
  <c r="BJ19" i="4"/>
  <c r="BI19" i="4"/>
  <c r="BH19" i="4"/>
  <c r="BH22" i="4" s="1"/>
  <c r="BH24" i="4" s="1"/>
  <c r="BG19" i="4"/>
  <c r="BE19" i="4"/>
  <c r="BC19" i="4"/>
  <c r="BB19" i="4"/>
  <c r="BA19" i="4"/>
  <c r="AY19" i="4"/>
  <c r="AX19" i="4"/>
  <c r="AW19" i="4"/>
  <c r="AU19" i="4"/>
  <c r="AT19" i="4"/>
  <c r="AR19" i="4"/>
  <c r="AQ19" i="4"/>
  <c r="AP19" i="4"/>
  <c r="AO19" i="4"/>
  <c r="AN19" i="4"/>
  <c r="AI19" i="4"/>
  <c r="AH19" i="4"/>
  <c r="BJ18" i="4"/>
  <c r="BI18" i="4"/>
  <c r="BH18" i="4"/>
  <c r="BG18" i="4"/>
  <c r="BE18" i="4"/>
  <c r="BD18" i="4"/>
  <c r="BB18" i="4"/>
  <c r="BA18" i="4"/>
  <c r="AZ18" i="4"/>
  <c r="AY18" i="4"/>
  <c r="AY22" i="4" s="1"/>
  <c r="AY24" i="4" s="1"/>
  <c r="AV18" i="4"/>
  <c r="AT18" i="4"/>
  <c r="AS18" i="4"/>
  <c r="AQ18" i="4"/>
  <c r="AO18" i="4"/>
  <c r="AN18" i="4"/>
  <c r="AI18" i="4"/>
  <c r="AH18" i="4"/>
  <c r="BJ17" i="4"/>
  <c r="BH17" i="4"/>
  <c r="BG17" i="4"/>
  <c r="BF17" i="4"/>
  <c r="BD17" i="4"/>
  <c r="BB17" i="4"/>
  <c r="BA17" i="4"/>
  <c r="AY17" i="4"/>
  <c r="AX17" i="4"/>
  <c r="AV17" i="4"/>
  <c r="AT17" i="4"/>
  <c r="AT22" i="4" s="1"/>
  <c r="AS17" i="4"/>
  <c r="AQ17" i="4"/>
  <c r="AQ22" i="4" s="1"/>
  <c r="AQ24" i="4" s="1"/>
  <c r="AP17" i="4"/>
  <c r="AN17" i="4"/>
  <c r="AM17" i="4"/>
  <c r="AI17" i="4"/>
  <c r="AH17" i="4"/>
  <c r="BI16" i="4"/>
  <c r="BI22" i="4" s="1"/>
  <c r="BI24" i="4" s="1"/>
  <c r="BH16" i="4"/>
  <c r="BF16" i="4"/>
  <c r="BE16" i="4"/>
  <c r="BE22" i="4" s="1"/>
  <c r="BE24" i="4" s="1"/>
  <c r="BD16" i="4"/>
  <c r="BC16" i="4"/>
  <c r="BA16" i="4"/>
  <c r="AZ16" i="4"/>
  <c r="AX16" i="4"/>
  <c r="AX22" i="4" s="1"/>
  <c r="AX24" i="4" s="1"/>
  <c r="AW16" i="4"/>
  <c r="AV16" i="4"/>
  <c r="AU16" i="4"/>
  <c r="AT16" i="4"/>
  <c r="AS16" i="4"/>
  <c r="AR16" i="4"/>
  <c r="AQ16" i="4"/>
  <c r="AP16" i="4"/>
  <c r="AP22" i="4" s="1"/>
  <c r="AN16" i="4"/>
  <c r="AM16" i="4"/>
  <c r="AI16" i="4"/>
  <c r="AH16" i="4"/>
  <c r="AI15" i="4"/>
  <c r="AH15" i="4"/>
  <c r="AI14" i="4"/>
  <c r="AH14" i="4"/>
  <c r="AI13" i="4"/>
  <c r="AH13" i="4"/>
  <c r="AL12" i="4"/>
  <c r="AI12" i="4"/>
  <c r="AH12" i="4"/>
  <c r="AI11" i="4"/>
  <c r="AH11" i="4"/>
  <c r="AE5" i="4"/>
  <c r="AD5" i="4"/>
  <c r="AC5" i="4"/>
  <c r="AB5" i="4"/>
  <c r="AA5" i="4"/>
  <c r="Z5" i="4"/>
  <c r="X5" i="4"/>
  <c r="W5" i="4"/>
  <c r="V5" i="4"/>
  <c r="U5" i="4"/>
  <c r="T5" i="4"/>
  <c r="S5" i="4"/>
  <c r="R5" i="4"/>
  <c r="P5" i="4"/>
  <c r="O5" i="4"/>
  <c r="N5" i="4"/>
  <c r="M5" i="4"/>
  <c r="L5" i="4"/>
  <c r="K5" i="4"/>
  <c r="J5" i="4"/>
  <c r="H5" i="4"/>
  <c r="G5" i="4"/>
  <c r="F5" i="4"/>
  <c r="E5" i="4"/>
  <c r="D5" i="4"/>
  <c r="C5" i="4"/>
  <c r="B5" i="4"/>
  <c r="AG4" i="4"/>
  <c r="K4" i="4"/>
  <c r="E4" i="4"/>
  <c r="H4" i="4" s="1"/>
  <c r="B4" i="4"/>
  <c r="D258" i="4" s="1"/>
  <c r="AG3" i="4"/>
  <c r="AG2" i="4"/>
  <c r="B4" i="3"/>
  <c r="AL13" i="3" s="1"/>
  <c r="E4" i="3"/>
  <c r="H4" i="3" s="1"/>
  <c r="K4" i="3"/>
  <c r="AH11" i="3"/>
  <c r="AI11" i="3"/>
  <c r="AH12" i="3"/>
  <c r="AI12" i="3"/>
  <c r="AL12" i="3"/>
  <c r="AH13" i="3"/>
  <c r="AI13" i="3"/>
  <c r="AH14" i="3"/>
  <c r="AI14" i="3"/>
  <c r="AH15" i="3"/>
  <c r="AI15" i="3"/>
  <c r="AH16" i="3"/>
  <c r="AI16" i="3"/>
  <c r="AH17" i="3"/>
  <c r="AI17" i="3"/>
  <c r="AH18" i="3"/>
  <c r="AI18" i="3"/>
  <c r="AH19" i="3"/>
  <c r="AI19" i="3"/>
  <c r="AH20" i="3"/>
  <c r="AI20" i="3"/>
  <c r="AH21" i="3"/>
  <c r="AI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AH22" i="3"/>
  <c r="AI22" i="3"/>
  <c r="AH23" i="3"/>
  <c r="AI23" i="3"/>
  <c r="AH24" i="3"/>
  <c r="AI24" i="3"/>
  <c r="AH25" i="3"/>
  <c r="AI25" i="3"/>
  <c r="AH26" i="3"/>
  <c r="AI26" i="3"/>
  <c r="AH27" i="3"/>
  <c r="AI27" i="3"/>
  <c r="AH28" i="3"/>
  <c r="AI28" i="3"/>
  <c r="AH29" i="3"/>
  <c r="AI29" i="3"/>
  <c r="AH30" i="3"/>
  <c r="AI30" i="3"/>
  <c r="AH31" i="3"/>
  <c r="AI31" i="3"/>
  <c r="AH32" i="3"/>
  <c r="AI32" i="3"/>
  <c r="AH33" i="3"/>
  <c r="AI33" i="3"/>
  <c r="AH34" i="3"/>
  <c r="AI34" i="3"/>
  <c r="AH35" i="3"/>
  <c r="AI35" i="3"/>
  <c r="AH36" i="3"/>
  <c r="AI36" i="3"/>
  <c r="AH37" i="3"/>
  <c r="AI37" i="3"/>
  <c r="AH38" i="3"/>
  <c r="AI38" i="3"/>
  <c r="AH39" i="3"/>
  <c r="AI39" i="3"/>
  <c r="AH40" i="3"/>
  <c r="AI40" i="3"/>
  <c r="AH41" i="3"/>
  <c r="AI41" i="3"/>
  <c r="AH42" i="3"/>
  <c r="AI42" i="3"/>
  <c r="AH43" i="3"/>
  <c r="AI43" i="3"/>
  <c r="AH44" i="3"/>
  <c r="AI44" i="3"/>
  <c r="AH45" i="3"/>
  <c r="AI45" i="3"/>
  <c r="AH46" i="3"/>
  <c r="AI46" i="3"/>
  <c r="AH47" i="3"/>
  <c r="AI47" i="3"/>
  <c r="AH48" i="3"/>
  <c r="AI48" i="3"/>
  <c r="AH49" i="3"/>
  <c r="AI49" i="3"/>
  <c r="AH50" i="3"/>
  <c r="AI50" i="3"/>
  <c r="AH51" i="3"/>
  <c r="AI51" i="3"/>
  <c r="AH52" i="3"/>
  <c r="AI52" i="3"/>
  <c r="AH53" i="3"/>
  <c r="AI53" i="3"/>
  <c r="AH54" i="3"/>
  <c r="AI54" i="3"/>
  <c r="AH55" i="3"/>
  <c r="AI55" i="3"/>
  <c r="AH56" i="3"/>
  <c r="AI56" i="3"/>
  <c r="AH57" i="3"/>
  <c r="AI57" i="3"/>
  <c r="B58" i="3"/>
  <c r="AM16" i="3" s="1"/>
  <c r="C58" i="3"/>
  <c r="AN16" i="3" s="1"/>
  <c r="D58" i="3"/>
  <c r="AO16" i="3" s="1"/>
  <c r="E58" i="3"/>
  <c r="AP16" i="3" s="1"/>
  <c r="F58" i="3"/>
  <c r="AQ16" i="3" s="1"/>
  <c r="G58" i="3"/>
  <c r="H58" i="3"/>
  <c r="I58" i="3"/>
  <c r="AS16" i="3" s="1"/>
  <c r="J58" i="3"/>
  <c r="K58" i="3"/>
  <c r="AT16" i="3" s="1"/>
  <c r="L58" i="3"/>
  <c r="M58" i="3"/>
  <c r="AU16" i="3" s="1"/>
  <c r="N58" i="3"/>
  <c r="AV16" i="3" s="1"/>
  <c r="O58" i="3"/>
  <c r="P58" i="3"/>
  <c r="AX16" i="3" s="1"/>
  <c r="Q58" i="3"/>
  <c r="AY16" i="3" s="1"/>
  <c r="R58" i="3"/>
  <c r="AZ16" i="3" s="1"/>
  <c r="S58" i="3"/>
  <c r="T58" i="3"/>
  <c r="BB16" i="3" s="1"/>
  <c r="U58" i="3"/>
  <c r="BC16" i="3" s="1"/>
  <c r="V58" i="3"/>
  <c r="BD16" i="3" s="1"/>
  <c r="W58" i="3"/>
  <c r="X58" i="3"/>
  <c r="BE16" i="3" s="1"/>
  <c r="Y58" i="3"/>
  <c r="Z58" i="3"/>
  <c r="BF16" i="3" s="1"/>
  <c r="AA58" i="3"/>
  <c r="AB58" i="3"/>
  <c r="BG16" i="3" s="1"/>
  <c r="AC58" i="3"/>
  <c r="AD58" i="3"/>
  <c r="BH16" i="3" s="1"/>
  <c r="AE58" i="3"/>
  <c r="AF58" i="3"/>
  <c r="AG58" i="3"/>
  <c r="AG2" i="3" s="1"/>
  <c r="AH59" i="3"/>
  <c r="AI59" i="3"/>
  <c r="AH60" i="3"/>
  <c r="AI60" i="3"/>
  <c r="AH61" i="3"/>
  <c r="AI61" i="3"/>
  <c r="B62" i="3"/>
  <c r="AM17" i="3" s="1"/>
  <c r="C62" i="3"/>
  <c r="D62" i="3"/>
  <c r="E62" i="3"/>
  <c r="AP17" i="3" s="1"/>
  <c r="F62" i="3"/>
  <c r="AQ17" i="3" s="1"/>
  <c r="G62" i="3"/>
  <c r="AR17" i="3" s="1"/>
  <c r="H62" i="3"/>
  <c r="I62" i="3"/>
  <c r="AS17" i="3" s="1"/>
  <c r="J62" i="3"/>
  <c r="K62" i="3"/>
  <c r="AT17" i="3" s="1"/>
  <c r="L62" i="3"/>
  <c r="M62" i="3"/>
  <c r="AU17" i="3" s="1"/>
  <c r="N62" i="3"/>
  <c r="AV17" i="3" s="1"/>
  <c r="O62" i="3"/>
  <c r="AW17" i="3" s="1"/>
  <c r="P62" i="3"/>
  <c r="AX17" i="3" s="1"/>
  <c r="Q62" i="3"/>
  <c r="AY17" i="3" s="1"/>
  <c r="R62" i="3"/>
  <c r="AZ17" i="3" s="1"/>
  <c r="S62" i="3"/>
  <c r="BA17" i="3" s="1"/>
  <c r="T62" i="3"/>
  <c r="BB17" i="3" s="1"/>
  <c r="U62" i="3"/>
  <c r="BC17" i="3" s="1"/>
  <c r="V62" i="3"/>
  <c r="BD17" i="3" s="1"/>
  <c r="W62" i="3"/>
  <c r="X62" i="3"/>
  <c r="BE17" i="3" s="1"/>
  <c r="Y62" i="3"/>
  <c r="Z62" i="3"/>
  <c r="BF17" i="3" s="1"/>
  <c r="AA62" i="3"/>
  <c r="AB62" i="3"/>
  <c r="BG17" i="3" s="1"/>
  <c r="AC62" i="3"/>
  <c r="AD62" i="3"/>
  <c r="BH17" i="3" s="1"/>
  <c r="AE62" i="3"/>
  <c r="BI17" i="3" s="1"/>
  <c r="AF62" i="3"/>
  <c r="BJ17" i="3" s="1"/>
  <c r="AG62" i="3"/>
  <c r="AH63" i="3"/>
  <c r="AI63" i="3"/>
  <c r="AH64" i="3"/>
  <c r="AI64" i="3"/>
  <c r="AH65" i="3"/>
  <c r="AI65" i="3"/>
  <c r="AH66" i="3"/>
  <c r="AI66" i="3"/>
  <c r="AH67" i="3"/>
  <c r="AI67" i="3"/>
  <c r="AH68" i="3"/>
  <c r="AI68" i="3"/>
  <c r="AZ68" i="3"/>
  <c r="AZ75" i="3" s="1"/>
  <c r="BA68" i="3"/>
  <c r="BB68" i="3"/>
  <c r="BC68" i="3"/>
  <c r="BC75" i="3" s="1"/>
  <c r="BD68" i="3"/>
  <c r="BD75" i="3" s="1"/>
  <c r="BE68" i="3"/>
  <c r="BE75" i="3" s="1"/>
  <c r="BF68" i="3"/>
  <c r="BG68" i="3"/>
  <c r="BG75" i="3" s="1"/>
  <c r="BH68" i="3"/>
  <c r="BH75" i="3" s="1"/>
  <c r="BI68" i="3"/>
  <c r="BJ68" i="3"/>
  <c r="BK68" i="3"/>
  <c r="BK75" i="3" s="1"/>
  <c r="BL68" i="3"/>
  <c r="BL75" i="3" s="1"/>
  <c r="BM68" i="3"/>
  <c r="BN68" i="3"/>
  <c r="BO68" i="3"/>
  <c r="BO75" i="3" s="1"/>
  <c r="BP68" i="3"/>
  <c r="BQ68" i="3"/>
  <c r="BR68" i="3"/>
  <c r="BR75" i="3" s="1"/>
  <c r="BS68" i="3"/>
  <c r="BS75" i="3" s="1"/>
  <c r="BT68" i="3"/>
  <c r="BU68" i="3"/>
  <c r="BU75" i="3" s="1"/>
  <c r="BV68" i="3"/>
  <c r="BW68" i="3"/>
  <c r="BW75" i="3" s="1"/>
  <c r="AH69" i="3"/>
  <c r="AI69" i="3"/>
  <c r="AZ69" i="3"/>
  <c r="BA69" i="3"/>
  <c r="BA76" i="3" s="1"/>
  <c r="BB69" i="3"/>
  <c r="BB76" i="3" s="1"/>
  <c r="BC69" i="3"/>
  <c r="BC76" i="3" s="1"/>
  <c r="BD69" i="3"/>
  <c r="BE69" i="3"/>
  <c r="BE76" i="3" s="1"/>
  <c r="BF69" i="3"/>
  <c r="BG69" i="3"/>
  <c r="BH69" i="3"/>
  <c r="BI69" i="3"/>
  <c r="BI76" i="3" s="1"/>
  <c r="BJ69" i="3"/>
  <c r="BK69" i="3"/>
  <c r="BK76" i="3" s="1"/>
  <c r="BL69" i="3"/>
  <c r="BM69" i="3"/>
  <c r="BM76" i="3" s="1"/>
  <c r="BN69" i="3"/>
  <c r="BO69" i="3"/>
  <c r="BP69" i="3"/>
  <c r="BQ69" i="3"/>
  <c r="BQ76" i="3" s="1"/>
  <c r="BR69" i="3"/>
  <c r="BR76" i="3" s="1"/>
  <c r="BS69" i="3"/>
  <c r="BS76" i="3" s="1"/>
  <c r="BT69" i="3"/>
  <c r="BU69" i="3"/>
  <c r="BU76" i="3" s="1"/>
  <c r="BV69" i="3"/>
  <c r="BW69" i="3"/>
  <c r="AH70" i="3"/>
  <c r="AI70" i="3"/>
  <c r="AZ70" i="3"/>
  <c r="AZ77" i="3" s="1"/>
  <c r="BA70" i="3"/>
  <c r="BA77" i="3" s="1"/>
  <c r="BB70" i="3"/>
  <c r="BC70" i="3"/>
  <c r="BC77" i="3" s="1"/>
  <c r="BD70" i="3"/>
  <c r="BE70" i="3"/>
  <c r="BF70" i="3"/>
  <c r="BG70" i="3"/>
  <c r="BG77" i="3" s="1"/>
  <c r="BH70" i="3"/>
  <c r="BH77" i="3" s="1"/>
  <c r="BI70" i="3"/>
  <c r="BI77" i="3" s="1"/>
  <c r="BJ70" i="3"/>
  <c r="BK70" i="3"/>
  <c r="BK77" i="3" s="1"/>
  <c r="BL70" i="3"/>
  <c r="BM70" i="3"/>
  <c r="BN70" i="3"/>
  <c r="BO70" i="3"/>
  <c r="BO77" i="3" s="1"/>
  <c r="BP70" i="3"/>
  <c r="BP77" i="3" s="1"/>
  <c r="BQ70" i="3"/>
  <c r="BR70" i="3"/>
  <c r="BS70" i="3"/>
  <c r="BS77" i="3" s="1"/>
  <c r="BT70" i="3"/>
  <c r="BU70" i="3"/>
  <c r="BV70" i="3"/>
  <c r="BW70" i="3"/>
  <c r="BW77" i="3" s="1"/>
  <c r="AH71" i="3"/>
  <c r="AI71" i="3"/>
  <c r="AZ71" i="3"/>
  <c r="BA71" i="3"/>
  <c r="BA78" i="3" s="1"/>
  <c r="BB71" i="3"/>
  <c r="BC71" i="3"/>
  <c r="BD71" i="3"/>
  <c r="BE71" i="3"/>
  <c r="BE78" i="3" s="1"/>
  <c r="BF71" i="3"/>
  <c r="BF78" i="3" s="1"/>
  <c r="BG71" i="3"/>
  <c r="BG78" i="3" s="1"/>
  <c r="BH71" i="3"/>
  <c r="BI71" i="3"/>
  <c r="BI78" i="3" s="1"/>
  <c r="BJ71" i="3"/>
  <c r="BK71" i="3"/>
  <c r="BL71" i="3"/>
  <c r="BM71" i="3"/>
  <c r="BM78" i="3" s="1"/>
  <c r="BN71" i="3"/>
  <c r="BN78" i="3" s="1"/>
  <c r="BO71" i="3"/>
  <c r="BP71" i="3"/>
  <c r="BQ71" i="3"/>
  <c r="BQ78" i="3" s="1"/>
  <c r="BR71" i="3"/>
  <c r="BS71" i="3"/>
  <c r="BT71" i="3"/>
  <c r="BU71" i="3"/>
  <c r="BU78" i="3" s="1"/>
  <c r="BV71" i="3"/>
  <c r="BV78" i="3" s="1"/>
  <c r="BW71" i="3"/>
  <c r="BW78" i="3" s="1"/>
  <c r="AH72" i="3"/>
  <c r="AI72" i="3"/>
  <c r="AZ72" i="3"/>
  <c r="BA72" i="3"/>
  <c r="BB72" i="3"/>
  <c r="BC72" i="3"/>
  <c r="BC79" i="3" s="1"/>
  <c r="BD72" i="3"/>
  <c r="BD79" i="3" s="1"/>
  <c r="BE72" i="3"/>
  <c r="BE79" i="3" s="1"/>
  <c r="BF72" i="3"/>
  <c r="BG72" i="3"/>
  <c r="BG79" i="3" s="1"/>
  <c r="BH72" i="3"/>
  <c r="BI72" i="3"/>
  <c r="BJ72" i="3"/>
  <c r="BK72" i="3"/>
  <c r="BK79" i="3" s="1"/>
  <c r="BL72" i="3"/>
  <c r="BL79" i="3" s="1"/>
  <c r="BM72" i="3"/>
  <c r="BM79" i="3" s="1"/>
  <c r="BN72" i="3"/>
  <c r="BO72" i="3"/>
  <c r="BO79" i="3" s="1"/>
  <c r="BP72" i="3"/>
  <c r="BQ72" i="3"/>
  <c r="BR72" i="3"/>
  <c r="BS72" i="3"/>
  <c r="BS79" i="3" s="1"/>
  <c r="BT72" i="3"/>
  <c r="BU72" i="3"/>
  <c r="BU79" i="3" s="1"/>
  <c r="BV72" i="3"/>
  <c r="BW72" i="3"/>
  <c r="BW79" i="3" s="1"/>
  <c r="AH73" i="3"/>
  <c r="AI73" i="3"/>
  <c r="AZ73" i="3"/>
  <c r="BA73" i="3"/>
  <c r="BA80" i="3" s="1"/>
  <c r="BB73" i="3"/>
  <c r="BB80" i="3" s="1"/>
  <c r="BC73" i="3"/>
  <c r="BC80" i="3" s="1"/>
  <c r="BD73" i="3"/>
  <c r="BE73" i="3"/>
  <c r="BE80" i="3" s="1"/>
  <c r="BF73" i="3"/>
  <c r="BG73" i="3"/>
  <c r="BH73" i="3"/>
  <c r="BI73" i="3"/>
  <c r="BI80" i="3" s="1"/>
  <c r="BJ73" i="3"/>
  <c r="BJ80" i="3" s="1"/>
  <c r="BK73" i="3"/>
  <c r="BK80" i="3" s="1"/>
  <c r="BL73" i="3"/>
  <c r="BM73" i="3"/>
  <c r="BM80" i="3" s="1"/>
  <c r="BN73" i="3"/>
  <c r="BO73" i="3"/>
  <c r="BP73" i="3"/>
  <c r="BQ73" i="3"/>
  <c r="BQ80" i="3" s="1"/>
  <c r="BR73" i="3"/>
  <c r="BR80" i="3" s="1"/>
  <c r="BS73" i="3"/>
  <c r="BS80" i="3" s="1"/>
  <c r="BT73" i="3"/>
  <c r="BU73" i="3"/>
  <c r="BU80" i="3" s="1"/>
  <c r="BV73" i="3"/>
  <c r="BW73" i="3"/>
  <c r="AH74" i="3"/>
  <c r="AI74" i="3"/>
  <c r="AH75" i="3"/>
  <c r="AI75" i="3"/>
  <c r="BA75" i="3"/>
  <c r="BB75" i="3"/>
  <c r="BF75" i="3"/>
  <c r="BI75" i="3"/>
  <c r="BJ75" i="3"/>
  <c r="BM75" i="3"/>
  <c r="BN75" i="3"/>
  <c r="BP75" i="3"/>
  <c r="BQ75" i="3"/>
  <c r="BT75" i="3"/>
  <c r="BV75" i="3"/>
  <c r="B76" i="3"/>
  <c r="C76" i="3"/>
  <c r="AN18" i="3" s="1"/>
  <c r="D76" i="3"/>
  <c r="AO18" i="3" s="1"/>
  <c r="E76" i="3"/>
  <c r="AP18" i="3" s="1"/>
  <c r="F76" i="3"/>
  <c r="AQ18" i="3" s="1"/>
  <c r="G76" i="3"/>
  <c r="AR18" i="3" s="1"/>
  <c r="H76" i="3"/>
  <c r="I76" i="3"/>
  <c r="AS18" i="3" s="1"/>
  <c r="J76" i="3"/>
  <c r="K76" i="3"/>
  <c r="AT18" i="3" s="1"/>
  <c r="L76" i="3"/>
  <c r="M76" i="3"/>
  <c r="AU18" i="3" s="1"/>
  <c r="N76" i="3"/>
  <c r="AV18" i="3" s="1"/>
  <c r="O76" i="3"/>
  <c r="AW18" i="3" s="1"/>
  <c r="P76" i="3"/>
  <c r="AX18" i="3" s="1"/>
  <c r="Q76" i="3"/>
  <c r="AY18" i="3" s="1"/>
  <c r="R76" i="3"/>
  <c r="AZ18" i="3" s="1"/>
  <c r="S76" i="3"/>
  <c r="BA18" i="3" s="1"/>
  <c r="T76" i="3"/>
  <c r="BB18" i="3" s="1"/>
  <c r="U76" i="3"/>
  <c r="BC18" i="3" s="1"/>
  <c r="V76" i="3"/>
  <c r="BD18" i="3" s="1"/>
  <c r="W76" i="3"/>
  <c r="X76" i="3"/>
  <c r="BE18" i="3" s="1"/>
  <c r="Y76" i="3"/>
  <c r="Z76" i="3"/>
  <c r="AA76" i="3"/>
  <c r="AB76" i="3"/>
  <c r="BG18" i="3" s="1"/>
  <c r="AC76" i="3"/>
  <c r="AD76" i="3"/>
  <c r="BH18" i="3" s="1"/>
  <c r="AE76" i="3"/>
  <c r="BI18" i="3" s="1"/>
  <c r="AF76" i="3"/>
  <c r="BJ18" i="3" s="1"/>
  <c r="AZ76" i="3"/>
  <c r="BD76" i="3"/>
  <c r="BF76" i="3"/>
  <c r="BG76" i="3"/>
  <c r="BH76" i="3"/>
  <c r="BJ76" i="3"/>
  <c r="BL76" i="3"/>
  <c r="BN76" i="3"/>
  <c r="BO76" i="3"/>
  <c r="BP76" i="3"/>
  <c r="BT76" i="3"/>
  <c r="BV76" i="3"/>
  <c r="BW76" i="3"/>
  <c r="AH77" i="3"/>
  <c r="AI77" i="3"/>
  <c r="BB77" i="3"/>
  <c r="BD77" i="3"/>
  <c r="BE77" i="3"/>
  <c r="BF77" i="3"/>
  <c r="BJ77" i="3"/>
  <c r="BL77" i="3"/>
  <c r="BM77" i="3"/>
  <c r="BN77" i="3"/>
  <c r="BQ77" i="3"/>
  <c r="BR77" i="3"/>
  <c r="BT77" i="3"/>
  <c r="BU77" i="3"/>
  <c r="BV77" i="3"/>
  <c r="AH78" i="3"/>
  <c r="AI78" i="3"/>
  <c r="AZ78" i="3"/>
  <c r="BB78" i="3"/>
  <c r="BC78" i="3"/>
  <c r="BD78" i="3"/>
  <c r="BH78" i="3"/>
  <c r="BJ78" i="3"/>
  <c r="BK78" i="3"/>
  <c r="BL78" i="3"/>
  <c r="BO78" i="3"/>
  <c r="BP78" i="3"/>
  <c r="BR78" i="3"/>
  <c r="BS78" i="3"/>
  <c r="BT78" i="3"/>
  <c r="AH79" i="3"/>
  <c r="AI79" i="3"/>
  <c r="AZ79" i="3"/>
  <c r="BA79" i="3"/>
  <c r="BB79" i="3"/>
  <c r="BF79" i="3"/>
  <c r="BH79" i="3"/>
  <c r="BI79" i="3"/>
  <c r="BJ79" i="3"/>
  <c r="BN79" i="3"/>
  <c r="BP79" i="3"/>
  <c r="BQ79" i="3"/>
  <c r="BR79" i="3"/>
  <c r="BT79" i="3"/>
  <c r="BV79" i="3"/>
  <c r="B80" i="3"/>
  <c r="AM20" i="3" s="1"/>
  <c r="C80" i="3"/>
  <c r="D80" i="3"/>
  <c r="E80" i="3"/>
  <c r="AP20" i="3" s="1"/>
  <c r="F80" i="3"/>
  <c r="AQ20" i="3" s="1"/>
  <c r="G80" i="3"/>
  <c r="AR20" i="3" s="1"/>
  <c r="H80" i="3"/>
  <c r="I80" i="3"/>
  <c r="AS20" i="3" s="1"/>
  <c r="J80" i="3"/>
  <c r="K80" i="3"/>
  <c r="AT20" i="3" s="1"/>
  <c r="L80" i="3"/>
  <c r="M80" i="3"/>
  <c r="AU20" i="3" s="1"/>
  <c r="N80" i="3"/>
  <c r="AV20" i="3" s="1"/>
  <c r="O80" i="3"/>
  <c r="AW20" i="3" s="1"/>
  <c r="P80" i="3"/>
  <c r="AX20" i="3" s="1"/>
  <c r="Q80" i="3"/>
  <c r="AY20" i="3" s="1"/>
  <c r="R80" i="3"/>
  <c r="AZ20" i="3" s="1"/>
  <c r="S80" i="3"/>
  <c r="BA20" i="3" s="1"/>
  <c r="T80" i="3"/>
  <c r="BB20" i="3" s="1"/>
  <c r="U80" i="3"/>
  <c r="BC20" i="3" s="1"/>
  <c r="V80" i="3"/>
  <c r="BD20" i="3" s="1"/>
  <c r="W80" i="3"/>
  <c r="X80" i="3"/>
  <c r="BE20" i="3" s="1"/>
  <c r="Y80" i="3"/>
  <c r="Z80" i="3"/>
  <c r="BF20" i="3" s="1"/>
  <c r="AA80" i="3"/>
  <c r="AB80" i="3"/>
  <c r="BG20" i="3" s="1"/>
  <c r="AC80" i="3"/>
  <c r="AD80" i="3"/>
  <c r="BH20" i="3" s="1"/>
  <c r="AE80" i="3"/>
  <c r="BI20" i="3" s="1"/>
  <c r="AF80" i="3"/>
  <c r="BJ20" i="3" s="1"/>
  <c r="AG80" i="3"/>
  <c r="AG4" i="3" s="1"/>
  <c r="AZ80" i="3"/>
  <c r="BD80" i="3"/>
  <c r="BF80" i="3"/>
  <c r="BG80" i="3"/>
  <c r="BH80" i="3"/>
  <c r="BL80" i="3"/>
  <c r="BN80" i="3"/>
  <c r="BO80" i="3"/>
  <c r="BP80" i="3"/>
  <c r="BT80" i="3"/>
  <c r="BV80" i="3"/>
  <c r="BW80" i="3"/>
  <c r="AH81" i="3"/>
  <c r="AI81" i="3"/>
  <c r="AH82" i="3"/>
  <c r="AI82" i="3"/>
  <c r="AH83" i="3"/>
  <c r="AI83" i="3"/>
  <c r="AH84" i="3"/>
  <c r="AI84" i="3"/>
  <c r="AH85" i="3"/>
  <c r="AI85" i="3"/>
  <c r="AH86" i="3"/>
  <c r="AI86" i="3"/>
  <c r="AH87" i="3"/>
  <c r="AI87" i="3"/>
  <c r="AH88" i="3"/>
  <c r="AI88" i="3"/>
  <c r="AH89" i="3"/>
  <c r="AI89" i="3"/>
  <c r="AH90" i="3"/>
  <c r="AI90" i="3"/>
  <c r="AH91" i="3"/>
  <c r="AI91" i="3"/>
  <c r="B92" i="3"/>
  <c r="C92" i="3"/>
  <c r="AN19" i="3" s="1"/>
  <c r="D92" i="3"/>
  <c r="C5" i="3" s="1"/>
  <c r="E92" i="3"/>
  <c r="F92" i="3"/>
  <c r="F97" i="3" s="1"/>
  <c r="F99" i="3" s="1"/>
  <c r="G92" i="3"/>
  <c r="H92" i="3"/>
  <c r="G5" i="3" s="1"/>
  <c r="I92" i="3"/>
  <c r="J92" i="3"/>
  <c r="I5" i="3" s="1"/>
  <c r="K92" i="3"/>
  <c r="AT19" i="3" s="1"/>
  <c r="L92" i="3"/>
  <c r="K5" i="3" s="1"/>
  <c r="M92" i="3"/>
  <c r="N92" i="3"/>
  <c r="M5" i="3" s="1"/>
  <c r="O92" i="3"/>
  <c r="P92" i="3"/>
  <c r="AX19" i="3" s="1"/>
  <c r="Q92" i="3"/>
  <c r="R92" i="3"/>
  <c r="S92" i="3"/>
  <c r="BA19" i="3" s="1"/>
  <c r="T92" i="3"/>
  <c r="S5" i="3" s="1"/>
  <c r="U92" i="3"/>
  <c r="V92" i="3"/>
  <c r="U5" i="3" s="1"/>
  <c r="W92" i="3"/>
  <c r="V5" i="3" s="1"/>
  <c r="X92" i="3"/>
  <c r="BE19" i="3" s="1"/>
  <c r="Y92" i="3"/>
  <c r="Z92" i="3"/>
  <c r="AA92" i="3"/>
  <c r="Z5" i="3" s="1"/>
  <c r="AB92" i="3"/>
  <c r="AA5" i="3" s="1"/>
  <c r="AC92" i="3"/>
  <c r="AB5" i="3" s="1"/>
  <c r="AD92" i="3"/>
  <c r="AE92" i="3"/>
  <c r="AF92" i="3"/>
  <c r="AE5" i="3" s="1"/>
  <c r="AG92" i="3"/>
  <c r="AH93" i="3"/>
  <c r="AI93" i="3"/>
  <c r="AH94" i="3"/>
  <c r="AI94" i="3"/>
  <c r="AH95" i="3"/>
  <c r="AI95" i="3"/>
  <c r="AG96" i="3"/>
  <c r="AH96" i="3"/>
  <c r="AI96" i="3"/>
  <c r="U97" i="3"/>
  <c r="U99" i="3" s="1"/>
  <c r="V97" i="3"/>
  <c r="V99" i="3" s="1"/>
  <c r="AC97" i="3"/>
  <c r="AC99" i="3" s="1"/>
  <c r="AH98" i="3"/>
  <c r="AI98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B103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B104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B105" i="3"/>
  <c r="C105" i="3"/>
  <c r="D105" i="3"/>
  <c r="E105" i="3"/>
  <c r="F105" i="3"/>
  <c r="G105" i="3"/>
  <c r="H105" i="3"/>
  <c r="I105" i="3"/>
  <c r="J105" i="3"/>
  <c r="K105" i="3"/>
  <c r="L105" i="3"/>
  <c r="M105" i="3"/>
  <c r="M107" i="3" s="1"/>
  <c r="AU23" i="3" s="1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AH106" i="3"/>
  <c r="AI106" i="3"/>
  <c r="AH109" i="3"/>
  <c r="AI109" i="3"/>
  <c r="AH110" i="3"/>
  <c r="AI110" i="3"/>
  <c r="AH111" i="3"/>
  <c r="AI111" i="3"/>
  <c r="AH112" i="3"/>
  <c r="AI112" i="3"/>
  <c r="AH113" i="3"/>
  <c r="AI113" i="3"/>
  <c r="AH114" i="3"/>
  <c r="AI114" i="3"/>
  <c r="AH115" i="3"/>
  <c r="AI115" i="3"/>
  <c r="AH116" i="3"/>
  <c r="AI116" i="3"/>
  <c r="AH117" i="3"/>
  <c r="AI117" i="3"/>
  <c r="C118" i="3"/>
  <c r="AH119" i="3"/>
  <c r="AI119" i="3"/>
  <c r="AH120" i="3"/>
  <c r="AI120" i="3"/>
  <c r="AH121" i="3"/>
  <c r="AI121" i="3"/>
  <c r="AH122" i="3"/>
  <c r="AI122" i="3"/>
  <c r="AH123" i="3"/>
  <c r="AI123" i="3"/>
  <c r="AH126" i="3"/>
  <c r="AI126" i="3"/>
  <c r="AH127" i="3"/>
  <c r="AI127" i="3"/>
  <c r="AH128" i="3"/>
  <c r="AI128" i="3"/>
  <c r="AH129" i="3"/>
  <c r="AI129" i="3"/>
  <c r="AH130" i="3"/>
  <c r="AI130" i="3"/>
  <c r="B244" i="3"/>
  <c r="C244" i="3"/>
  <c r="D244" i="3"/>
  <c r="E244" i="3"/>
  <c r="F244" i="3"/>
  <c r="G244" i="3"/>
  <c r="H244" i="3"/>
  <c r="I244" i="3"/>
  <c r="J244" i="3"/>
  <c r="K244" i="3"/>
  <c r="L244" i="3"/>
  <c r="M244" i="3"/>
  <c r="N244" i="3"/>
  <c r="O244" i="3"/>
  <c r="P244" i="3"/>
  <c r="Q244" i="3"/>
  <c r="R244" i="3"/>
  <c r="S244" i="3"/>
  <c r="T244" i="3"/>
  <c r="U244" i="3"/>
  <c r="V244" i="3"/>
  <c r="W244" i="3"/>
  <c r="X244" i="3"/>
  <c r="Y244" i="3"/>
  <c r="Y118" i="3" s="1"/>
  <c r="Z244" i="3"/>
  <c r="Z118" i="3" s="1"/>
  <c r="AA244" i="3"/>
  <c r="AB244" i="3"/>
  <c r="AC244" i="3"/>
  <c r="AD244" i="3"/>
  <c r="AE244" i="3"/>
  <c r="AF244" i="3"/>
  <c r="AG244" i="3"/>
  <c r="D246" i="3"/>
  <c r="E246" i="3" s="1"/>
  <c r="D247" i="3"/>
  <c r="D248" i="3"/>
  <c r="E248" i="3" s="1"/>
  <c r="F248" i="3" s="1"/>
  <c r="G248" i="3" s="1"/>
  <c r="H248" i="3" s="1"/>
  <c r="I248" i="3" s="1"/>
  <c r="J248" i="3" s="1"/>
  <c r="K248" i="3" s="1"/>
  <c r="L248" i="3" s="1"/>
  <c r="M248" i="3" s="1"/>
  <c r="N248" i="3" s="1"/>
  <c r="O248" i="3" s="1"/>
  <c r="P248" i="3" s="1"/>
  <c r="Q248" i="3" s="1"/>
  <c r="R248" i="3" s="1"/>
  <c r="S248" i="3" s="1"/>
  <c r="T248" i="3" s="1"/>
  <c r="U248" i="3" s="1"/>
  <c r="V248" i="3" s="1"/>
  <c r="W248" i="3" s="1"/>
  <c r="X248" i="3" s="1"/>
  <c r="Y248" i="3" s="1"/>
  <c r="Z248" i="3" s="1"/>
  <c r="AA248" i="3" s="1"/>
  <c r="AB248" i="3" s="1"/>
  <c r="AC248" i="3" s="1"/>
  <c r="AD248" i="3" s="1"/>
  <c r="AE248" i="3" s="1"/>
  <c r="AF248" i="3" s="1"/>
  <c r="B248" i="3" s="1"/>
  <c r="D249" i="3"/>
  <c r="E249" i="3" s="1"/>
  <c r="F249" i="3" s="1"/>
  <c r="G249" i="3" s="1"/>
  <c r="H249" i="3" s="1"/>
  <c r="I249" i="3" s="1"/>
  <c r="J249" i="3" s="1"/>
  <c r="K249" i="3" s="1"/>
  <c r="L249" i="3" s="1"/>
  <c r="M249" i="3" s="1"/>
  <c r="N249" i="3" s="1"/>
  <c r="O249" i="3" s="1"/>
  <c r="P249" i="3" s="1"/>
  <c r="Q249" i="3" s="1"/>
  <c r="R249" i="3" s="1"/>
  <c r="S249" i="3" s="1"/>
  <c r="T249" i="3" s="1"/>
  <c r="U249" i="3" s="1"/>
  <c r="V249" i="3" s="1"/>
  <c r="W249" i="3" s="1"/>
  <c r="X249" i="3" s="1"/>
  <c r="Y249" i="3" s="1"/>
  <c r="Z249" i="3" s="1"/>
  <c r="AA249" i="3" s="1"/>
  <c r="AB249" i="3" s="1"/>
  <c r="AC249" i="3" s="1"/>
  <c r="AD249" i="3" s="1"/>
  <c r="AE249" i="3" s="1"/>
  <c r="AF249" i="3" s="1"/>
  <c r="B249" i="3" s="1"/>
  <c r="D250" i="3"/>
  <c r="E250" i="3" s="1"/>
  <c r="F250" i="3" s="1"/>
  <c r="G250" i="3" s="1"/>
  <c r="H250" i="3" s="1"/>
  <c r="I250" i="3" s="1"/>
  <c r="J250" i="3" s="1"/>
  <c r="K250" i="3" s="1"/>
  <c r="L250" i="3" s="1"/>
  <c r="M250" i="3" s="1"/>
  <c r="N250" i="3" s="1"/>
  <c r="O250" i="3" s="1"/>
  <c r="P250" i="3" s="1"/>
  <c r="Q250" i="3" s="1"/>
  <c r="R250" i="3" s="1"/>
  <c r="S250" i="3" s="1"/>
  <c r="T250" i="3" s="1"/>
  <c r="U250" i="3" s="1"/>
  <c r="V250" i="3" s="1"/>
  <c r="W250" i="3" s="1"/>
  <c r="X250" i="3" s="1"/>
  <c r="Y250" i="3" s="1"/>
  <c r="Z250" i="3" s="1"/>
  <c r="AA250" i="3" s="1"/>
  <c r="AB250" i="3" s="1"/>
  <c r="AC250" i="3" s="1"/>
  <c r="AD250" i="3" s="1"/>
  <c r="AE250" i="3" s="1"/>
  <c r="AF250" i="3" s="1"/>
  <c r="B250" i="3" s="1"/>
  <c r="D251" i="3"/>
  <c r="E251" i="3" s="1"/>
  <c r="F251" i="3" s="1"/>
  <c r="G251" i="3" s="1"/>
  <c r="H251" i="3" s="1"/>
  <c r="I251" i="3" s="1"/>
  <c r="J251" i="3" s="1"/>
  <c r="K251" i="3" s="1"/>
  <c r="L251" i="3" s="1"/>
  <c r="M251" i="3" s="1"/>
  <c r="N251" i="3" s="1"/>
  <c r="O251" i="3" s="1"/>
  <c r="P251" i="3" s="1"/>
  <c r="Q251" i="3" s="1"/>
  <c r="R251" i="3" s="1"/>
  <c r="S251" i="3" s="1"/>
  <c r="T251" i="3" s="1"/>
  <c r="U251" i="3" s="1"/>
  <c r="V251" i="3" s="1"/>
  <c r="W251" i="3" s="1"/>
  <c r="X251" i="3" s="1"/>
  <c r="Y251" i="3" s="1"/>
  <c r="Z251" i="3" s="1"/>
  <c r="AA251" i="3" s="1"/>
  <c r="AB251" i="3" s="1"/>
  <c r="AC251" i="3" s="1"/>
  <c r="AD251" i="3" s="1"/>
  <c r="AE251" i="3" s="1"/>
  <c r="AF251" i="3" s="1"/>
  <c r="B251" i="3" s="1"/>
  <c r="C252" i="3"/>
  <c r="AG252" i="3"/>
  <c r="AG75" i="3" s="1"/>
  <c r="AG76" i="3" s="1"/>
  <c r="F6" i="2"/>
  <c r="B4" i="1"/>
  <c r="AL13" i="1" s="1"/>
  <c r="E4" i="1"/>
  <c r="H4" i="1" s="1"/>
  <c r="K4" i="1"/>
  <c r="AH11" i="1"/>
  <c r="AI11" i="1"/>
  <c r="AH12" i="1"/>
  <c r="AI12" i="1"/>
  <c r="AL12" i="1"/>
  <c r="AH13" i="1"/>
  <c r="AI13" i="1"/>
  <c r="AH14" i="1"/>
  <c r="AI14" i="1"/>
  <c r="AH15" i="1"/>
  <c r="AI15" i="1"/>
  <c r="AH16" i="1"/>
  <c r="AI16" i="1"/>
  <c r="AS16" i="1"/>
  <c r="AT16" i="1"/>
  <c r="AT22" i="1" s="1"/>
  <c r="AY16" i="1"/>
  <c r="BA16" i="1"/>
  <c r="BB16" i="1"/>
  <c r="BG16" i="1"/>
  <c r="BI16" i="1"/>
  <c r="BJ16" i="1"/>
  <c r="AH17" i="1"/>
  <c r="AI17" i="1"/>
  <c r="AP17" i="1"/>
  <c r="AS17" i="1"/>
  <c r="AW17" i="1"/>
  <c r="AY17" i="1"/>
  <c r="BA17" i="1"/>
  <c r="BG17" i="1"/>
  <c r="BH17" i="1"/>
  <c r="AH18" i="1"/>
  <c r="AI18" i="1"/>
  <c r="AN18" i="1"/>
  <c r="AO18" i="1"/>
  <c r="AQ18" i="1"/>
  <c r="AV18" i="1"/>
  <c r="BD18" i="1"/>
  <c r="BF18" i="1"/>
  <c r="BG18" i="1"/>
  <c r="AH19" i="1"/>
  <c r="AI19" i="1"/>
  <c r="AN19" i="1"/>
  <c r="AT19" i="1"/>
  <c r="BA19" i="1"/>
  <c r="BD19" i="1"/>
  <c r="AH20" i="1"/>
  <c r="AI20" i="1"/>
  <c r="AO20" i="1"/>
  <c r="BA20" i="1"/>
  <c r="BB20" i="1"/>
  <c r="BG20" i="1"/>
  <c r="AH21" i="1"/>
  <c r="AI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AH22" i="1"/>
  <c r="AI22" i="1"/>
  <c r="BA22" i="1"/>
  <c r="AH23" i="1"/>
  <c r="AI23" i="1"/>
  <c r="AH24" i="1"/>
  <c r="AI24" i="1"/>
  <c r="AH25" i="1"/>
  <c r="AI25" i="1"/>
  <c r="AH26" i="1"/>
  <c r="AI26" i="1"/>
  <c r="AH27" i="1"/>
  <c r="AI27" i="1"/>
  <c r="AH28" i="1"/>
  <c r="AI28" i="1"/>
  <c r="AH29" i="1"/>
  <c r="AI29" i="1"/>
  <c r="AH30" i="1"/>
  <c r="AI30" i="1"/>
  <c r="AH31" i="1"/>
  <c r="AI31" i="1"/>
  <c r="AH32" i="1"/>
  <c r="AI32" i="1"/>
  <c r="AH33" i="1"/>
  <c r="AI33" i="1"/>
  <c r="AH34" i="1"/>
  <c r="AI34" i="1"/>
  <c r="AH35" i="1"/>
  <c r="AI35" i="1"/>
  <c r="AH36" i="1"/>
  <c r="AI36" i="1"/>
  <c r="AH37" i="1"/>
  <c r="AI37" i="1"/>
  <c r="AH38" i="1"/>
  <c r="AI38" i="1"/>
  <c r="AH39" i="1"/>
  <c r="AI39" i="1"/>
  <c r="AH40" i="1"/>
  <c r="AI40" i="1"/>
  <c r="AH41" i="1"/>
  <c r="AI41" i="1"/>
  <c r="AH42" i="1"/>
  <c r="AI42" i="1"/>
  <c r="AH43" i="1"/>
  <c r="AI43" i="1"/>
  <c r="AH44" i="1"/>
  <c r="AI44" i="1"/>
  <c r="AH45" i="1"/>
  <c r="AI45" i="1"/>
  <c r="AH46" i="1"/>
  <c r="AI46" i="1"/>
  <c r="AH47" i="1"/>
  <c r="AI47" i="1"/>
  <c r="AH48" i="1"/>
  <c r="AI48" i="1"/>
  <c r="AH49" i="1"/>
  <c r="AI49" i="1"/>
  <c r="AH50" i="1"/>
  <c r="AI50" i="1"/>
  <c r="AH51" i="1"/>
  <c r="AI51" i="1"/>
  <c r="AH52" i="1"/>
  <c r="AI52" i="1"/>
  <c r="AH53" i="1"/>
  <c r="AI53" i="1"/>
  <c r="AH54" i="1"/>
  <c r="AI54" i="1"/>
  <c r="AH55" i="1"/>
  <c r="AI55" i="1"/>
  <c r="AH56" i="1"/>
  <c r="AI56" i="1"/>
  <c r="AH57" i="1"/>
  <c r="AI57" i="1"/>
  <c r="B58" i="1"/>
  <c r="C58" i="1"/>
  <c r="AN16" i="1" s="1"/>
  <c r="D58" i="1"/>
  <c r="AO16" i="1" s="1"/>
  <c r="E58" i="1"/>
  <c r="AP16" i="1" s="1"/>
  <c r="F58" i="1"/>
  <c r="AQ16" i="1" s="1"/>
  <c r="G58" i="1"/>
  <c r="AR16" i="1" s="1"/>
  <c r="H58" i="1"/>
  <c r="I58" i="1"/>
  <c r="J58" i="1"/>
  <c r="K58" i="1"/>
  <c r="L58" i="1"/>
  <c r="M58" i="1"/>
  <c r="AU16" i="1" s="1"/>
  <c r="N58" i="1"/>
  <c r="AV16" i="1" s="1"/>
  <c r="O58" i="1"/>
  <c r="AW16" i="1" s="1"/>
  <c r="P58" i="1"/>
  <c r="AX16" i="1" s="1"/>
  <c r="Q58" i="1"/>
  <c r="R58" i="1"/>
  <c r="S58" i="1"/>
  <c r="T58" i="1"/>
  <c r="U58" i="1"/>
  <c r="BC16" i="1" s="1"/>
  <c r="V58" i="1"/>
  <c r="BD16" i="1" s="1"/>
  <c r="W58" i="1"/>
  <c r="X58" i="1"/>
  <c r="BE16" i="1" s="1"/>
  <c r="Y58" i="1"/>
  <c r="Z58" i="1"/>
  <c r="AA58" i="1"/>
  <c r="AB58" i="1"/>
  <c r="AC58" i="1"/>
  <c r="AD58" i="1"/>
  <c r="BH16" i="1" s="1"/>
  <c r="AG58" i="1"/>
  <c r="AG2" i="1" s="1"/>
  <c r="AH58" i="1"/>
  <c r="AH59" i="1"/>
  <c r="AI59" i="1"/>
  <c r="AH60" i="1"/>
  <c r="AI60" i="1"/>
  <c r="AH61" i="1"/>
  <c r="AI61" i="1"/>
  <c r="B62" i="1"/>
  <c r="C62" i="1"/>
  <c r="AN17" i="1" s="1"/>
  <c r="D62" i="1"/>
  <c r="AO17" i="1" s="1"/>
  <c r="E62" i="1"/>
  <c r="F62" i="1"/>
  <c r="AQ17" i="1" s="1"/>
  <c r="G62" i="1"/>
  <c r="AR17" i="1" s="1"/>
  <c r="H62" i="1"/>
  <c r="I62" i="1"/>
  <c r="J62" i="1"/>
  <c r="K62" i="1"/>
  <c r="AT17" i="1" s="1"/>
  <c r="L62" i="1"/>
  <c r="M62" i="1"/>
  <c r="AU17" i="1" s="1"/>
  <c r="N62" i="1"/>
  <c r="AV17" i="1" s="1"/>
  <c r="O62" i="1"/>
  <c r="P62" i="1"/>
  <c r="AX17" i="1" s="1"/>
  <c r="Q62" i="1"/>
  <c r="R62" i="1"/>
  <c r="AZ17" i="1" s="1"/>
  <c r="S62" i="1"/>
  <c r="T62" i="1"/>
  <c r="BB17" i="1" s="1"/>
  <c r="U62" i="1"/>
  <c r="BC17" i="1" s="1"/>
  <c r="V62" i="1"/>
  <c r="BD17" i="1" s="1"/>
  <c r="W62" i="1"/>
  <c r="X62" i="1"/>
  <c r="BE17" i="1" s="1"/>
  <c r="Y62" i="1"/>
  <c r="Z62" i="1"/>
  <c r="BF17" i="1" s="1"/>
  <c r="AA62" i="1"/>
  <c r="AB62" i="1"/>
  <c r="AC62" i="1"/>
  <c r="AD62" i="1"/>
  <c r="BI17" i="1"/>
  <c r="BJ17" i="1"/>
  <c r="AG62" i="1"/>
  <c r="AH62" i="1"/>
  <c r="AH63" i="1"/>
  <c r="AI63" i="1"/>
  <c r="AH64" i="1"/>
  <c r="AI64" i="1"/>
  <c r="AH65" i="1"/>
  <c r="AI65" i="1"/>
  <c r="AH66" i="1"/>
  <c r="AI66" i="1"/>
  <c r="AH67" i="1"/>
  <c r="AI67" i="1"/>
  <c r="AH68" i="1"/>
  <c r="AI68" i="1"/>
  <c r="AZ68" i="1"/>
  <c r="BA68" i="1"/>
  <c r="BB68" i="1"/>
  <c r="BB75" i="1" s="1"/>
  <c r="BC68" i="1"/>
  <c r="BD68" i="1"/>
  <c r="BD75" i="1" s="1"/>
  <c r="BE68" i="1"/>
  <c r="BE75" i="1" s="1"/>
  <c r="BF68" i="1"/>
  <c r="BG68" i="1"/>
  <c r="BH68" i="1"/>
  <c r="BH75" i="1" s="1"/>
  <c r="BI68" i="1"/>
  <c r="BJ68" i="1"/>
  <c r="BJ75" i="1" s="1"/>
  <c r="BK68" i="1"/>
  <c r="BL68" i="1"/>
  <c r="BL75" i="1" s="1"/>
  <c r="BM68" i="1"/>
  <c r="BN68" i="1"/>
  <c r="BO68" i="1"/>
  <c r="BO75" i="1" s="1"/>
  <c r="BP68" i="1"/>
  <c r="BP75" i="1" s="1"/>
  <c r="BQ68" i="1"/>
  <c r="BR68" i="1"/>
  <c r="BR75" i="1" s="1"/>
  <c r="BS68" i="1"/>
  <c r="BT68" i="1"/>
  <c r="BT75" i="1" s="1"/>
  <c r="BU68" i="1"/>
  <c r="BU75" i="1" s="1"/>
  <c r="BV68" i="1"/>
  <c r="BV75" i="1" s="1"/>
  <c r="BW68" i="1"/>
  <c r="AH69" i="1"/>
  <c r="AI69" i="1"/>
  <c r="AZ69" i="1"/>
  <c r="AZ76" i="1" s="1"/>
  <c r="BA69" i="1"/>
  <c r="BB69" i="1"/>
  <c r="BB76" i="1" s="1"/>
  <c r="BC69" i="1"/>
  <c r="BD69" i="1"/>
  <c r="BE69" i="1"/>
  <c r="BE76" i="1" s="1"/>
  <c r="BF69" i="1"/>
  <c r="BF76" i="1" s="1"/>
  <c r="BG69" i="1"/>
  <c r="BH69" i="1"/>
  <c r="BH76" i="1" s="1"/>
  <c r="BI69" i="1"/>
  <c r="BJ69" i="1"/>
  <c r="BJ76" i="1" s="1"/>
  <c r="BK69" i="1"/>
  <c r="BK76" i="1" s="1"/>
  <c r="BL69" i="1"/>
  <c r="BM69" i="1"/>
  <c r="BN69" i="1"/>
  <c r="BN76" i="1" s="1"/>
  <c r="BO69" i="1"/>
  <c r="BP69" i="1"/>
  <c r="BP76" i="1" s="1"/>
  <c r="BQ69" i="1"/>
  <c r="BR69" i="1"/>
  <c r="BR76" i="1" s="1"/>
  <c r="BS69" i="1"/>
  <c r="BT69" i="1"/>
  <c r="BU69" i="1"/>
  <c r="BU76" i="1" s="1"/>
  <c r="BV69" i="1"/>
  <c r="BV76" i="1" s="1"/>
  <c r="BW69" i="1"/>
  <c r="AH70" i="1"/>
  <c r="AI70" i="1"/>
  <c r="AZ70" i="1"/>
  <c r="AZ77" i="1" s="1"/>
  <c r="BA70" i="1"/>
  <c r="BB70" i="1"/>
  <c r="BC70" i="1"/>
  <c r="BD70" i="1"/>
  <c r="BD77" i="1" s="1"/>
  <c r="BE70" i="1"/>
  <c r="BF70" i="1"/>
  <c r="BF77" i="1" s="1"/>
  <c r="BG70" i="1"/>
  <c r="BH70" i="1"/>
  <c r="BH77" i="1" s="1"/>
  <c r="BI70" i="1"/>
  <c r="BJ70" i="1"/>
  <c r="BK70" i="1"/>
  <c r="BL70" i="1"/>
  <c r="BL77" i="1" s="1"/>
  <c r="BM70" i="1"/>
  <c r="BN70" i="1"/>
  <c r="BN77" i="1" s="1"/>
  <c r="BO70" i="1"/>
  <c r="BP70" i="1"/>
  <c r="BP77" i="1" s="1"/>
  <c r="BQ70" i="1"/>
  <c r="BR70" i="1"/>
  <c r="BS70" i="1"/>
  <c r="BT70" i="1"/>
  <c r="BT77" i="1" s="1"/>
  <c r="BU70" i="1"/>
  <c r="BU77" i="1" s="1"/>
  <c r="BV70" i="1"/>
  <c r="BV77" i="1" s="1"/>
  <c r="BW70" i="1"/>
  <c r="AH71" i="1"/>
  <c r="AI71" i="1"/>
  <c r="AZ71" i="1"/>
  <c r="BA71" i="1"/>
  <c r="BB71" i="1"/>
  <c r="BB78" i="1" s="1"/>
  <c r="BC71" i="1"/>
  <c r="BD71" i="1"/>
  <c r="BE71" i="1"/>
  <c r="BF71" i="1"/>
  <c r="BF78" i="1" s="1"/>
  <c r="BG71" i="1"/>
  <c r="BH71" i="1"/>
  <c r="BI71" i="1"/>
  <c r="BJ71" i="1"/>
  <c r="BJ78" i="1" s="1"/>
  <c r="BK71" i="1"/>
  <c r="BL71" i="1"/>
  <c r="BM71" i="1"/>
  <c r="BN71" i="1"/>
  <c r="BO71" i="1"/>
  <c r="BP71" i="1"/>
  <c r="BQ71" i="1"/>
  <c r="BR71" i="1"/>
  <c r="BR78" i="1" s="1"/>
  <c r="BS71" i="1"/>
  <c r="BT71" i="1"/>
  <c r="BU71" i="1"/>
  <c r="BU78" i="1" s="1"/>
  <c r="BV71" i="1"/>
  <c r="BW71" i="1"/>
  <c r="AH72" i="1"/>
  <c r="AI72" i="1"/>
  <c r="AZ72" i="1"/>
  <c r="AZ79" i="1" s="1"/>
  <c r="BA72" i="1"/>
  <c r="BB72" i="1"/>
  <c r="BC72" i="1"/>
  <c r="BD72" i="1"/>
  <c r="BE72" i="1"/>
  <c r="BF72" i="1"/>
  <c r="BG72" i="1"/>
  <c r="BH72" i="1"/>
  <c r="BH79" i="1" s="1"/>
  <c r="BI72" i="1"/>
  <c r="BJ72" i="1"/>
  <c r="BK72" i="1"/>
  <c r="BL72" i="1"/>
  <c r="BM72" i="1"/>
  <c r="BN72" i="1"/>
  <c r="BO72" i="1"/>
  <c r="BP72" i="1"/>
  <c r="BP79" i="1" s="1"/>
  <c r="BQ72" i="1"/>
  <c r="BR72" i="1"/>
  <c r="BS72" i="1"/>
  <c r="BT72" i="1"/>
  <c r="BU72" i="1"/>
  <c r="BV72" i="1"/>
  <c r="BV79" i="1" s="1"/>
  <c r="BW72" i="1"/>
  <c r="AH73" i="1"/>
  <c r="AI73" i="1"/>
  <c r="AZ73" i="1"/>
  <c r="BA73" i="1"/>
  <c r="BB73" i="1"/>
  <c r="BB80" i="1" s="1"/>
  <c r="BC73" i="1"/>
  <c r="BD73" i="1"/>
  <c r="BE73" i="1"/>
  <c r="BF73" i="1"/>
  <c r="BF80" i="1" s="1"/>
  <c r="BG73" i="1"/>
  <c r="BH73" i="1"/>
  <c r="BI73" i="1"/>
  <c r="BJ73" i="1"/>
  <c r="BJ80" i="1" s="1"/>
  <c r="BK73" i="1"/>
  <c r="BL73" i="1"/>
  <c r="BM73" i="1"/>
  <c r="BN73" i="1"/>
  <c r="BN80" i="1" s="1"/>
  <c r="BO73" i="1"/>
  <c r="BP73" i="1"/>
  <c r="BQ73" i="1"/>
  <c r="BR73" i="1"/>
  <c r="BR80" i="1" s="1"/>
  <c r="BS73" i="1"/>
  <c r="BT73" i="1"/>
  <c r="BU73" i="1"/>
  <c r="BU80" i="1" s="1"/>
  <c r="BV73" i="1"/>
  <c r="BV80" i="1" s="1"/>
  <c r="BW73" i="1"/>
  <c r="AH74" i="1"/>
  <c r="AI74" i="1"/>
  <c r="AH75" i="1"/>
  <c r="AI75" i="1"/>
  <c r="BA75" i="1"/>
  <c r="BC75" i="1"/>
  <c r="BF75" i="1"/>
  <c r="BG75" i="1"/>
  <c r="BI75" i="1"/>
  <c r="BK75" i="1"/>
  <c r="BM75" i="1"/>
  <c r="BN75" i="1"/>
  <c r="BQ75" i="1"/>
  <c r="BS75" i="1"/>
  <c r="BW75" i="1"/>
  <c r="B76" i="1"/>
  <c r="C76" i="1"/>
  <c r="D76" i="1"/>
  <c r="E76" i="1"/>
  <c r="AP18" i="1" s="1"/>
  <c r="F76" i="1"/>
  <c r="G76" i="1"/>
  <c r="AR18" i="1" s="1"/>
  <c r="H76" i="1"/>
  <c r="I76" i="1"/>
  <c r="AS18" i="1" s="1"/>
  <c r="J76" i="1"/>
  <c r="K76" i="1"/>
  <c r="AT18" i="1" s="1"/>
  <c r="L76" i="1"/>
  <c r="M76" i="1"/>
  <c r="AU18" i="1" s="1"/>
  <c r="N76" i="1"/>
  <c r="O76" i="1"/>
  <c r="AW18" i="1" s="1"/>
  <c r="P76" i="1"/>
  <c r="AX18" i="1" s="1"/>
  <c r="Q76" i="1"/>
  <c r="AY18" i="1" s="1"/>
  <c r="R76" i="1"/>
  <c r="AZ18" i="1" s="1"/>
  <c r="S76" i="1"/>
  <c r="BA18" i="1" s="1"/>
  <c r="T76" i="1"/>
  <c r="BB18" i="1" s="1"/>
  <c r="U76" i="1"/>
  <c r="BC18" i="1" s="1"/>
  <c r="V76" i="1"/>
  <c r="W76" i="1"/>
  <c r="X76" i="1"/>
  <c r="BE18" i="1" s="1"/>
  <c r="Y76" i="1"/>
  <c r="Y97" i="1" s="1"/>
  <c r="Y99" i="1" s="1"/>
  <c r="Y100" i="1" s="1"/>
  <c r="Y7" i="1" s="1"/>
  <c r="Z76" i="1"/>
  <c r="AA76" i="1"/>
  <c r="AB76" i="1"/>
  <c r="AC76" i="1"/>
  <c r="AD76" i="1"/>
  <c r="BH18" i="1" s="1"/>
  <c r="BI18" i="1"/>
  <c r="BJ18" i="1"/>
  <c r="BA76" i="1"/>
  <c r="BC76" i="1"/>
  <c r="BD76" i="1"/>
  <c r="BG76" i="1"/>
  <c r="BI76" i="1"/>
  <c r="BL76" i="1"/>
  <c r="BM76" i="1"/>
  <c r="BO76" i="1"/>
  <c r="BQ76" i="1"/>
  <c r="BS76" i="1"/>
  <c r="BT76" i="1"/>
  <c r="BW76" i="1"/>
  <c r="AH77" i="1"/>
  <c r="AI77" i="1"/>
  <c r="BA77" i="1"/>
  <c r="BB77" i="1"/>
  <c r="BC77" i="1"/>
  <c r="BE77" i="1"/>
  <c r="BG77" i="1"/>
  <c r="BI77" i="1"/>
  <c r="BJ77" i="1"/>
  <c r="BK77" i="1"/>
  <c r="BM77" i="1"/>
  <c r="BO77" i="1"/>
  <c r="BQ77" i="1"/>
  <c r="BR77" i="1"/>
  <c r="BS77" i="1"/>
  <c r="BW77" i="1"/>
  <c r="AH78" i="1"/>
  <c r="AI78" i="1"/>
  <c r="AZ78" i="1"/>
  <c r="BA78" i="1"/>
  <c r="BC78" i="1"/>
  <c r="BD78" i="1"/>
  <c r="BE78" i="1"/>
  <c r="BG78" i="1"/>
  <c r="BH78" i="1"/>
  <c r="BI78" i="1"/>
  <c r="BK78" i="1"/>
  <c r="BL78" i="1"/>
  <c r="BM78" i="1"/>
  <c r="BN78" i="1"/>
  <c r="BO78" i="1"/>
  <c r="BP78" i="1"/>
  <c r="BQ78" i="1"/>
  <c r="BS78" i="1"/>
  <c r="BT78" i="1"/>
  <c r="BV78" i="1"/>
  <c r="BW78" i="1"/>
  <c r="AH79" i="1"/>
  <c r="AI79" i="1"/>
  <c r="BA79" i="1"/>
  <c r="BB79" i="1"/>
  <c r="BC79" i="1"/>
  <c r="BD79" i="1"/>
  <c r="BE79" i="1"/>
  <c r="BF79" i="1"/>
  <c r="BG79" i="1"/>
  <c r="BI79" i="1"/>
  <c r="BJ79" i="1"/>
  <c r="BK79" i="1"/>
  <c r="BL79" i="1"/>
  <c r="BM79" i="1"/>
  <c r="BN79" i="1"/>
  <c r="BO79" i="1"/>
  <c r="BQ79" i="1"/>
  <c r="BR79" i="1"/>
  <c r="BS79" i="1"/>
  <c r="BT79" i="1"/>
  <c r="BU79" i="1"/>
  <c r="BW79" i="1"/>
  <c r="B80" i="1"/>
  <c r="C80" i="1"/>
  <c r="AN20" i="1" s="1"/>
  <c r="D80" i="1"/>
  <c r="E80" i="1"/>
  <c r="AP20" i="1" s="1"/>
  <c r="F80" i="1"/>
  <c r="AH80" i="1" s="1"/>
  <c r="G80" i="1"/>
  <c r="AR20" i="1" s="1"/>
  <c r="H80" i="1"/>
  <c r="I80" i="1"/>
  <c r="AS20" i="1" s="1"/>
  <c r="J80" i="1"/>
  <c r="K80" i="1"/>
  <c r="AT20" i="1" s="1"/>
  <c r="L80" i="1"/>
  <c r="M80" i="1"/>
  <c r="AU20" i="1" s="1"/>
  <c r="N80" i="1"/>
  <c r="AV20" i="1" s="1"/>
  <c r="O80" i="1"/>
  <c r="AW20" i="1" s="1"/>
  <c r="P80" i="1"/>
  <c r="AX20" i="1" s="1"/>
  <c r="Q80" i="1"/>
  <c r="AY20" i="1" s="1"/>
  <c r="R80" i="1"/>
  <c r="AZ20" i="1" s="1"/>
  <c r="S80" i="1"/>
  <c r="T80" i="1"/>
  <c r="U80" i="1"/>
  <c r="BC20" i="1" s="1"/>
  <c r="V80" i="1"/>
  <c r="BD20" i="1" s="1"/>
  <c r="W80" i="1"/>
  <c r="W97" i="1" s="1"/>
  <c r="W99" i="1" s="1"/>
  <c r="X80" i="1"/>
  <c r="BE20" i="1" s="1"/>
  <c r="Y80" i="1"/>
  <c r="Z80" i="1"/>
  <c r="BF20" i="1" s="1"/>
  <c r="AA80" i="1"/>
  <c r="AB80" i="1"/>
  <c r="AC80" i="1"/>
  <c r="AD80" i="1"/>
  <c r="BH20" i="1" s="1"/>
  <c r="BI20" i="1"/>
  <c r="AG80" i="1"/>
  <c r="AG4" i="1" s="1"/>
  <c r="AZ80" i="1"/>
  <c r="BA80" i="1"/>
  <c r="BC80" i="1"/>
  <c r="BD80" i="1"/>
  <c r="BE80" i="1"/>
  <c r="BG80" i="1"/>
  <c r="BH80" i="1"/>
  <c r="BI80" i="1"/>
  <c r="BK80" i="1"/>
  <c r="BL80" i="1"/>
  <c r="BM80" i="1"/>
  <c r="BO80" i="1"/>
  <c r="BP80" i="1"/>
  <c r="BQ80" i="1"/>
  <c r="BS80" i="1"/>
  <c r="BT80" i="1"/>
  <c r="BW80" i="1"/>
  <c r="AH81" i="1"/>
  <c r="AI81" i="1"/>
  <c r="AH82" i="1"/>
  <c r="AI82" i="1"/>
  <c r="AH83" i="1"/>
  <c r="AI83" i="1"/>
  <c r="AH84" i="1"/>
  <c r="AI84" i="1"/>
  <c r="AH85" i="1"/>
  <c r="AI85" i="1"/>
  <c r="AH86" i="1"/>
  <c r="AI86" i="1"/>
  <c r="AH87" i="1"/>
  <c r="AI87" i="1"/>
  <c r="AH88" i="1"/>
  <c r="AI88" i="1"/>
  <c r="AH89" i="1"/>
  <c r="AI89" i="1"/>
  <c r="AH90" i="1"/>
  <c r="AI90" i="1"/>
  <c r="AH91" i="1"/>
  <c r="AI91" i="1"/>
  <c r="B92" i="1"/>
  <c r="C92" i="1"/>
  <c r="B5" i="1" s="1"/>
  <c r="D92" i="1"/>
  <c r="E92" i="1"/>
  <c r="E97" i="1" s="1"/>
  <c r="E99" i="1" s="1"/>
  <c r="F92" i="1"/>
  <c r="G92" i="1"/>
  <c r="H92" i="1"/>
  <c r="G5" i="1" s="1"/>
  <c r="I92" i="1"/>
  <c r="J92" i="1"/>
  <c r="I5" i="1" s="1"/>
  <c r="K92" i="1"/>
  <c r="J5" i="1" s="1"/>
  <c r="L92" i="1"/>
  <c r="K5" i="1" s="1"/>
  <c r="M92" i="1"/>
  <c r="AU19" i="1" s="1"/>
  <c r="N92" i="1"/>
  <c r="AV19" i="1" s="1"/>
  <c r="O92" i="1"/>
  <c r="N5" i="1" s="1"/>
  <c r="P92" i="1"/>
  <c r="Q92" i="1"/>
  <c r="R92" i="1"/>
  <c r="S92" i="1"/>
  <c r="R5" i="1" s="1"/>
  <c r="T92" i="1"/>
  <c r="U92" i="1"/>
  <c r="V92" i="1"/>
  <c r="U5" i="1" s="1"/>
  <c r="W92" i="1"/>
  <c r="V5" i="1" s="1"/>
  <c r="X92" i="1"/>
  <c r="W5" i="1" s="1"/>
  <c r="Y92" i="1"/>
  <c r="Z92" i="1"/>
  <c r="AA92" i="1"/>
  <c r="Z5" i="1" s="1"/>
  <c r="AB92" i="1"/>
  <c r="AC92" i="1"/>
  <c r="AD92" i="1"/>
  <c r="AG92" i="1"/>
  <c r="AH93" i="1"/>
  <c r="AI93" i="1"/>
  <c r="AH94" i="1"/>
  <c r="AI94" i="1"/>
  <c r="AH95" i="1"/>
  <c r="AI95" i="1"/>
  <c r="AG96" i="1"/>
  <c r="AH96" i="1"/>
  <c r="AI96" i="1"/>
  <c r="C97" i="1"/>
  <c r="C99" i="1" s="1"/>
  <c r="D97" i="1"/>
  <c r="G97" i="1"/>
  <c r="G99" i="1" s="1"/>
  <c r="K97" i="1"/>
  <c r="L97" i="1"/>
  <c r="M97" i="1"/>
  <c r="M99" i="1" s="1"/>
  <c r="Q97" i="1"/>
  <c r="Q99" i="1" s="1"/>
  <c r="S97" i="1"/>
  <c r="S99" i="1" s="1"/>
  <c r="AA97" i="1"/>
  <c r="AA99" i="1" s="1"/>
  <c r="AB97" i="1"/>
  <c r="AB99" i="1" s="1"/>
  <c r="AH98" i="1"/>
  <c r="AI98" i="1"/>
  <c r="D99" i="1"/>
  <c r="K99" i="1"/>
  <c r="L99" i="1"/>
  <c r="C100" i="1"/>
  <c r="C7" i="1" s="1"/>
  <c r="M100" i="1"/>
  <c r="M7" i="1" s="1"/>
  <c r="B101" i="1"/>
  <c r="C101" i="1"/>
  <c r="D101" i="1"/>
  <c r="E101" i="1"/>
  <c r="F101" i="1"/>
  <c r="G101" i="1"/>
  <c r="H101" i="1"/>
  <c r="I101" i="1"/>
  <c r="J101" i="1"/>
  <c r="J107" i="1" s="1"/>
  <c r="J108" i="1" s="1"/>
  <c r="K101" i="1"/>
  <c r="L101" i="1"/>
  <c r="M101" i="1"/>
  <c r="M107" i="1" s="1"/>
  <c r="AU23" i="1" s="1"/>
  <c r="N101" i="1"/>
  <c r="O101" i="1"/>
  <c r="P101" i="1"/>
  <c r="Q101" i="1"/>
  <c r="R101" i="1"/>
  <c r="S101" i="1"/>
  <c r="T101" i="1"/>
  <c r="U101" i="1"/>
  <c r="U107" i="1" s="1"/>
  <c r="BC23" i="1" s="1"/>
  <c r="V101" i="1"/>
  <c r="V107" i="1" s="1"/>
  <c r="BD23" i="1" s="1"/>
  <c r="W101" i="1"/>
  <c r="X101" i="1"/>
  <c r="Y101" i="1"/>
  <c r="Z101" i="1"/>
  <c r="Z107" i="1" s="1"/>
  <c r="AA101" i="1"/>
  <c r="AB101" i="1"/>
  <c r="AC101" i="1"/>
  <c r="AC107" i="1" s="1"/>
  <c r="AD101" i="1"/>
  <c r="B102" i="1"/>
  <c r="C102" i="1"/>
  <c r="AI102" i="1" s="1"/>
  <c r="D102" i="1"/>
  <c r="E102" i="1"/>
  <c r="AH102" i="1" s="1"/>
  <c r="F102" i="1"/>
  <c r="G102" i="1"/>
  <c r="H102" i="1"/>
  <c r="I102" i="1"/>
  <c r="J102" i="1"/>
  <c r="K102" i="1"/>
  <c r="L102" i="1"/>
  <c r="M102" i="1"/>
  <c r="N102" i="1"/>
  <c r="O102" i="1"/>
  <c r="O107" i="1" s="1"/>
  <c r="P102" i="1"/>
  <c r="Q102" i="1"/>
  <c r="R102" i="1"/>
  <c r="S102" i="1"/>
  <c r="T102" i="1"/>
  <c r="U102" i="1"/>
  <c r="V102" i="1"/>
  <c r="W102" i="1"/>
  <c r="W107" i="1" s="1"/>
  <c r="W108" i="1" s="1"/>
  <c r="X102" i="1"/>
  <c r="Y102" i="1"/>
  <c r="Z102" i="1"/>
  <c r="AA102" i="1"/>
  <c r="AB102" i="1"/>
  <c r="AC102" i="1"/>
  <c r="AD102" i="1"/>
  <c r="B103" i="1"/>
  <c r="C103" i="1"/>
  <c r="C107" i="1" s="1"/>
  <c r="D103" i="1"/>
  <c r="E103" i="1"/>
  <c r="F103" i="1"/>
  <c r="G103" i="1"/>
  <c r="H103" i="1"/>
  <c r="I103" i="1"/>
  <c r="J103" i="1"/>
  <c r="K103" i="1"/>
  <c r="K107" i="1" s="1"/>
  <c r="AT23" i="1" s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A107" i="1" s="1"/>
  <c r="AA108" i="1" s="1"/>
  <c r="AB103" i="1"/>
  <c r="AC103" i="1"/>
  <c r="AD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B105" i="1"/>
  <c r="C105" i="1"/>
  <c r="D105" i="1"/>
  <c r="E105" i="1"/>
  <c r="F105" i="1"/>
  <c r="F107" i="1" s="1"/>
  <c r="G105" i="1"/>
  <c r="H105" i="1"/>
  <c r="I105" i="1"/>
  <c r="AI105" i="1" s="1"/>
  <c r="J105" i="1"/>
  <c r="K105" i="1"/>
  <c r="L105" i="1"/>
  <c r="M105" i="1"/>
  <c r="N105" i="1"/>
  <c r="O105" i="1"/>
  <c r="P105" i="1"/>
  <c r="Q105" i="1"/>
  <c r="Q107" i="1" s="1"/>
  <c r="AY23" i="1" s="1"/>
  <c r="R105" i="1"/>
  <c r="S105" i="1"/>
  <c r="T105" i="1"/>
  <c r="U105" i="1"/>
  <c r="V105" i="1"/>
  <c r="W105" i="1"/>
  <c r="X105" i="1"/>
  <c r="Y105" i="1"/>
  <c r="Y107" i="1" s="1"/>
  <c r="Z105" i="1"/>
  <c r="AA105" i="1"/>
  <c r="AB105" i="1"/>
  <c r="AC105" i="1"/>
  <c r="AD105" i="1"/>
  <c r="AH105" i="1"/>
  <c r="AH106" i="1"/>
  <c r="AI106" i="1"/>
  <c r="G107" i="1"/>
  <c r="I107" i="1"/>
  <c r="AS23" i="1" s="1"/>
  <c r="N107" i="1"/>
  <c r="N108" i="1" s="1"/>
  <c r="R107" i="1"/>
  <c r="S107" i="1"/>
  <c r="AD107" i="1"/>
  <c r="K108" i="1"/>
  <c r="AH109" i="1"/>
  <c r="AI109" i="1"/>
  <c r="AH110" i="1"/>
  <c r="AI110" i="1"/>
  <c r="AH111" i="1"/>
  <c r="AI111" i="1"/>
  <c r="AH112" i="1"/>
  <c r="AI112" i="1"/>
  <c r="AH113" i="1"/>
  <c r="AI113" i="1"/>
  <c r="AH114" i="1"/>
  <c r="AI114" i="1"/>
  <c r="AH115" i="1"/>
  <c r="AI115" i="1"/>
  <c r="AH116" i="1"/>
  <c r="AI116" i="1"/>
  <c r="AH117" i="1"/>
  <c r="AI117" i="1"/>
  <c r="C118" i="1"/>
  <c r="D118" i="1"/>
  <c r="Y118" i="1"/>
  <c r="Z118" i="1"/>
  <c r="AH119" i="1"/>
  <c r="AI119" i="1"/>
  <c r="AH120" i="1"/>
  <c r="AI120" i="1"/>
  <c r="N121" i="1"/>
  <c r="AH121" i="1"/>
  <c r="AI121" i="1"/>
  <c r="AH122" i="1"/>
  <c r="AI122" i="1"/>
  <c r="AH123" i="1"/>
  <c r="AI123" i="1"/>
  <c r="AH124" i="1"/>
  <c r="AI124" i="1"/>
  <c r="AH125" i="1"/>
  <c r="AI125" i="1"/>
  <c r="AH126" i="1"/>
  <c r="AI126" i="1"/>
  <c r="AH127" i="1"/>
  <c r="AI127" i="1"/>
  <c r="AH128" i="1"/>
  <c r="AI128" i="1"/>
  <c r="AH129" i="1"/>
  <c r="AI129" i="1"/>
  <c r="AH130" i="1"/>
  <c r="AI130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D246" i="1"/>
  <c r="E246" i="1"/>
  <c r="F246" i="1" s="1"/>
  <c r="G246" i="1"/>
  <c r="H246" i="1"/>
  <c r="D247" i="1"/>
  <c r="E247" i="1"/>
  <c r="F247" i="1"/>
  <c r="G247" i="1"/>
  <c r="H247" i="1" s="1"/>
  <c r="I247" i="1"/>
  <c r="J247" i="1" s="1"/>
  <c r="K247" i="1" s="1"/>
  <c r="L247" i="1" s="1"/>
  <c r="M247" i="1" s="1"/>
  <c r="N247" i="1" s="1"/>
  <c r="O247" i="1" s="1"/>
  <c r="P247" i="1" s="1"/>
  <c r="Q247" i="1" s="1"/>
  <c r="R247" i="1"/>
  <c r="S247" i="1" s="1"/>
  <c r="T247" i="1" s="1"/>
  <c r="U247" i="1" s="1"/>
  <c r="V247" i="1" s="1"/>
  <c r="W247" i="1" s="1"/>
  <c r="X247" i="1" s="1"/>
  <c r="Y247" i="1" s="1"/>
  <c r="Z247" i="1" s="1"/>
  <c r="AA247" i="1" s="1"/>
  <c r="AB247" i="1" s="1"/>
  <c r="AC247" i="1" s="1"/>
  <c r="AD247" i="1" s="1"/>
  <c r="AE247" i="1" s="1"/>
  <c r="AF247" i="1" s="1"/>
  <c r="B247" i="1" s="1"/>
  <c r="D248" i="1"/>
  <c r="D252" i="1" s="1"/>
  <c r="E248" i="1"/>
  <c r="F248" i="1" s="1"/>
  <c r="G248" i="1" s="1"/>
  <c r="H248" i="1" s="1"/>
  <c r="I248" i="1"/>
  <c r="J248" i="1" s="1"/>
  <c r="K248" i="1"/>
  <c r="L248" i="1" s="1"/>
  <c r="M248" i="1" s="1"/>
  <c r="N248" i="1" s="1"/>
  <c r="O248" i="1" s="1"/>
  <c r="P248" i="1" s="1"/>
  <c r="Q248" i="1" s="1"/>
  <c r="R248" i="1" s="1"/>
  <c r="S248" i="1" s="1"/>
  <c r="T248" i="1"/>
  <c r="U248" i="1" s="1"/>
  <c r="V248" i="1" s="1"/>
  <c r="W248" i="1" s="1"/>
  <c r="X248" i="1" s="1"/>
  <c r="Y248" i="1" s="1"/>
  <c r="Z248" i="1" s="1"/>
  <c r="AA248" i="1" s="1"/>
  <c r="AB248" i="1" s="1"/>
  <c r="AC248" i="1" s="1"/>
  <c r="AD248" i="1" s="1"/>
  <c r="AE248" i="1" s="1"/>
  <c r="AF248" i="1" s="1"/>
  <c r="B248" i="1" s="1"/>
  <c r="D249" i="1"/>
  <c r="E249" i="1"/>
  <c r="F249" i="1"/>
  <c r="G249" i="1" s="1"/>
  <c r="H249" i="1" s="1"/>
  <c r="I249" i="1" s="1"/>
  <c r="J249" i="1"/>
  <c r="K249" i="1"/>
  <c r="L249" i="1" s="1"/>
  <c r="M249" i="1" s="1"/>
  <c r="N249" i="1" s="1"/>
  <c r="O249" i="1" s="1"/>
  <c r="P249" i="1" s="1"/>
  <c r="Q249" i="1" s="1"/>
  <c r="R249" i="1" s="1"/>
  <c r="S249" i="1" s="1"/>
  <c r="T249" i="1" s="1"/>
  <c r="U249" i="1" s="1"/>
  <c r="V249" i="1" s="1"/>
  <c r="W249" i="1" s="1"/>
  <c r="X249" i="1" s="1"/>
  <c r="Y249" i="1" s="1"/>
  <c r="Z249" i="1" s="1"/>
  <c r="AA249" i="1" s="1"/>
  <c r="AB249" i="1" s="1"/>
  <c r="AC249" i="1" s="1"/>
  <c r="AD249" i="1" s="1"/>
  <c r="AE249" i="1" s="1"/>
  <c r="AF249" i="1" s="1"/>
  <c r="B249" i="1" s="1"/>
  <c r="D250" i="1"/>
  <c r="E250" i="1"/>
  <c r="F250" i="1" s="1"/>
  <c r="G250" i="1"/>
  <c r="H250" i="1"/>
  <c r="I250" i="1" s="1"/>
  <c r="J250" i="1" s="1"/>
  <c r="K250" i="1" s="1"/>
  <c r="L250" i="1" s="1"/>
  <c r="M250" i="1" s="1"/>
  <c r="N250" i="1" s="1"/>
  <c r="O250" i="1" s="1"/>
  <c r="P250" i="1" s="1"/>
  <c r="Q250" i="1" s="1"/>
  <c r="R250" i="1" s="1"/>
  <c r="S250" i="1" s="1"/>
  <c r="T250" i="1" s="1"/>
  <c r="U250" i="1" s="1"/>
  <c r="V250" i="1" s="1"/>
  <c r="W250" i="1" s="1"/>
  <c r="X250" i="1" s="1"/>
  <c r="Y250" i="1" s="1"/>
  <c r="Z250" i="1" s="1"/>
  <c r="AA250" i="1" s="1"/>
  <c r="AB250" i="1" s="1"/>
  <c r="AC250" i="1" s="1"/>
  <c r="AD250" i="1" s="1"/>
  <c r="AE250" i="1" s="1"/>
  <c r="AF250" i="1" s="1"/>
  <c r="B250" i="1" s="1"/>
  <c r="D251" i="1"/>
  <c r="E251" i="1"/>
  <c r="F251" i="1" s="1"/>
  <c r="C252" i="1"/>
  <c r="AG252" i="1"/>
  <c r="AG75" i="1" s="1"/>
  <c r="AG76" i="1" s="1"/>
  <c r="O107" i="3" l="1"/>
  <c r="U107" i="3"/>
  <c r="BC23" i="3" s="1"/>
  <c r="L97" i="3"/>
  <c r="L99" i="3" s="1"/>
  <c r="AB97" i="3"/>
  <c r="AB99" i="3" s="1"/>
  <c r="AE107" i="3"/>
  <c r="N107" i="3"/>
  <c r="F107" i="3"/>
  <c r="F100" i="3" s="1"/>
  <c r="F7" i="3" s="1"/>
  <c r="AC107" i="3"/>
  <c r="AC100" i="3" s="1"/>
  <c r="AC7" i="3" s="1"/>
  <c r="E107" i="3"/>
  <c r="AP23" i="3" s="1"/>
  <c r="AG99" i="3"/>
  <c r="J97" i="3"/>
  <c r="J99" i="3" s="1"/>
  <c r="AF97" i="3"/>
  <c r="AF99" i="3" s="1"/>
  <c r="H97" i="3"/>
  <c r="H99" i="3" s="1"/>
  <c r="AX22" i="3"/>
  <c r="AH76" i="3"/>
  <c r="W107" i="3"/>
  <c r="W108" i="3" s="1"/>
  <c r="G107" i="3"/>
  <c r="AA107" i="3"/>
  <c r="AA108" i="3" s="1"/>
  <c r="AI104" i="3"/>
  <c r="Z107" i="3"/>
  <c r="Y107" i="3"/>
  <c r="Q107" i="3"/>
  <c r="AY23" i="3" s="1"/>
  <c r="I107" i="3"/>
  <c r="AS23" i="3" s="1"/>
  <c r="AI103" i="3"/>
  <c r="X97" i="3"/>
  <c r="X99" i="3" s="1"/>
  <c r="R107" i="3"/>
  <c r="J107" i="3"/>
  <c r="J108" i="3" s="1"/>
  <c r="AH102" i="3"/>
  <c r="BJ16" i="3"/>
  <c r="P97" i="3"/>
  <c r="P99" i="3" s="1"/>
  <c r="AD107" i="3"/>
  <c r="BH23" i="3" s="1"/>
  <c r="V107" i="3"/>
  <c r="AI102" i="3"/>
  <c r="T97" i="3"/>
  <c r="T99" i="3" s="1"/>
  <c r="D118" i="3"/>
  <c r="S107" i="3"/>
  <c r="BA23" i="3" s="1"/>
  <c r="K107" i="3"/>
  <c r="K108" i="3" s="1"/>
  <c r="BJ19" i="6"/>
  <c r="AF97" i="6"/>
  <c r="AF99" i="6" s="1"/>
  <c r="AF100" i="6" s="1"/>
  <c r="AF7" i="6" s="1"/>
  <c r="BH19" i="6"/>
  <c r="AD97" i="6"/>
  <c r="AD99" i="6" s="1"/>
  <c r="BH16" i="6"/>
  <c r="BH22" i="6" s="1"/>
  <c r="AC107" i="6"/>
  <c r="AC108" i="6" s="1"/>
  <c r="AA5" i="6"/>
  <c r="AB107" i="6"/>
  <c r="AB108" i="6" s="1"/>
  <c r="Y108" i="6"/>
  <c r="X107" i="6"/>
  <c r="BE23" i="6" s="1"/>
  <c r="BE19" i="6"/>
  <c r="BE22" i="6" s="1"/>
  <c r="BE24" i="6" s="1"/>
  <c r="X97" i="6"/>
  <c r="X99" i="6" s="1"/>
  <c r="X100" i="6" s="1"/>
  <c r="X7" i="6" s="1"/>
  <c r="W107" i="6"/>
  <c r="W108" i="6" s="1"/>
  <c r="W97" i="6"/>
  <c r="W99" i="6" s="1"/>
  <c r="W100" i="6" s="1"/>
  <c r="W7" i="6" s="1"/>
  <c r="U5" i="6"/>
  <c r="BD22" i="6"/>
  <c r="V97" i="6"/>
  <c r="V99" i="6" s="1"/>
  <c r="U107" i="6"/>
  <c r="BC23" i="6" s="1"/>
  <c r="S5" i="6"/>
  <c r="BB22" i="6"/>
  <c r="BA19" i="6"/>
  <c r="R107" i="6"/>
  <c r="AZ23" i="6" s="1"/>
  <c r="Q107" i="6"/>
  <c r="Q108" i="6"/>
  <c r="AY23" i="6"/>
  <c r="P107" i="6"/>
  <c r="AX23" i="6" s="1"/>
  <c r="AX19" i="6"/>
  <c r="P108" i="6"/>
  <c r="P97" i="6"/>
  <c r="P99" i="6" s="1"/>
  <c r="P100" i="6" s="1"/>
  <c r="P7" i="6" s="1"/>
  <c r="O108" i="6"/>
  <c r="AW23" i="6"/>
  <c r="O97" i="6"/>
  <c r="O99" i="6" s="1"/>
  <c r="O100" i="6" s="1"/>
  <c r="O7" i="6" s="1"/>
  <c r="AW16" i="6"/>
  <c r="AW22" i="6" s="1"/>
  <c r="AW24" i="6" s="1"/>
  <c r="AV19" i="6"/>
  <c r="N97" i="6"/>
  <c r="N99" i="6" s="1"/>
  <c r="AH103" i="6"/>
  <c r="M107" i="6"/>
  <c r="AU23" i="6" s="1"/>
  <c r="L107" i="6"/>
  <c r="L108" i="6" s="1"/>
  <c r="J5" i="6"/>
  <c r="H5" i="6"/>
  <c r="I107" i="6"/>
  <c r="AS23" i="6" s="1"/>
  <c r="AI103" i="6"/>
  <c r="H108" i="6"/>
  <c r="H97" i="6"/>
  <c r="H99" i="6" s="1"/>
  <c r="H100" i="6" s="1"/>
  <c r="H7" i="6" s="1"/>
  <c r="AR19" i="6"/>
  <c r="G107" i="6"/>
  <c r="G97" i="6"/>
  <c r="G99" i="6" s="1"/>
  <c r="G100" i="6" s="1"/>
  <c r="G7" i="6" s="1"/>
  <c r="AR16" i="6"/>
  <c r="AR22" i="6" s="1"/>
  <c r="AI105" i="6"/>
  <c r="F97" i="6"/>
  <c r="F99" i="6" s="1"/>
  <c r="AQ22" i="6"/>
  <c r="AP19" i="6"/>
  <c r="D5" i="6"/>
  <c r="D97" i="6"/>
  <c r="D99" i="6" s="1"/>
  <c r="D100" i="6" s="1"/>
  <c r="D7" i="6" s="1"/>
  <c r="D108" i="6"/>
  <c r="AI101" i="6"/>
  <c r="C107" i="6"/>
  <c r="C108" i="6" s="1"/>
  <c r="B5" i="6"/>
  <c r="AN19" i="6"/>
  <c r="AN22" i="6" s="1"/>
  <c r="BG84" i="6" a="1"/>
  <c r="BK104" i="6" s="1"/>
  <c r="AF5" i="6"/>
  <c r="B97" i="6"/>
  <c r="B99" i="6" s="1"/>
  <c r="B107" i="6"/>
  <c r="AL13" i="6"/>
  <c r="AO22" i="6"/>
  <c r="AH80" i="6"/>
  <c r="AI80" i="6"/>
  <c r="AO23" i="6"/>
  <c r="T108" i="6"/>
  <c r="BB23" i="6"/>
  <c r="BB24" i="6" s="1"/>
  <c r="AM16" i="6"/>
  <c r="AM22" i="6" s="1"/>
  <c r="AI58" i="6"/>
  <c r="J97" i="6"/>
  <c r="J99" i="6" s="1"/>
  <c r="R97" i="6"/>
  <c r="R99" i="6" s="1"/>
  <c r="R100" i="6" s="1"/>
  <c r="R7" i="6" s="1"/>
  <c r="AZ16" i="6"/>
  <c r="AZ22" i="6" s="1"/>
  <c r="AZ24" i="6" s="1"/>
  <c r="Z97" i="6"/>
  <c r="Z99" i="6" s="1"/>
  <c r="BF16" i="6"/>
  <c r="BF22" i="6" s="1"/>
  <c r="AH58" i="6"/>
  <c r="M108" i="6"/>
  <c r="AU19" i="6"/>
  <c r="AU22" i="6" s="1"/>
  <c r="AU24" i="6" s="1"/>
  <c r="U108" i="6"/>
  <c r="BC19" i="6"/>
  <c r="M97" i="6"/>
  <c r="M99" i="6" s="1"/>
  <c r="M100" i="6" s="1"/>
  <c r="M7" i="6" s="1"/>
  <c r="AF108" i="6"/>
  <c r="AI104" i="6"/>
  <c r="F251" i="6"/>
  <c r="G251" i="6" s="1"/>
  <c r="H251" i="6" s="1"/>
  <c r="I251" i="6" s="1"/>
  <c r="J251" i="6" s="1"/>
  <c r="K251" i="6" s="1"/>
  <c r="L251" i="6" s="1"/>
  <c r="M251" i="6" s="1"/>
  <c r="N251" i="6" s="1"/>
  <c r="O251" i="6" s="1"/>
  <c r="P251" i="6" s="1"/>
  <c r="Q251" i="6" s="1"/>
  <c r="R251" i="6" s="1"/>
  <c r="S251" i="6" s="1"/>
  <c r="T251" i="6" s="1"/>
  <c r="U251" i="6" s="1"/>
  <c r="V251" i="6" s="1"/>
  <c r="W251" i="6" s="1"/>
  <c r="X251" i="6" s="1"/>
  <c r="Y251" i="6" s="1"/>
  <c r="Z251" i="6" s="1"/>
  <c r="AA251" i="6" s="1"/>
  <c r="AB251" i="6" s="1"/>
  <c r="AC251" i="6" s="1"/>
  <c r="AD251" i="6" s="1"/>
  <c r="AE251" i="6" s="1"/>
  <c r="AF251" i="6" s="1"/>
  <c r="B251" i="6" s="1"/>
  <c r="E118" i="6"/>
  <c r="S97" i="6"/>
  <c r="S99" i="6" s="1"/>
  <c r="BA20" i="6"/>
  <c r="I97" i="6"/>
  <c r="I99" i="6" s="1"/>
  <c r="I100" i="6" s="1"/>
  <c r="I7" i="6" s="1"/>
  <c r="Q97" i="6"/>
  <c r="Q99" i="6" s="1"/>
  <c r="Q100" i="6" s="1"/>
  <c r="Q7" i="6" s="1"/>
  <c r="AY16" i="6"/>
  <c r="AY22" i="6" s="1"/>
  <c r="AY24" i="6" s="1"/>
  <c r="AI62" i="6"/>
  <c r="K97" i="6"/>
  <c r="K99" i="6" s="1"/>
  <c r="G250" i="6"/>
  <c r="H250" i="6" s="1"/>
  <c r="I250" i="6" s="1"/>
  <c r="J250" i="6" s="1"/>
  <c r="K250" i="6" s="1"/>
  <c r="L250" i="6" s="1"/>
  <c r="M250" i="6" s="1"/>
  <c r="N250" i="6" s="1"/>
  <c r="O250" i="6" s="1"/>
  <c r="P250" i="6" s="1"/>
  <c r="Q250" i="6" s="1"/>
  <c r="R250" i="6" s="1"/>
  <c r="S250" i="6" s="1"/>
  <c r="T250" i="6" s="1"/>
  <c r="U250" i="6" s="1"/>
  <c r="V250" i="6" s="1"/>
  <c r="W250" i="6" s="1"/>
  <c r="X250" i="6" s="1"/>
  <c r="Y250" i="6" s="1"/>
  <c r="Z250" i="6" s="1"/>
  <c r="AA250" i="6" s="1"/>
  <c r="AB250" i="6" s="1"/>
  <c r="AC250" i="6" s="1"/>
  <c r="AD250" i="6" s="1"/>
  <c r="AE250" i="6" s="1"/>
  <c r="AF250" i="6" s="1"/>
  <c r="B250" i="6" s="1"/>
  <c r="AT22" i="6"/>
  <c r="BG22" i="6"/>
  <c r="AA97" i="6"/>
  <c r="AA99" i="6" s="1"/>
  <c r="AV22" i="6"/>
  <c r="AV24" i="6" s="1"/>
  <c r="AX22" i="6"/>
  <c r="AX24" i="6" s="1"/>
  <c r="AH102" i="6"/>
  <c r="AI102" i="6"/>
  <c r="J107" i="6"/>
  <c r="J108" i="6" s="1"/>
  <c r="Z107" i="6"/>
  <c r="BF23" i="6" s="1"/>
  <c r="E97" i="6"/>
  <c r="E99" i="6" s="1"/>
  <c r="E100" i="6" s="1"/>
  <c r="E7" i="6" s="1"/>
  <c r="AZ76" i="6"/>
  <c r="AG99" i="6"/>
  <c r="E252" i="6"/>
  <c r="Y97" i="6"/>
  <c r="Y99" i="6" s="1"/>
  <c r="Y100" i="6" s="1"/>
  <c r="Y7" i="6" s="1"/>
  <c r="AG97" i="6"/>
  <c r="AG2" i="6"/>
  <c r="AG6" i="6" s="1"/>
  <c r="AH62" i="6"/>
  <c r="AS16" i="6"/>
  <c r="AS22" i="6" s="1"/>
  <c r="U97" i="6"/>
  <c r="U99" i="6" s="1"/>
  <c r="U100" i="6" s="1"/>
  <c r="U7" i="6" s="1"/>
  <c r="AC97" i="6"/>
  <c r="AC99" i="6" s="1"/>
  <c r="AC100" i="6" s="1"/>
  <c r="AC7" i="6" s="1"/>
  <c r="BJ22" i="6"/>
  <c r="BJ24" i="6" s="1"/>
  <c r="BG23" i="6"/>
  <c r="AI76" i="6"/>
  <c r="I108" i="6"/>
  <c r="AN23" i="6"/>
  <c r="AH101" i="6"/>
  <c r="K107" i="6"/>
  <c r="S107" i="6"/>
  <c r="BA23" i="6" s="1"/>
  <c r="AA107" i="6"/>
  <c r="AA108" i="6" s="1"/>
  <c r="AP16" i="6"/>
  <c r="AP22" i="6" s="1"/>
  <c r="AP24" i="6" s="1"/>
  <c r="N108" i="6"/>
  <c r="AH104" i="6"/>
  <c r="L97" i="6"/>
  <c r="L99" i="6" s="1"/>
  <c r="L100" i="6" s="1"/>
  <c r="L7" i="6" s="1"/>
  <c r="T97" i="6"/>
  <c r="T99" i="6" s="1"/>
  <c r="T100" i="6" s="1"/>
  <c r="T7" i="6" s="1"/>
  <c r="AB97" i="6"/>
  <c r="AB99" i="6" s="1"/>
  <c r="AB100" i="6" s="1"/>
  <c r="AB7" i="6" s="1"/>
  <c r="F107" i="6"/>
  <c r="AQ23" i="6" s="1"/>
  <c r="AQ24" i="6" s="1"/>
  <c r="N107" i="6"/>
  <c r="AV23" i="6" s="1"/>
  <c r="V107" i="6"/>
  <c r="BD23" i="6" s="1"/>
  <c r="BD24" i="6" s="1"/>
  <c r="AD107" i="6"/>
  <c r="BH23" i="6" s="1"/>
  <c r="H246" i="6"/>
  <c r="AH76" i="6"/>
  <c r="R108" i="6"/>
  <c r="AH92" i="6"/>
  <c r="BC16" i="6"/>
  <c r="BC22" i="6" s="1"/>
  <c r="BC24" i="6" s="1"/>
  <c r="AI92" i="6"/>
  <c r="AH105" i="6"/>
  <c r="AF108" i="1"/>
  <c r="AF97" i="1"/>
  <c r="AF99" i="1" s="1"/>
  <c r="AF100" i="1" s="1"/>
  <c r="BJ20" i="1"/>
  <c r="AI104" i="1"/>
  <c r="AE108" i="1"/>
  <c r="AE97" i="1"/>
  <c r="AE99" i="1" s="1"/>
  <c r="AE100" i="1" s="1"/>
  <c r="AE7" i="1" s="1"/>
  <c r="D258" i="1"/>
  <c r="AL13" i="4"/>
  <c r="AV22" i="4"/>
  <c r="AV24" i="4" s="1"/>
  <c r="AN22" i="4"/>
  <c r="AN24" i="4" s="1"/>
  <c r="AZ22" i="4"/>
  <c r="AZ24" i="4" s="1"/>
  <c r="AR22" i="4"/>
  <c r="AR24" i="4" s="1"/>
  <c r="AP24" i="4"/>
  <c r="AT24" i="4"/>
  <c r="AI80" i="4"/>
  <c r="C107" i="4"/>
  <c r="AN23" i="4" s="1"/>
  <c r="AH102" i="4"/>
  <c r="AU22" i="4"/>
  <c r="AU24" i="4" s="1"/>
  <c r="K97" i="4"/>
  <c r="K99" i="4" s="1"/>
  <c r="K100" i="4" s="1"/>
  <c r="K7" i="4" s="1"/>
  <c r="AA97" i="4"/>
  <c r="AA99" i="4" s="1"/>
  <c r="AA100" i="4" s="1"/>
  <c r="AA7" i="4" s="1"/>
  <c r="AE100" i="4"/>
  <c r="AE7" i="4" s="1"/>
  <c r="T97" i="4"/>
  <c r="T99" i="4" s="1"/>
  <c r="T100" i="4" s="1"/>
  <c r="T7" i="4" s="1"/>
  <c r="BB16" i="4"/>
  <c r="BB22" i="4" s="1"/>
  <c r="BB24" i="4" s="1"/>
  <c r="AB97" i="4"/>
  <c r="AB99" i="4" s="1"/>
  <c r="AB100" i="4" s="1"/>
  <c r="AB7" i="4" s="1"/>
  <c r="BG16" i="4"/>
  <c r="BG22" i="4" s="1"/>
  <c r="BG24" i="4" s="1"/>
  <c r="AG6" i="4"/>
  <c r="AO16" i="4"/>
  <c r="AO22" i="4" s="1"/>
  <c r="AZ19" i="4"/>
  <c r="BA20" i="4"/>
  <c r="BA22" i="4" s="1"/>
  <c r="BA24" i="4" s="1"/>
  <c r="E97" i="4"/>
  <c r="E99" i="4" s="1"/>
  <c r="E100" i="4" s="1"/>
  <c r="E7" i="4" s="1"/>
  <c r="U97" i="4"/>
  <c r="U99" i="4" s="1"/>
  <c r="U100" i="4" s="1"/>
  <c r="U7" i="4" s="1"/>
  <c r="I108" i="4"/>
  <c r="AS19" i="4"/>
  <c r="AS22" i="4" s="1"/>
  <c r="AS24" i="4" s="1"/>
  <c r="AG99" i="4"/>
  <c r="G97" i="4"/>
  <c r="G99" i="4" s="1"/>
  <c r="W97" i="4"/>
  <c r="W99" i="4" s="1"/>
  <c r="W100" i="4" s="1"/>
  <c r="W7" i="4" s="1"/>
  <c r="AI62" i="4"/>
  <c r="L108" i="4"/>
  <c r="T108" i="4"/>
  <c r="AB108" i="4"/>
  <c r="D107" i="4"/>
  <c r="AI101" i="4"/>
  <c r="L107" i="4"/>
  <c r="L100" i="4" s="1"/>
  <c r="L7" i="4" s="1"/>
  <c r="T107" i="4"/>
  <c r="BB23" i="4" s="1"/>
  <c r="AB107" i="4"/>
  <c r="BG23" i="4" s="1"/>
  <c r="AI92" i="4"/>
  <c r="AH92" i="4"/>
  <c r="AI57" i="4"/>
  <c r="BJ22" i="4"/>
  <c r="BJ24" i="4" s="1"/>
  <c r="BC22" i="4"/>
  <c r="BC24" i="4" s="1"/>
  <c r="AH57" i="4"/>
  <c r="I5" i="4"/>
  <c r="Q5" i="4"/>
  <c r="Y5" i="4"/>
  <c r="AM19" i="4"/>
  <c r="AM22" i="4" s="1"/>
  <c r="BF19" i="4"/>
  <c r="BF22" i="4" s="1"/>
  <c r="BF24" i="4" s="1"/>
  <c r="AN20" i="4"/>
  <c r="AH58" i="4"/>
  <c r="AV19" i="4"/>
  <c r="BD19" i="4"/>
  <c r="BD22" i="4" s="1"/>
  <c r="BD24" i="4" s="1"/>
  <c r="F97" i="4"/>
  <c r="F99" i="4" s="1"/>
  <c r="F100" i="4" s="1"/>
  <c r="F7" i="4" s="1"/>
  <c r="N97" i="4"/>
  <c r="N99" i="4" s="1"/>
  <c r="N100" i="4" s="1"/>
  <c r="N7" i="4" s="1"/>
  <c r="V97" i="4"/>
  <c r="V99" i="4" s="1"/>
  <c r="V100" i="4" s="1"/>
  <c r="V7" i="4" s="1"/>
  <c r="AD97" i="4"/>
  <c r="AD99" i="4" s="1"/>
  <c r="AD100" i="4" s="1"/>
  <c r="AD7" i="4" s="1"/>
  <c r="K108" i="4"/>
  <c r="S108" i="4"/>
  <c r="AA108" i="4"/>
  <c r="Q97" i="4"/>
  <c r="Q99" i="4" s="1"/>
  <c r="Q100" i="4" s="1"/>
  <c r="Q7" i="4" s="1"/>
  <c r="AH76" i="4"/>
  <c r="X97" i="4"/>
  <c r="X99" i="4" s="1"/>
  <c r="X100" i="4" s="1"/>
  <c r="X7" i="4" s="1"/>
  <c r="AF97" i="4"/>
  <c r="AF99" i="4" s="1"/>
  <c r="AF100" i="4" s="1"/>
  <c r="AF7" i="4" s="1"/>
  <c r="BG84" i="4" a="1"/>
  <c r="AI76" i="4"/>
  <c r="E108" i="4"/>
  <c r="AC108" i="4"/>
  <c r="J97" i="4"/>
  <c r="J99" i="4" s="1"/>
  <c r="J100" i="4" s="1"/>
  <c r="J7" i="4" s="1"/>
  <c r="Z97" i="4"/>
  <c r="Z99" i="4" s="1"/>
  <c r="Z100" i="4" s="1"/>
  <c r="Z7" i="4" s="1"/>
  <c r="AH62" i="4"/>
  <c r="G108" i="4"/>
  <c r="O108" i="4"/>
  <c r="W108" i="4"/>
  <c r="AE108" i="4"/>
  <c r="D118" i="4"/>
  <c r="E251" i="4"/>
  <c r="F251" i="4" s="1"/>
  <c r="G251" i="4" s="1"/>
  <c r="H251" i="4" s="1"/>
  <c r="I251" i="4" s="1"/>
  <c r="J251" i="4" s="1"/>
  <c r="K251" i="4" s="1"/>
  <c r="L251" i="4" s="1"/>
  <c r="M251" i="4" s="1"/>
  <c r="N251" i="4" s="1"/>
  <c r="O251" i="4" s="1"/>
  <c r="P251" i="4" s="1"/>
  <c r="Q251" i="4" s="1"/>
  <c r="R251" i="4" s="1"/>
  <c r="S251" i="4" s="1"/>
  <c r="T251" i="4" s="1"/>
  <c r="U251" i="4" s="1"/>
  <c r="V251" i="4" s="1"/>
  <c r="W251" i="4" s="1"/>
  <c r="X251" i="4" s="1"/>
  <c r="Y251" i="4" s="1"/>
  <c r="Z251" i="4" s="1"/>
  <c r="AA251" i="4" s="1"/>
  <c r="AB251" i="4" s="1"/>
  <c r="AC251" i="4" s="1"/>
  <c r="AD251" i="4" s="1"/>
  <c r="AE251" i="4" s="1"/>
  <c r="AF251" i="4" s="1"/>
  <c r="B251" i="4" s="1"/>
  <c r="B97" i="4"/>
  <c r="R97" i="4"/>
  <c r="R99" i="4" s="1"/>
  <c r="R100" i="4" s="1"/>
  <c r="R7" i="4" s="1"/>
  <c r="AI58" i="4"/>
  <c r="H108" i="4"/>
  <c r="P108" i="4"/>
  <c r="X108" i="4"/>
  <c r="AF108" i="4"/>
  <c r="B107" i="4"/>
  <c r="AH101" i="4"/>
  <c r="AI102" i="4"/>
  <c r="AH103" i="4"/>
  <c r="AI104" i="4"/>
  <c r="AH105" i="4"/>
  <c r="E246" i="4"/>
  <c r="D258" i="3"/>
  <c r="BI23" i="1"/>
  <c r="O108" i="1"/>
  <c r="AW23" i="1"/>
  <c r="AR23" i="1"/>
  <c r="G108" i="1"/>
  <c r="I246" i="1"/>
  <c r="H252" i="1"/>
  <c r="AI101" i="1"/>
  <c r="E107" i="1"/>
  <c r="AP23" i="1" s="1"/>
  <c r="G100" i="1"/>
  <c r="G7" i="1" s="1"/>
  <c r="G252" i="1"/>
  <c r="G118" i="1"/>
  <c r="BH23" i="1"/>
  <c r="AD108" i="1"/>
  <c r="AA100" i="1"/>
  <c r="AA7" i="1" s="1"/>
  <c r="E100" i="1"/>
  <c r="E7" i="1" s="1"/>
  <c r="S100" i="1"/>
  <c r="S7" i="1" s="1"/>
  <c r="AG3" i="1"/>
  <c r="AG6" i="1" s="1"/>
  <c r="AG97" i="1"/>
  <c r="F252" i="1"/>
  <c r="G251" i="1"/>
  <c r="H251" i="1" s="1"/>
  <c r="I251" i="1" s="1"/>
  <c r="J251" i="1" s="1"/>
  <c r="K251" i="1" s="1"/>
  <c r="L251" i="1" s="1"/>
  <c r="M251" i="1" s="1"/>
  <c r="N251" i="1" s="1"/>
  <c r="O251" i="1" s="1"/>
  <c r="P251" i="1" s="1"/>
  <c r="Q251" i="1" s="1"/>
  <c r="R251" i="1" s="1"/>
  <c r="S251" i="1" s="1"/>
  <c r="T251" i="1" s="1"/>
  <c r="U251" i="1" s="1"/>
  <c r="V251" i="1" s="1"/>
  <c r="W251" i="1" s="1"/>
  <c r="X251" i="1" s="1"/>
  <c r="Y251" i="1" s="1"/>
  <c r="Z251" i="1" s="1"/>
  <c r="AA251" i="1" s="1"/>
  <c r="AB251" i="1" s="1"/>
  <c r="AC251" i="1" s="1"/>
  <c r="AD251" i="1" s="1"/>
  <c r="AE251" i="1" s="1"/>
  <c r="AF251" i="1" s="1"/>
  <c r="B251" i="1" s="1"/>
  <c r="AG99" i="1"/>
  <c r="AQ23" i="1"/>
  <c r="F108" i="1"/>
  <c r="W100" i="1"/>
  <c r="W7" i="1" s="1"/>
  <c r="BA23" i="1"/>
  <c r="BA24" i="1" s="1"/>
  <c r="S108" i="1"/>
  <c r="AN23" i="1"/>
  <c r="C108" i="1"/>
  <c r="BF23" i="1"/>
  <c r="Z108" i="1"/>
  <c r="AH101" i="1"/>
  <c r="K100" i="1"/>
  <c r="K7" i="1" s="1"/>
  <c r="H118" i="1"/>
  <c r="V108" i="1"/>
  <c r="AZ23" i="1"/>
  <c r="R108" i="1"/>
  <c r="Q100" i="1"/>
  <c r="Q7" i="1" s="1"/>
  <c r="O5" i="1"/>
  <c r="AX19" i="1"/>
  <c r="AX22" i="1" s="1"/>
  <c r="AX24" i="1" s="1"/>
  <c r="AM17" i="1"/>
  <c r="AI62" i="1"/>
  <c r="BE19" i="1"/>
  <c r="AW23" i="3"/>
  <c r="O108" i="3"/>
  <c r="F118" i="1"/>
  <c r="AH103" i="1"/>
  <c r="AB107" i="1"/>
  <c r="T107" i="1"/>
  <c r="L107" i="1"/>
  <c r="L108" i="1" s="1"/>
  <c r="D107" i="1"/>
  <c r="P97" i="1"/>
  <c r="P99" i="1" s="1"/>
  <c r="BE22" i="1"/>
  <c r="AT24" i="1"/>
  <c r="E118" i="1"/>
  <c r="AI103" i="1"/>
  <c r="O97" i="1"/>
  <c r="O99" i="1" s="1"/>
  <c r="O100" i="1" s="1"/>
  <c r="O7" i="1" s="1"/>
  <c r="AC5" i="1"/>
  <c r="BH19" i="1"/>
  <c r="E5" i="1"/>
  <c r="AQ19" i="1"/>
  <c r="AQ22" i="1" s="1"/>
  <c r="AQ24" i="1" s="1"/>
  <c r="AS22" i="1"/>
  <c r="AS24" i="1" s="1"/>
  <c r="AB5" i="1"/>
  <c r="AC108" i="1"/>
  <c r="AP19" i="1"/>
  <c r="AP22" i="1" s="1"/>
  <c r="AP24" i="1" s="1"/>
  <c r="D5" i="1"/>
  <c r="E108" i="1"/>
  <c r="BG84" i="1" a="1"/>
  <c r="AZ75" i="1"/>
  <c r="BH22" i="1"/>
  <c r="BD22" i="1"/>
  <c r="BD24" i="1" s="1"/>
  <c r="AV22" i="1"/>
  <c r="AV23" i="1"/>
  <c r="BG22" i="1"/>
  <c r="AA5" i="1"/>
  <c r="BG19" i="1"/>
  <c r="S5" i="1"/>
  <c r="BB19" i="1"/>
  <c r="AU22" i="1"/>
  <c r="AU24" i="1" s="1"/>
  <c r="AQ20" i="1"/>
  <c r="BI22" i="1"/>
  <c r="BI24" i="1" s="1"/>
  <c r="BC19" i="1"/>
  <c r="BC22" i="1" s="1"/>
  <c r="BC24" i="1" s="1"/>
  <c r="U108" i="1"/>
  <c r="E252" i="1"/>
  <c r="P108" i="1"/>
  <c r="AI80" i="1"/>
  <c r="AM20" i="1"/>
  <c r="T5" i="1"/>
  <c r="AD108" i="3"/>
  <c r="BD23" i="3"/>
  <c r="V108" i="3"/>
  <c r="X5" i="3"/>
  <c r="Y97" i="3"/>
  <c r="Y99" i="3" s="1"/>
  <c r="Y100" i="3" s="1"/>
  <c r="Y7" i="3" s="1"/>
  <c r="Y108" i="3"/>
  <c r="AY19" i="3"/>
  <c r="P5" i="3"/>
  <c r="Q108" i="3"/>
  <c r="Q97" i="3"/>
  <c r="Q99" i="3" s="1"/>
  <c r="Q100" i="3" s="1"/>
  <c r="Q7" i="3" s="1"/>
  <c r="AS19" i="3"/>
  <c r="AS22" i="3" s="1"/>
  <c r="H5" i="3"/>
  <c r="I97" i="3"/>
  <c r="I99" i="3" s="1"/>
  <c r="AE5" i="1"/>
  <c r="BJ19" i="1"/>
  <c r="BJ22" i="1" s="1"/>
  <c r="X97" i="1"/>
  <c r="X99" i="1" s="1"/>
  <c r="L5" i="1"/>
  <c r="M108" i="1"/>
  <c r="B107" i="1"/>
  <c r="AH104" i="1"/>
  <c r="X107" i="1"/>
  <c r="BE23" i="1" s="1"/>
  <c r="P107" i="1"/>
  <c r="AX23" i="1" s="1"/>
  <c r="H107" i="1"/>
  <c r="H108" i="1" s="1"/>
  <c r="U97" i="1"/>
  <c r="U99" i="1" s="1"/>
  <c r="U100" i="1" s="1"/>
  <c r="U7" i="1" s="1"/>
  <c r="T97" i="1"/>
  <c r="T99" i="1" s="1"/>
  <c r="T100" i="1" s="1"/>
  <c r="T7" i="1" s="1"/>
  <c r="I97" i="1"/>
  <c r="I99" i="1" s="1"/>
  <c r="I100" i="1" s="1"/>
  <c r="I7" i="1" s="1"/>
  <c r="AH92" i="1"/>
  <c r="BF19" i="1"/>
  <c r="Y5" i="1"/>
  <c r="Q5" i="1"/>
  <c r="AZ19" i="1"/>
  <c r="AI92" i="1"/>
  <c r="AN22" i="1"/>
  <c r="AN24" i="1" s="1"/>
  <c r="M5" i="1"/>
  <c r="BI23" i="3"/>
  <c r="AE108" i="3"/>
  <c r="AR23" i="3"/>
  <c r="G108" i="3"/>
  <c r="AC97" i="1"/>
  <c r="AC99" i="1" s="1"/>
  <c r="AC100" i="1" s="1"/>
  <c r="AC7" i="1" s="1"/>
  <c r="H97" i="1"/>
  <c r="H99" i="1" s="1"/>
  <c r="Y108" i="1"/>
  <c r="X5" i="1"/>
  <c r="P5" i="1"/>
  <c r="Q108" i="1"/>
  <c r="AY19" i="1"/>
  <c r="AY22" i="1" s="1"/>
  <c r="AY24" i="1" s="1"/>
  <c r="H5" i="1"/>
  <c r="I108" i="1"/>
  <c r="AS19" i="1"/>
  <c r="AH76" i="1"/>
  <c r="AM18" i="1"/>
  <c r="AI76" i="1"/>
  <c r="BF16" i="1"/>
  <c r="BF22" i="1" s="1"/>
  <c r="BF24" i="1" s="1"/>
  <c r="Z97" i="1"/>
  <c r="Z99" i="1" s="1"/>
  <c r="Z100" i="1" s="1"/>
  <c r="Z7" i="1" s="1"/>
  <c r="AZ16" i="1"/>
  <c r="AZ22" i="1" s="1"/>
  <c r="AZ24" i="1" s="1"/>
  <c r="R97" i="1"/>
  <c r="R99" i="1" s="1"/>
  <c r="R100" i="1" s="1"/>
  <c r="R7" i="1" s="1"/>
  <c r="J97" i="1"/>
  <c r="J99" i="1" s="1"/>
  <c r="J100" i="1" s="1"/>
  <c r="J7" i="1" s="1"/>
  <c r="AI58" i="1"/>
  <c r="AM16" i="1"/>
  <c r="AM22" i="1" s="1"/>
  <c r="B97" i="1"/>
  <c r="AV23" i="3"/>
  <c r="N108" i="3"/>
  <c r="AD97" i="1"/>
  <c r="AD99" i="1" s="1"/>
  <c r="AD100" i="1" s="1"/>
  <c r="AD7" i="1" s="1"/>
  <c r="V97" i="1"/>
  <c r="V99" i="1" s="1"/>
  <c r="V100" i="1" s="1"/>
  <c r="V7" i="1" s="1"/>
  <c r="N97" i="1"/>
  <c r="N99" i="1" s="1"/>
  <c r="N100" i="1" s="1"/>
  <c r="N7" i="1" s="1"/>
  <c r="F97" i="1"/>
  <c r="F99" i="1" s="1"/>
  <c r="F100" i="1" s="1"/>
  <c r="F7" i="1" s="1"/>
  <c r="F5" i="1"/>
  <c r="AR19" i="1"/>
  <c r="AR22" i="1" s="1"/>
  <c r="AR24" i="1" s="1"/>
  <c r="AF5" i="1"/>
  <c r="E247" i="3"/>
  <c r="F247" i="3" s="1"/>
  <c r="G247" i="3" s="1"/>
  <c r="H247" i="3" s="1"/>
  <c r="I247" i="3" s="1"/>
  <c r="J247" i="3" s="1"/>
  <c r="K247" i="3" s="1"/>
  <c r="L247" i="3" s="1"/>
  <c r="M247" i="3" s="1"/>
  <c r="N247" i="3" s="1"/>
  <c r="O247" i="3" s="1"/>
  <c r="P247" i="3" s="1"/>
  <c r="Q247" i="3" s="1"/>
  <c r="R247" i="3" s="1"/>
  <c r="S247" i="3" s="1"/>
  <c r="T247" i="3" s="1"/>
  <c r="U247" i="3" s="1"/>
  <c r="V247" i="3" s="1"/>
  <c r="W247" i="3" s="1"/>
  <c r="X247" i="3" s="1"/>
  <c r="Y247" i="3" s="1"/>
  <c r="Z247" i="3" s="1"/>
  <c r="AA247" i="3" s="1"/>
  <c r="AB247" i="3" s="1"/>
  <c r="AC247" i="3" s="1"/>
  <c r="AD247" i="3" s="1"/>
  <c r="AE247" i="3" s="1"/>
  <c r="AF247" i="3" s="1"/>
  <c r="B247" i="3" s="1"/>
  <c r="D252" i="3"/>
  <c r="BB22" i="1"/>
  <c r="AD5" i="1"/>
  <c r="E252" i="3"/>
  <c r="F246" i="3"/>
  <c r="AI105" i="3"/>
  <c r="V100" i="3"/>
  <c r="V7" i="3" s="1"/>
  <c r="C5" i="1"/>
  <c r="AO19" i="1"/>
  <c r="AO22" i="1" s="1"/>
  <c r="AM19" i="1"/>
  <c r="AG3" i="3"/>
  <c r="AG6" i="3" s="1"/>
  <c r="AG97" i="3"/>
  <c r="AI101" i="3"/>
  <c r="C107" i="3"/>
  <c r="AW19" i="1"/>
  <c r="AW22" i="1" s="1"/>
  <c r="AW24" i="1" s="1"/>
  <c r="BF23" i="3"/>
  <c r="Z108" i="3"/>
  <c r="AZ23" i="3"/>
  <c r="R108" i="3"/>
  <c r="B107" i="3"/>
  <c r="AH104" i="3"/>
  <c r="E118" i="3"/>
  <c r="S108" i="3"/>
  <c r="AI92" i="3"/>
  <c r="Z97" i="3"/>
  <c r="Z99" i="3" s="1"/>
  <c r="Z100" i="3" s="1"/>
  <c r="Z7" i="3" s="1"/>
  <c r="BF18" i="3"/>
  <c r="AI76" i="3"/>
  <c r="AM18" i="3"/>
  <c r="B97" i="3"/>
  <c r="AH101" i="3"/>
  <c r="U100" i="3"/>
  <c r="U7" i="3" s="1"/>
  <c r="AC5" i="3"/>
  <c r="BH19" i="3"/>
  <c r="BH22" i="3" s="1"/>
  <c r="AH103" i="3"/>
  <c r="AF107" i="3"/>
  <c r="AF100" i="3" s="1"/>
  <c r="AF7" i="3" s="1"/>
  <c r="X107" i="3"/>
  <c r="P107" i="3"/>
  <c r="H107" i="3"/>
  <c r="AO20" i="3"/>
  <c r="D97" i="3"/>
  <c r="D99" i="3" s="1"/>
  <c r="AH105" i="3"/>
  <c r="AB107" i="3"/>
  <c r="T107" i="3"/>
  <c r="L107" i="3"/>
  <c r="L108" i="3" s="1"/>
  <c r="D107" i="3"/>
  <c r="AN20" i="3"/>
  <c r="AH80" i="3"/>
  <c r="R97" i="3"/>
  <c r="R99" i="3" s="1"/>
  <c r="R100" i="3" s="1"/>
  <c r="R7" i="3" s="1"/>
  <c r="AI80" i="3"/>
  <c r="AD97" i="3"/>
  <c r="AD99" i="3" s="1"/>
  <c r="AD5" i="3"/>
  <c r="BI19" i="3"/>
  <c r="AW19" i="3"/>
  <c r="N5" i="3"/>
  <c r="F5" i="3"/>
  <c r="AR19" i="3"/>
  <c r="AA97" i="3"/>
  <c r="AA99" i="3" s="1"/>
  <c r="AA100" i="3" s="1"/>
  <c r="AA7" i="3" s="1"/>
  <c r="S97" i="3"/>
  <c r="S99" i="3" s="1"/>
  <c r="S100" i="3" s="1"/>
  <c r="S7" i="3" s="1"/>
  <c r="K97" i="3"/>
  <c r="K99" i="3" s="1"/>
  <c r="R5" i="3"/>
  <c r="E5" i="3"/>
  <c r="AQ19" i="3"/>
  <c r="AI62" i="3"/>
  <c r="J5" i="3"/>
  <c r="T5" i="3"/>
  <c r="BC19" i="3"/>
  <c r="BC22" i="3" s="1"/>
  <c r="BC24" i="3" s="1"/>
  <c r="L5" i="3"/>
  <c r="AU19" i="3"/>
  <c r="AU22" i="3" s="1"/>
  <c r="AU24" i="3" s="1"/>
  <c r="D5" i="3"/>
  <c r="AP19" i="3"/>
  <c r="AP22" i="3" s="1"/>
  <c r="AP24" i="3" s="1"/>
  <c r="AH62" i="3"/>
  <c r="AY22" i="3"/>
  <c r="AY24" i="3" s="1"/>
  <c r="AT22" i="3"/>
  <c r="B5" i="3"/>
  <c r="E97" i="3"/>
  <c r="E99" i="3" s="1"/>
  <c r="E100" i="3" s="1"/>
  <c r="E7" i="3" s="1"/>
  <c r="BE22" i="3"/>
  <c r="BD19" i="3"/>
  <c r="AQ22" i="3"/>
  <c r="AC108" i="3"/>
  <c r="U108" i="3"/>
  <c r="M108" i="3"/>
  <c r="E108" i="3"/>
  <c r="N97" i="3"/>
  <c r="N99" i="3" s="1"/>
  <c r="N100" i="3" s="1"/>
  <c r="N7" i="3" s="1"/>
  <c r="BG84" i="3" a="1"/>
  <c r="BI16" i="3"/>
  <c r="AE97" i="3"/>
  <c r="AE99" i="3" s="1"/>
  <c r="AE100" i="3" s="1"/>
  <c r="AE7" i="3" s="1"/>
  <c r="W97" i="3"/>
  <c r="W99" i="3" s="1"/>
  <c r="W100" i="3" s="1"/>
  <c r="W7" i="3" s="1"/>
  <c r="AW16" i="3"/>
  <c r="AW22" i="3" s="1"/>
  <c r="AW24" i="3" s="1"/>
  <c r="O97" i="3"/>
  <c r="O99" i="3" s="1"/>
  <c r="O100" i="3" s="1"/>
  <c r="O7" i="3" s="1"/>
  <c r="AR16" i="3"/>
  <c r="G97" i="3"/>
  <c r="G99" i="3" s="1"/>
  <c r="AV19" i="3"/>
  <c r="AV22" i="3" s="1"/>
  <c r="AV24" i="3" s="1"/>
  <c r="M97" i="3"/>
  <c r="M99" i="3" s="1"/>
  <c r="M100" i="3" s="1"/>
  <c r="M7" i="3" s="1"/>
  <c r="AH92" i="3"/>
  <c r="BF19" i="3"/>
  <c r="Y5" i="3"/>
  <c r="AZ19" i="3"/>
  <c r="AZ22" i="3" s="1"/>
  <c r="Q5" i="3"/>
  <c r="AF5" i="3"/>
  <c r="AM19" i="3"/>
  <c r="BD22" i="3"/>
  <c r="BD24" i="3" s="1"/>
  <c r="BA16" i="3"/>
  <c r="BA22" i="3" s="1"/>
  <c r="BA24" i="3" s="1"/>
  <c r="BJ19" i="3"/>
  <c r="BJ22" i="3" s="1"/>
  <c r="BB19" i="3"/>
  <c r="BB22" i="3" s="1"/>
  <c r="AO17" i="3"/>
  <c r="W5" i="3"/>
  <c r="O5" i="3"/>
  <c r="AI58" i="3"/>
  <c r="AN17" i="3"/>
  <c r="AN22" i="3" s="1"/>
  <c r="C97" i="3"/>
  <c r="C99" i="3" s="1"/>
  <c r="AH58" i="3"/>
  <c r="BG19" i="3"/>
  <c r="BG22" i="3" s="1"/>
  <c r="AO19" i="3"/>
  <c r="AD100" i="3" l="1"/>
  <c r="AD7" i="3" s="1"/>
  <c r="F108" i="3"/>
  <c r="AQ23" i="3"/>
  <c r="BH24" i="3"/>
  <c r="AQ24" i="3"/>
  <c r="I108" i="3"/>
  <c r="I100" i="3"/>
  <c r="I7" i="3" s="1"/>
  <c r="AS24" i="3"/>
  <c r="AO22" i="3"/>
  <c r="L100" i="3"/>
  <c r="L7" i="3" s="1"/>
  <c r="AZ24" i="3"/>
  <c r="AT23" i="3"/>
  <c r="AT24" i="3" s="1"/>
  <c r="K100" i="3"/>
  <c r="K7" i="3" s="1"/>
  <c r="AR22" i="3"/>
  <c r="AR24" i="3" s="1"/>
  <c r="AM22" i="3"/>
  <c r="J100" i="3"/>
  <c r="J7" i="3" s="1"/>
  <c r="BH24" i="6"/>
  <c r="AA100" i="6"/>
  <c r="AA7" i="6" s="1"/>
  <c r="Z108" i="6"/>
  <c r="X108" i="6"/>
  <c r="BA22" i="6"/>
  <c r="AT8" i="6" s="1"/>
  <c r="S108" i="6"/>
  <c r="AS24" i="6"/>
  <c r="G108" i="6"/>
  <c r="AR23" i="6"/>
  <c r="AR24" i="6" s="1"/>
  <c r="C100" i="6"/>
  <c r="C7" i="6" s="1"/>
  <c r="BJ87" i="6"/>
  <c r="BK103" i="6"/>
  <c r="BI86" i="6"/>
  <c r="BJ102" i="6"/>
  <c r="BL85" i="6"/>
  <c r="BH89" i="6"/>
  <c r="BJ105" i="6"/>
  <c r="BG97" i="6"/>
  <c r="BI104" i="6"/>
  <c r="BH87" i="6"/>
  <c r="BJ106" i="6"/>
  <c r="BL99" i="6"/>
  <c r="BI107" i="6"/>
  <c r="BL98" i="6"/>
  <c r="BG88" i="6"/>
  <c r="BJ88" i="6"/>
  <c r="BJ90" i="6"/>
  <c r="BH96" i="6"/>
  <c r="BJ89" i="6"/>
  <c r="BL96" i="6"/>
  <c r="BI88" i="6"/>
  <c r="BK98" i="6"/>
  <c r="BH99" i="6"/>
  <c r="BH93" i="6"/>
  <c r="BK97" i="6"/>
  <c r="BI94" i="6"/>
  <c r="BJ103" i="6"/>
  <c r="BG95" i="6"/>
  <c r="BK90" i="6"/>
  <c r="BL97" i="6"/>
  <c r="BG98" i="6"/>
  <c r="BI91" i="6"/>
  <c r="BJ107" i="6"/>
  <c r="BH90" i="6"/>
  <c r="BG100" i="6"/>
  <c r="BH107" i="6"/>
  <c r="BL104" i="6"/>
  <c r="BI92" i="6"/>
  <c r="BK101" i="6"/>
  <c r="BK100" i="6"/>
  <c r="BI89" i="6"/>
  <c r="BJ96" i="6"/>
  <c r="BJ86" i="6"/>
  <c r="BK85" i="6"/>
  <c r="BG93" i="6"/>
  <c r="BK84" i="6"/>
  <c r="BL100" i="6"/>
  <c r="BI101" i="6"/>
  <c r="BG101" i="6"/>
  <c r="BJ85" i="6"/>
  <c r="BK99" i="6"/>
  <c r="BG91" i="6"/>
  <c r="BH105" i="6"/>
  <c r="BL94" i="6"/>
  <c r="BI84" i="6"/>
  <c r="BJ98" i="6"/>
  <c r="BH88" i="6"/>
  <c r="BI102" i="6"/>
  <c r="BL91" i="6"/>
  <c r="BH106" i="6"/>
  <c r="BG92" i="6"/>
  <c r="BK102" i="6"/>
  <c r="BL89" i="6"/>
  <c r="BJ100" i="6"/>
  <c r="BJ97" i="6"/>
  <c r="BG103" i="6"/>
  <c r="BL86" i="6"/>
  <c r="BI87" i="6"/>
  <c r="BJ101" i="6"/>
  <c r="BL92" i="6"/>
  <c r="BG107" i="6"/>
  <c r="BK96" i="6"/>
  <c r="BH86" i="6"/>
  <c r="BI100" i="6"/>
  <c r="BG90" i="6"/>
  <c r="BH104" i="6"/>
  <c r="BK93" i="6"/>
  <c r="BL107" i="6"/>
  <c r="BI93" i="6"/>
  <c r="BG104" i="6"/>
  <c r="BH91" i="6"/>
  <c r="BL101" i="6"/>
  <c r="BI90" i="6"/>
  <c r="BL95" i="6"/>
  <c r="BL102" i="6"/>
  <c r="BI106" i="6"/>
  <c r="BG89" i="6"/>
  <c r="BI103" i="6"/>
  <c r="BJ94" i="6"/>
  <c r="BH84" i="6"/>
  <c r="BI98" i="6"/>
  <c r="BL87" i="6"/>
  <c r="BH102" i="6"/>
  <c r="BK91" i="6"/>
  <c r="BG106" i="6"/>
  <c r="BJ95" i="6"/>
  <c r="BG84" i="6"/>
  <c r="BK94" i="6"/>
  <c r="BI105" i="6"/>
  <c r="BJ92" i="6"/>
  <c r="BH103" i="6"/>
  <c r="BL88" i="6"/>
  <c r="BJ99" i="6"/>
  <c r="BK95" i="6"/>
  <c r="BH101" i="6"/>
  <c r="BI99" i="6"/>
  <c r="AN24" i="6"/>
  <c r="BL90" i="6"/>
  <c r="BG105" i="6"/>
  <c r="BI96" i="6"/>
  <c r="BG86" i="6"/>
  <c r="BH100" i="6"/>
  <c r="BK89" i="6"/>
  <c r="BL103" i="6"/>
  <c r="BJ93" i="6"/>
  <c r="BK107" i="6"/>
  <c r="BH97" i="6"/>
  <c r="BI85" i="6"/>
  <c r="BG96" i="6"/>
  <c r="BK106" i="6"/>
  <c r="BL93" i="6"/>
  <c r="BJ104" i="6"/>
  <c r="BH85" i="6"/>
  <c r="BK88" i="6"/>
  <c r="BH94" i="6"/>
  <c r="BH92" i="6"/>
  <c r="BK92" i="6"/>
  <c r="BL106" i="6"/>
  <c r="BH98" i="6"/>
  <c r="BK87" i="6"/>
  <c r="BG102" i="6"/>
  <c r="BJ91" i="6"/>
  <c r="BK105" i="6"/>
  <c r="BI95" i="6"/>
  <c r="BL84" i="6"/>
  <c r="BG99" i="6"/>
  <c r="BK86" i="6"/>
  <c r="BI97" i="6"/>
  <c r="BJ84" i="6"/>
  <c r="BH95" i="6"/>
  <c r="BL105" i="6"/>
  <c r="BG94" i="6"/>
  <c r="BG87" i="6"/>
  <c r="BG85" i="6"/>
  <c r="B100" i="6"/>
  <c r="B108" i="6"/>
  <c r="K108" i="6"/>
  <c r="AT23" i="6"/>
  <c r="AT24" i="6" s="1"/>
  <c r="K100" i="6"/>
  <c r="K7" i="6" s="1"/>
  <c r="AI99" i="6"/>
  <c r="AH99" i="6"/>
  <c r="AD108" i="6"/>
  <c r="AD100" i="6"/>
  <c r="AD7" i="6" s="1"/>
  <c r="V108" i="6"/>
  <c r="N100" i="6"/>
  <c r="N7" i="6" s="1"/>
  <c r="F100" i="6"/>
  <c r="F7" i="6" s="1"/>
  <c r="AM23" i="6"/>
  <c r="AM24" i="6" s="1"/>
  <c r="AI107" i="6"/>
  <c r="AH107" i="6"/>
  <c r="BF24" i="6"/>
  <c r="AH97" i="6"/>
  <c r="Z100" i="6"/>
  <c r="Z7" i="6" s="1"/>
  <c r="AO24" i="6"/>
  <c r="F118" i="6"/>
  <c r="F108" i="6"/>
  <c r="BG24" i="6"/>
  <c r="V100" i="6"/>
  <c r="V7" i="6" s="1"/>
  <c r="G118" i="6"/>
  <c r="S100" i="6"/>
  <c r="S7" i="6" s="1"/>
  <c r="G252" i="6"/>
  <c r="F252" i="6"/>
  <c r="J100" i="6"/>
  <c r="J7" i="6" s="1"/>
  <c r="B256" i="6"/>
  <c r="I246" i="6"/>
  <c r="H252" i="6"/>
  <c r="H118" i="6"/>
  <c r="AI97" i="6"/>
  <c r="C256" i="6"/>
  <c r="AT8" i="4"/>
  <c r="D108" i="4"/>
  <c r="AO23" i="4"/>
  <c r="AI107" i="4"/>
  <c r="AH107" i="4"/>
  <c r="AM23" i="4"/>
  <c r="AM24" i="4" s="1"/>
  <c r="AT9" i="4" s="1"/>
  <c r="B108" i="4"/>
  <c r="AH97" i="4"/>
  <c r="B99" i="4"/>
  <c r="AI97" i="4"/>
  <c r="F246" i="4"/>
  <c r="E118" i="4"/>
  <c r="E252" i="4"/>
  <c r="D100" i="4"/>
  <c r="D7" i="4" s="1"/>
  <c r="C256" i="4"/>
  <c r="B256" i="4"/>
  <c r="G100" i="4"/>
  <c r="G7" i="4" s="1"/>
  <c r="AO24" i="4"/>
  <c r="BL107" i="4"/>
  <c r="BJ106" i="4"/>
  <c r="BH105" i="4"/>
  <c r="BL103" i="4"/>
  <c r="BJ102" i="4"/>
  <c r="BH101" i="4"/>
  <c r="BL99" i="4"/>
  <c r="BJ98" i="4"/>
  <c r="BH97" i="4"/>
  <c r="BL95" i="4"/>
  <c r="BJ94" i="4"/>
  <c r="BH93" i="4"/>
  <c r="BL91" i="4"/>
  <c r="BJ90" i="4"/>
  <c r="BH89" i="4"/>
  <c r="BL87" i="4"/>
  <c r="BJ86" i="4"/>
  <c r="BH85" i="4"/>
  <c r="BH107" i="4"/>
  <c r="BL105" i="4"/>
  <c r="BJ104" i="4"/>
  <c r="BH103" i="4"/>
  <c r="BL101" i="4"/>
  <c r="BJ100" i="4"/>
  <c r="BH99" i="4"/>
  <c r="BL97" i="4"/>
  <c r="BJ96" i="4"/>
  <c r="BH95" i="4"/>
  <c r="BL93" i="4"/>
  <c r="BJ92" i="4"/>
  <c r="BH91" i="4"/>
  <c r="BL89" i="4"/>
  <c r="BJ88" i="4"/>
  <c r="BH87" i="4"/>
  <c r="BL85" i="4"/>
  <c r="BJ84" i="4"/>
  <c r="BG107" i="4"/>
  <c r="BI105" i="4"/>
  <c r="BJ103" i="4"/>
  <c r="BK101" i="4"/>
  <c r="BG100" i="4"/>
  <c r="BH98" i="4"/>
  <c r="BI96" i="4"/>
  <c r="BK94" i="4"/>
  <c r="BL92" i="4"/>
  <c r="BG91" i="4"/>
  <c r="BI89" i="4"/>
  <c r="BJ87" i="4"/>
  <c r="BK85" i="4"/>
  <c r="BG84" i="4"/>
  <c r="BL106" i="4"/>
  <c r="BG105" i="4"/>
  <c r="BI103" i="4"/>
  <c r="BJ101" i="4"/>
  <c r="BK99" i="4"/>
  <c r="BG98" i="4"/>
  <c r="BH96" i="4"/>
  <c r="BI94" i="4"/>
  <c r="BK92" i="4"/>
  <c r="BL90" i="4"/>
  <c r="BG89" i="4"/>
  <c r="BI87" i="4"/>
  <c r="BJ85" i="4"/>
  <c r="BK106" i="4"/>
  <c r="BL104" i="4"/>
  <c r="BG103" i="4"/>
  <c r="BI101" i="4"/>
  <c r="BJ99" i="4"/>
  <c r="BK97" i="4"/>
  <c r="BG96" i="4"/>
  <c r="BH94" i="4"/>
  <c r="BI92" i="4"/>
  <c r="BK90" i="4"/>
  <c r="BL88" i="4"/>
  <c r="BG87" i="4"/>
  <c r="BI85" i="4"/>
  <c r="BI106" i="4"/>
  <c r="BK104" i="4"/>
  <c r="BL102" i="4"/>
  <c r="BG101" i="4"/>
  <c r="BI99" i="4"/>
  <c r="BJ97" i="4"/>
  <c r="BK95" i="4"/>
  <c r="BG94" i="4"/>
  <c r="BH92" i="4"/>
  <c r="BI90" i="4"/>
  <c r="BK88" i="4"/>
  <c r="BL86" i="4"/>
  <c r="BG85" i="4"/>
  <c r="BH106" i="4"/>
  <c r="BI104" i="4"/>
  <c r="BK102" i="4"/>
  <c r="BL100" i="4"/>
  <c r="BG99" i="4"/>
  <c r="BI97" i="4"/>
  <c r="BJ95" i="4"/>
  <c r="BK93" i="4"/>
  <c r="BG92" i="4"/>
  <c r="BH90" i="4"/>
  <c r="BI88" i="4"/>
  <c r="BK86" i="4"/>
  <c r="BL84" i="4"/>
  <c r="BK107" i="4"/>
  <c r="BG106" i="4"/>
  <c r="BH104" i="4"/>
  <c r="BI102" i="4"/>
  <c r="BK100" i="4"/>
  <c r="BL98" i="4"/>
  <c r="BG97" i="4"/>
  <c r="BI95" i="4"/>
  <c r="BJ93" i="4"/>
  <c r="BK91" i="4"/>
  <c r="BG90" i="4"/>
  <c r="BH88" i="4"/>
  <c r="BI86" i="4"/>
  <c r="BK84" i="4"/>
  <c r="BK103" i="4"/>
  <c r="BK96" i="4"/>
  <c r="BJ89" i="4"/>
  <c r="BI107" i="4"/>
  <c r="BH100" i="4"/>
  <c r="BG93" i="4"/>
  <c r="BG86" i="4"/>
  <c r="BH102" i="4"/>
  <c r="BG95" i="4"/>
  <c r="BG88" i="4"/>
  <c r="BG102" i="4"/>
  <c r="BL94" i="4"/>
  <c r="BK87" i="4"/>
  <c r="BJ107" i="4"/>
  <c r="BI100" i="4"/>
  <c r="BI93" i="4"/>
  <c r="BH86" i="4"/>
  <c r="BK105" i="4"/>
  <c r="BK98" i="4"/>
  <c r="BJ91" i="4"/>
  <c r="BI84" i="4"/>
  <c r="BJ105" i="4"/>
  <c r="BI98" i="4"/>
  <c r="BI91" i="4"/>
  <c r="BH84" i="4"/>
  <c r="BG104" i="4"/>
  <c r="BL96" i="4"/>
  <c r="BK89" i="4"/>
  <c r="C108" i="4"/>
  <c r="C100" i="4"/>
  <c r="C7" i="4" s="1"/>
  <c r="AT8" i="1"/>
  <c r="J246" i="1"/>
  <c r="I252" i="1"/>
  <c r="I118" i="1"/>
  <c r="AX23" i="3"/>
  <c r="AX24" i="3" s="1"/>
  <c r="P108" i="3"/>
  <c r="AN23" i="3"/>
  <c r="AN24" i="3" s="1"/>
  <c r="C108" i="3"/>
  <c r="BE24" i="1"/>
  <c r="C100" i="3"/>
  <c r="C7" i="3" s="1"/>
  <c r="BE23" i="3"/>
  <c r="BE24" i="3" s="1"/>
  <c r="X108" i="3"/>
  <c r="X100" i="3"/>
  <c r="X7" i="3" s="1"/>
  <c r="AI97" i="3"/>
  <c r="AH97" i="3"/>
  <c r="B99" i="3"/>
  <c r="H100" i="1"/>
  <c r="H7" i="1" s="1"/>
  <c r="B256" i="1"/>
  <c r="K6" i="1" s="1"/>
  <c r="AH107" i="1"/>
  <c r="AI107" i="1"/>
  <c r="AM23" i="1"/>
  <c r="AM24" i="1" s="1"/>
  <c r="B108" i="1"/>
  <c r="AV24" i="1"/>
  <c r="P100" i="1"/>
  <c r="P7" i="1" s="1"/>
  <c r="BJ23" i="3"/>
  <c r="BJ24" i="3" s="1"/>
  <c r="AF108" i="3"/>
  <c r="AM23" i="3"/>
  <c r="B108" i="3"/>
  <c r="AH107" i="3"/>
  <c r="AI107" i="3"/>
  <c r="BJ23" i="1"/>
  <c r="BJ24" i="1" s="1"/>
  <c r="AO23" i="1"/>
  <c r="AO24" i="1" s="1"/>
  <c r="D100" i="1"/>
  <c r="D7" i="1" s="1"/>
  <c r="D108" i="1"/>
  <c r="G246" i="3"/>
  <c r="F118" i="3"/>
  <c r="F252" i="3"/>
  <c r="X108" i="1"/>
  <c r="BH24" i="1"/>
  <c r="C256" i="1"/>
  <c r="BI22" i="3"/>
  <c r="BI24" i="3" s="1"/>
  <c r="AO23" i="3"/>
  <c r="AO24" i="3" s="1"/>
  <c r="D108" i="3"/>
  <c r="D100" i="3"/>
  <c r="D7" i="3" s="1"/>
  <c r="BF22" i="3"/>
  <c r="BF24" i="3" s="1"/>
  <c r="X100" i="1"/>
  <c r="X7" i="1" s="1"/>
  <c r="BB23" i="1"/>
  <c r="T108" i="1"/>
  <c r="L100" i="1"/>
  <c r="L7" i="1" s="1"/>
  <c r="BG23" i="3"/>
  <c r="BG24" i="3" s="1"/>
  <c r="AB108" i="3"/>
  <c r="AB100" i="3"/>
  <c r="AB7" i="3" s="1"/>
  <c r="H100" i="3"/>
  <c r="H7" i="3" s="1"/>
  <c r="H108" i="3"/>
  <c r="BG84" i="3"/>
  <c r="BG85" i="3"/>
  <c r="BG86" i="3"/>
  <c r="BG87" i="3"/>
  <c r="BG88" i="3"/>
  <c r="BG89" i="3"/>
  <c r="BG90" i="3"/>
  <c r="BG91" i="3"/>
  <c r="BG92" i="3"/>
  <c r="BG93" i="3"/>
  <c r="BG94" i="3"/>
  <c r="BG95" i="3"/>
  <c r="BG100" i="3"/>
  <c r="BH101" i="3"/>
  <c r="BI102" i="3"/>
  <c r="BJ103" i="3"/>
  <c r="BK104" i="3"/>
  <c r="BL105" i="3"/>
  <c r="BL106" i="3"/>
  <c r="BK84" i="3"/>
  <c r="BK85" i="3"/>
  <c r="BK86" i="3"/>
  <c r="BK87" i="3"/>
  <c r="BK88" i="3"/>
  <c r="BK89" i="3"/>
  <c r="BK90" i="3"/>
  <c r="BK91" i="3"/>
  <c r="BK92" i="3"/>
  <c r="BK93" i="3"/>
  <c r="BK94" i="3"/>
  <c r="BK95" i="3"/>
  <c r="BJ96" i="3"/>
  <c r="BJ97" i="3"/>
  <c r="BJ98" i="3"/>
  <c r="BJ99" i="3"/>
  <c r="BH85" i="3"/>
  <c r="BJ86" i="3"/>
  <c r="BH89" i="3"/>
  <c r="BJ90" i="3"/>
  <c r="BH93" i="3"/>
  <c r="BJ94" i="3"/>
  <c r="BG98" i="3"/>
  <c r="BI99" i="3"/>
  <c r="BK100" i="3"/>
  <c r="BI85" i="3"/>
  <c r="BL86" i="3"/>
  <c r="BI89" i="3"/>
  <c r="BL90" i="3"/>
  <c r="BI93" i="3"/>
  <c r="BL94" i="3"/>
  <c r="BG97" i="3"/>
  <c r="BH98" i="3"/>
  <c r="BK99" i="3"/>
  <c r="BL100" i="3"/>
  <c r="BG102" i="3"/>
  <c r="BI103" i="3"/>
  <c r="BL104" i="3"/>
  <c r="BH107" i="3"/>
  <c r="BH84" i="3"/>
  <c r="BJ85" i="3"/>
  <c r="BH88" i="3"/>
  <c r="BJ89" i="3"/>
  <c r="BH92" i="3"/>
  <c r="BJ93" i="3"/>
  <c r="BH97" i="3"/>
  <c r="BI98" i="3"/>
  <c r="BL99" i="3"/>
  <c r="BH102" i="3"/>
  <c r="BK103" i="3"/>
  <c r="BI84" i="3"/>
  <c r="BL85" i="3"/>
  <c r="BI88" i="3"/>
  <c r="BL89" i="3"/>
  <c r="BI92" i="3"/>
  <c r="BL93" i="3"/>
  <c r="BJ84" i="3"/>
  <c r="BH87" i="3"/>
  <c r="BJ88" i="3"/>
  <c r="BH91" i="3"/>
  <c r="BL84" i="3"/>
  <c r="BI87" i="3"/>
  <c r="BL88" i="3"/>
  <c r="BI91" i="3"/>
  <c r="BL92" i="3"/>
  <c r="BI95" i="3"/>
  <c r="BI96" i="3"/>
  <c r="BL97" i="3"/>
  <c r="BH100" i="3"/>
  <c r="BJ101" i="3"/>
  <c r="BL102" i="3"/>
  <c r="BG104" i="3"/>
  <c r="BI105" i="3"/>
  <c r="BJ106" i="3"/>
  <c r="BL107" i="3"/>
  <c r="BH95" i="3"/>
  <c r="BK96" i="3"/>
  <c r="BI97" i="3"/>
  <c r="BJ102" i="3"/>
  <c r="BJ104" i="3"/>
  <c r="BH106" i="3"/>
  <c r="BJ87" i="3"/>
  <c r="BH90" i="3"/>
  <c r="BJ95" i="3"/>
  <c r="BL96" i="3"/>
  <c r="BK97" i="3"/>
  <c r="BK102" i="3"/>
  <c r="BG105" i="3"/>
  <c r="BI106" i="3"/>
  <c r="BL87" i="3"/>
  <c r="BI90" i="3"/>
  <c r="BL95" i="3"/>
  <c r="BG99" i="3"/>
  <c r="BI100" i="3"/>
  <c r="BG103" i="3"/>
  <c r="BH105" i="3"/>
  <c r="BK106" i="3"/>
  <c r="BH99" i="3"/>
  <c r="BJ100" i="3"/>
  <c r="BG101" i="3"/>
  <c r="BH103" i="3"/>
  <c r="BJ105" i="3"/>
  <c r="BH94" i="3"/>
  <c r="BK98" i="3"/>
  <c r="BI101" i="3"/>
  <c r="BL103" i="3"/>
  <c r="BK105" i="3"/>
  <c r="BG107" i="3"/>
  <c r="BJ92" i="3"/>
  <c r="BH96" i="3"/>
  <c r="BI104" i="3"/>
  <c r="BG106" i="3"/>
  <c r="BK107" i="3"/>
  <c r="BK101" i="3"/>
  <c r="BH86" i="3"/>
  <c r="BG96" i="3"/>
  <c r="BL101" i="3"/>
  <c r="BH104" i="3"/>
  <c r="BI86" i="3"/>
  <c r="BI94" i="3"/>
  <c r="BI107" i="3"/>
  <c r="BJ91" i="3"/>
  <c r="BJ107" i="3"/>
  <c r="BL98" i="3"/>
  <c r="BL91" i="3"/>
  <c r="BG101" i="1"/>
  <c r="BH102" i="1"/>
  <c r="BI103" i="1"/>
  <c r="BJ104" i="1"/>
  <c r="BK105" i="1"/>
  <c r="BK106" i="1"/>
  <c r="BL107" i="1"/>
  <c r="BG84" i="1"/>
  <c r="BG85" i="1"/>
  <c r="BG86" i="1"/>
  <c r="BG87" i="1"/>
  <c r="BG88" i="1"/>
  <c r="BG89" i="1"/>
  <c r="BG90" i="1"/>
  <c r="BG91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I96" i="1"/>
  <c r="BI97" i="1"/>
  <c r="BI98" i="1"/>
  <c r="BI99" i="1"/>
  <c r="BJ100" i="1"/>
  <c r="BK101" i="1"/>
  <c r="BL102" i="1"/>
  <c r="BG105" i="1"/>
  <c r="BG106" i="1"/>
  <c r="BH107" i="1"/>
  <c r="BI86" i="1"/>
  <c r="BL87" i="1"/>
  <c r="BI90" i="1"/>
  <c r="BL91" i="1"/>
  <c r="BG94" i="1"/>
  <c r="BH95" i="1"/>
  <c r="BH96" i="1"/>
  <c r="BK97" i="1"/>
  <c r="BL98" i="1"/>
  <c r="BH100" i="1"/>
  <c r="BL101" i="1"/>
  <c r="BJ103" i="1"/>
  <c r="BH85" i="1"/>
  <c r="BK86" i="1"/>
  <c r="BH89" i="1"/>
  <c r="BK90" i="1"/>
  <c r="BG93" i="1"/>
  <c r="BH94" i="1"/>
  <c r="BI95" i="1"/>
  <c r="BJ96" i="1"/>
  <c r="BL97" i="1"/>
  <c r="BI100" i="1"/>
  <c r="BK103" i="1"/>
  <c r="BH105" i="1"/>
  <c r="BJ106" i="1"/>
  <c r="BG99" i="1"/>
  <c r="BK100" i="1"/>
  <c r="BG102" i="1"/>
  <c r="BL103" i="1"/>
  <c r="BI105" i="1"/>
  <c r="BL106" i="1"/>
  <c r="BI102" i="1"/>
  <c r="BI92" i="1"/>
  <c r="BK93" i="1"/>
  <c r="BL94" i="1"/>
  <c r="BG98" i="1"/>
  <c r="BJ99" i="1"/>
  <c r="BJ102" i="1"/>
  <c r="BL105" i="1"/>
  <c r="BH86" i="1"/>
  <c r="BK87" i="1"/>
  <c r="BK91" i="1"/>
  <c r="BI85" i="1"/>
  <c r="BL86" i="1"/>
  <c r="BI89" i="1"/>
  <c r="BL90" i="1"/>
  <c r="BG92" i="1"/>
  <c r="BH93" i="1"/>
  <c r="BI94" i="1"/>
  <c r="BK95" i="1"/>
  <c r="BK96" i="1"/>
  <c r="BG104" i="1"/>
  <c r="BJ105" i="1"/>
  <c r="BH84" i="1"/>
  <c r="BK85" i="1"/>
  <c r="BH88" i="1"/>
  <c r="BK89" i="1"/>
  <c r="BH92" i="1"/>
  <c r="BI93" i="1"/>
  <c r="BK94" i="1"/>
  <c r="BL95" i="1"/>
  <c r="BL96" i="1"/>
  <c r="BH99" i="1"/>
  <c r="BL100" i="1"/>
  <c r="BI84" i="1"/>
  <c r="BL85" i="1"/>
  <c r="BI88" i="1"/>
  <c r="BL89" i="1"/>
  <c r="BH104" i="1"/>
  <c r="BG107" i="1"/>
  <c r="BK84" i="1"/>
  <c r="BH87" i="1"/>
  <c r="BK88" i="1"/>
  <c r="BH91" i="1"/>
  <c r="BK92" i="1"/>
  <c r="BL93" i="1"/>
  <c r="BG97" i="1"/>
  <c r="BH98" i="1"/>
  <c r="BK99" i="1"/>
  <c r="BH101" i="1"/>
  <c r="BK102" i="1"/>
  <c r="BI104" i="1"/>
  <c r="BI107" i="1"/>
  <c r="BL84" i="1"/>
  <c r="BI87" i="1"/>
  <c r="BL88" i="1"/>
  <c r="BI91" i="1"/>
  <c r="BL92" i="1"/>
  <c r="BH97" i="1"/>
  <c r="BJ98" i="1"/>
  <c r="BL99" i="1"/>
  <c r="BI101" i="1"/>
  <c r="BG103" i="1"/>
  <c r="BK104" i="1"/>
  <c r="BJ107" i="1"/>
  <c r="BH90" i="1"/>
  <c r="BG100" i="1"/>
  <c r="BJ101" i="1"/>
  <c r="BI106" i="1"/>
  <c r="BG96" i="1"/>
  <c r="BH106" i="1"/>
  <c r="BK107" i="1"/>
  <c r="BJ97" i="1"/>
  <c r="BK98" i="1"/>
  <c r="BH103" i="1"/>
  <c r="BL104" i="1"/>
  <c r="BG95" i="1"/>
  <c r="AB108" i="1"/>
  <c r="BG23" i="1"/>
  <c r="BG24" i="1" s="1"/>
  <c r="AB100" i="1"/>
  <c r="AB7" i="1" s="1"/>
  <c r="G100" i="3"/>
  <c r="G7" i="3" s="1"/>
  <c r="B256" i="3"/>
  <c r="C256" i="3"/>
  <c r="BB23" i="3"/>
  <c r="BB24" i="3" s="1"/>
  <c r="T108" i="3"/>
  <c r="T100" i="3"/>
  <c r="T7" i="3" s="1"/>
  <c r="P100" i="3"/>
  <c r="P7" i="3" s="1"/>
  <c r="BB24" i="1"/>
  <c r="AH97" i="1"/>
  <c r="B99" i="1"/>
  <c r="AI97" i="1"/>
  <c r="AF7" i="1"/>
  <c r="AM24" i="3" l="1"/>
  <c r="K6" i="3"/>
  <c r="AT9" i="3"/>
  <c r="BA24" i="6"/>
  <c r="AI108" i="6"/>
  <c r="AT9" i="6"/>
  <c r="AI100" i="6"/>
  <c r="AH100" i="6"/>
  <c r="B7" i="6"/>
  <c r="A7" i="6" s="1"/>
  <c r="I252" i="6"/>
  <c r="I118" i="6"/>
  <c r="J246" i="6"/>
  <c r="AH108" i="6"/>
  <c r="K6" i="6"/>
  <c r="AI108" i="4"/>
  <c r="AH108" i="4"/>
  <c r="G246" i="4"/>
  <c r="F118" i="4"/>
  <c r="F252" i="4"/>
  <c r="B100" i="4"/>
  <c r="AH99" i="4"/>
  <c r="AI99" i="4"/>
  <c r="K6" i="4"/>
  <c r="AT9" i="1"/>
  <c r="AH108" i="1"/>
  <c r="AI108" i="1"/>
  <c r="G252" i="3"/>
  <c r="H246" i="3"/>
  <c r="G118" i="3"/>
  <c r="AH108" i="3"/>
  <c r="AI108" i="3"/>
  <c r="J118" i="1"/>
  <c r="K246" i="1"/>
  <c r="J252" i="1"/>
  <c r="AT8" i="3"/>
  <c r="AH99" i="1"/>
  <c r="B100" i="1"/>
  <c r="AI99" i="1"/>
  <c r="AI99" i="3"/>
  <c r="AH99" i="3"/>
  <c r="B100" i="3"/>
  <c r="J252" i="6" l="1"/>
  <c r="J118" i="6"/>
  <c r="K246" i="6"/>
  <c r="AI100" i="4"/>
  <c r="AH100" i="4"/>
  <c r="B7" i="4"/>
  <c r="A7" i="4" s="1"/>
  <c r="H246" i="4"/>
  <c r="G118" i="4"/>
  <c r="G252" i="4"/>
  <c r="B7" i="1"/>
  <c r="A7" i="1" s="1"/>
  <c r="AI100" i="1"/>
  <c r="AH100" i="1"/>
  <c r="H252" i="3"/>
  <c r="I246" i="3"/>
  <c r="H118" i="3"/>
  <c r="B7" i="3"/>
  <c r="A7" i="3" s="1"/>
  <c r="AH100" i="3"/>
  <c r="AI100" i="3"/>
  <c r="K118" i="1"/>
  <c r="K252" i="1"/>
  <c r="L246" i="1"/>
  <c r="K252" i="6" l="1"/>
  <c r="K118" i="6"/>
  <c r="L246" i="6"/>
  <c r="I246" i="4"/>
  <c r="H118" i="4"/>
  <c r="H252" i="4"/>
  <c r="I118" i="3"/>
  <c r="I252" i="3"/>
  <c r="J246" i="3"/>
  <c r="L118" i="1"/>
  <c r="L252" i="1"/>
  <c r="M246" i="1"/>
  <c r="L252" i="6" l="1"/>
  <c r="L118" i="6"/>
  <c r="M246" i="6"/>
  <c r="I252" i="4"/>
  <c r="I118" i="4"/>
  <c r="J246" i="4"/>
  <c r="N246" i="1"/>
  <c r="M252" i="1"/>
  <c r="M118" i="1"/>
  <c r="J118" i="3"/>
  <c r="J252" i="3"/>
  <c r="K246" i="3"/>
  <c r="N246" i="6" l="1"/>
  <c r="M252" i="6"/>
  <c r="M118" i="6"/>
  <c r="J252" i="4"/>
  <c r="K246" i="4"/>
  <c r="J118" i="4"/>
  <c r="K118" i="3"/>
  <c r="K252" i="3"/>
  <c r="L246" i="3"/>
  <c r="N252" i="1"/>
  <c r="O246" i="1"/>
  <c r="N118" i="1"/>
  <c r="O246" i="6" l="1"/>
  <c r="N252" i="6"/>
  <c r="N118" i="6"/>
  <c r="K252" i="4"/>
  <c r="L246" i="4"/>
  <c r="K118" i="4"/>
  <c r="L118" i="3"/>
  <c r="L252" i="3"/>
  <c r="M246" i="3"/>
  <c r="O118" i="1"/>
  <c r="O252" i="1"/>
  <c r="P246" i="1"/>
  <c r="P246" i="6" l="1"/>
  <c r="O252" i="6"/>
  <c r="O118" i="6"/>
  <c r="L252" i="4"/>
  <c r="M246" i="4"/>
  <c r="L118" i="4"/>
  <c r="P252" i="1"/>
  <c r="Q246" i="1"/>
  <c r="M118" i="3"/>
  <c r="N246" i="3"/>
  <c r="M252" i="3"/>
  <c r="Q246" i="6" l="1"/>
  <c r="P252" i="6"/>
  <c r="N246" i="4"/>
  <c r="M118" i="4"/>
  <c r="M252" i="4"/>
  <c r="O246" i="3"/>
  <c r="N118" i="3"/>
  <c r="N252" i="3"/>
  <c r="R246" i="1"/>
  <c r="Q118" i="1"/>
  <c r="Q252" i="1"/>
  <c r="Q252" i="6" l="1"/>
  <c r="Q118" i="6"/>
  <c r="R246" i="6"/>
  <c r="O246" i="4"/>
  <c r="N118" i="4"/>
  <c r="N252" i="4"/>
  <c r="R118" i="1"/>
  <c r="S246" i="1"/>
  <c r="R252" i="1"/>
  <c r="P246" i="3"/>
  <c r="O118" i="3"/>
  <c r="O252" i="3"/>
  <c r="R252" i="6" l="1"/>
  <c r="R118" i="6"/>
  <c r="S246" i="6"/>
  <c r="P246" i="4"/>
  <c r="O118" i="4"/>
  <c r="O252" i="4"/>
  <c r="P252" i="3"/>
  <c r="Q246" i="3"/>
  <c r="S118" i="1"/>
  <c r="T246" i="1"/>
  <c r="S252" i="1"/>
  <c r="S252" i="6" l="1"/>
  <c r="S118" i="6"/>
  <c r="T246" i="6"/>
  <c r="Q246" i="4"/>
  <c r="P252" i="4"/>
  <c r="U246" i="1"/>
  <c r="T252" i="1"/>
  <c r="T118" i="1"/>
  <c r="Q252" i="3"/>
  <c r="R246" i="3"/>
  <c r="Q118" i="3"/>
  <c r="T252" i="6" l="1"/>
  <c r="T118" i="6"/>
  <c r="U246" i="6"/>
  <c r="Q118" i="4"/>
  <c r="Q252" i="4"/>
  <c r="R246" i="4"/>
  <c r="R252" i="3"/>
  <c r="S246" i="3"/>
  <c r="R118" i="3"/>
  <c r="V246" i="1"/>
  <c r="U252" i="1"/>
  <c r="U118" i="1"/>
  <c r="U118" i="6" l="1"/>
  <c r="V246" i="6"/>
  <c r="U252" i="6"/>
  <c r="R252" i="4"/>
  <c r="S246" i="4"/>
  <c r="R118" i="4"/>
  <c r="V118" i="1"/>
  <c r="W246" i="1"/>
  <c r="V252" i="1"/>
  <c r="S118" i="3"/>
  <c r="S252" i="3"/>
  <c r="T246" i="3"/>
  <c r="W246" i="6" l="1"/>
  <c r="V252" i="6"/>
  <c r="V118" i="6"/>
  <c r="S252" i="4"/>
  <c r="T246" i="4"/>
  <c r="S118" i="4"/>
  <c r="T252" i="3"/>
  <c r="T118" i="3"/>
  <c r="U246" i="3"/>
  <c r="W118" i="1"/>
  <c r="X246" i="1"/>
  <c r="W252" i="1"/>
  <c r="X246" i="6" l="1"/>
  <c r="W252" i="6"/>
  <c r="W118" i="6"/>
  <c r="T252" i="4"/>
  <c r="U246" i="4"/>
  <c r="T118" i="4"/>
  <c r="X118" i="1"/>
  <c r="Y246" i="1"/>
  <c r="X252" i="1"/>
  <c r="U118" i="3"/>
  <c r="V246" i="3"/>
  <c r="U252" i="3"/>
  <c r="Y246" i="6" l="1"/>
  <c r="X252" i="6"/>
  <c r="X118" i="6"/>
  <c r="V246" i="4"/>
  <c r="U118" i="4"/>
  <c r="U252" i="4"/>
  <c r="W246" i="3"/>
  <c r="V252" i="3"/>
  <c r="V118" i="3"/>
  <c r="Z246" i="1"/>
  <c r="Y252" i="1"/>
  <c r="Y252" i="6" l="1"/>
  <c r="Z246" i="6"/>
  <c r="W246" i="4"/>
  <c r="V118" i="4"/>
  <c r="V252" i="4"/>
  <c r="AA246" i="1"/>
  <c r="Z252" i="1"/>
  <c r="W118" i="3"/>
  <c r="X246" i="3"/>
  <c r="W252" i="3"/>
  <c r="Z252" i="6" l="1"/>
  <c r="AA246" i="6"/>
  <c r="X246" i="4"/>
  <c r="W118" i="4"/>
  <c r="W252" i="4"/>
  <c r="X118" i="3"/>
  <c r="Y246" i="3"/>
  <c r="X252" i="3"/>
  <c r="AA118" i="1"/>
  <c r="AA252" i="1"/>
  <c r="AB246" i="1"/>
  <c r="AA252" i="6" l="1"/>
  <c r="AA118" i="6"/>
  <c r="AB246" i="6"/>
  <c r="Y246" i="4"/>
  <c r="X118" i="4"/>
  <c r="X252" i="4"/>
  <c r="AB252" i="1"/>
  <c r="AB118" i="1"/>
  <c r="AC246" i="1"/>
  <c r="Z246" i="3"/>
  <c r="Y252" i="3"/>
  <c r="AB252" i="6" l="1"/>
  <c r="AB118" i="6"/>
  <c r="AC246" i="6"/>
  <c r="Y118" i="4"/>
  <c r="Y252" i="4"/>
  <c r="Z246" i="4"/>
  <c r="Z252" i="3"/>
  <c r="AA246" i="3"/>
  <c r="AD246" i="1"/>
  <c r="AC252" i="1"/>
  <c r="AC118" i="1"/>
  <c r="AC118" i="6" l="1"/>
  <c r="AD246" i="6"/>
  <c r="AC252" i="6"/>
  <c r="Z252" i="4"/>
  <c r="AA246" i="4"/>
  <c r="Z118" i="4"/>
  <c r="AE246" i="1"/>
  <c r="AD252" i="1"/>
  <c r="AD118" i="1"/>
  <c r="AA118" i="3"/>
  <c r="AA252" i="3"/>
  <c r="AB246" i="3"/>
  <c r="AE246" i="6" l="1"/>
  <c r="AD252" i="6"/>
  <c r="AD118" i="6"/>
  <c r="AA252" i="4"/>
  <c r="AB246" i="4"/>
  <c r="AA118" i="4"/>
  <c r="AB252" i="3"/>
  <c r="AC246" i="3"/>
  <c r="AB118" i="3"/>
  <c r="AF246" i="1"/>
  <c r="AE252" i="1"/>
  <c r="AF246" i="6" l="1"/>
  <c r="AE252" i="6"/>
  <c r="AB252" i="4"/>
  <c r="AC246" i="4"/>
  <c r="AB118" i="4"/>
  <c r="B246" i="1"/>
  <c r="AF252" i="1"/>
  <c r="AC252" i="3"/>
  <c r="AD246" i="3"/>
  <c r="AC118" i="3"/>
  <c r="AF252" i="6" l="1"/>
  <c r="AF118" i="6"/>
  <c r="B246" i="6"/>
  <c r="AD246" i="4"/>
  <c r="AC118" i="4"/>
  <c r="AC252" i="4"/>
  <c r="AE246" i="3"/>
  <c r="AD252" i="3"/>
  <c r="AD118" i="3"/>
  <c r="B118" i="1"/>
  <c r="B252" i="1"/>
  <c r="B252" i="6" l="1"/>
  <c r="AE246" i="4"/>
  <c r="AD118" i="4"/>
  <c r="AD252" i="4"/>
  <c r="AH118" i="1"/>
  <c r="AI118" i="1"/>
  <c r="AE118" i="3"/>
  <c r="AE252" i="3"/>
  <c r="AF246" i="3"/>
  <c r="AI118" i="6" l="1"/>
  <c r="AH118" i="6"/>
  <c r="AF246" i="4"/>
  <c r="AE118" i="4"/>
  <c r="AE252" i="4"/>
  <c r="B246" i="3"/>
  <c r="AF118" i="3"/>
  <c r="AF252" i="3"/>
  <c r="AF118" i="4" l="1"/>
  <c r="AF252" i="4"/>
  <c r="B246" i="4"/>
  <c r="B118" i="3"/>
  <c r="B252" i="3"/>
  <c r="B252" i="4" l="1"/>
  <c r="B118" i="4"/>
  <c r="AH118" i="3"/>
  <c r="AI118" i="3"/>
  <c r="AH118" i="4" l="1"/>
  <c r="AI11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94EEF2BF-A825-45C0-96DF-215FFD30571B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CAFFE68B-A1A4-4AB5-92BE-3F091C154415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E6B727C6-465C-4C22-AEA0-34F595CBE2C4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54E71786-20EE-47AA-88D1-F4FE029B697F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604DAC03-38FF-4238-86FD-12B8B28C613E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BD5A3BC5-B083-4943-AB5C-D187B22FEEE5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B158FBB9-D08D-413A-9D5C-9BE2923616D6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FA304D2F-C241-40C8-B6C4-68D79AADD06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BD047FCF-16FF-4FC5-BDAA-DD6D74C2A9B5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1BB6D790-F291-41AF-9DFD-BB1370AFC033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EA46186B-E72D-408A-971F-0B294239F445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B5081D1F-ADF5-47CA-B6E9-7D6D3A58B66F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CBB3009B-C2BD-4E82-882C-826DEA50AA65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72CCA609-CFC9-4FDC-BD29-65989DC193D4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3DACFDD4-E86E-4CAA-BDB3-5AC962B63F24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C3C0FF7C-0E10-4C7A-BD74-D96230179EF7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376F90FF-5A81-4B36-AB58-7B6CB7EEB7BC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3EC5F08-C931-4331-82B1-654211BC04FA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61E9CCB0-58B3-41B6-92EA-3BA2B5D919D1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8F56BC7-5A52-4818-BEBE-103451D21A0C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9B2892F3-81A6-45A7-BE3F-E53795E9F507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F09E9B8C-C044-4B40-93ED-84FC10A887C4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217E4FCD-A617-4587-B649-486F4267C4D6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388A5BEA-A072-4A20-BDFB-57EF89E7FBCD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9510914C-C0B5-4E7D-AD01-A9A9F7F438F9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63822E1F-B71B-4777-9616-F09C611FBDAE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EEAC80AC-3903-4CC4-BA4E-E3AE3B95F2E1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81AED1AE-8528-4F57-95E6-B5634ACD515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DE5AB218-8EA3-4605-B4EC-CF4AE8871C46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763680AE-F989-43D1-9DE4-40974CC631BD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DFACEC37-ACEA-472A-A937-8287801CC578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8137FFC-DD7D-4142-9F45-438DCA3B7ADA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C6B51419-B2BC-4E05-8506-7729AC0CE3B3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<sst xmlns="http://schemas.openxmlformats.org/spreadsheetml/2006/main" count="9801" uniqueCount="313">
  <si>
    <t>Frequency</t>
  </si>
  <si>
    <t>Time</t>
  </si>
  <si>
    <t>Total</t>
  </si>
  <si>
    <t>Export</t>
  </si>
  <si>
    <t>Import</t>
  </si>
  <si>
    <t>KL1+KL2+KL3</t>
  </si>
  <si>
    <t>NEA(RoR+PRoR)</t>
  </si>
  <si>
    <t>IPP</t>
  </si>
  <si>
    <t>PEAK SUMMARY</t>
  </si>
  <si>
    <t>Morning Peak</t>
  </si>
  <si>
    <t>Other NEA Small</t>
  </si>
  <si>
    <t>SUNDARIJAL(0.66)</t>
  </si>
  <si>
    <t>TINAU(1)</t>
  </si>
  <si>
    <t>FEWA(1)</t>
  </si>
  <si>
    <t>SETI(1.5)</t>
  </si>
  <si>
    <t>TATOPANI(2)</t>
  </si>
  <si>
    <t>PANAUTI(2.4)</t>
  </si>
  <si>
    <t>Others IPP Total</t>
  </si>
  <si>
    <t>Syauri Bhumey(0.023)</t>
  </si>
  <si>
    <t>Leguwa Khola(0.04)</t>
  </si>
  <si>
    <t>Sobuwa Khola-2 MHP(0.09)</t>
  </si>
  <si>
    <t>Midim Khola(0.1)</t>
  </si>
  <si>
    <t>Syange Khola(0.183)</t>
  </si>
  <si>
    <t>Sali Nadi(0.25)</t>
  </si>
  <si>
    <t>Rairang Khola(0.5)</t>
  </si>
  <si>
    <t>Belkhu(0.518)</t>
  </si>
  <si>
    <t>Dhunge-Jiri(0.6)</t>
  </si>
  <si>
    <t>Solar(0.68)</t>
  </si>
  <si>
    <t>Sisne Khola Small(0.75)</t>
  </si>
  <si>
    <t>Bishnu Priya Solar Farm Project(0.96)</t>
  </si>
  <si>
    <t>Seti-II(0.979)</t>
  </si>
  <si>
    <t>Lower Piluwa Small(0.99)</t>
  </si>
  <si>
    <t>Upper Hadi Khola(0.991)</t>
  </si>
  <si>
    <t>Chhote Khola(0.993)</t>
  </si>
  <si>
    <t>Pheme Khola(0.995)</t>
  </si>
  <si>
    <t>Jeuligad(0.996)</t>
  </si>
  <si>
    <t>Miya Khola(0.996)</t>
  </si>
  <si>
    <t>Pati Khola Small(0.996)</t>
  </si>
  <si>
    <t>Hadi Khola Sunkoshi A(0.997)</t>
  </si>
  <si>
    <t>Lower Chhote Khola(0.997)</t>
  </si>
  <si>
    <t>Suspa Bukhari(0.998)</t>
  </si>
  <si>
    <t>Dhalkebar Saurya Aayojana(1)</t>
  </si>
  <si>
    <t>Theule Khola(1.5)</t>
  </si>
  <si>
    <t>Thoppal Khola(1.65)</t>
  </si>
  <si>
    <t>Lower Chaku Khola(1.8)</t>
  </si>
  <si>
    <t>Middle Chaku(1.8)</t>
  </si>
  <si>
    <t>Khani Khola(2)</t>
  </si>
  <si>
    <t>Jhyadi Khola(2)</t>
  </si>
  <si>
    <t>Chhandi(2)</t>
  </si>
  <si>
    <t>Jiri Khola Small(2.2)</t>
  </si>
  <si>
    <t>Upper Syange Khola(2.4)</t>
  </si>
  <si>
    <t>Ridi Khola(2.4)</t>
  </si>
  <si>
    <t>Daram Khola A(2.5)</t>
  </si>
  <si>
    <t>Sunkoshi Small(2.5)</t>
  </si>
  <si>
    <t>Chake Khola(2.83)</t>
  </si>
  <si>
    <t>Dhalkebar Solar Project(3)</t>
  </si>
  <si>
    <t>Indushankar Chini Udhyog Ltd.(3)</t>
  </si>
  <si>
    <t>Everest Sugar and Chemical Industries Ltd.(3)</t>
  </si>
  <si>
    <t>Upper Rawa(3)</t>
  </si>
  <si>
    <t>Midim Karapu(3)</t>
  </si>
  <si>
    <t>Upper Puwa -1(3)</t>
  </si>
  <si>
    <t>Bhairab Kunda(3)</t>
  </si>
  <si>
    <t>Chaku Khola(3)</t>
  </si>
  <si>
    <t>Piluwa Khola Small(3)</t>
  </si>
  <si>
    <t>Kapadi Gad(3.33)</t>
  </si>
  <si>
    <t>Charanawati  Khola(3.52)</t>
  </si>
  <si>
    <t>Dwari Khola(3.75)</t>
  </si>
  <si>
    <t>Super Mai Cascade(3.8)</t>
  </si>
  <si>
    <t>Upper Chhyangdi Khola(4)</t>
  </si>
  <si>
    <t>Chandranigahpur Solar Project(4)</t>
  </si>
  <si>
    <t>Sardi Khola(4)</t>
  </si>
  <si>
    <t>Puwa Khola -1 (4)</t>
  </si>
  <si>
    <t>Sabha Khola(4)</t>
  </si>
  <si>
    <t>Khudi Khola(4)</t>
  </si>
  <si>
    <t>Baramchi Khola(4.2)</t>
  </si>
  <si>
    <t>Tungun-Thosne(4.36)</t>
  </si>
  <si>
    <t>Radhi Khola(4.4)</t>
  </si>
  <si>
    <t>Bijayapur-1(4.41)</t>
  </si>
  <si>
    <t>Hewa Khola(4.455)</t>
  </si>
  <si>
    <t>Bijayapur 2 Khola Small(4.5)</t>
  </si>
  <si>
    <t>Mai Khola(4.5)</t>
  </si>
  <si>
    <t>Padam Khola(4.8)</t>
  </si>
  <si>
    <t>Mardi Khola(4.8)</t>
  </si>
  <si>
    <t>Phawa Khola(4.95)</t>
  </si>
  <si>
    <t>Siuri Khola(4.95)</t>
  </si>
  <si>
    <t>Richet Khola(4.98)</t>
  </si>
  <si>
    <t>Lower Tadi(4.993)</t>
  </si>
  <si>
    <t>Belchautara Solar Project(5)</t>
  </si>
  <si>
    <t>Ghatte Khola(5)</t>
  </si>
  <si>
    <t>Ghalemdi Khola(5)</t>
  </si>
  <si>
    <t>Pikhuwa Khola(5)</t>
  </si>
  <si>
    <t>Upper Hugdi Khola(5)</t>
  </si>
  <si>
    <t>Mailung Khola(5)</t>
  </si>
  <si>
    <t>Tadi Khola (Thaprek)(5)</t>
  </si>
  <si>
    <t>Upper Mai C(5.1)</t>
  </si>
  <si>
    <t>Daraudi Khola A(6)</t>
  </si>
  <si>
    <t>Lower Jogmai(6.2)</t>
  </si>
  <si>
    <t>Suri Khola(6.4)</t>
  </si>
  <si>
    <t>Sapsup Khola(6.6)</t>
  </si>
  <si>
    <t>Rudi Khola B(6.6)</t>
  </si>
  <si>
    <t>Upper Khimti II(7)</t>
  </si>
  <si>
    <t>Upper Mardi(7)</t>
  </si>
  <si>
    <t>Molung Khola(7)</t>
  </si>
  <si>
    <t>Mai Cascade(7)</t>
  </si>
  <si>
    <t>Upper Khorunga(7.5)</t>
  </si>
  <si>
    <t>Indrawati - III (7.5)</t>
  </si>
  <si>
    <t>Jogmai(7.6)</t>
  </si>
  <si>
    <t>Super Mai(7.8)</t>
  </si>
  <si>
    <t>Taksar Pikhuwa(8)</t>
  </si>
  <si>
    <t>Upper Naugad Gad(8)</t>
  </si>
  <si>
    <t>Mai sana Cascade(8)</t>
  </si>
  <si>
    <t>Ankhu Khola - 1(8.4)</t>
  </si>
  <si>
    <t>Upper Hewa Khola Small(8.5)</t>
  </si>
  <si>
    <t>Butwal Solar Project(8.5)</t>
  </si>
  <si>
    <t>Naugadh gad Khola(8.5)</t>
  </si>
  <si>
    <t>Rudi Khola A(8.8)</t>
  </si>
  <si>
    <t>Andhi Khola(9.4)</t>
  </si>
  <si>
    <t>Mai Beni(9.51)</t>
  </si>
  <si>
    <t>Super Mai 'A' (9.6)</t>
  </si>
  <si>
    <t>Sipring Khola(9.658)</t>
  </si>
  <si>
    <t>Iwa Khola(9.9)</t>
  </si>
  <si>
    <t>Kabeli B-1 Cascade(9.94)</t>
  </si>
  <si>
    <t>Upper Mai Khola(9.98)</t>
  </si>
  <si>
    <t xml:space="preserve"> </t>
  </si>
  <si>
    <t>Others IPP Detail</t>
  </si>
  <si>
    <t>KL 1</t>
  </si>
  <si>
    <t>CHM</t>
  </si>
  <si>
    <t>MRS</t>
  </si>
  <si>
    <t>MMRS</t>
  </si>
  <si>
    <t>KGA</t>
  </si>
  <si>
    <t>UTK</t>
  </si>
  <si>
    <t>Water Level</t>
  </si>
  <si>
    <t>MIRCHAIYA LAHAN 2</t>
  </si>
  <si>
    <t>DHALKE-MIRCHAIYA I</t>
  </si>
  <si>
    <t>DAMAK-DUHABI</t>
  </si>
  <si>
    <t>DHALKE-KHIMTI I</t>
  </si>
  <si>
    <t>DHALKE-NAWALPUR I</t>
  </si>
  <si>
    <t>BALAJU-SYUCHATAR</t>
  </si>
  <si>
    <t>LAMOSHANGU-BHAKTAPUR</t>
  </si>
  <si>
    <t>KHIMTI-LAMOSANGHU</t>
  </si>
  <si>
    <t>KL1-SYU</t>
  </si>
  <si>
    <t>KL2-MATA</t>
  </si>
  <si>
    <t>NMRS-MATA</t>
  </si>
  <si>
    <t>MRS-SYU</t>
  </si>
  <si>
    <t>Kathmandu Load</t>
  </si>
  <si>
    <t/>
  </si>
  <si>
    <t xml:space="preserve">SUI 66KV </t>
  </si>
  <si>
    <t xml:space="preserve">KOHALPUR 132KV </t>
  </si>
  <si>
    <t xml:space="preserve">KG-A 132KV </t>
  </si>
  <si>
    <t xml:space="preserve">ANAMANI 132KV </t>
  </si>
  <si>
    <t xml:space="preserve">DUBI 132KV </t>
  </si>
  <si>
    <t xml:space="preserve">SUI 132KV </t>
  </si>
  <si>
    <t>HTD 132KV</t>
  </si>
  <si>
    <t>HZ</t>
  </si>
  <si>
    <t>NET IMPORT</t>
  </si>
  <si>
    <t>Total EXPORT</t>
  </si>
  <si>
    <t>OTHERS EXPORT</t>
  </si>
  <si>
    <t>TANAKPUR</t>
  </si>
  <si>
    <t>MUZAFFARPUR</t>
  </si>
  <si>
    <t>RAXAUL</t>
  </si>
  <si>
    <t>KATAIYA</t>
  </si>
  <si>
    <t>RAMNAGAR</t>
  </si>
  <si>
    <t>TOTAL NATIONAL LOAD (ACTUAL)</t>
  </si>
  <si>
    <t>TOTAL SYSTEM LOAD (EXPECTED)</t>
  </si>
  <si>
    <t>Interruption/Tripping</t>
  </si>
  <si>
    <t>TOTAL SYSTEM LOAD (ACTUAL)</t>
  </si>
  <si>
    <t>Total THERMAL</t>
  </si>
  <si>
    <t>MRS DI()</t>
  </si>
  <si>
    <t>HTD DIE(14.41)</t>
  </si>
  <si>
    <t>MULTI F(39)</t>
  </si>
  <si>
    <t>Total IMPORT</t>
  </si>
  <si>
    <t>SAMPATIYA 132 kV</t>
  </si>
  <si>
    <t>Line 2</t>
  </si>
  <si>
    <t>RAXAUL(33kV)</t>
  </si>
  <si>
    <t>Line1</t>
  </si>
  <si>
    <t>RAJBIRAJ(33kV)</t>
  </si>
  <si>
    <t>JALESHWOR(33kV)</t>
  </si>
  <si>
    <t xml:space="preserve">UTK Discharge Test </t>
  </si>
  <si>
    <t>BISHANPUR(33kV)</t>
  </si>
  <si>
    <t>NANPARA(33kV)</t>
  </si>
  <si>
    <t>RAXAUL 132</t>
  </si>
  <si>
    <t>MUJAFFARPUR</t>
  </si>
  <si>
    <t>Total STORGE</t>
  </si>
  <si>
    <t>KL3(14)</t>
  </si>
  <si>
    <t>KL2(32)</t>
  </si>
  <si>
    <t>KL1(60)</t>
  </si>
  <si>
    <t>Total ROR</t>
  </si>
  <si>
    <t>PUWA(6.2)</t>
  </si>
  <si>
    <t>Sam</t>
  </si>
  <si>
    <t>SUN(10.05)</t>
  </si>
  <si>
    <t>Rax</t>
  </si>
  <si>
    <t>MODI(14)</t>
  </si>
  <si>
    <t>Ram</t>
  </si>
  <si>
    <t>DEVI(14.1)</t>
  </si>
  <si>
    <t>Muz</t>
  </si>
  <si>
    <t>GDK(15)</t>
  </si>
  <si>
    <t>Kat</t>
  </si>
  <si>
    <t>TRI(24)</t>
  </si>
  <si>
    <t>Tanakpur</t>
  </si>
  <si>
    <t>NEA  SOLAR(25)</t>
  </si>
  <si>
    <t>CHM(30)</t>
  </si>
  <si>
    <t>U Trisuli 3A(60)</t>
  </si>
  <si>
    <t>MRS(69)</t>
  </si>
  <si>
    <t>Middle MRS(70)</t>
  </si>
  <si>
    <t>KGA(144)</t>
  </si>
  <si>
    <t>Total NEA SUBSIDIARIES</t>
  </si>
  <si>
    <t>Chilime(22.1)</t>
  </si>
  <si>
    <t>Khimti Khola(60)</t>
  </si>
  <si>
    <t>Upper Tamakoshi(456)</t>
  </si>
  <si>
    <t>Total IPP</t>
  </si>
  <si>
    <t>Kabeli Corridor</t>
  </si>
  <si>
    <t>Other IPP Total</t>
  </si>
  <si>
    <t>Pure-Solar(10)</t>
  </si>
  <si>
    <t>Mithila Solar PV Electric Project(10)</t>
  </si>
  <si>
    <t>Makari Gad(10.0)</t>
  </si>
  <si>
    <t>Lower Modi 1(10)</t>
  </si>
  <si>
    <t>Down Piluwa(10.3)</t>
  </si>
  <si>
    <t>Upper Sanigad(10.7)</t>
  </si>
  <si>
    <t>Lower Khare(11)</t>
  </si>
  <si>
    <t>Namarjun Madi(11.88)</t>
  </si>
  <si>
    <t>Upper Mai Khola (12)</t>
  </si>
  <si>
    <t>Upper Khimti(12)</t>
  </si>
  <si>
    <t>Jhimruk Khola(12)</t>
  </si>
  <si>
    <t>Dordi12)</t>
  </si>
  <si>
    <t>Madkyu Khola(13)</t>
  </si>
  <si>
    <t>Thapa Khola(13.6)</t>
  </si>
  <si>
    <t>Ghar khola(14)</t>
  </si>
  <si>
    <t>Sangen(14.8)</t>
  </si>
  <si>
    <t>Hewa Khola A(14.9)</t>
  </si>
  <si>
    <t>Kalanga Gad(15.33)</t>
  </si>
  <si>
    <t>Middle Modi (18)</t>
  </si>
  <si>
    <t>Mathilo Solu khola(19.8)</t>
  </si>
  <si>
    <t>Lower Modi (20)</t>
  </si>
  <si>
    <t>Bagmati Khola Small(22)</t>
  </si>
  <si>
    <t xml:space="preserve"> Sanima Mai Khola(22)</t>
  </si>
  <si>
    <t>Tallo Hewa Khola(22.1)</t>
  </si>
  <si>
    <t>Upper Chaku A(22.2)</t>
  </si>
  <si>
    <t>Solu Khola(23.5)</t>
  </si>
  <si>
    <t>Upper Dordi (25)</t>
  </si>
  <si>
    <t>Singati Khola(25)</t>
  </si>
  <si>
    <t>Kabeli B-1(25)</t>
  </si>
  <si>
    <t>Upper Madi(25)</t>
  </si>
  <si>
    <t>Dordi(27)</t>
  </si>
  <si>
    <t>National_Load</t>
  </si>
  <si>
    <t>Lower Likhu(28)</t>
  </si>
  <si>
    <t>Likhu Khola A(29.04)</t>
  </si>
  <si>
    <t>System_Load</t>
  </si>
  <si>
    <t>Nyadi(30)</t>
  </si>
  <si>
    <t>INTERRUPTION</t>
  </si>
  <si>
    <t>Upper Balefi (36)</t>
  </si>
  <si>
    <t>NEA STORAGE</t>
  </si>
  <si>
    <t>Upper Kalanga Gad(38.46)</t>
  </si>
  <si>
    <t>IMPORT</t>
  </si>
  <si>
    <t>Upper Chameliya(40)</t>
  </si>
  <si>
    <t>NEA ROR PROR</t>
  </si>
  <si>
    <t>Mistri Khola(42)</t>
  </si>
  <si>
    <t>NEA SUB</t>
  </si>
  <si>
    <t>Super Madi ( 44 )</t>
  </si>
  <si>
    <t>Upper Bhotekoshi Khola(45)</t>
  </si>
  <si>
    <t xml:space="preserve"> Hrs.</t>
  </si>
  <si>
    <t>Upper Marsyangdi "A"(50)</t>
  </si>
  <si>
    <t>Likhu-IV(52.4)</t>
  </si>
  <si>
    <t>Super Dordi (54)</t>
  </si>
  <si>
    <t>Likhu-II(55)</t>
  </si>
  <si>
    <t>Solu Khola Dudhkoshi(86)</t>
  </si>
  <si>
    <t>Installed Capacity (MW)</t>
  </si>
  <si>
    <t xml:space="preserve">                              Hrs.               Source</t>
  </si>
  <si>
    <t>Night Shift</t>
  </si>
  <si>
    <t>Day Shift</t>
  </si>
  <si>
    <t>Morning Shift</t>
  </si>
  <si>
    <t>Night Shift(Contd..)</t>
  </si>
  <si>
    <t>Total Hydro</t>
  </si>
  <si>
    <t>NEA Storage</t>
  </si>
  <si>
    <t>Nepali Date:</t>
  </si>
  <si>
    <t>NEA RoR</t>
  </si>
  <si>
    <t>llkkjmj</t>
  </si>
  <si>
    <t>* other ipp reduced to 210 due to addition of rudi khola a in log sheet</t>
  </si>
  <si>
    <t>Brt</t>
  </si>
  <si>
    <t>Ktm</t>
  </si>
  <si>
    <t>Sim</t>
  </si>
  <si>
    <t>Bhai</t>
  </si>
  <si>
    <t>Rainfall</t>
  </si>
  <si>
    <t xml:space="preserve">LOAD DISPATCH  CENTRE,  NEPAL   ELECTRICITY   AUTHORITY
DAILY SYSTEM OPERATION LOG  FOR INPS </t>
  </si>
  <si>
    <t xml:space="preserve">  </t>
  </si>
  <si>
    <t>27..8</t>
  </si>
  <si>
    <t>S</t>
  </si>
  <si>
    <t>U</t>
  </si>
  <si>
    <t>M</t>
  </si>
  <si>
    <t>D</t>
  </si>
  <si>
    <t>T</t>
  </si>
  <si>
    <t>B</t>
  </si>
  <si>
    <t>Y</t>
  </si>
  <si>
    <t>E</t>
  </si>
  <si>
    <t>I</t>
  </si>
  <si>
    <t>R</t>
  </si>
  <si>
    <t>s</t>
  </si>
  <si>
    <t>y</t>
  </si>
  <si>
    <t>t</t>
  </si>
  <si>
    <t>e</t>
  </si>
  <si>
    <t>m</t>
  </si>
  <si>
    <t>d</t>
  </si>
  <si>
    <t>i</t>
  </si>
  <si>
    <t>u</t>
  </si>
  <si>
    <t>r</t>
  </si>
  <si>
    <t>b</t>
  </si>
  <si>
    <t>70.80.3</t>
  </si>
  <si>
    <t>.</t>
  </si>
  <si>
    <t>74..9</t>
  </si>
  <si>
    <t>.622.44</t>
  </si>
  <si>
    <t>133..6</t>
  </si>
  <si>
    <t>1983..60</t>
  </si>
  <si>
    <t>518.86.</t>
  </si>
  <si>
    <t>123..6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</si>
</sst>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F800]dddd\,\ mmmm\ dd\,\ yyyy"/>
    <numFmt numFmtId="165" formatCode="h:mm;@"/>
    <numFmt numFmtId="166" formatCode="0.0"/>
    <numFmt numFmtId="167" formatCode="0.000"/>
    <numFmt numFmtId="168" formatCode="[hh]:mm"/>
    <numFmt numFmtId="169" formatCode="00.00"/>
  </numFmts>
  <fonts count="3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Aptos Narrow"/>
      <family val="2"/>
      <scheme val="minor"/>
    </font>
    <font>
      <sz val="10"/>
      <name val="Times New Roman"/>
      <family val="1"/>
    </font>
    <font>
      <sz val="10"/>
      <color indexed="10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sz val="8"/>
      <name val="Arial Narrow"/>
      <family val="2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b/>
      <sz val="9"/>
      <color rgb="FF7030A0"/>
      <name val="Aptos Narrow"/>
      <family val="2"/>
      <scheme val="minor"/>
    </font>
    <font>
      <b/>
      <sz val="9"/>
      <name val="Times New Roman"/>
      <family val="1"/>
    </font>
    <font>
      <b/>
      <sz val="9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0"/>
      <name val="Times New Roman"/>
      <family val="1"/>
    </font>
    <font>
      <b/>
      <i/>
      <sz val="11"/>
      <name val="Times New Roman"/>
      <family val="1"/>
    </font>
    <font>
      <b/>
      <sz val="12"/>
      <name val="Aptos Narrow"/>
      <family val="2"/>
      <scheme val="minor"/>
    </font>
    <font>
      <b/>
      <sz val="8"/>
      <name val="Times New Roman"/>
      <family val="1"/>
    </font>
    <font>
      <b/>
      <sz val="12"/>
      <color rgb="FFFF0000"/>
      <name val="Times New Roman"/>
      <family val="1"/>
    </font>
    <font>
      <sz val="12"/>
      <name val="Aptos Narrow"/>
      <family val="2"/>
      <scheme val="minor"/>
    </font>
    <font>
      <b/>
      <i/>
      <sz val="10"/>
      <color indexed="12"/>
      <name val="Times New Roman"/>
      <family val="1"/>
    </font>
    <font>
      <b/>
      <sz val="14"/>
      <name val="Times New Roman"/>
      <family val="1"/>
    </font>
    <font>
      <b/>
      <i/>
      <sz val="12"/>
      <color indexed="12"/>
      <name val="Times New Roman"/>
      <family val="1"/>
    </font>
    <font>
      <sz val="12"/>
      <color theme="1"/>
      <name val="Aptos Narrow"/>
      <family val="2"/>
      <scheme val="minor"/>
    </font>
    <font>
      <sz val="14"/>
      <name val="Times New Roman"/>
      <family val="1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2"/>
      <color rgb="FF7030A0"/>
      <name val="Times New Roman"/>
      <family val="1"/>
    </font>
    <font>
      <b/>
      <sz val="16"/>
      <color rgb="FF002060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sz val="12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rgb="FF000000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 diagonalDown="1">
      <left style="double">
        <color indexed="64"/>
      </left>
      <right style="thin">
        <color indexed="64"/>
      </right>
      <top/>
      <bottom style="double">
        <color indexed="64"/>
      </bottom>
      <diagonal style="double">
        <color indexed="64"/>
      </diagonal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 diagonalDown="1">
      <left style="double">
        <color indexed="64"/>
      </left>
      <right style="thin">
        <color indexed="64"/>
      </right>
      <top style="double">
        <color indexed="64"/>
      </top>
      <bottom/>
      <diagonal style="double">
        <color indexed="64"/>
      </diagonal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/>
    <xf numFmtId="43" fontId="1" fillId="0" borderId="0" applyFont="0" applyFill="0" applyBorder="0" applyAlignment="0" applyProtection="0"/>
  </cellStyleXfs>
  <cellXfs count="225">
    <xf numFmtId="0" fontId="0" fillId="0" borderId="0" xfId="0"/>
    <xf numFmtId="164" fontId="1" fillId="0" borderId="0" xfId="1"/>
    <xf numFmtId="164" fontId="1" fillId="0" borderId="0" xfId="1" applyAlignment="1">
      <alignment horizontal="center"/>
    </xf>
    <xf numFmtId="164" fontId="1" fillId="2" borderId="0" xfId="1" applyFill="1" applyProtection="1">
      <protection locked="0"/>
    </xf>
    <xf numFmtId="164" fontId="4" fillId="3" borderId="0" xfId="1" applyFont="1" applyFill="1"/>
    <xf numFmtId="165" fontId="1" fillId="2" borderId="0" xfId="1" applyNumberFormat="1" applyFill="1" applyProtection="1">
      <protection locked="0"/>
    </xf>
    <xf numFmtId="164" fontId="1" fillId="0" borderId="0" xfId="1" applyAlignment="1">
      <alignment horizontal="left"/>
    </xf>
    <xf numFmtId="20" fontId="5" fillId="5" borderId="1" xfId="1" applyNumberFormat="1" applyFont="1" applyFill="1" applyBorder="1" applyAlignment="1">
      <alignment horizontal="center"/>
    </xf>
    <xf numFmtId="1" fontId="1" fillId="5" borderId="1" xfId="1" applyNumberFormat="1" applyFill="1" applyBorder="1"/>
    <xf numFmtId="164" fontId="6" fillId="5" borderId="1" xfId="1" applyFont="1" applyFill="1" applyBorder="1" applyAlignment="1">
      <alignment vertical="center"/>
    </xf>
    <xf numFmtId="2" fontId="1" fillId="0" borderId="0" xfId="1" applyNumberFormat="1" applyAlignment="1">
      <alignment horizontal="center"/>
    </xf>
    <xf numFmtId="166" fontId="1" fillId="0" borderId="0" xfId="1" applyNumberFormat="1" applyProtection="1">
      <protection locked="0"/>
    </xf>
    <xf numFmtId="166" fontId="1" fillId="0" borderId="0" xfId="1" applyNumberFormat="1" applyAlignment="1" applyProtection="1">
      <alignment horizontal="center"/>
      <protection locked="0"/>
    </xf>
    <xf numFmtId="167" fontId="1" fillId="0" borderId="2" xfId="1" applyNumberFormat="1" applyBorder="1" applyAlignment="1">
      <alignment horizontal="center"/>
    </xf>
    <xf numFmtId="2" fontId="6" fillId="0" borderId="3" xfId="1" applyNumberFormat="1" applyFont="1" applyBorder="1" applyAlignment="1">
      <alignment horizontal="center" vertical="center"/>
    </xf>
    <xf numFmtId="164" fontId="6" fillId="0" borderId="4" xfId="1" applyFont="1" applyBorder="1" applyAlignment="1">
      <alignment horizontal="right" vertical="center"/>
    </xf>
    <xf numFmtId="167" fontId="7" fillId="0" borderId="5" xfId="1" applyNumberFormat="1" applyFont="1" applyBorder="1" applyAlignment="1">
      <alignment horizontal="center" vertical="center"/>
    </xf>
    <xf numFmtId="2" fontId="6" fillId="0" borderId="6" xfId="1" applyNumberFormat="1" applyFont="1" applyBorder="1" applyAlignment="1">
      <alignment horizontal="center" vertical="center"/>
    </xf>
    <xf numFmtId="164" fontId="6" fillId="0" borderId="7" xfId="1" applyFont="1" applyBorder="1" applyAlignment="1">
      <alignment horizontal="right" vertical="center"/>
    </xf>
    <xf numFmtId="20" fontId="1" fillId="0" borderId="0" xfId="1" applyNumberFormat="1"/>
    <xf numFmtId="167" fontId="7" fillId="0" borderId="8" xfId="1" applyNumberFormat="1" applyFont="1" applyBorder="1" applyAlignment="1">
      <alignment horizontal="center" vertical="center"/>
    </xf>
    <xf numFmtId="2" fontId="6" fillId="0" borderId="1" xfId="1" applyNumberFormat="1" applyFont="1" applyBorder="1" applyAlignment="1">
      <alignment horizontal="center" vertical="center"/>
    </xf>
    <xf numFmtId="164" fontId="6" fillId="0" borderId="9" xfId="1" applyFont="1" applyBorder="1" applyAlignment="1">
      <alignment horizontal="right" vertical="center"/>
    </xf>
    <xf numFmtId="167" fontId="7" fillId="0" borderId="10" xfId="1" applyNumberFormat="1" applyFont="1" applyBorder="1" applyAlignment="1">
      <alignment horizontal="center" vertical="center"/>
    </xf>
    <xf numFmtId="2" fontId="6" fillId="0" borderId="11" xfId="1" applyNumberFormat="1" applyFont="1" applyBorder="1" applyAlignment="1">
      <alignment horizontal="center" vertical="center"/>
    </xf>
    <xf numFmtId="164" fontId="6" fillId="0" borderId="12" xfId="1" applyFont="1" applyBorder="1" applyAlignment="1">
      <alignment horizontal="right" vertical="center"/>
    </xf>
    <xf numFmtId="167" fontId="1" fillId="0" borderId="0" xfId="1" applyNumberFormat="1" applyAlignment="1">
      <alignment horizontal="center"/>
    </xf>
    <xf numFmtId="164" fontId="8" fillId="0" borderId="0" xfId="1" applyFont="1" applyAlignment="1">
      <alignment vertical="center"/>
    </xf>
    <xf numFmtId="167" fontId="9" fillId="0" borderId="13" xfId="1" applyNumberFormat="1" applyFont="1" applyBorder="1" applyAlignment="1">
      <alignment horizontal="center" vertical="center"/>
    </xf>
    <xf numFmtId="2" fontId="6" fillId="0" borderId="14" xfId="1" applyNumberFormat="1" applyFont="1" applyBorder="1" applyAlignment="1">
      <alignment horizontal="center" vertical="center"/>
    </xf>
    <xf numFmtId="2" fontId="6" fillId="0" borderId="4" xfId="1" applyNumberFormat="1" applyFont="1" applyBorder="1" applyAlignment="1">
      <alignment horizontal="center" vertical="center"/>
    </xf>
    <xf numFmtId="164" fontId="6" fillId="0" borderId="13" xfId="1" applyFont="1" applyBorder="1" applyAlignment="1">
      <alignment vertical="center"/>
    </xf>
    <xf numFmtId="167" fontId="9" fillId="0" borderId="5" xfId="1" applyNumberFormat="1" applyFont="1" applyBorder="1" applyAlignment="1">
      <alignment horizontal="center" vertical="center"/>
    </xf>
    <xf numFmtId="2" fontId="6" fillId="0" borderId="15" xfId="1" applyNumberFormat="1" applyFont="1" applyBorder="1" applyAlignment="1" applyProtection="1">
      <alignment horizontal="center" vertical="center"/>
      <protection locked="0"/>
    </xf>
    <xf numFmtId="2" fontId="6" fillId="0" borderId="16" xfId="1" applyNumberFormat="1" applyFont="1" applyBorder="1" applyAlignment="1" applyProtection="1">
      <alignment horizontal="center" vertical="center"/>
      <protection locked="0"/>
    </xf>
    <xf numFmtId="2" fontId="6" fillId="0" borderId="1" xfId="1" applyNumberFormat="1" applyFont="1" applyBorder="1" applyAlignment="1" applyProtection="1">
      <alignment horizontal="center" vertical="center"/>
      <protection locked="0"/>
    </xf>
    <xf numFmtId="167" fontId="9" fillId="0" borderId="8" xfId="1" applyNumberFormat="1" applyFont="1" applyBorder="1" applyAlignment="1">
      <alignment horizontal="center" vertical="center"/>
    </xf>
    <xf numFmtId="167" fontId="9" fillId="0" borderId="17" xfId="1" applyNumberFormat="1" applyFont="1" applyBorder="1" applyAlignment="1">
      <alignment horizontal="center" vertical="center"/>
    </xf>
    <xf numFmtId="2" fontId="6" fillId="0" borderId="16" xfId="1" applyNumberFormat="1" applyFont="1" applyBorder="1" applyAlignment="1">
      <alignment horizontal="center" vertical="center"/>
    </xf>
    <xf numFmtId="164" fontId="6" fillId="0" borderId="18" xfId="1" applyFont="1" applyBorder="1" applyAlignment="1">
      <alignment horizontal="right" vertical="center"/>
    </xf>
    <xf numFmtId="167" fontId="1" fillId="0" borderId="19" xfId="1" applyNumberFormat="1" applyBorder="1" applyAlignment="1">
      <alignment horizontal="center"/>
    </xf>
    <xf numFmtId="164" fontId="1" fillId="0" borderId="19" xfId="1" applyBorder="1" applyAlignment="1">
      <alignment horizontal="center"/>
    </xf>
    <xf numFmtId="164" fontId="0" fillId="0" borderId="19" xfId="1" applyFont="1" applyBorder="1" applyAlignment="1">
      <alignment horizontal="center"/>
    </xf>
    <xf numFmtId="164" fontId="8" fillId="0" borderId="20" xfId="1" applyFont="1" applyBorder="1" applyAlignment="1">
      <alignment vertical="center"/>
    </xf>
    <xf numFmtId="164" fontId="1" fillId="0" borderId="21" xfId="1" applyBorder="1" applyAlignment="1">
      <alignment horizontal="center"/>
    </xf>
    <xf numFmtId="2" fontId="10" fillId="0" borderId="22" xfId="1" applyNumberFormat="1" applyFont="1" applyBorder="1" applyAlignment="1">
      <alignment horizontal="center" vertical="center"/>
    </xf>
    <xf numFmtId="2" fontId="10" fillId="0" borderId="23" xfId="1" applyNumberFormat="1" applyFont="1" applyBorder="1" applyAlignment="1">
      <alignment horizontal="center" vertical="center"/>
    </xf>
    <xf numFmtId="164" fontId="8" fillId="0" borderId="9" xfId="1" applyFont="1" applyBorder="1" applyAlignment="1">
      <alignment horizontal="right" vertical="center" indent="1"/>
    </xf>
    <xf numFmtId="2" fontId="10" fillId="0" borderId="8" xfId="1" applyNumberFormat="1" applyFont="1" applyBorder="1" applyAlignment="1">
      <alignment horizontal="center" vertical="center"/>
    </xf>
    <xf numFmtId="2" fontId="10" fillId="0" borderId="1" xfId="1" applyNumberFormat="1" applyFont="1" applyBorder="1" applyAlignment="1">
      <alignment horizontal="center" vertical="center"/>
    </xf>
    <xf numFmtId="2" fontId="10" fillId="0" borderId="17" xfId="1" applyNumberFormat="1" applyFont="1" applyBorder="1" applyAlignment="1">
      <alignment horizontal="center" vertical="center"/>
    </xf>
    <xf numFmtId="2" fontId="10" fillId="0" borderId="16" xfId="1" applyNumberFormat="1" applyFont="1" applyBorder="1" applyAlignment="1">
      <alignment horizontal="center" vertical="center"/>
    </xf>
    <xf numFmtId="2" fontId="10" fillId="0" borderId="10" xfId="1" applyNumberFormat="1" applyFont="1" applyBorder="1" applyAlignment="1">
      <alignment horizontal="center" vertical="center"/>
    </xf>
    <xf numFmtId="2" fontId="10" fillId="0" borderId="11" xfId="1" applyNumberFormat="1" applyFont="1" applyBorder="1" applyAlignment="1">
      <alignment horizontal="center" vertical="center"/>
    </xf>
    <xf numFmtId="164" fontId="8" fillId="0" borderId="12" xfId="1" applyFont="1" applyBorder="1" applyAlignment="1">
      <alignment vertical="center"/>
    </xf>
    <xf numFmtId="167" fontId="1" fillId="0" borderId="1" xfId="1" applyNumberFormat="1" applyBorder="1" applyAlignment="1">
      <alignment horizontal="center"/>
    </xf>
    <xf numFmtId="166" fontId="6" fillId="0" borderId="1" xfId="1" applyNumberFormat="1" applyFont="1" applyBorder="1" applyAlignment="1" applyProtection="1">
      <alignment horizontal="center"/>
      <protection locked="0"/>
    </xf>
    <xf numFmtId="164" fontId="6" fillId="0" borderId="9" xfId="1" applyFont="1" applyBorder="1" applyAlignment="1">
      <alignment horizontal="right" vertical="center" indent="1"/>
    </xf>
    <xf numFmtId="166" fontId="6" fillId="0" borderId="24" xfId="1" applyNumberFormat="1" applyFont="1" applyBorder="1" applyAlignment="1" applyProtection="1">
      <alignment horizontal="center"/>
      <protection locked="0"/>
    </xf>
    <xf numFmtId="164" fontId="6" fillId="0" borderId="12" xfId="1" applyFont="1" applyBorder="1" applyAlignment="1">
      <alignment horizontal="right" vertical="center" indent="1"/>
    </xf>
    <xf numFmtId="167" fontId="1" fillId="0" borderId="6" xfId="1" applyNumberFormat="1" applyBorder="1" applyAlignment="1">
      <alignment horizontal="center"/>
    </xf>
    <xf numFmtId="166" fontId="6" fillId="0" borderId="25" xfId="1" applyNumberFormat="1" applyFont="1" applyBorder="1" applyAlignment="1" applyProtection="1">
      <alignment horizontal="center" vertical="center"/>
      <protection locked="0"/>
    </xf>
    <xf numFmtId="166" fontId="6" fillId="0" borderId="26" xfId="1" applyNumberFormat="1" applyFont="1" applyBorder="1" applyAlignment="1" applyProtection="1">
      <alignment horizontal="center" vertical="center"/>
      <protection locked="0"/>
    </xf>
    <xf numFmtId="167" fontId="1" fillId="0" borderId="0" xfId="1" applyNumberFormat="1"/>
    <xf numFmtId="166" fontId="8" fillId="0" borderId="27" xfId="1" applyNumberFormat="1" applyFont="1" applyBorder="1" applyAlignment="1">
      <alignment horizontal="center" vertical="center"/>
    </xf>
    <xf numFmtId="164" fontId="6" fillId="0" borderId="28" xfId="1" applyFont="1" applyBorder="1" applyAlignment="1">
      <alignment vertical="center"/>
    </xf>
    <xf numFmtId="167" fontId="6" fillId="0" borderId="29" xfId="1" applyNumberFormat="1" applyFont="1" applyBorder="1" applyAlignment="1">
      <alignment horizontal="center" vertical="center"/>
    </xf>
    <xf numFmtId="166" fontId="6" fillId="0" borderId="23" xfId="1" applyNumberFormat="1" applyFont="1" applyBorder="1" applyAlignment="1" applyProtection="1">
      <alignment horizontal="center" vertical="center"/>
      <protection locked="0"/>
    </xf>
    <xf numFmtId="164" fontId="8" fillId="0" borderId="0" xfId="1" applyFont="1" applyAlignment="1">
      <alignment horizontal="right" vertical="center"/>
    </xf>
    <xf numFmtId="167" fontId="6" fillId="0" borderId="30" xfId="1" applyNumberFormat="1" applyFont="1" applyBorder="1" applyAlignment="1">
      <alignment horizontal="center" vertical="center"/>
    </xf>
    <xf numFmtId="166" fontId="6" fillId="0" borderId="1" xfId="1" applyNumberFormat="1" applyFont="1" applyBorder="1" applyAlignment="1" applyProtection="1">
      <alignment horizontal="center" vertical="center"/>
      <protection locked="0"/>
    </xf>
    <xf numFmtId="167" fontId="6" fillId="0" borderId="30" xfId="1" applyNumberFormat="1" applyFont="1" applyBorder="1" applyAlignment="1">
      <alignment horizontal="center"/>
    </xf>
    <xf numFmtId="164" fontId="6" fillId="0" borderId="31" xfId="1" applyFont="1" applyBorder="1" applyAlignment="1">
      <alignment horizontal="right" vertical="center"/>
    </xf>
    <xf numFmtId="167" fontId="6" fillId="0" borderId="32" xfId="1" applyNumberFormat="1" applyFont="1" applyBorder="1" applyAlignment="1">
      <alignment horizontal="center" vertical="center"/>
    </xf>
    <xf numFmtId="2" fontId="6" fillId="0" borderId="11" xfId="1" applyNumberFormat="1" applyFont="1" applyBorder="1" applyAlignment="1" applyProtection="1">
      <alignment horizontal="center" vertical="center"/>
      <protection locked="0"/>
    </xf>
    <xf numFmtId="167" fontId="8" fillId="0" borderId="33" xfId="1" applyNumberFormat="1" applyFont="1" applyBorder="1" applyAlignment="1">
      <alignment horizontal="center" vertical="center"/>
    </xf>
    <xf numFmtId="166" fontId="8" fillId="0" borderId="3" xfId="1" applyNumberFormat="1" applyFont="1" applyBorder="1" applyAlignment="1">
      <alignment horizontal="center" vertical="center"/>
    </xf>
    <xf numFmtId="164" fontId="8" fillId="0" borderId="34" xfId="1" applyFont="1" applyBorder="1" applyAlignment="1">
      <alignment horizontal="left" vertical="center"/>
    </xf>
    <xf numFmtId="166" fontId="1" fillId="0" borderId="0" xfId="1" applyNumberFormat="1"/>
    <xf numFmtId="164" fontId="8" fillId="0" borderId="34" xfId="1" applyFont="1" applyBorder="1" applyAlignment="1">
      <alignment horizontal="center" vertical="center"/>
    </xf>
    <xf numFmtId="167" fontId="6" fillId="0" borderId="35" xfId="1" applyNumberFormat="1" applyFont="1" applyBorder="1" applyAlignment="1">
      <alignment horizontal="center" vertical="center"/>
    </xf>
    <xf numFmtId="166" fontId="6" fillId="0" borderId="6" xfId="1" applyNumberFormat="1" applyFont="1" applyBorder="1" applyAlignment="1">
      <alignment horizontal="center" vertical="center"/>
    </xf>
    <xf numFmtId="164" fontId="6" fillId="0" borderId="36" xfId="1" applyFont="1" applyBorder="1" applyAlignment="1">
      <alignment horizontal="right" vertical="center"/>
    </xf>
    <xf numFmtId="0" fontId="1" fillId="0" borderId="0" xfId="1" applyNumberFormat="1"/>
    <xf numFmtId="167" fontId="9" fillId="0" borderId="35" xfId="1" applyNumberFormat="1" applyFont="1" applyBorder="1" applyAlignment="1">
      <alignment horizontal="center" vertical="center"/>
    </xf>
    <xf numFmtId="166" fontId="6" fillId="0" borderId="16" xfId="1" applyNumberFormat="1" applyFont="1" applyBorder="1" applyAlignment="1">
      <alignment horizontal="center" vertical="center"/>
    </xf>
    <xf numFmtId="167" fontId="9" fillId="0" borderId="37" xfId="1" applyNumberFormat="1" applyFont="1" applyBorder="1" applyAlignment="1">
      <alignment horizontal="center" vertical="center"/>
    </xf>
    <xf numFmtId="164" fontId="6" fillId="0" borderId="38" xfId="1" applyFont="1" applyBorder="1" applyAlignment="1">
      <alignment horizontal="right" vertical="center"/>
    </xf>
    <xf numFmtId="167" fontId="9" fillId="0" borderId="39" xfId="1" applyNumberFormat="1" applyFont="1" applyBorder="1" applyAlignment="1">
      <alignment horizontal="center" vertical="center"/>
    </xf>
    <xf numFmtId="164" fontId="6" fillId="0" borderId="40" xfId="1" applyFont="1" applyBorder="1" applyAlignment="1">
      <alignment horizontal="right" vertical="center"/>
    </xf>
    <xf numFmtId="1" fontId="8" fillId="0" borderId="3" xfId="1" applyNumberFormat="1" applyFont="1" applyBorder="1" applyAlignment="1">
      <alignment horizontal="center" vertical="center"/>
    </xf>
    <xf numFmtId="166" fontId="6" fillId="0" borderId="3" xfId="1" applyNumberFormat="1" applyFont="1" applyBorder="1" applyAlignment="1" applyProtection="1">
      <alignment horizontal="center" vertical="center"/>
      <protection locked="0"/>
    </xf>
    <xf numFmtId="164" fontId="8" fillId="6" borderId="34" xfId="1" applyFont="1" applyFill="1" applyBorder="1" applyAlignment="1">
      <alignment vertical="center" wrapText="1"/>
    </xf>
    <xf numFmtId="167" fontId="8" fillId="0" borderId="3" xfId="1" applyNumberFormat="1" applyFont="1" applyBorder="1" applyAlignment="1">
      <alignment horizontal="center" vertical="center"/>
    </xf>
    <xf numFmtId="166" fontId="6" fillId="0" borderId="22" xfId="1" applyNumberFormat="1" applyFont="1" applyBorder="1" applyAlignment="1" applyProtection="1">
      <alignment horizontal="center" vertical="center"/>
      <protection locked="0"/>
    </xf>
    <xf numFmtId="164" fontId="1" fillId="0" borderId="20" xfId="1" applyBorder="1"/>
    <xf numFmtId="167" fontId="6" fillId="0" borderId="37" xfId="1" applyNumberFormat="1" applyFont="1" applyBorder="1" applyAlignment="1">
      <alignment horizontal="center" vertical="center"/>
    </xf>
    <xf numFmtId="166" fontId="6" fillId="0" borderId="1" xfId="1" applyNumberFormat="1" applyFont="1" applyBorder="1" applyAlignment="1">
      <alignment horizontal="center" vertical="center"/>
    </xf>
    <xf numFmtId="164" fontId="1" fillId="0" borderId="42" xfId="1" applyBorder="1"/>
    <xf numFmtId="167" fontId="6" fillId="0" borderId="39" xfId="1" applyNumberFormat="1" applyFont="1" applyBorder="1" applyAlignment="1">
      <alignment horizontal="center" vertical="center"/>
    </xf>
    <xf numFmtId="166" fontId="6" fillId="0" borderId="25" xfId="1" applyNumberFormat="1" applyFont="1" applyBorder="1" applyAlignment="1">
      <alignment horizontal="center" vertical="center"/>
    </xf>
    <xf numFmtId="166" fontId="6" fillId="6" borderId="44" xfId="1" applyNumberFormat="1" applyFont="1" applyFill="1" applyBorder="1" applyAlignment="1" applyProtection="1">
      <alignment horizontal="center" vertical="center"/>
      <protection locked="0"/>
    </xf>
    <xf numFmtId="166" fontId="6" fillId="0" borderId="16" xfId="1" applyNumberFormat="1" applyFont="1" applyBorder="1" applyAlignment="1" applyProtection="1">
      <alignment horizontal="center" vertical="center"/>
      <protection locked="0"/>
    </xf>
    <xf numFmtId="166" fontId="6" fillId="0" borderId="8" xfId="1" applyNumberFormat="1" applyFont="1" applyBorder="1" applyAlignment="1" applyProtection="1">
      <alignment horizontal="center" vertical="center"/>
      <protection locked="0"/>
    </xf>
    <xf numFmtId="164" fontId="0" fillId="0" borderId="42" xfId="1" applyFont="1" applyBorder="1"/>
    <xf numFmtId="166" fontId="6" fillId="0" borderId="10" xfId="1" applyNumberFormat="1" applyFont="1" applyBorder="1" applyAlignment="1" applyProtection="1">
      <alignment horizontal="center" vertical="center"/>
      <protection locked="0"/>
    </xf>
    <xf numFmtId="166" fontId="6" fillId="0" borderId="11" xfId="1" applyNumberFormat="1" applyFont="1" applyBorder="1" applyAlignment="1" applyProtection="1">
      <alignment horizontal="center" vertical="center"/>
      <protection locked="0"/>
    </xf>
    <xf numFmtId="20" fontId="1" fillId="0" borderId="45" xfId="1" applyNumberFormat="1" applyBorder="1"/>
    <xf numFmtId="164" fontId="2" fillId="6" borderId="0" xfId="1" applyFont="1" applyFill="1"/>
    <xf numFmtId="167" fontId="9" fillId="0" borderId="46" xfId="1" applyNumberFormat="1" applyFont="1" applyBorder="1" applyAlignment="1">
      <alignment horizontal="center" vertical="center"/>
    </xf>
    <xf numFmtId="166" fontId="6" fillId="0" borderId="15" xfId="1" applyNumberFormat="1" applyFont="1" applyBorder="1" applyAlignment="1" applyProtection="1">
      <alignment horizontal="center" vertical="center"/>
      <protection locked="0"/>
    </xf>
    <xf numFmtId="164" fontId="6" fillId="0" borderId="47" xfId="1" applyFont="1" applyBorder="1" applyAlignment="1">
      <alignment horizontal="right" vertical="center"/>
    </xf>
    <xf numFmtId="167" fontId="11" fillId="0" borderId="6" xfId="1" applyNumberFormat="1" applyFont="1" applyBorder="1" applyAlignment="1">
      <alignment horizontal="center" vertical="center"/>
    </xf>
    <xf numFmtId="2" fontId="11" fillId="0" borderId="6" xfId="1" applyNumberFormat="1" applyFont="1" applyBorder="1" applyAlignment="1">
      <alignment horizontal="center" vertical="center"/>
    </xf>
    <xf numFmtId="164" fontId="11" fillId="0" borderId="38" xfId="1" applyFont="1" applyBorder="1" applyAlignment="1">
      <alignment horizontal="right" vertical="center"/>
    </xf>
    <xf numFmtId="164" fontId="12" fillId="0" borderId="0" xfId="1" applyFont="1"/>
    <xf numFmtId="164" fontId="8" fillId="0" borderId="13" xfId="1" applyFont="1" applyBorder="1" applyAlignment="1">
      <alignment horizontal="left" vertical="center"/>
    </xf>
    <xf numFmtId="164" fontId="6" fillId="0" borderId="48" xfId="1" applyFont="1" applyBorder="1" applyAlignment="1">
      <alignment horizontal="right" vertical="center"/>
    </xf>
    <xf numFmtId="164" fontId="6" fillId="0" borderId="49" xfId="1" applyFont="1" applyBorder="1" applyAlignment="1">
      <alignment horizontal="right" vertical="center"/>
    </xf>
    <xf numFmtId="166" fontId="6" fillId="7" borderId="16" xfId="1" applyNumberFormat="1" applyFont="1" applyFill="1" applyBorder="1" applyAlignment="1" applyProtection="1">
      <alignment horizontal="center" vertical="center"/>
      <protection locked="0"/>
    </xf>
    <xf numFmtId="164" fontId="6" fillId="0" borderId="50" xfId="1" applyFont="1" applyBorder="1" applyAlignment="1">
      <alignment horizontal="right" vertical="center"/>
    </xf>
    <xf numFmtId="164" fontId="8" fillId="0" borderId="51" xfId="1" applyFont="1" applyBorder="1" applyAlignment="1">
      <alignment horizontal="left" vertical="center"/>
    </xf>
    <xf numFmtId="166" fontId="6" fillId="8" borderId="1" xfId="1" applyNumberFormat="1" applyFont="1" applyFill="1" applyBorder="1" applyAlignment="1" applyProtection="1">
      <alignment horizontal="center" vertical="center"/>
      <protection locked="0"/>
    </xf>
    <xf numFmtId="166" fontId="6" fillId="9" borderId="16" xfId="1" applyNumberFormat="1" applyFont="1" applyFill="1" applyBorder="1" applyAlignment="1" applyProtection="1">
      <alignment horizontal="center" vertical="center"/>
      <protection locked="0"/>
    </xf>
    <xf numFmtId="164" fontId="8" fillId="0" borderId="40" xfId="1" applyFont="1" applyBorder="1" applyAlignment="1">
      <alignment horizontal="right" vertical="center"/>
    </xf>
    <xf numFmtId="165" fontId="13" fillId="0" borderId="0" xfId="1" applyNumberFormat="1" applyFont="1"/>
    <xf numFmtId="164" fontId="6" fillId="0" borderId="0" xfId="1" applyFont="1" applyAlignment="1">
      <alignment horizontal="center" vertical="center"/>
    </xf>
    <xf numFmtId="164" fontId="6" fillId="0" borderId="0" xfId="1" applyFont="1" applyAlignment="1">
      <alignment vertical="center"/>
    </xf>
    <xf numFmtId="164" fontId="1" fillId="0" borderId="0" xfId="1" applyAlignment="1">
      <alignment horizontal="center" vertical="center"/>
    </xf>
    <xf numFmtId="2" fontId="9" fillId="0" borderId="39" xfId="1" applyNumberFormat="1" applyFont="1" applyBorder="1" applyAlignment="1">
      <alignment horizontal="center" vertical="center"/>
    </xf>
    <xf numFmtId="167" fontId="6" fillId="0" borderId="52" xfId="1" applyNumberFormat="1" applyFont="1" applyBorder="1" applyAlignment="1" applyProtection="1">
      <alignment horizontal="center" vertical="center"/>
      <protection locked="0"/>
    </xf>
    <xf numFmtId="0" fontId="1" fillId="0" borderId="0" xfId="1" applyNumberFormat="1" applyAlignment="1">
      <alignment horizontal="center"/>
    </xf>
    <xf numFmtId="164" fontId="2" fillId="0" borderId="0" xfId="1" applyFont="1" applyAlignment="1">
      <alignment horizontal="center"/>
    </xf>
    <xf numFmtId="166" fontId="6" fillId="0" borderId="0" xfId="1" applyNumberFormat="1" applyFont="1" applyAlignment="1">
      <alignment vertical="center"/>
    </xf>
    <xf numFmtId="0" fontId="6" fillId="0" borderId="0" xfId="1" applyNumberFormat="1" applyFont="1" applyAlignment="1">
      <alignment vertical="center"/>
    </xf>
    <xf numFmtId="164" fontId="8" fillId="0" borderId="0" xfId="1" applyFont="1" applyAlignment="1">
      <alignment vertical="top" wrapText="1"/>
    </xf>
    <xf numFmtId="168" fontId="6" fillId="0" borderId="53" xfId="1" applyNumberFormat="1" applyFont="1" applyBorder="1" applyAlignment="1">
      <alignment vertical="center"/>
    </xf>
    <xf numFmtId="168" fontId="6" fillId="0" borderId="6" xfId="1" applyNumberFormat="1" applyFont="1" applyBorder="1" applyAlignment="1">
      <alignment vertical="center"/>
    </xf>
    <xf numFmtId="168" fontId="6" fillId="0" borderId="54" xfId="1" applyNumberFormat="1" applyFont="1" applyBorder="1" applyAlignment="1">
      <alignment vertical="center"/>
    </xf>
    <xf numFmtId="20" fontId="6" fillId="0" borderId="6" xfId="1" applyNumberFormat="1" applyFont="1" applyBorder="1" applyAlignment="1">
      <alignment vertical="center"/>
    </xf>
    <xf numFmtId="167" fontId="6" fillId="0" borderId="16" xfId="1" applyNumberFormat="1" applyFont="1" applyBorder="1" applyAlignment="1" applyProtection="1">
      <alignment horizontal="center" vertical="center"/>
      <protection locked="0"/>
    </xf>
    <xf numFmtId="165" fontId="15" fillId="0" borderId="0" xfId="1" applyNumberFormat="1" applyFont="1"/>
    <xf numFmtId="164" fontId="16" fillId="0" borderId="0" xfId="1" applyFont="1"/>
    <xf numFmtId="164" fontId="16" fillId="0" borderId="0" xfId="1" applyFont="1" applyAlignment="1">
      <alignment horizontal="left"/>
    </xf>
    <xf numFmtId="164" fontId="16" fillId="0" borderId="0" xfId="1" applyFont="1" applyAlignment="1">
      <alignment horizontal="center"/>
    </xf>
    <xf numFmtId="2" fontId="6" fillId="12" borderId="59" xfId="1" applyNumberFormat="1" applyFont="1" applyFill="1" applyBorder="1" applyAlignment="1">
      <alignment horizontal="center" vertical="center"/>
    </xf>
    <xf numFmtId="164" fontId="6" fillId="0" borderId="63" xfId="1" applyFont="1" applyBorder="1" applyAlignment="1">
      <alignment vertical="center"/>
    </xf>
    <xf numFmtId="20" fontId="1" fillId="0" borderId="0" xfId="1" applyNumberFormat="1" applyAlignment="1">
      <alignment horizontal="center" vertical="center"/>
    </xf>
    <xf numFmtId="164" fontId="2" fillId="0" borderId="0" xfId="1" applyFont="1"/>
    <xf numFmtId="43" fontId="19" fillId="0" borderId="0" xfId="2" applyFont="1" applyFill="1" applyAlignment="1">
      <alignment horizontal="center" vertical="center"/>
    </xf>
    <xf numFmtId="1" fontId="20" fillId="0" borderId="0" xfId="1" applyNumberFormat="1" applyFont="1" applyAlignment="1">
      <alignment horizontal="center" vertical="center"/>
    </xf>
    <xf numFmtId="164" fontId="21" fillId="0" borderId="0" xfId="1" applyFont="1" applyAlignment="1">
      <alignment horizontal="left" vertical="center"/>
    </xf>
    <xf numFmtId="164" fontId="1" fillId="13" borderId="0" xfId="1" applyFill="1"/>
    <xf numFmtId="164" fontId="16" fillId="13" borderId="0" xfId="1" applyFont="1" applyFill="1"/>
    <xf numFmtId="43" fontId="22" fillId="13" borderId="0" xfId="2" applyFont="1" applyFill="1" applyAlignment="1">
      <alignment horizontal="center" vertical="center"/>
    </xf>
    <xf numFmtId="164" fontId="23" fillId="0" borderId="0" xfId="1" applyFont="1" applyAlignment="1">
      <alignment vertical="center"/>
    </xf>
    <xf numFmtId="164" fontId="24" fillId="0" borderId="0" xfId="1" applyFont="1" applyAlignment="1">
      <alignment vertical="center"/>
    </xf>
    <xf numFmtId="164" fontId="25" fillId="14" borderId="0" xfId="1" applyFont="1" applyFill="1" applyAlignment="1">
      <alignment horizontal="left" vertical="center"/>
    </xf>
    <xf numFmtId="164" fontId="25" fillId="14" borderId="0" xfId="1" applyFont="1" applyFill="1" applyAlignment="1">
      <alignment vertical="center"/>
    </xf>
    <xf numFmtId="164" fontId="1" fillId="15" borderId="0" xfId="1" applyFill="1"/>
    <xf numFmtId="164" fontId="26" fillId="13" borderId="0" xfId="1" applyFont="1" applyFill="1"/>
    <xf numFmtId="166" fontId="1" fillId="15" borderId="0" xfId="1" applyNumberFormat="1" applyFill="1"/>
    <xf numFmtId="164" fontId="25" fillId="14" borderId="0" xfId="1" applyFont="1" applyFill="1" applyAlignment="1">
      <alignment horizontal="right" vertical="center"/>
    </xf>
    <xf numFmtId="164" fontId="3" fillId="0" borderId="0" xfId="1" applyFont="1" applyAlignment="1">
      <alignment horizontal="center" vertical="center"/>
    </xf>
    <xf numFmtId="164" fontId="3" fillId="0" borderId="0" xfId="1" applyFont="1" applyAlignment="1">
      <alignment vertical="center"/>
    </xf>
    <xf numFmtId="164" fontId="1" fillId="0" borderId="1" xfId="1" applyBorder="1" applyAlignment="1">
      <alignment horizontal="center" vertical="center"/>
    </xf>
    <xf numFmtId="164" fontId="27" fillId="0" borderId="22" xfId="1" applyFont="1" applyBorder="1" applyAlignment="1">
      <alignment vertical="center"/>
    </xf>
    <xf numFmtId="164" fontId="27" fillId="0" borderId="23" xfId="1" applyFont="1" applyBorder="1" applyAlignment="1">
      <alignment vertical="center"/>
    </xf>
    <xf numFmtId="164" fontId="28" fillId="0" borderId="0" xfId="1" applyFont="1"/>
    <xf numFmtId="164" fontId="29" fillId="0" borderId="0" xfId="1" applyFont="1" applyAlignment="1">
      <alignment horizontal="center" vertical="center"/>
    </xf>
    <xf numFmtId="43" fontId="26" fillId="13" borderId="0" xfId="2" applyFont="1" applyFill="1" applyAlignment="1">
      <alignment horizontal="center"/>
    </xf>
    <xf numFmtId="14" fontId="30" fillId="0" borderId="0" xfId="1" applyNumberFormat="1" applyFont="1" applyAlignment="1">
      <alignment vertical="center"/>
    </xf>
    <xf numFmtId="164" fontId="24" fillId="0" borderId="1" xfId="1" applyFont="1" applyBorder="1" applyAlignment="1">
      <alignment vertical="center"/>
    </xf>
    <xf numFmtId="164" fontId="24" fillId="0" borderId="1" xfId="1" applyFont="1" applyBorder="1" applyAlignment="1">
      <alignment horizontal="center" vertical="center"/>
    </xf>
    <xf numFmtId="164" fontId="27" fillId="0" borderId="10" xfId="1" applyFont="1" applyBorder="1" applyAlignment="1">
      <alignment vertical="center"/>
    </xf>
    <xf numFmtId="164" fontId="27" fillId="0" borderId="11" xfId="1" applyFont="1" applyBorder="1" applyAlignment="1">
      <alignment vertical="center"/>
    </xf>
    <xf numFmtId="164" fontId="31" fillId="0" borderId="0" xfId="1" applyFont="1" applyAlignment="1">
      <alignment vertical="center"/>
    </xf>
    <xf numFmtId="164" fontId="1" fillId="0" borderId="0" xfId="1" applyProtection="1">
      <protection locked="0"/>
    </xf>
    <xf numFmtId="166" fontId="8" fillId="0" borderId="16" xfId="1" applyNumberFormat="1" applyFont="1" applyBorder="1" applyAlignment="1" applyProtection="1">
      <alignment horizontal="center" vertical="center"/>
      <protection locked="0"/>
    </xf>
    <xf numFmtId="167" fontId="8" fillId="0" borderId="52" xfId="1" applyNumberFormat="1" applyFont="1" applyBorder="1" applyAlignment="1" applyProtection="1">
      <alignment horizontal="center" vertical="center"/>
      <protection locked="0"/>
    </xf>
    <xf numFmtId="166" fontId="2" fillId="0" borderId="0" xfId="1" applyNumberFormat="1" applyFont="1" applyAlignment="1" applyProtection="1">
      <alignment horizontal="center"/>
      <protection locked="0"/>
    </xf>
    <xf numFmtId="166" fontId="35" fillId="17" borderId="27" xfId="0" applyNumberFormat="1" applyFont="1" applyFill="1" applyBorder="1" applyAlignment="1">
      <alignment horizontal="center" vertical="top" wrapText="1"/>
    </xf>
    <xf numFmtId="166" fontId="35" fillId="17" borderId="1" xfId="0" applyNumberFormat="1" applyFont="1" applyFill="1" applyBorder="1" applyAlignment="1">
      <alignment horizontal="center" vertical="top" wrapText="1"/>
    </xf>
    <xf numFmtId="166" fontId="35" fillId="17" borderId="1" xfId="0" applyNumberFormat="1" applyFont="1" applyFill="1" applyBorder="1" applyAlignment="1" applyProtection="1">
      <alignment horizontal="center" vertical="top" wrapText="1"/>
      <protection locked="0"/>
    </xf>
    <xf numFmtId="166" fontId="35" fillId="17" borderId="6" xfId="0" applyNumberFormat="1" applyFont="1" applyFill="1" applyBorder="1" applyAlignment="1" applyProtection="1">
      <alignment horizontal="center" vertical="top" wrapText="1"/>
      <protection locked="0"/>
    </xf>
    <xf numFmtId="164" fontId="8" fillId="0" borderId="42" xfId="1" applyFont="1" applyBorder="1" applyAlignment="1">
      <alignment vertical="center"/>
    </xf>
    <xf numFmtId="164" fontId="0" fillId="0" borderId="0" xfId="1" applyFont="1" applyAlignment="1">
      <alignment horizontal="center"/>
    </xf>
    <xf numFmtId="2" fontId="6" fillId="0" borderId="15" xfId="1" applyNumberFormat="1" applyFont="1" applyBorder="1" applyAlignment="1">
      <alignment horizontal="center" vertical="center"/>
    </xf>
    <xf numFmtId="167" fontId="9" fillId="0" borderId="10" xfId="1" applyNumberFormat="1" applyFont="1" applyBorder="1" applyAlignment="1">
      <alignment horizontal="center" vertical="center"/>
    </xf>
    <xf numFmtId="164" fontId="6" fillId="0" borderId="67" xfId="1" applyFont="1" applyBorder="1" applyAlignment="1">
      <alignment horizontal="right" vertical="center"/>
    </xf>
    <xf numFmtId="2" fontId="6" fillId="0" borderId="23" xfId="1" applyNumberFormat="1" applyFont="1" applyBorder="1" applyAlignment="1">
      <alignment horizontal="center" vertical="center"/>
    </xf>
    <xf numFmtId="2" fontId="6" fillId="0" borderId="65" xfId="1" applyNumberFormat="1" applyFont="1" applyBorder="1" applyAlignment="1" applyProtection="1">
      <alignment horizontal="center" vertical="center"/>
      <protection locked="0"/>
    </xf>
    <xf numFmtId="167" fontId="9" fillId="0" borderId="22" xfId="1" applyNumberFormat="1" applyFont="1" applyBorder="1" applyAlignment="1">
      <alignment horizontal="center" vertical="center"/>
    </xf>
    <xf numFmtId="166" fontId="6" fillId="6" borderId="1" xfId="1" applyNumberFormat="1" applyFont="1" applyFill="1" applyBorder="1" applyAlignment="1" applyProtection="1">
      <alignment horizontal="center" vertical="center"/>
      <protection locked="0"/>
    </xf>
    <xf numFmtId="2" fontId="1" fillId="0" borderId="0" xfId="1" applyNumberFormat="1" applyProtection="1">
      <protection locked="0"/>
    </xf>
    <xf numFmtId="166" fontId="2" fillId="0" borderId="0" xfId="1" applyNumberFormat="1" applyFont="1" applyProtection="1">
      <protection locked="0"/>
    </xf>
    <xf numFmtId="20" fontId="2" fillId="0" borderId="0" xfId="1" applyNumberFormat="1" applyFont="1"/>
    <xf numFmtId="164" fontId="2" fillId="0" borderId="0" xfId="1" applyFont="1" applyAlignment="1">
      <alignment horizontal="center" vertical="center"/>
    </xf>
    <xf numFmtId="164" fontId="24" fillId="0" borderId="0" xfId="1" applyFont="1" applyAlignment="1">
      <alignment horizontal="center" vertical="center" wrapText="1"/>
    </xf>
    <xf numFmtId="164" fontId="32" fillId="16" borderId="0" xfId="1" applyFont="1" applyFill="1" applyAlignment="1">
      <alignment horizontal="center" vertical="center"/>
    </xf>
    <xf numFmtId="164" fontId="24" fillId="0" borderId="28" xfId="1" applyFont="1" applyBorder="1" applyAlignment="1">
      <alignment horizontal="center" vertical="center"/>
    </xf>
    <xf numFmtId="164" fontId="24" fillId="0" borderId="66" xfId="1" applyFont="1" applyBorder="1" applyAlignment="1">
      <alignment horizontal="center" vertical="center"/>
    </xf>
    <xf numFmtId="164" fontId="24" fillId="0" borderId="27" xfId="1" applyFont="1" applyBorder="1" applyAlignment="1">
      <alignment horizontal="center" vertical="center"/>
    </xf>
    <xf numFmtId="164" fontId="24" fillId="0" borderId="65" xfId="1" applyFont="1" applyBorder="1" applyAlignment="1">
      <alignment horizontal="center" vertical="center"/>
    </xf>
    <xf numFmtId="164" fontId="1" fillId="0" borderId="42" xfId="1" applyBorder="1" applyAlignment="1">
      <alignment horizontal="center" textRotation="90"/>
    </xf>
    <xf numFmtId="164" fontId="25" fillId="14" borderId="64" xfId="1" applyFont="1" applyFill="1" applyBorder="1" applyAlignment="1">
      <alignment horizontal="left" vertical="center"/>
    </xf>
    <xf numFmtId="164" fontId="25" fillId="14" borderId="64" xfId="1" applyFont="1" applyFill="1" applyBorder="1" applyAlignment="1">
      <alignment horizontal="center" vertical="center"/>
    </xf>
    <xf numFmtId="2" fontId="18" fillId="0" borderId="62" xfId="1" applyNumberFormat="1" applyFont="1" applyBorder="1" applyAlignment="1">
      <alignment horizontal="center" vertical="center"/>
    </xf>
    <xf numFmtId="2" fontId="18" fillId="0" borderId="61" xfId="1" applyNumberFormat="1" applyFont="1" applyBorder="1" applyAlignment="1">
      <alignment horizontal="center" vertical="center"/>
    </xf>
    <xf numFmtId="2" fontId="18" fillId="0" borderId="60" xfId="1" applyNumberFormat="1" applyFont="1" applyBorder="1" applyAlignment="1">
      <alignment horizontal="center" vertical="center"/>
    </xf>
    <xf numFmtId="2" fontId="17" fillId="0" borderId="62" xfId="1" applyNumberFormat="1" applyFont="1" applyBorder="1" applyAlignment="1">
      <alignment horizontal="center" vertical="center"/>
    </xf>
    <xf numFmtId="2" fontId="17" fillId="0" borderId="61" xfId="1" applyNumberFormat="1" applyFont="1" applyBorder="1" applyAlignment="1">
      <alignment horizontal="center" vertical="center"/>
    </xf>
    <xf numFmtId="2" fontId="17" fillId="0" borderId="60" xfId="1" applyNumberFormat="1" applyFont="1" applyBorder="1" applyAlignment="1">
      <alignment horizontal="center" vertical="center"/>
    </xf>
    <xf numFmtId="164" fontId="8" fillId="0" borderId="58" xfId="1" applyFont="1" applyBorder="1" applyAlignment="1">
      <alignment horizontal="left" vertical="top" wrapText="1"/>
    </xf>
    <xf numFmtId="164" fontId="8" fillId="0" borderId="56" xfId="1" applyFont="1" applyBorder="1" applyAlignment="1">
      <alignment horizontal="left" vertical="top" wrapText="1"/>
    </xf>
    <xf numFmtId="168" fontId="6" fillId="0" borderId="15" xfId="1" applyNumberFormat="1" applyFont="1" applyBorder="1" applyAlignment="1">
      <alignment horizontal="center" vertical="center"/>
    </xf>
    <xf numFmtId="168" fontId="6" fillId="0" borderId="55" xfId="1" applyNumberFormat="1" applyFont="1" applyBorder="1" applyAlignment="1">
      <alignment horizontal="center" vertical="center"/>
    </xf>
    <xf numFmtId="168" fontId="6" fillId="11" borderId="53" xfId="1" applyNumberFormat="1" applyFont="1" applyFill="1" applyBorder="1" applyAlignment="1">
      <alignment horizontal="center" vertical="center"/>
    </xf>
    <xf numFmtId="168" fontId="6" fillId="11" borderId="55" xfId="1" applyNumberFormat="1" applyFont="1" applyFill="1" applyBorder="1" applyAlignment="1">
      <alignment horizontal="center" vertical="center"/>
    </xf>
    <xf numFmtId="168" fontId="6" fillId="0" borderId="53" xfId="1" applyNumberFormat="1" applyFont="1" applyBorder="1" applyAlignment="1">
      <alignment horizontal="center" vertical="center"/>
    </xf>
    <xf numFmtId="166" fontId="8" fillId="6" borderId="43" xfId="1" applyNumberFormat="1" applyFont="1" applyFill="1" applyBorder="1" applyAlignment="1">
      <alignment horizontal="center" vertical="center"/>
    </xf>
    <xf numFmtId="166" fontId="8" fillId="6" borderId="41" xfId="1" applyNumberFormat="1" applyFont="1" applyFill="1" applyBorder="1" applyAlignment="1">
      <alignment horizontal="center" vertical="center"/>
    </xf>
    <xf numFmtId="164" fontId="4" fillId="4" borderId="0" xfId="1" applyFont="1" applyFill="1" applyAlignment="1">
      <alignment horizontal="center"/>
    </xf>
    <xf numFmtId="169" fontId="14" fillId="10" borderId="57" xfId="1" applyNumberFormat="1" applyFont="1" applyFill="1" applyBorder="1" applyAlignment="1">
      <alignment horizontal="center" vertical="center" wrapText="1"/>
    </xf>
    <xf numFmtId="169" fontId="14" fillId="10" borderId="46" xfId="1" applyNumberFormat="1" applyFont="1" applyFill="1" applyBorder="1" applyAlignment="1">
      <alignment horizontal="center" vertical="center" wrapText="1"/>
    </xf>
  </cellXfs>
  <cellStyles count="3">
    <cellStyle name="Comma 2" xfId="2" xr:uid="{A6CC7FF3-E495-4C22-B168-723CE2ECF9F6}"/>
    <cellStyle name="Normal" xfId="0" builtinId="0"/>
    <cellStyle name="Normal 2" xfId="1" xr:uid="{291783BA-A9AB-45DB-BB99-637D9994E37C}"/>
  </cellStyles>
  <dxfs count="4405"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8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0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4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6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8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2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4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4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4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6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4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8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5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0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5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2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5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4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5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6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5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8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6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0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6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2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6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4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6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6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04E-4675-9671-863B8B64AA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04E-4675-9671-863B8B64AA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04E-4675-9671-863B8B64AA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04E-4675-9671-863B8B64AA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04E-4675-9671-863B8B64AAC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B04E-4675-9671-863B8B64AAC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'00'!$AL$16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'00'!$AM$16:$BJ$16</c:f>
              <c:numCache>
                <c:formatCode>General</c:formatCode>
                <c:ptCount val="24"/>
                <c:pt idx="0">
                  <c:v>472.09999999999997</c:v>
                </c:pt>
                <c:pt idx="1">
                  <c:v>472.09999999999997</c:v>
                </c:pt>
                <c:pt idx="2">
                  <c:v>472.09999999999997</c:v>
                </c:pt>
                <c:pt idx="3">
                  <c:v>470.2</c:v>
                </c:pt>
                <c:pt idx="4">
                  <c:v>470.2</c:v>
                </c:pt>
                <c:pt idx="5">
                  <c:v>470.2</c:v>
                </c:pt>
                <c:pt idx="6">
                  <c:v>470.2</c:v>
                </c:pt>
                <c:pt idx="7">
                  <c:v>470.2</c:v>
                </c:pt>
                <c:pt idx="8">
                  <c:v>468.5</c:v>
                </c:pt>
                <c:pt idx="9">
                  <c:v>465.4</c:v>
                </c:pt>
                <c:pt idx="10">
                  <c:v>466.9</c:v>
                </c:pt>
                <c:pt idx="11">
                  <c:v>463.29999999999995</c:v>
                </c:pt>
                <c:pt idx="12">
                  <c:v>469</c:v>
                </c:pt>
                <c:pt idx="13">
                  <c:v>466.9</c:v>
                </c:pt>
                <c:pt idx="14">
                  <c:v>466.9</c:v>
                </c:pt>
                <c:pt idx="15">
                  <c:v>466.9</c:v>
                </c:pt>
                <c:pt idx="16">
                  <c:v>466.9</c:v>
                </c:pt>
                <c:pt idx="17">
                  <c:v>466.9</c:v>
                </c:pt>
                <c:pt idx="18" formatCode="0.0">
                  <c:v>466.9</c:v>
                </c:pt>
                <c:pt idx="19" formatCode="0.0">
                  <c:v>486.5</c:v>
                </c:pt>
                <c:pt idx="20" formatCode="0.0">
                  <c:v>466.9</c:v>
                </c:pt>
                <c:pt idx="21" formatCode="0.0">
                  <c:v>466.9</c:v>
                </c:pt>
                <c:pt idx="22" formatCode="0.0">
                  <c:v>466.9</c:v>
                </c:pt>
                <c:pt idx="23" formatCode="0.0">
                  <c:v>466.9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F-48CB-A21F-EA3D98D3C1AA}"/>
            </c:ext>
          </c:extLst>
        </c:ser>
        <c:ser>
          <c:idx val="2"/>
          <c:order val="1"/>
          <c:tx>
            <c:strRef>
              <c:f>'00'!$AL$17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'00'!$AM$17:$BJ$17</c:f>
              <c:numCache>
                <c:formatCode>General</c:formatCode>
                <c:ptCount val="24"/>
                <c:pt idx="0">
                  <c:v>32.099999999999994</c:v>
                </c:pt>
                <c:pt idx="1">
                  <c:v>33.599999999999994</c:v>
                </c:pt>
                <c:pt idx="2">
                  <c:v>38.6</c:v>
                </c:pt>
                <c:pt idx="3">
                  <c:v>38.6</c:v>
                </c:pt>
                <c:pt idx="4">
                  <c:v>38.6</c:v>
                </c:pt>
                <c:pt idx="5">
                  <c:v>88.6</c:v>
                </c:pt>
                <c:pt idx="6">
                  <c:v>191.39999999999998</c:v>
                </c:pt>
                <c:pt idx="7">
                  <c:v>38.200000000000003</c:v>
                </c:pt>
                <c:pt idx="8">
                  <c:v>38.1</c:v>
                </c:pt>
                <c:pt idx="9">
                  <c:v>38.1</c:v>
                </c:pt>
                <c:pt idx="10">
                  <c:v>38.1</c:v>
                </c:pt>
                <c:pt idx="11">
                  <c:v>38.1</c:v>
                </c:pt>
                <c:pt idx="12">
                  <c:v>38.1</c:v>
                </c:pt>
                <c:pt idx="13">
                  <c:v>38.1</c:v>
                </c:pt>
                <c:pt idx="14">
                  <c:v>107.7</c:v>
                </c:pt>
                <c:pt idx="15">
                  <c:v>107.8</c:v>
                </c:pt>
                <c:pt idx="16">
                  <c:v>106.39999999999999</c:v>
                </c:pt>
                <c:pt idx="17">
                  <c:v>95.399999999999991</c:v>
                </c:pt>
                <c:pt idx="18" formatCode="0.0">
                  <c:v>85.399999999999991</c:v>
                </c:pt>
                <c:pt idx="19" formatCode="0.0">
                  <c:v>450.40000000000003</c:v>
                </c:pt>
                <c:pt idx="20" formatCode="0.0">
                  <c:v>390.40000000000003</c:v>
                </c:pt>
                <c:pt idx="21" formatCode="0.0">
                  <c:v>360.40000000000003</c:v>
                </c:pt>
                <c:pt idx="22" formatCode="0.0">
                  <c:v>360.40000000000003</c:v>
                </c:pt>
                <c:pt idx="23" formatCode="0.0">
                  <c:v>130.4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4F-48CB-A21F-EA3D98D3C1AA}"/>
            </c:ext>
          </c:extLst>
        </c:ser>
        <c:ser>
          <c:idx val="3"/>
          <c:order val="2"/>
          <c:tx>
            <c:strRef>
              <c:f>'00'!$AL$18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'00'!$AM$18:$BJ$18</c:f>
              <c:numCache>
                <c:formatCode>General</c:formatCode>
                <c:ptCount val="24"/>
                <c:pt idx="0">
                  <c:v>148.84</c:v>
                </c:pt>
                <c:pt idx="1">
                  <c:v>148.94</c:v>
                </c:pt>
                <c:pt idx="2">
                  <c:v>73.84</c:v>
                </c:pt>
                <c:pt idx="3">
                  <c:v>73.84</c:v>
                </c:pt>
                <c:pt idx="4">
                  <c:v>73.84</c:v>
                </c:pt>
                <c:pt idx="5">
                  <c:v>76.64</c:v>
                </c:pt>
                <c:pt idx="6">
                  <c:v>159.54</c:v>
                </c:pt>
                <c:pt idx="7">
                  <c:v>233.04</c:v>
                </c:pt>
                <c:pt idx="8">
                  <c:v>283.74</c:v>
                </c:pt>
                <c:pt idx="9">
                  <c:v>264.94000000000011</c:v>
                </c:pt>
                <c:pt idx="10">
                  <c:v>248.74000000000004</c:v>
                </c:pt>
                <c:pt idx="11">
                  <c:v>249.84000000000003</c:v>
                </c:pt>
                <c:pt idx="12">
                  <c:v>248.14000000000004</c:v>
                </c:pt>
                <c:pt idx="13">
                  <c:v>188.94000000000003</c:v>
                </c:pt>
                <c:pt idx="14">
                  <c:v>192.54000000000002</c:v>
                </c:pt>
                <c:pt idx="15">
                  <c:v>214.94</c:v>
                </c:pt>
                <c:pt idx="16">
                  <c:v>203.84</c:v>
                </c:pt>
                <c:pt idx="17">
                  <c:v>201.64000000000001</c:v>
                </c:pt>
                <c:pt idx="18" formatCode="0.0">
                  <c:v>224.24000000000004</c:v>
                </c:pt>
                <c:pt idx="19" formatCode="0.0">
                  <c:v>365.94000000000005</c:v>
                </c:pt>
                <c:pt idx="20" formatCode="0.0">
                  <c:v>322.44000000000005</c:v>
                </c:pt>
                <c:pt idx="21" formatCode="0.0">
                  <c:v>263.94000000000005</c:v>
                </c:pt>
                <c:pt idx="22" formatCode="0.0">
                  <c:v>189.84</c:v>
                </c:pt>
                <c:pt idx="23" formatCode="0.0">
                  <c:v>189.84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4F-48CB-A21F-EA3D98D3C1AA}"/>
            </c:ext>
          </c:extLst>
        </c:ser>
        <c:ser>
          <c:idx val="0"/>
          <c:order val="3"/>
          <c:tx>
            <c:strRef>
              <c:f>'00'!$AL$19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'00'!$AM$19:$BJ$19</c:f>
              <c:numCache>
                <c:formatCode>General</c:formatCode>
                <c:ptCount val="24"/>
                <c:pt idx="0">
                  <c:v>288.39999999999998</c:v>
                </c:pt>
                <c:pt idx="1">
                  <c:v>274.89999999999998</c:v>
                </c:pt>
                <c:pt idx="2">
                  <c:v>342.90000000000003</c:v>
                </c:pt>
                <c:pt idx="3">
                  <c:v>401.8</c:v>
                </c:pt>
                <c:pt idx="4">
                  <c:v>375.6</c:v>
                </c:pt>
                <c:pt idx="5">
                  <c:v>397.8</c:v>
                </c:pt>
                <c:pt idx="6">
                  <c:v>434</c:v>
                </c:pt>
                <c:pt idx="7">
                  <c:v>785.1</c:v>
                </c:pt>
                <c:pt idx="8">
                  <c:v>819.59999999999991</c:v>
                </c:pt>
                <c:pt idx="9">
                  <c:v>813.4</c:v>
                </c:pt>
                <c:pt idx="10">
                  <c:v>814.5</c:v>
                </c:pt>
                <c:pt idx="11">
                  <c:v>801.9</c:v>
                </c:pt>
                <c:pt idx="12">
                  <c:v>820.59999999999991</c:v>
                </c:pt>
                <c:pt idx="13">
                  <c:v>837.19999999999993</c:v>
                </c:pt>
                <c:pt idx="14">
                  <c:v>837.3</c:v>
                </c:pt>
                <c:pt idx="15">
                  <c:v>809.8</c:v>
                </c:pt>
                <c:pt idx="16">
                  <c:v>789.09999999999991</c:v>
                </c:pt>
                <c:pt idx="17">
                  <c:v>752.16000000000008</c:v>
                </c:pt>
                <c:pt idx="18" formatCode="0.0">
                  <c:v>578.69999999999993</c:v>
                </c:pt>
                <c:pt idx="19" formatCode="0.0">
                  <c:v>123.3</c:v>
                </c:pt>
                <c:pt idx="20" formatCode="0.0">
                  <c:v>132</c:v>
                </c:pt>
                <c:pt idx="21" formatCode="0.0">
                  <c:v>173.39999999999998</c:v>
                </c:pt>
                <c:pt idx="22" formatCode="0.0">
                  <c:v>148.5</c:v>
                </c:pt>
                <c:pt idx="23" formatCode="0.0">
                  <c:v>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4F-48CB-A21F-EA3D98D3C1AA}"/>
            </c:ext>
          </c:extLst>
        </c:ser>
        <c:ser>
          <c:idx val="4"/>
          <c:order val="4"/>
          <c:tx>
            <c:strRef>
              <c:f>'00'!$AL$20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'00'!$AM$20:$BJ$20</c:f>
              <c:numCache>
                <c:formatCode>General</c:formatCode>
                <c:ptCount val="24"/>
                <c:pt idx="0">
                  <c:v>96.100000000000009</c:v>
                </c:pt>
                <c:pt idx="1">
                  <c:v>97.3</c:v>
                </c:pt>
                <c:pt idx="2">
                  <c:v>97.5</c:v>
                </c:pt>
                <c:pt idx="3">
                  <c:v>71.8</c:v>
                </c:pt>
                <c:pt idx="4">
                  <c:v>98.8</c:v>
                </c:pt>
                <c:pt idx="5">
                  <c:v>98.8</c:v>
                </c:pt>
                <c:pt idx="6">
                  <c:v>70.3</c:v>
                </c:pt>
                <c:pt idx="7">
                  <c:v>20.099999999999998</c:v>
                </c:pt>
                <c:pt idx="8">
                  <c:v>49.5</c:v>
                </c:pt>
                <c:pt idx="9">
                  <c:v>38.799999999999997</c:v>
                </c:pt>
                <c:pt idx="10">
                  <c:v>70.900000000000006</c:v>
                </c:pt>
                <c:pt idx="11">
                  <c:v>79.2</c:v>
                </c:pt>
                <c:pt idx="12">
                  <c:v>97</c:v>
                </c:pt>
                <c:pt idx="13">
                  <c:v>69.899999999999991</c:v>
                </c:pt>
                <c:pt idx="14">
                  <c:v>60.2</c:v>
                </c:pt>
                <c:pt idx="15">
                  <c:v>69.3</c:v>
                </c:pt>
                <c:pt idx="16">
                  <c:v>95</c:v>
                </c:pt>
                <c:pt idx="17">
                  <c:v>79.199999999999989</c:v>
                </c:pt>
                <c:pt idx="18" formatCode="0.0">
                  <c:v>32.700000000000003</c:v>
                </c:pt>
                <c:pt idx="19" formatCode="0.0">
                  <c:v>95.5</c:v>
                </c:pt>
                <c:pt idx="20" formatCode="0.0">
                  <c:v>95.5</c:v>
                </c:pt>
                <c:pt idx="21" formatCode="0.0">
                  <c:v>95.5</c:v>
                </c:pt>
                <c:pt idx="22" formatCode="0.0">
                  <c:v>95.5</c:v>
                </c:pt>
                <c:pt idx="23" formatCode="0.0">
                  <c:v>95.5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4F-48CB-A21F-EA3D98D3C1AA}"/>
            </c:ext>
          </c:extLst>
        </c:ser>
        <c:ser>
          <c:idx val="5"/>
          <c:order val="5"/>
          <c:tx>
            <c:strRef>
              <c:f>'00'!$AL$21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'00'!$AM$21:$BJ$21</c:f>
              <c:numCache>
                <c:formatCode>General</c:formatCode>
                <c:ptCount val="24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150</c:v>
                </c:pt>
                <c:pt idx="7">
                  <c:v>30</c:v>
                </c:pt>
                <c:pt idx="8">
                  <c:v>10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10</c:v>
                </c:pt>
                <c:pt idx="13">
                  <c:v>20</c:v>
                </c:pt>
                <c:pt idx="14">
                  <c:v>20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 formatCode="0.0">
                  <c:v>50</c:v>
                </c:pt>
                <c:pt idx="19" formatCode="0.0">
                  <c:v>380</c:v>
                </c:pt>
                <c:pt idx="20" formatCode="0.0">
                  <c:v>300</c:v>
                </c:pt>
                <c:pt idx="21" formatCode="0.0">
                  <c:v>250</c:v>
                </c:pt>
                <c:pt idx="22" formatCode="0.0">
                  <c:v>200</c:v>
                </c:pt>
                <c:pt idx="23" formatCode="0.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24F-48CB-A21F-EA3D98D3C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'00'!$AL$23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'00'!$AM$23:$BJ$23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4F-48CB-A21F-EA3D98D3C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'00'!$AL$22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'00'!$AM$22:$BJ$22</c:f>
              <c:numCache>
                <c:formatCode>General</c:formatCode>
                <c:ptCount val="24"/>
                <c:pt idx="0">
                  <c:v>1237.54</c:v>
                </c:pt>
                <c:pt idx="1">
                  <c:v>1226.8399999999999</c:v>
                </c:pt>
                <c:pt idx="2">
                  <c:v>1224.94</c:v>
                </c:pt>
                <c:pt idx="3">
                  <c:v>1256.24</c:v>
                </c:pt>
                <c:pt idx="4">
                  <c:v>1257.04</c:v>
                </c:pt>
                <c:pt idx="5">
                  <c:v>1332.04</c:v>
                </c:pt>
                <c:pt idx="6">
                  <c:v>1475.4399999999998</c:v>
                </c:pt>
                <c:pt idx="7">
                  <c:v>1576.6399999999999</c:v>
                </c:pt>
                <c:pt idx="8">
                  <c:v>1669.44</c:v>
                </c:pt>
                <c:pt idx="9">
                  <c:v>1640.64</c:v>
                </c:pt>
                <c:pt idx="10">
                  <c:v>1659.14</c:v>
                </c:pt>
                <c:pt idx="11">
                  <c:v>1652.34</c:v>
                </c:pt>
                <c:pt idx="12">
                  <c:v>1682.84</c:v>
                </c:pt>
                <c:pt idx="13">
                  <c:v>1621.04</c:v>
                </c:pt>
                <c:pt idx="14">
                  <c:v>1684.64</c:v>
                </c:pt>
                <c:pt idx="15">
                  <c:v>1718.7399999999998</c:v>
                </c:pt>
                <c:pt idx="16">
                  <c:v>1711.2399999999998</c:v>
                </c:pt>
                <c:pt idx="17">
                  <c:v>1645.3</c:v>
                </c:pt>
                <c:pt idx="18">
                  <c:v>1437.9399999999998</c:v>
                </c:pt>
                <c:pt idx="19">
                  <c:v>1901.64</c:v>
                </c:pt>
                <c:pt idx="20">
                  <c:v>1707.24</c:v>
                </c:pt>
                <c:pt idx="21">
                  <c:v>1610.1399999999999</c:v>
                </c:pt>
                <c:pt idx="22">
                  <c:v>1461.1399999999999</c:v>
                </c:pt>
                <c:pt idx="23">
                  <c:v>1335.6399999999999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124F-48CB-A21F-EA3D98D3C1AA}"/>
            </c:ext>
          </c:extLst>
        </c:ser>
        <c:ser>
          <c:idx val="8"/>
          <c:order val="8"/>
          <c:tx>
            <c:strRef>
              <c:f>'00'!$AL$24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'00'!$AM$24:$BJ$24</c:f>
              <c:numCache>
                <c:formatCode>General</c:formatCode>
                <c:ptCount val="24"/>
                <c:pt idx="0">
                  <c:v>1237.54</c:v>
                </c:pt>
                <c:pt idx="1">
                  <c:v>1226.8399999999999</c:v>
                </c:pt>
                <c:pt idx="2">
                  <c:v>1224.94</c:v>
                </c:pt>
                <c:pt idx="3">
                  <c:v>1256.24</c:v>
                </c:pt>
                <c:pt idx="4">
                  <c:v>1257.04</c:v>
                </c:pt>
                <c:pt idx="5">
                  <c:v>1332.04</c:v>
                </c:pt>
                <c:pt idx="6">
                  <c:v>1475.4399999999998</c:v>
                </c:pt>
                <c:pt idx="7">
                  <c:v>1576.6399999999999</c:v>
                </c:pt>
                <c:pt idx="8">
                  <c:v>1669.44</c:v>
                </c:pt>
                <c:pt idx="9">
                  <c:v>1640.64</c:v>
                </c:pt>
                <c:pt idx="10">
                  <c:v>1659.14</c:v>
                </c:pt>
                <c:pt idx="11">
                  <c:v>1652.34</c:v>
                </c:pt>
                <c:pt idx="12">
                  <c:v>1682.84</c:v>
                </c:pt>
                <c:pt idx="13">
                  <c:v>1621.04</c:v>
                </c:pt>
                <c:pt idx="14">
                  <c:v>1684.64</c:v>
                </c:pt>
                <c:pt idx="15">
                  <c:v>1718.7399999999998</c:v>
                </c:pt>
                <c:pt idx="16">
                  <c:v>1711.2399999999998</c:v>
                </c:pt>
                <c:pt idx="17">
                  <c:v>1645.3</c:v>
                </c:pt>
                <c:pt idx="18">
                  <c:v>1437.9399999999998</c:v>
                </c:pt>
                <c:pt idx="19">
                  <c:v>1901.64</c:v>
                </c:pt>
                <c:pt idx="20">
                  <c:v>1707.24</c:v>
                </c:pt>
                <c:pt idx="21">
                  <c:v>1610.1399999999999</c:v>
                </c:pt>
                <c:pt idx="22">
                  <c:v>1461.1399999999999</c:v>
                </c:pt>
                <c:pt idx="23">
                  <c:v>1335.6399999999999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24F-48CB-A21F-EA3D98D3C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165-493D-BFFD-37F6AA0D05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165-493D-BFFD-37F6AA0D05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165-493D-BFFD-37F6AA0D05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165-493D-BFFD-37F6AA0D05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165-493D-BFFD-37F6AA0D059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4165-493D-BFFD-37F6AA0D059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'01'!$AL$16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'01'!$AM$16:$BJ$16</c:f>
              <c:numCache>
                <c:formatCode>General</c:formatCode>
                <c:ptCount val="24"/>
                <c:pt idx="0">
                  <c:v>466.9</c:v>
                </c:pt>
                <c:pt idx="1">
                  <c:v>466.9</c:v>
                </c:pt>
                <c:pt idx="2">
                  <c:v>466.9</c:v>
                </c:pt>
                <c:pt idx="3">
                  <c:v>466.9</c:v>
                </c:pt>
                <c:pt idx="4">
                  <c:v>466.9</c:v>
                </c:pt>
                <c:pt idx="5">
                  <c:v>466.9</c:v>
                </c:pt>
                <c:pt idx="6">
                  <c:v>466.9</c:v>
                </c:pt>
                <c:pt idx="7">
                  <c:v>466.9</c:v>
                </c:pt>
                <c:pt idx="8">
                  <c:v>466.9</c:v>
                </c:pt>
                <c:pt idx="9">
                  <c:v>466</c:v>
                </c:pt>
                <c:pt idx="10">
                  <c:v>465.5</c:v>
                </c:pt>
                <c:pt idx="11">
                  <c:v>463.59999999999997</c:v>
                </c:pt>
                <c:pt idx="12">
                  <c:v>463.59999999999997</c:v>
                </c:pt>
                <c:pt idx="13">
                  <c:v>460.59999999999997</c:v>
                </c:pt>
                <c:pt idx="14">
                  <c:v>463.59999999999997</c:v>
                </c:pt>
                <c:pt idx="15">
                  <c:v>463.59999999999997</c:v>
                </c:pt>
                <c:pt idx="16">
                  <c:v>463.59999999999997</c:v>
                </c:pt>
                <c:pt idx="17">
                  <c:v>463.59999999999997</c:v>
                </c:pt>
                <c:pt idx="18" formatCode="0.0">
                  <c:v>463.59999999999997</c:v>
                </c:pt>
                <c:pt idx="19" formatCode="0.0">
                  <c:v>463.59999999999997</c:v>
                </c:pt>
                <c:pt idx="20" formatCode="0.0">
                  <c:v>463.59999999999997</c:v>
                </c:pt>
                <c:pt idx="21" formatCode="0.0">
                  <c:v>463.59999999999997</c:v>
                </c:pt>
                <c:pt idx="22" formatCode="0.0">
                  <c:v>463.59999999999997</c:v>
                </c:pt>
                <c:pt idx="23" formatCode="0.0">
                  <c:v>463.59999999999997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7D-4B58-9FC2-94F0528B73CA}"/>
            </c:ext>
          </c:extLst>
        </c:ser>
        <c:ser>
          <c:idx val="2"/>
          <c:order val="1"/>
          <c:tx>
            <c:strRef>
              <c:f>'01'!$AL$17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'01'!$AM$17:$BJ$17</c:f>
              <c:numCache>
                <c:formatCode>General</c:formatCode>
                <c:ptCount val="24"/>
                <c:pt idx="0">
                  <c:v>102</c:v>
                </c:pt>
                <c:pt idx="1">
                  <c:v>102</c:v>
                </c:pt>
                <c:pt idx="2">
                  <c:v>102</c:v>
                </c:pt>
                <c:pt idx="3">
                  <c:v>92</c:v>
                </c:pt>
                <c:pt idx="4">
                  <c:v>92</c:v>
                </c:pt>
                <c:pt idx="5">
                  <c:v>92</c:v>
                </c:pt>
                <c:pt idx="6">
                  <c:v>144.19999999999999</c:v>
                </c:pt>
                <c:pt idx="7">
                  <c:v>34.200000000000003</c:v>
                </c:pt>
                <c:pt idx="8">
                  <c:v>34.9</c:v>
                </c:pt>
                <c:pt idx="9">
                  <c:v>33.200000000000003</c:v>
                </c:pt>
                <c:pt idx="10">
                  <c:v>33.200000000000003</c:v>
                </c:pt>
                <c:pt idx="11">
                  <c:v>33.700000000000003</c:v>
                </c:pt>
                <c:pt idx="12">
                  <c:v>33.400000000000006</c:v>
                </c:pt>
                <c:pt idx="13">
                  <c:v>35.9</c:v>
                </c:pt>
                <c:pt idx="14">
                  <c:v>35.9</c:v>
                </c:pt>
                <c:pt idx="15">
                  <c:v>35.9</c:v>
                </c:pt>
                <c:pt idx="16">
                  <c:v>35.9</c:v>
                </c:pt>
                <c:pt idx="17">
                  <c:v>35.9</c:v>
                </c:pt>
                <c:pt idx="18" formatCode="0.0">
                  <c:v>35.9</c:v>
                </c:pt>
                <c:pt idx="19" formatCode="0.0">
                  <c:v>474</c:v>
                </c:pt>
                <c:pt idx="20" formatCode="0.0">
                  <c:v>234</c:v>
                </c:pt>
                <c:pt idx="21" formatCode="0.0">
                  <c:v>204</c:v>
                </c:pt>
                <c:pt idx="22" formatCode="0.0">
                  <c:v>146</c:v>
                </c:pt>
                <c:pt idx="23" formatCode="0.0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7D-4B58-9FC2-94F0528B73CA}"/>
            </c:ext>
          </c:extLst>
        </c:ser>
        <c:ser>
          <c:idx val="3"/>
          <c:order val="2"/>
          <c:tx>
            <c:strRef>
              <c:f>'01'!$AL$18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'01'!$AM$18:$BJ$18</c:f>
              <c:numCache>
                <c:formatCode>General</c:formatCode>
                <c:ptCount val="24"/>
                <c:pt idx="0">
                  <c:v>190.44</c:v>
                </c:pt>
                <c:pt idx="1">
                  <c:v>170.44</c:v>
                </c:pt>
                <c:pt idx="2">
                  <c:v>162.44</c:v>
                </c:pt>
                <c:pt idx="3">
                  <c:v>162.44</c:v>
                </c:pt>
                <c:pt idx="4">
                  <c:v>147.44</c:v>
                </c:pt>
                <c:pt idx="5">
                  <c:v>190.54</c:v>
                </c:pt>
                <c:pt idx="6">
                  <c:v>247.73999999999998</c:v>
                </c:pt>
                <c:pt idx="7">
                  <c:v>174.23999999999998</c:v>
                </c:pt>
                <c:pt idx="8">
                  <c:v>166.23999999999998</c:v>
                </c:pt>
                <c:pt idx="9">
                  <c:v>167.74</c:v>
                </c:pt>
                <c:pt idx="10">
                  <c:v>170.73999999999998</c:v>
                </c:pt>
                <c:pt idx="11">
                  <c:v>117.04</c:v>
                </c:pt>
                <c:pt idx="12">
                  <c:v>116.94</c:v>
                </c:pt>
                <c:pt idx="13">
                  <c:v>116.74000000000001</c:v>
                </c:pt>
                <c:pt idx="14">
                  <c:v>140.44</c:v>
                </c:pt>
                <c:pt idx="15">
                  <c:v>138.84</c:v>
                </c:pt>
                <c:pt idx="16">
                  <c:v>135.44</c:v>
                </c:pt>
                <c:pt idx="17">
                  <c:v>160.04</c:v>
                </c:pt>
                <c:pt idx="18" formatCode="0.0">
                  <c:v>160.04</c:v>
                </c:pt>
                <c:pt idx="19" formatCode="0.0">
                  <c:v>389.2</c:v>
                </c:pt>
                <c:pt idx="20" formatCode="0.0">
                  <c:v>388.14000000000004</c:v>
                </c:pt>
                <c:pt idx="21" formatCode="0.0">
                  <c:v>380.44000000000005</c:v>
                </c:pt>
                <c:pt idx="22" formatCode="0.0">
                  <c:v>369.34000000000009</c:v>
                </c:pt>
                <c:pt idx="23" formatCode="0.0">
                  <c:v>299.64000000000004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7D-4B58-9FC2-94F0528B73CA}"/>
            </c:ext>
          </c:extLst>
        </c:ser>
        <c:ser>
          <c:idx val="0"/>
          <c:order val="3"/>
          <c:tx>
            <c:strRef>
              <c:f>'01'!$AL$19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'01'!$AM$19:$BJ$19</c:f>
              <c:numCache>
                <c:formatCode>General</c:formatCode>
                <c:ptCount val="24"/>
                <c:pt idx="0">
                  <c:v>232</c:v>
                </c:pt>
                <c:pt idx="1">
                  <c:v>216</c:v>
                </c:pt>
                <c:pt idx="2">
                  <c:v>216.5</c:v>
                </c:pt>
                <c:pt idx="3">
                  <c:v>123.3</c:v>
                </c:pt>
                <c:pt idx="4">
                  <c:v>132.9</c:v>
                </c:pt>
                <c:pt idx="5">
                  <c:v>137.9</c:v>
                </c:pt>
                <c:pt idx="6">
                  <c:v>168.2</c:v>
                </c:pt>
                <c:pt idx="7">
                  <c:v>709.4</c:v>
                </c:pt>
                <c:pt idx="8">
                  <c:v>780.6</c:v>
                </c:pt>
                <c:pt idx="9">
                  <c:v>764.59999999999991</c:v>
                </c:pt>
                <c:pt idx="10">
                  <c:v>702.8</c:v>
                </c:pt>
                <c:pt idx="11">
                  <c:v>761.3</c:v>
                </c:pt>
                <c:pt idx="12">
                  <c:v>730.50000000000011</c:v>
                </c:pt>
                <c:pt idx="13">
                  <c:v>699.19999999999993</c:v>
                </c:pt>
                <c:pt idx="14">
                  <c:v>768.2</c:v>
                </c:pt>
                <c:pt idx="15">
                  <c:v>762.1</c:v>
                </c:pt>
                <c:pt idx="16">
                  <c:v>713</c:v>
                </c:pt>
                <c:pt idx="17">
                  <c:v>696.80000000000007</c:v>
                </c:pt>
                <c:pt idx="18" formatCode="0.0">
                  <c:v>604.1</c:v>
                </c:pt>
                <c:pt idx="19" formatCode="0.0">
                  <c:v>55.3</c:v>
                </c:pt>
                <c:pt idx="20" formatCode="0.0">
                  <c:v>147.6</c:v>
                </c:pt>
                <c:pt idx="21" formatCode="0.0">
                  <c:v>186.20000000000002</c:v>
                </c:pt>
                <c:pt idx="22" formatCode="0.0">
                  <c:v>202.89999999999998</c:v>
                </c:pt>
                <c:pt idx="23" formatCode="0.0">
                  <c:v>177.2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7D-4B58-9FC2-94F0528B73CA}"/>
            </c:ext>
          </c:extLst>
        </c:ser>
        <c:ser>
          <c:idx val="4"/>
          <c:order val="4"/>
          <c:tx>
            <c:strRef>
              <c:f>'01'!$AL$20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'01'!$AM$20:$BJ$20</c:f>
              <c:numCache>
                <c:formatCode>General</c:formatCode>
                <c:ptCount val="24"/>
                <c:pt idx="0">
                  <c:v>97</c:v>
                </c:pt>
                <c:pt idx="1">
                  <c:v>97</c:v>
                </c:pt>
                <c:pt idx="2">
                  <c:v>97</c:v>
                </c:pt>
                <c:pt idx="3">
                  <c:v>97</c:v>
                </c:pt>
                <c:pt idx="4">
                  <c:v>97</c:v>
                </c:pt>
                <c:pt idx="5">
                  <c:v>97</c:v>
                </c:pt>
                <c:pt idx="6">
                  <c:v>97</c:v>
                </c:pt>
                <c:pt idx="7">
                  <c:v>52.4</c:v>
                </c:pt>
                <c:pt idx="8">
                  <c:v>60.8</c:v>
                </c:pt>
                <c:pt idx="9">
                  <c:v>62.7</c:v>
                </c:pt>
                <c:pt idx="10">
                  <c:v>52</c:v>
                </c:pt>
                <c:pt idx="11">
                  <c:v>34.800000000000004</c:v>
                </c:pt>
                <c:pt idx="12">
                  <c:v>23.3</c:v>
                </c:pt>
                <c:pt idx="13">
                  <c:v>20.399999999999999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48.4</c:v>
                </c:pt>
                <c:pt idx="20" formatCode="0.0">
                  <c:v>89.7</c:v>
                </c:pt>
                <c:pt idx="21" formatCode="0.0">
                  <c:v>97.8</c:v>
                </c:pt>
                <c:pt idx="22" formatCode="0.0">
                  <c:v>97.8</c:v>
                </c:pt>
                <c:pt idx="23" formatCode="0.0">
                  <c:v>97.8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7D-4B58-9FC2-94F0528B73CA}"/>
            </c:ext>
          </c:extLst>
        </c:ser>
        <c:ser>
          <c:idx val="5"/>
          <c:order val="5"/>
          <c:tx>
            <c:strRef>
              <c:f>'01'!$AL$21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'01'!$AM$21:$BJ$21</c:f>
              <c:numCache>
                <c:formatCode>General</c:formatCode>
                <c:ptCount val="24"/>
                <c:pt idx="0">
                  <c:v>230</c:v>
                </c:pt>
                <c:pt idx="1">
                  <c:v>230</c:v>
                </c:pt>
                <c:pt idx="2">
                  <c:v>230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280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250</c:v>
                </c:pt>
                <c:pt idx="21" formatCode="0.0">
                  <c:v>200</c:v>
                </c:pt>
                <c:pt idx="22" formatCode="0.0">
                  <c:v>170</c:v>
                </c:pt>
                <c:pt idx="23" formatCode="0.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A7D-4B58-9FC2-94F0528B7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'01'!$AL$23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7D-4B58-9FC2-94F0528B7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'01'!$AL$22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'01'!$AM$22:$BJ$22</c:f>
              <c:numCache>
                <c:formatCode>General</c:formatCode>
                <c:ptCount val="24"/>
                <c:pt idx="0">
                  <c:v>1318.34</c:v>
                </c:pt>
                <c:pt idx="1">
                  <c:v>1282.3399999999999</c:v>
                </c:pt>
                <c:pt idx="2">
                  <c:v>1274.8399999999999</c:v>
                </c:pt>
                <c:pt idx="3">
                  <c:v>1241.6399999999999</c:v>
                </c:pt>
                <c:pt idx="4">
                  <c:v>1236.2399999999998</c:v>
                </c:pt>
                <c:pt idx="5">
                  <c:v>1284.3399999999999</c:v>
                </c:pt>
                <c:pt idx="6">
                  <c:v>1404.04</c:v>
                </c:pt>
                <c:pt idx="7">
                  <c:v>1437.1399999999999</c:v>
                </c:pt>
                <c:pt idx="8">
                  <c:v>1509.4399999999998</c:v>
                </c:pt>
                <c:pt idx="9">
                  <c:v>1494.24</c:v>
                </c:pt>
                <c:pt idx="10">
                  <c:v>1424.2399999999998</c:v>
                </c:pt>
                <c:pt idx="11">
                  <c:v>1410.4399999999998</c:v>
                </c:pt>
                <c:pt idx="12">
                  <c:v>1367.74</c:v>
                </c:pt>
                <c:pt idx="13">
                  <c:v>1332.8400000000001</c:v>
                </c:pt>
                <c:pt idx="14">
                  <c:v>1408.1399999999999</c:v>
                </c:pt>
                <c:pt idx="15">
                  <c:v>1400.44</c:v>
                </c:pt>
                <c:pt idx="16">
                  <c:v>1347.94</c:v>
                </c:pt>
                <c:pt idx="17">
                  <c:v>1356.3400000000001</c:v>
                </c:pt>
                <c:pt idx="18">
                  <c:v>1263.6399999999999</c:v>
                </c:pt>
                <c:pt idx="19">
                  <c:v>1430.5</c:v>
                </c:pt>
                <c:pt idx="20">
                  <c:v>1573.04</c:v>
                </c:pt>
                <c:pt idx="21">
                  <c:v>1532.04</c:v>
                </c:pt>
                <c:pt idx="22">
                  <c:v>1449.64</c:v>
                </c:pt>
                <c:pt idx="23">
                  <c:v>1317.24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EA7D-4B58-9FC2-94F0528B73CA}"/>
            </c:ext>
          </c:extLst>
        </c:ser>
        <c:ser>
          <c:idx val="8"/>
          <c:order val="8"/>
          <c:tx>
            <c:strRef>
              <c:f>'01'!$AL$24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'01'!$AM$24:$BJ$24</c:f>
              <c:numCache>
                <c:formatCode>General</c:formatCode>
                <c:ptCount val="24"/>
                <c:pt idx="0">
                  <c:v>1318.34</c:v>
                </c:pt>
                <c:pt idx="1">
                  <c:v>1282.3399999999999</c:v>
                </c:pt>
                <c:pt idx="2">
                  <c:v>1274.8399999999999</c:v>
                </c:pt>
                <c:pt idx="3">
                  <c:v>1241.6399999999999</c:v>
                </c:pt>
                <c:pt idx="4">
                  <c:v>1236.2399999999998</c:v>
                </c:pt>
                <c:pt idx="5">
                  <c:v>1284.3399999999999</c:v>
                </c:pt>
                <c:pt idx="6">
                  <c:v>1404.04</c:v>
                </c:pt>
                <c:pt idx="7">
                  <c:v>1437.1399999999999</c:v>
                </c:pt>
                <c:pt idx="8">
                  <c:v>1509.4399999999998</c:v>
                </c:pt>
                <c:pt idx="9">
                  <c:v>1494.24</c:v>
                </c:pt>
                <c:pt idx="10">
                  <c:v>1424.2399999999998</c:v>
                </c:pt>
                <c:pt idx="11">
                  <c:v>1410.4399999999998</c:v>
                </c:pt>
                <c:pt idx="12">
                  <c:v>1367.74</c:v>
                </c:pt>
                <c:pt idx="13">
                  <c:v>1332.8400000000001</c:v>
                </c:pt>
                <c:pt idx="14">
                  <c:v>1408.1399999999999</c:v>
                </c:pt>
                <c:pt idx="15">
                  <c:v>1400.44</c:v>
                </c:pt>
                <c:pt idx="16">
                  <c:v>1347.94</c:v>
                </c:pt>
                <c:pt idx="17">
                  <c:v>1356.3400000000001</c:v>
                </c:pt>
                <c:pt idx="18">
                  <c:v>1263.6399999999999</c:v>
                </c:pt>
                <c:pt idx="19">
                  <c:v>1430.5</c:v>
                </c:pt>
                <c:pt idx="20">
                  <c:v>1573.04</c:v>
                </c:pt>
                <c:pt idx="21">
                  <c:v>1532.04</c:v>
                </c:pt>
                <c:pt idx="22">
                  <c:v>1449.64</c:v>
                </c:pt>
                <c:pt idx="23">
                  <c:v>1317.24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A7D-4B58-9FC2-94F0528B7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272-47E2-8633-B97929F14E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272-47E2-8633-B97929F14E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272-47E2-8633-B97929F14E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272-47E2-8633-B97929F14E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272-47E2-8633-B97929F14E0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E272-47E2-8633-B97929F14E0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'02'!$AL$16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'02'!$AM$16:$BJ$16</c:f>
              <c:numCache>
                <c:formatCode>General</c:formatCode>
                <c:ptCount val="24"/>
                <c:pt idx="0">
                  <c:v>463.59999999999997</c:v>
                </c:pt>
                <c:pt idx="1">
                  <c:v>463.59999999999997</c:v>
                </c:pt>
                <c:pt idx="2">
                  <c:v>463.59999999999997</c:v>
                </c:pt>
                <c:pt idx="3">
                  <c:v>472.7</c:v>
                </c:pt>
                <c:pt idx="4">
                  <c:v>475.09999999999997</c:v>
                </c:pt>
                <c:pt idx="5">
                  <c:v>473</c:v>
                </c:pt>
                <c:pt idx="6">
                  <c:v>472.2</c:v>
                </c:pt>
                <c:pt idx="7">
                  <c:v>470.09999999999997</c:v>
                </c:pt>
                <c:pt idx="8">
                  <c:v>470.09999999999997</c:v>
                </c:pt>
                <c:pt idx="9">
                  <c:v>470.09999999999997</c:v>
                </c:pt>
                <c:pt idx="10">
                  <c:v>470.09999999999997</c:v>
                </c:pt>
                <c:pt idx="11">
                  <c:v>470.09999999999997</c:v>
                </c:pt>
                <c:pt idx="12">
                  <c:v>467.5</c:v>
                </c:pt>
                <c:pt idx="13">
                  <c:v>468.4</c:v>
                </c:pt>
                <c:pt idx="14">
                  <c:v>468.4</c:v>
                </c:pt>
                <c:pt idx="15">
                  <c:v>468.4</c:v>
                </c:pt>
                <c:pt idx="16">
                  <c:v>468.4</c:v>
                </c:pt>
                <c:pt idx="17">
                  <c:v>468.4</c:v>
                </c:pt>
                <c:pt idx="18" formatCode="0.0">
                  <c:v>468.4</c:v>
                </c:pt>
                <c:pt idx="19" formatCode="0.0">
                  <c:v>468.4</c:v>
                </c:pt>
                <c:pt idx="20" formatCode="0.0">
                  <c:v>468.7</c:v>
                </c:pt>
                <c:pt idx="21" formatCode="0.0">
                  <c:v>468.7</c:v>
                </c:pt>
                <c:pt idx="22" formatCode="0.0">
                  <c:v>480.09999999999997</c:v>
                </c:pt>
                <c:pt idx="23" formatCode="0.0">
                  <c:v>483.79999999999995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2-451B-B3CD-93CA623996D7}"/>
            </c:ext>
          </c:extLst>
        </c:ser>
        <c:ser>
          <c:idx val="2"/>
          <c:order val="1"/>
          <c:tx>
            <c:strRef>
              <c:f>'02'!$AL$17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'02'!$AM$17:$BJ$17</c:f>
              <c:numCache>
                <c:formatCode>General</c:formatCode>
                <c:ptCount val="24"/>
                <c:pt idx="0">
                  <c:v>110</c:v>
                </c:pt>
                <c:pt idx="1">
                  <c:v>104</c:v>
                </c:pt>
                <c:pt idx="2">
                  <c:v>104</c:v>
                </c:pt>
                <c:pt idx="3">
                  <c:v>133</c:v>
                </c:pt>
                <c:pt idx="4">
                  <c:v>126.7</c:v>
                </c:pt>
                <c:pt idx="5">
                  <c:v>128.69999999999999</c:v>
                </c:pt>
                <c:pt idx="6">
                  <c:v>180.6</c:v>
                </c:pt>
                <c:pt idx="7">
                  <c:v>47.9</c:v>
                </c:pt>
                <c:pt idx="8">
                  <c:v>43.3</c:v>
                </c:pt>
                <c:pt idx="9">
                  <c:v>41.7</c:v>
                </c:pt>
                <c:pt idx="10">
                  <c:v>40.1</c:v>
                </c:pt>
                <c:pt idx="11">
                  <c:v>40.1</c:v>
                </c:pt>
                <c:pt idx="12">
                  <c:v>38.700000000000003</c:v>
                </c:pt>
                <c:pt idx="13">
                  <c:v>38.799999999999997</c:v>
                </c:pt>
                <c:pt idx="14">
                  <c:v>38.799999999999997</c:v>
                </c:pt>
                <c:pt idx="15">
                  <c:v>38.799999999999997</c:v>
                </c:pt>
                <c:pt idx="16">
                  <c:v>38.799999999999997</c:v>
                </c:pt>
                <c:pt idx="17">
                  <c:v>38.799999999999997</c:v>
                </c:pt>
                <c:pt idx="18" formatCode="0.0">
                  <c:v>38.799999999999997</c:v>
                </c:pt>
                <c:pt idx="19" formatCode="0.0">
                  <c:v>502.4</c:v>
                </c:pt>
                <c:pt idx="20" formatCode="0.0">
                  <c:v>423.59999999999997</c:v>
                </c:pt>
                <c:pt idx="21" formatCode="0.0">
                  <c:v>242.3</c:v>
                </c:pt>
                <c:pt idx="22" formatCode="0.0">
                  <c:v>196.79999999999998</c:v>
                </c:pt>
                <c:pt idx="23" formatCode="0.0">
                  <c:v>137.4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D2-451B-B3CD-93CA623996D7}"/>
            </c:ext>
          </c:extLst>
        </c:ser>
        <c:ser>
          <c:idx val="3"/>
          <c:order val="2"/>
          <c:tx>
            <c:strRef>
              <c:f>'02'!$AL$18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'02'!$AM$18:$BJ$18</c:f>
              <c:numCache>
                <c:formatCode>General</c:formatCode>
                <c:ptCount val="24"/>
                <c:pt idx="0">
                  <c:v>251.64</c:v>
                </c:pt>
                <c:pt idx="1">
                  <c:v>205.64</c:v>
                </c:pt>
                <c:pt idx="2">
                  <c:v>205.64</c:v>
                </c:pt>
                <c:pt idx="3">
                  <c:v>166.33999999999997</c:v>
                </c:pt>
                <c:pt idx="4">
                  <c:v>165.14</c:v>
                </c:pt>
                <c:pt idx="5">
                  <c:v>165.23999999999998</c:v>
                </c:pt>
                <c:pt idx="6">
                  <c:v>173.83999999999995</c:v>
                </c:pt>
                <c:pt idx="7">
                  <c:v>158.63999999999999</c:v>
                </c:pt>
                <c:pt idx="8">
                  <c:v>203.63999999999996</c:v>
                </c:pt>
                <c:pt idx="9">
                  <c:v>232.54</c:v>
                </c:pt>
                <c:pt idx="10">
                  <c:v>240.93999999999997</c:v>
                </c:pt>
                <c:pt idx="11">
                  <c:v>244.83999999999997</c:v>
                </c:pt>
                <c:pt idx="12">
                  <c:v>238.73999999999995</c:v>
                </c:pt>
                <c:pt idx="13">
                  <c:v>241.34</c:v>
                </c:pt>
                <c:pt idx="14">
                  <c:v>248.14000000000001</c:v>
                </c:pt>
                <c:pt idx="15">
                  <c:v>248.14000000000001</c:v>
                </c:pt>
                <c:pt idx="16">
                  <c:v>191.24</c:v>
                </c:pt>
                <c:pt idx="17">
                  <c:v>186.84</c:v>
                </c:pt>
                <c:pt idx="18" formatCode="0.0">
                  <c:v>172.14</c:v>
                </c:pt>
                <c:pt idx="19" formatCode="0.0">
                  <c:v>383.00000000000006</c:v>
                </c:pt>
                <c:pt idx="20" formatCode="0.0">
                  <c:v>376.94000000000005</c:v>
                </c:pt>
                <c:pt idx="21" formatCode="0.0">
                  <c:v>355.74</c:v>
                </c:pt>
                <c:pt idx="22" formatCode="0.0">
                  <c:v>297.33999999999997</c:v>
                </c:pt>
                <c:pt idx="23" formatCode="0.0">
                  <c:v>227.53999999999996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D2-451B-B3CD-93CA623996D7}"/>
            </c:ext>
          </c:extLst>
        </c:ser>
        <c:ser>
          <c:idx val="0"/>
          <c:order val="3"/>
          <c:tx>
            <c:strRef>
              <c:f>'02'!$AL$19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'02'!$AM$19:$BJ$19</c:f>
              <c:numCache>
                <c:formatCode>General</c:formatCode>
                <c:ptCount val="24"/>
                <c:pt idx="0">
                  <c:v>152.89999999999998</c:v>
                </c:pt>
                <c:pt idx="1">
                  <c:v>188.2</c:v>
                </c:pt>
                <c:pt idx="2">
                  <c:v>159.69999999999999</c:v>
                </c:pt>
                <c:pt idx="3">
                  <c:v>208.40000000000003</c:v>
                </c:pt>
                <c:pt idx="4">
                  <c:v>209.59999999999997</c:v>
                </c:pt>
                <c:pt idx="5">
                  <c:v>253.3</c:v>
                </c:pt>
                <c:pt idx="6">
                  <c:v>280.60000000000002</c:v>
                </c:pt>
                <c:pt idx="7">
                  <c:v>706</c:v>
                </c:pt>
                <c:pt idx="8">
                  <c:v>750.3</c:v>
                </c:pt>
                <c:pt idx="9">
                  <c:v>784.8</c:v>
                </c:pt>
                <c:pt idx="10">
                  <c:v>813.09999999999991</c:v>
                </c:pt>
                <c:pt idx="11">
                  <c:v>786.69999999999993</c:v>
                </c:pt>
                <c:pt idx="12">
                  <c:v>839.40000000000009</c:v>
                </c:pt>
                <c:pt idx="13">
                  <c:v>833.56999999999994</c:v>
                </c:pt>
                <c:pt idx="14">
                  <c:v>809.3</c:v>
                </c:pt>
                <c:pt idx="15">
                  <c:v>860.4</c:v>
                </c:pt>
                <c:pt idx="16">
                  <c:v>884.19999999999993</c:v>
                </c:pt>
                <c:pt idx="17">
                  <c:v>832.6</c:v>
                </c:pt>
                <c:pt idx="18" formatCode="0.0">
                  <c:v>727.5</c:v>
                </c:pt>
                <c:pt idx="19" formatCode="0.0">
                  <c:v>169.7</c:v>
                </c:pt>
                <c:pt idx="20" formatCode="0.0">
                  <c:v>159.80000000000001</c:v>
                </c:pt>
                <c:pt idx="21" formatCode="0.0">
                  <c:v>283.5</c:v>
                </c:pt>
                <c:pt idx="22" formatCode="0.0">
                  <c:v>280.89999999999998</c:v>
                </c:pt>
                <c:pt idx="23" formatCode="0.0">
                  <c:v>303.8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D2-451B-B3CD-93CA623996D7}"/>
            </c:ext>
          </c:extLst>
        </c:ser>
        <c:ser>
          <c:idx val="4"/>
          <c:order val="4"/>
          <c:tx>
            <c:strRef>
              <c:f>'02'!$AL$20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'02'!$AM$20:$BJ$20</c:f>
              <c:numCache>
                <c:formatCode>General</c:formatCode>
                <c:ptCount val="24"/>
                <c:pt idx="0">
                  <c:v>97.8</c:v>
                </c:pt>
                <c:pt idx="1">
                  <c:v>97.8</c:v>
                </c:pt>
                <c:pt idx="2">
                  <c:v>97.8</c:v>
                </c:pt>
                <c:pt idx="3">
                  <c:v>97.1</c:v>
                </c:pt>
                <c:pt idx="4">
                  <c:v>97</c:v>
                </c:pt>
                <c:pt idx="5">
                  <c:v>97.199999999999989</c:v>
                </c:pt>
                <c:pt idx="6">
                  <c:v>97.199999999999989</c:v>
                </c:pt>
                <c:pt idx="7">
                  <c:v>17.2</c:v>
                </c:pt>
                <c:pt idx="8">
                  <c:v>47.1</c:v>
                </c:pt>
                <c:pt idx="9">
                  <c:v>47.8</c:v>
                </c:pt>
                <c:pt idx="10">
                  <c:v>47.4</c:v>
                </c:pt>
                <c:pt idx="11">
                  <c:v>49.9</c:v>
                </c:pt>
                <c:pt idx="12">
                  <c:v>48.800000000000004</c:v>
                </c:pt>
                <c:pt idx="13">
                  <c:v>48.800000000000004</c:v>
                </c:pt>
                <c:pt idx="14">
                  <c:v>40.900000000000006</c:v>
                </c:pt>
                <c:pt idx="15">
                  <c:v>40.900000000000006</c:v>
                </c:pt>
                <c:pt idx="16">
                  <c:v>76.3</c:v>
                </c:pt>
                <c:pt idx="17">
                  <c:v>76.3</c:v>
                </c:pt>
                <c:pt idx="18" formatCode="0.0">
                  <c:v>54.4</c:v>
                </c:pt>
                <c:pt idx="19" formatCode="0.0">
                  <c:v>96.4</c:v>
                </c:pt>
                <c:pt idx="20" formatCode="0.0">
                  <c:v>96.8</c:v>
                </c:pt>
                <c:pt idx="21" formatCode="0.0">
                  <c:v>97.3</c:v>
                </c:pt>
                <c:pt idx="22" formatCode="0.0">
                  <c:v>97.899999999999991</c:v>
                </c:pt>
                <c:pt idx="23" formatCode="0.0">
                  <c:v>97.6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D2-451B-B3CD-93CA623996D7}"/>
            </c:ext>
          </c:extLst>
        </c:ser>
        <c:ser>
          <c:idx val="5"/>
          <c:order val="5"/>
          <c:tx>
            <c:strRef>
              <c:f>'02'!$AL$21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'02'!$AM$21:$BJ$21</c:f>
              <c:numCache>
                <c:formatCode>General</c:formatCode>
                <c:ptCount val="24"/>
                <c:pt idx="0">
                  <c:v>150</c:v>
                </c:pt>
                <c:pt idx="1">
                  <c:v>150</c:v>
                </c:pt>
                <c:pt idx="2">
                  <c:v>151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40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250</c:v>
                </c:pt>
                <c:pt idx="20" formatCode="0.0">
                  <c:v>250</c:v>
                </c:pt>
                <c:pt idx="21" formatCode="0.0">
                  <c:v>200</c:v>
                </c:pt>
                <c:pt idx="22" formatCode="0.0">
                  <c:v>200</c:v>
                </c:pt>
                <c:pt idx="23" formatCode="0.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D2-451B-B3CD-93CA62399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'02'!$AL$23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'02'!$AM$23:$BJ$23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D2-451B-B3CD-93CA62399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'02'!$AL$22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'02'!$AM$22:$BJ$22</c:f>
              <c:numCache>
                <c:formatCode>General</c:formatCode>
                <c:ptCount val="24"/>
                <c:pt idx="0">
                  <c:v>1225.9399999999998</c:v>
                </c:pt>
                <c:pt idx="1">
                  <c:v>1209.2399999999998</c:v>
                </c:pt>
                <c:pt idx="2">
                  <c:v>1181.7399999999998</c:v>
                </c:pt>
                <c:pt idx="3">
                  <c:v>1227.54</c:v>
                </c:pt>
                <c:pt idx="4">
                  <c:v>1223.54</c:v>
                </c:pt>
                <c:pt idx="5">
                  <c:v>1267.44</c:v>
                </c:pt>
                <c:pt idx="6">
                  <c:v>1354.4399999999998</c:v>
                </c:pt>
                <c:pt idx="7">
                  <c:v>1439.84</c:v>
                </c:pt>
                <c:pt idx="8">
                  <c:v>1514.4399999999998</c:v>
                </c:pt>
                <c:pt idx="9">
                  <c:v>1576.9399999999998</c:v>
                </c:pt>
                <c:pt idx="10">
                  <c:v>1611.6399999999999</c:v>
                </c:pt>
                <c:pt idx="11">
                  <c:v>1591.6399999999999</c:v>
                </c:pt>
                <c:pt idx="12">
                  <c:v>1633.14</c:v>
                </c:pt>
                <c:pt idx="13">
                  <c:v>1630.9099999999999</c:v>
                </c:pt>
                <c:pt idx="14">
                  <c:v>1605.54</c:v>
                </c:pt>
                <c:pt idx="15">
                  <c:v>1656.64</c:v>
                </c:pt>
                <c:pt idx="16">
                  <c:v>1658.9399999999998</c:v>
                </c:pt>
                <c:pt idx="17">
                  <c:v>1602.9399999999998</c:v>
                </c:pt>
                <c:pt idx="18">
                  <c:v>1461.24</c:v>
                </c:pt>
                <c:pt idx="19">
                  <c:v>1869.9</c:v>
                </c:pt>
                <c:pt idx="20">
                  <c:v>1775.84</c:v>
                </c:pt>
                <c:pt idx="21">
                  <c:v>1647.54</c:v>
                </c:pt>
                <c:pt idx="22">
                  <c:v>1553.04</c:v>
                </c:pt>
                <c:pt idx="23">
                  <c:v>1450.1399999999999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7CD2-451B-B3CD-93CA623996D7}"/>
            </c:ext>
          </c:extLst>
        </c:ser>
        <c:ser>
          <c:idx val="8"/>
          <c:order val="8"/>
          <c:tx>
            <c:strRef>
              <c:f>'02'!$AL$24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'02'!$AM$24:$BJ$24</c:f>
              <c:numCache>
                <c:formatCode>General</c:formatCode>
                <c:ptCount val="24"/>
                <c:pt idx="0">
                  <c:v>1225.9399999999998</c:v>
                </c:pt>
                <c:pt idx="1">
                  <c:v>1209.2399999999998</c:v>
                </c:pt>
                <c:pt idx="2">
                  <c:v>1181.7399999999998</c:v>
                </c:pt>
                <c:pt idx="3">
                  <c:v>1227.54</c:v>
                </c:pt>
                <c:pt idx="4">
                  <c:v>1223.54</c:v>
                </c:pt>
                <c:pt idx="5">
                  <c:v>1267.44</c:v>
                </c:pt>
                <c:pt idx="6">
                  <c:v>1354.4399999999998</c:v>
                </c:pt>
                <c:pt idx="7">
                  <c:v>1439.84</c:v>
                </c:pt>
                <c:pt idx="8">
                  <c:v>1514.4399999999998</c:v>
                </c:pt>
                <c:pt idx="9">
                  <c:v>1576.9399999999998</c:v>
                </c:pt>
                <c:pt idx="10">
                  <c:v>1611.6399999999999</c:v>
                </c:pt>
                <c:pt idx="11">
                  <c:v>1591.6399999999999</c:v>
                </c:pt>
                <c:pt idx="12">
                  <c:v>1633.14</c:v>
                </c:pt>
                <c:pt idx="13">
                  <c:v>1630.9099999999999</c:v>
                </c:pt>
                <c:pt idx="14">
                  <c:v>1605.54</c:v>
                </c:pt>
                <c:pt idx="15">
                  <c:v>1656.64</c:v>
                </c:pt>
                <c:pt idx="16">
                  <c:v>1658.9399999999998</c:v>
                </c:pt>
                <c:pt idx="17">
                  <c:v>1602.9399999999998</c:v>
                </c:pt>
                <c:pt idx="18">
                  <c:v>1461.24</c:v>
                </c:pt>
                <c:pt idx="19">
                  <c:v>1869.9</c:v>
                </c:pt>
                <c:pt idx="20">
                  <c:v>1775.84</c:v>
                </c:pt>
                <c:pt idx="21">
                  <c:v>1647.54</c:v>
                </c:pt>
                <c:pt idx="22">
                  <c:v>1553.04</c:v>
                </c:pt>
                <c:pt idx="23">
                  <c:v>1450.1399999999999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CD2-451B-B3CD-93CA62399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F34-4AE1-94F1-84805916EC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F34-4AE1-94F1-84805916EC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F34-4AE1-94F1-84805916EC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F34-4AE1-94F1-84805916EC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F34-4AE1-94F1-84805916ECA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CF34-4AE1-94F1-84805916ECA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'03'!$AL$16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'03'!$AM$16:$BJ$16</c:f>
              <c:numCache>
                <c:formatCode>General</c:formatCode>
                <c:ptCount val="24"/>
                <c:pt idx="0">
                  <c:v>483.09999999999991</c:v>
                </c:pt>
                <c:pt idx="1">
                  <c:v>481.99999999999994</c:v>
                </c:pt>
                <c:pt idx="2">
                  <c:v>488.09999999999991</c:v>
                </c:pt>
                <c:pt idx="3">
                  <c:v>484.09999999999991</c:v>
                </c:pt>
                <c:pt idx="4">
                  <c:v>483.09999999999991</c:v>
                </c:pt>
                <c:pt idx="5">
                  <c:v>483.09999999999991</c:v>
                </c:pt>
                <c:pt idx="6">
                  <c:v>485.19999999999993</c:v>
                </c:pt>
                <c:pt idx="7">
                  <c:v>480.2</c:v>
                </c:pt>
                <c:pt idx="8">
                  <c:v>483.4</c:v>
                </c:pt>
                <c:pt idx="9">
                  <c:v>483.4</c:v>
                </c:pt>
                <c:pt idx="10">
                  <c:v>483.4</c:v>
                </c:pt>
                <c:pt idx="11">
                  <c:v>482.69999999999993</c:v>
                </c:pt>
                <c:pt idx="12">
                  <c:v>482.69999999999993</c:v>
                </c:pt>
                <c:pt idx="13">
                  <c:v>456.69999999999993</c:v>
                </c:pt>
                <c:pt idx="14">
                  <c:v>456.69999999999993</c:v>
                </c:pt>
                <c:pt idx="15">
                  <c:v>466.29999999999995</c:v>
                </c:pt>
                <c:pt idx="16">
                  <c:v>466.29999999999995</c:v>
                </c:pt>
                <c:pt idx="17">
                  <c:v>466.29999999999995</c:v>
                </c:pt>
                <c:pt idx="18" formatCode="0.0">
                  <c:v>469.2</c:v>
                </c:pt>
                <c:pt idx="19" formatCode="0.0">
                  <c:v>469.2</c:v>
                </c:pt>
                <c:pt idx="20" formatCode="0.0">
                  <c:v>469.2</c:v>
                </c:pt>
                <c:pt idx="21" formatCode="0.0">
                  <c:v>469.2</c:v>
                </c:pt>
                <c:pt idx="22" formatCode="0.0">
                  <c:v>469.2</c:v>
                </c:pt>
                <c:pt idx="23" formatCode="0.0">
                  <c:v>469.2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D-45A8-9BCF-9577E7509E25}"/>
            </c:ext>
          </c:extLst>
        </c:ser>
        <c:ser>
          <c:idx val="2"/>
          <c:order val="1"/>
          <c:tx>
            <c:strRef>
              <c:f>'03'!$AL$17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'03'!$AM$17:$BJ$17</c:f>
              <c:numCache>
                <c:formatCode>General</c:formatCode>
                <c:ptCount val="24"/>
                <c:pt idx="0">
                  <c:v>97.8</c:v>
                </c:pt>
                <c:pt idx="1">
                  <c:v>99.3</c:v>
                </c:pt>
                <c:pt idx="2">
                  <c:v>99.5</c:v>
                </c:pt>
                <c:pt idx="3">
                  <c:v>99.5</c:v>
                </c:pt>
                <c:pt idx="4">
                  <c:v>99.4</c:v>
                </c:pt>
                <c:pt idx="5">
                  <c:v>99.4</c:v>
                </c:pt>
                <c:pt idx="6">
                  <c:v>191.1</c:v>
                </c:pt>
                <c:pt idx="7">
                  <c:v>38.5</c:v>
                </c:pt>
                <c:pt idx="8">
                  <c:v>38.5</c:v>
                </c:pt>
                <c:pt idx="9">
                  <c:v>38.5</c:v>
                </c:pt>
                <c:pt idx="10">
                  <c:v>34.700000000000003</c:v>
                </c:pt>
                <c:pt idx="11">
                  <c:v>41.4</c:v>
                </c:pt>
                <c:pt idx="12">
                  <c:v>41.4</c:v>
                </c:pt>
                <c:pt idx="13">
                  <c:v>41.4</c:v>
                </c:pt>
                <c:pt idx="14">
                  <c:v>36.200000000000003</c:v>
                </c:pt>
                <c:pt idx="15">
                  <c:v>34.5</c:v>
                </c:pt>
                <c:pt idx="16">
                  <c:v>35.1</c:v>
                </c:pt>
                <c:pt idx="17">
                  <c:v>33.5</c:v>
                </c:pt>
                <c:pt idx="18" formatCode="0.0">
                  <c:v>34.1</c:v>
                </c:pt>
                <c:pt idx="19" formatCode="0.0">
                  <c:v>400.09999999999997</c:v>
                </c:pt>
                <c:pt idx="20" formatCode="0.0">
                  <c:v>322.8</c:v>
                </c:pt>
                <c:pt idx="21" formatCode="0.0">
                  <c:v>298.8</c:v>
                </c:pt>
                <c:pt idx="22" formatCode="0.0">
                  <c:v>298.8</c:v>
                </c:pt>
                <c:pt idx="23" formatCode="0.0">
                  <c:v>298.8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8D-45A8-9BCF-9577E7509E25}"/>
            </c:ext>
          </c:extLst>
        </c:ser>
        <c:ser>
          <c:idx val="3"/>
          <c:order val="2"/>
          <c:tx>
            <c:strRef>
              <c:f>'03'!$AL$18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'03'!$AM$18:$BJ$18</c:f>
              <c:numCache>
                <c:formatCode>General</c:formatCode>
                <c:ptCount val="24"/>
                <c:pt idx="0">
                  <c:v>201.03999999999996</c:v>
                </c:pt>
                <c:pt idx="1">
                  <c:v>177.44</c:v>
                </c:pt>
                <c:pt idx="2">
                  <c:v>167.53999999999996</c:v>
                </c:pt>
                <c:pt idx="3">
                  <c:v>143.43999999999997</c:v>
                </c:pt>
                <c:pt idx="4">
                  <c:v>146.23999999999998</c:v>
                </c:pt>
                <c:pt idx="5">
                  <c:v>147.33999999999997</c:v>
                </c:pt>
                <c:pt idx="6">
                  <c:v>261.04000000000008</c:v>
                </c:pt>
                <c:pt idx="7">
                  <c:v>262.53999999999996</c:v>
                </c:pt>
                <c:pt idx="8">
                  <c:v>309.03999999999996</c:v>
                </c:pt>
                <c:pt idx="9">
                  <c:v>234.63999999999996</c:v>
                </c:pt>
                <c:pt idx="10">
                  <c:v>279.64</c:v>
                </c:pt>
                <c:pt idx="11">
                  <c:v>288.54000000000002</c:v>
                </c:pt>
                <c:pt idx="12">
                  <c:v>217.64</c:v>
                </c:pt>
                <c:pt idx="13">
                  <c:v>242.14</c:v>
                </c:pt>
                <c:pt idx="14">
                  <c:v>257.94</c:v>
                </c:pt>
                <c:pt idx="15">
                  <c:v>246.43999999999994</c:v>
                </c:pt>
                <c:pt idx="16">
                  <c:v>213.43999999999997</c:v>
                </c:pt>
                <c:pt idx="17">
                  <c:v>160.03999999999996</c:v>
                </c:pt>
                <c:pt idx="18" formatCode="0.0">
                  <c:v>125.24000000000001</c:v>
                </c:pt>
                <c:pt idx="19" formatCode="0.0">
                  <c:v>316.7</c:v>
                </c:pt>
                <c:pt idx="20" formatCode="0.0">
                  <c:v>296.44</c:v>
                </c:pt>
                <c:pt idx="21" formatCode="0.0">
                  <c:v>259.54000000000008</c:v>
                </c:pt>
                <c:pt idx="22" formatCode="0.0">
                  <c:v>205.54000000000002</c:v>
                </c:pt>
                <c:pt idx="23" formatCode="0.0">
                  <c:v>195.54000000000002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8D-45A8-9BCF-9577E7509E25}"/>
            </c:ext>
          </c:extLst>
        </c:ser>
        <c:ser>
          <c:idx val="0"/>
          <c:order val="3"/>
          <c:tx>
            <c:strRef>
              <c:f>'03'!$AL$19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'03'!$AM$19:$BJ$19</c:f>
              <c:numCache>
                <c:formatCode>General</c:formatCode>
                <c:ptCount val="24"/>
                <c:pt idx="0">
                  <c:v>316.90000000000003</c:v>
                </c:pt>
                <c:pt idx="1">
                  <c:v>299.7</c:v>
                </c:pt>
                <c:pt idx="2">
                  <c:v>289.8</c:v>
                </c:pt>
                <c:pt idx="3">
                  <c:v>267.89999999999998</c:v>
                </c:pt>
                <c:pt idx="4">
                  <c:v>289.3</c:v>
                </c:pt>
                <c:pt idx="5">
                  <c:v>289.2</c:v>
                </c:pt>
                <c:pt idx="6">
                  <c:v>168.5</c:v>
                </c:pt>
                <c:pt idx="7">
                  <c:v>579.1</c:v>
                </c:pt>
                <c:pt idx="8">
                  <c:v>674.99999999999989</c:v>
                </c:pt>
                <c:pt idx="9">
                  <c:v>684.3</c:v>
                </c:pt>
                <c:pt idx="10">
                  <c:v>680.6</c:v>
                </c:pt>
                <c:pt idx="11">
                  <c:v>768.5</c:v>
                </c:pt>
                <c:pt idx="12">
                  <c:v>715</c:v>
                </c:pt>
                <c:pt idx="13">
                  <c:v>691</c:v>
                </c:pt>
                <c:pt idx="14">
                  <c:v>800.5</c:v>
                </c:pt>
                <c:pt idx="15">
                  <c:v>855.30000000000007</c:v>
                </c:pt>
                <c:pt idx="16">
                  <c:v>808.4</c:v>
                </c:pt>
                <c:pt idx="17">
                  <c:v>826.80000000000007</c:v>
                </c:pt>
                <c:pt idx="18" formatCode="0.0">
                  <c:v>763.2</c:v>
                </c:pt>
                <c:pt idx="19" formatCode="0.0">
                  <c:v>262.5</c:v>
                </c:pt>
                <c:pt idx="20" formatCode="0.0">
                  <c:v>279.89999999999998</c:v>
                </c:pt>
                <c:pt idx="21" formatCode="0.0">
                  <c:v>321.89999999999998</c:v>
                </c:pt>
                <c:pt idx="22" formatCode="0.0">
                  <c:v>292</c:v>
                </c:pt>
                <c:pt idx="23" formatCode="0.0">
                  <c:v>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8D-45A8-9BCF-9577E7509E25}"/>
            </c:ext>
          </c:extLst>
        </c:ser>
        <c:ser>
          <c:idx val="4"/>
          <c:order val="4"/>
          <c:tx>
            <c:strRef>
              <c:f>'03'!$AL$20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'03'!$AM$20:$BJ$20</c:f>
              <c:numCache>
                <c:formatCode>General</c:formatCode>
                <c:ptCount val="24"/>
                <c:pt idx="0">
                  <c:v>97.6</c:v>
                </c:pt>
                <c:pt idx="1">
                  <c:v>97.6</c:v>
                </c:pt>
                <c:pt idx="2">
                  <c:v>97.6</c:v>
                </c:pt>
                <c:pt idx="3">
                  <c:v>96.3</c:v>
                </c:pt>
                <c:pt idx="4">
                  <c:v>97.5</c:v>
                </c:pt>
                <c:pt idx="5">
                  <c:v>97.8</c:v>
                </c:pt>
                <c:pt idx="6">
                  <c:v>97.4</c:v>
                </c:pt>
                <c:pt idx="7">
                  <c:v>96.4</c:v>
                </c:pt>
                <c:pt idx="8">
                  <c:v>97</c:v>
                </c:pt>
                <c:pt idx="9">
                  <c:v>49.4</c:v>
                </c:pt>
                <c:pt idx="10">
                  <c:v>49.4</c:v>
                </c:pt>
                <c:pt idx="11">
                  <c:v>49.4</c:v>
                </c:pt>
                <c:pt idx="12">
                  <c:v>92</c:v>
                </c:pt>
                <c:pt idx="13">
                  <c:v>92</c:v>
                </c:pt>
                <c:pt idx="14">
                  <c:v>97.199999999999989</c:v>
                </c:pt>
                <c:pt idx="15">
                  <c:v>97.5</c:v>
                </c:pt>
                <c:pt idx="16">
                  <c:v>97.3</c:v>
                </c:pt>
                <c:pt idx="17">
                  <c:v>97.3</c:v>
                </c:pt>
                <c:pt idx="18" formatCode="0.0">
                  <c:v>74.5</c:v>
                </c:pt>
                <c:pt idx="19" formatCode="0.0">
                  <c:v>88.300000000000011</c:v>
                </c:pt>
                <c:pt idx="20" formatCode="0.0">
                  <c:v>87.9</c:v>
                </c:pt>
                <c:pt idx="21" formatCode="0.0">
                  <c:v>79</c:v>
                </c:pt>
                <c:pt idx="22" formatCode="0.0">
                  <c:v>79</c:v>
                </c:pt>
                <c:pt idx="23" formatCode="0.0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8D-45A8-9BCF-9577E7509E25}"/>
            </c:ext>
          </c:extLst>
        </c:ser>
        <c:ser>
          <c:idx val="5"/>
          <c:order val="5"/>
          <c:tx>
            <c:strRef>
              <c:f>'03'!$AL$21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'03'!$AM$21:$BJ$21</c:f>
              <c:numCache>
                <c:formatCode>General</c:formatCode>
                <c:ptCount val="24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60</c:v>
                </c:pt>
                <c:pt idx="8">
                  <c:v>60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100</c:v>
                </c:pt>
                <c:pt idx="18" formatCode="0.0">
                  <c:v>0</c:v>
                </c:pt>
                <c:pt idx="19" formatCode="0.0">
                  <c:v>300</c:v>
                </c:pt>
                <c:pt idx="20" formatCode="0.0">
                  <c:v>300</c:v>
                </c:pt>
                <c:pt idx="21" formatCode="0.0">
                  <c:v>240</c:v>
                </c:pt>
                <c:pt idx="22" formatCode="0.0">
                  <c:v>230</c:v>
                </c:pt>
                <c:pt idx="23" formatCode="0.0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8D-45A8-9BCF-9577E7509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'03'!$AL$23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'03'!$AM$23:$BJ$23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-2</c:v>
                </c:pt>
                <c:pt idx="22">
                  <c:v>-3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8D-45A8-9BCF-9577E7509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'03'!$AL$22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'03'!$AM$22:$BJ$22</c:f>
              <c:numCache>
                <c:formatCode>General</c:formatCode>
                <c:ptCount val="24"/>
                <c:pt idx="0">
                  <c:v>1396.4399999999998</c:v>
                </c:pt>
                <c:pt idx="1">
                  <c:v>1356.04</c:v>
                </c:pt>
                <c:pt idx="2">
                  <c:v>1342.5399999999997</c:v>
                </c:pt>
                <c:pt idx="3">
                  <c:v>1291.2399999999998</c:v>
                </c:pt>
                <c:pt idx="4">
                  <c:v>1315.54</c:v>
                </c:pt>
                <c:pt idx="5">
                  <c:v>1316.84</c:v>
                </c:pt>
                <c:pt idx="6">
                  <c:v>1403.2400000000002</c:v>
                </c:pt>
                <c:pt idx="7">
                  <c:v>1516.7400000000002</c:v>
                </c:pt>
                <c:pt idx="8">
                  <c:v>1662.9399999999998</c:v>
                </c:pt>
                <c:pt idx="9">
                  <c:v>1490.24</c:v>
                </c:pt>
                <c:pt idx="10">
                  <c:v>1527.7400000000002</c:v>
                </c:pt>
                <c:pt idx="11">
                  <c:v>1630.54</c:v>
                </c:pt>
                <c:pt idx="12">
                  <c:v>1548.7399999999998</c:v>
                </c:pt>
                <c:pt idx="13">
                  <c:v>1523.2399999999998</c:v>
                </c:pt>
                <c:pt idx="14">
                  <c:v>1648.54</c:v>
                </c:pt>
                <c:pt idx="15">
                  <c:v>1700.04</c:v>
                </c:pt>
                <c:pt idx="16">
                  <c:v>1620.5399999999997</c:v>
                </c:pt>
                <c:pt idx="17">
                  <c:v>1683.9399999999998</c:v>
                </c:pt>
                <c:pt idx="18">
                  <c:v>1466.24</c:v>
                </c:pt>
                <c:pt idx="19">
                  <c:v>1836.8</c:v>
                </c:pt>
                <c:pt idx="20">
                  <c:v>1756.2400000000002</c:v>
                </c:pt>
                <c:pt idx="21">
                  <c:v>1668.44</c:v>
                </c:pt>
                <c:pt idx="22">
                  <c:v>1574.54</c:v>
                </c:pt>
                <c:pt idx="23">
                  <c:v>1497.54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F8D-45A8-9BCF-9577E7509E25}"/>
            </c:ext>
          </c:extLst>
        </c:ser>
        <c:ser>
          <c:idx val="8"/>
          <c:order val="8"/>
          <c:tx>
            <c:strRef>
              <c:f>'03'!$AL$24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'03'!$AM$24:$BJ$24</c:f>
              <c:numCache>
                <c:formatCode>General</c:formatCode>
                <c:ptCount val="24"/>
                <c:pt idx="0">
                  <c:v>1396.4399999999998</c:v>
                </c:pt>
                <c:pt idx="1">
                  <c:v>1356.04</c:v>
                </c:pt>
                <c:pt idx="2">
                  <c:v>1342.5399999999997</c:v>
                </c:pt>
                <c:pt idx="3">
                  <c:v>1291.2399999999998</c:v>
                </c:pt>
                <c:pt idx="4">
                  <c:v>1315.54</c:v>
                </c:pt>
                <c:pt idx="5">
                  <c:v>1316.84</c:v>
                </c:pt>
                <c:pt idx="6">
                  <c:v>1403.2400000000002</c:v>
                </c:pt>
                <c:pt idx="7">
                  <c:v>1516.7400000000002</c:v>
                </c:pt>
                <c:pt idx="8">
                  <c:v>1662.9399999999998</c:v>
                </c:pt>
                <c:pt idx="9">
                  <c:v>1490.24</c:v>
                </c:pt>
                <c:pt idx="10">
                  <c:v>1527.7400000000002</c:v>
                </c:pt>
                <c:pt idx="11">
                  <c:v>1630.54</c:v>
                </c:pt>
                <c:pt idx="12">
                  <c:v>1548.7399999999998</c:v>
                </c:pt>
                <c:pt idx="13">
                  <c:v>1523.2399999999998</c:v>
                </c:pt>
                <c:pt idx="14">
                  <c:v>1648.54</c:v>
                </c:pt>
                <c:pt idx="15">
                  <c:v>1700.04</c:v>
                </c:pt>
                <c:pt idx="16">
                  <c:v>1620.5399999999997</c:v>
                </c:pt>
                <c:pt idx="17">
                  <c:v>1683.9399999999998</c:v>
                </c:pt>
                <c:pt idx="18">
                  <c:v>1466.24</c:v>
                </c:pt>
                <c:pt idx="19">
                  <c:v>1836.8</c:v>
                </c:pt>
                <c:pt idx="20">
                  <c:v>1756.2400000000002</c:v>
                </c:pt>
                <c:pt idx="21">
                  <c:v>1666.44</c:v>
                </c:pt>
                <c:pt idx="22">
                  <c:v>1571.54</c:v>
                </c:pt>
                <c:pt idx="23">
                  <c:v>1497.54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F8D-45A8-9BCF-9577E7509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986-4D55-A069-B7BE7724D8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986-4D55-A069-B7BE7724D8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986-4D55-A069-B7BE7724D8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986-4D55-A069-B7BE7724D8D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986-4D55-A069-B7BE7724D8D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7986-4D55-A069-B7BE7724D8D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'04'!$AL$16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'04'!$AM$16:$BJ$16</c:f>
              <c:numCache>
                <c:formatCode>General</c:formatCode>
                <c:ptCount val="24"/>
                <c:pt idx="0">
                  <c:v>469.2</c:v>
                </c:pt>
                <c:pt idx="1">
                  <c:v>469.2</c:v>
                </c:pt>
                <c:pt idx="2">
                  <c:v>469.2</c:v>
                </c:pt>
                <c:pt idx="3">
                  <c:v>473.2</c:v>
                </c:pt>
                <c:pt idx="4">
                  <c:v>473.2</c:v>
                </c:pt>
                <c:pt idx="5">
                  <c:v>473.2</c:v>
                </c:pt>
                <c:pt idx="6">
                  <c:v>473.2</c:v>
                </c:pt>
                <c:pt idx="7">
                  <c:v>473.2</c:v>
                </c:pt>
                <c:pt idx="8">
                  <c:v>468.59999999999997</c:v>
                </c:pt>
                <c:pt idx="9">
                  <c:v>471.49999999999994</c:v>
                </c:pt>
                <c:pt idx="10">
                  <c:v>470.09999999999997</c:v>
                </c:pt>
                <c:pt idx="11">
                  <c:v>476.99999999999994</c:v>
                </c:pt>
                <c:pt idx="12">
                  <c:v>468.29999999999995</c:v>
                </c:pt>
                <c:pt idx="13">
                  <c:v>469.09999999999997</c:v>
                </c:pt>
                <c:pt idx="14">
                  <c:v>469.09999999999997</c:v>
                </c:pt>
                <c:pt idx="15">
                  <c:v>469.09999999999997</c:v>
                </c:pt>
                <c:pt idx="16">
                  <c:v>469.09999999999997</c:v>
                </c:pt>
                <c:pt idx="17">
                  <c:v>469.09999999999997</c:v>
                </c:pt>
                <c:pt idx="18" formatCode="0.0">
                  <c:v>469.09999999999997</c:v>
                </c:pt>
                <c:pt idx="19" formatCode="0.0">
                  <c:v>469.09999999999997</c:v>
                </c:pt>
                <c:pt idx="20" formatCode="0.0">
                  <c:v>573.70000000000005</c:v>
                </c:pt>
                <c:pt idx="21" formatCode="0.0">
                  <c:v>578.70000000000005</c:v>
                </c:pt>
                <c:pt idx="22" formatCode="0.0">
                  <c:v>578.70000000000005</c:v>
                </c:pt>
                <c:pt idx="23" formatCode="0.0">
                  <c:v>580.79999999999995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B-42E1-AF7C-B58CF51F5601}"/>
            </c:ext>
          </c:extLst>
        </c:ser>
        <c:ser>
          <c:idx val="2"/>
          <c:order val="1"/>
          <c:tx>
            <c:strRef>
              <c:f>'04'!$AL$17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'04'!$AM$17:$BJ$17</c:f>
              <c:numCache>
                <c:formatCode>General</c:formatCode>
                <c:ptCount val="24"/>
                <c:pt idx="0">
                  <c:v>138.80000000000001</c:v>
                </c:pt>
                <c:pt idx="1">
                  <c:v>114.8</c:v>
                </c:pt>
                <c:pt idx="2">
                  <c:v>114.8</c:v>
                </c:pt>
                <c:pt idx="3">
                  <c:v>112.8</c:v>
                </c:pt>
                <c:pt idx="4">
                  <c:v>97.1</c:v>
                </c:pt>
                <c:pt idx="5">
                  <c:v>100.9</c:v>
                </c:pt>
                <c:pt idx="6">
                  <c:v>100.9</c:v>
                </c:pt>
                <c:pt idx="7">
                  <c:v>40.6</c:v>
                </c:pt>
                <c:pt idx="8">
                  <c:v>36.9</c:v>
                </c:pt>
                <c:pt idx="9">
                  <c:v>36.9</c:v>
                </c:pt>
                <c:pt idx="10">
                  <c:v>36.9</c:v>
                </c:pt>
                <c:pt idx="11">
                  <c:v>37.4</c:v>
                </c:pt>
                <c:pt idx="12">
                  <c:v>37.5</c:v>
                </c:pt>
                <c:pt idx="13">
                  <c:v>35.4</c:v>
                </c:pt>
                <c:pt idx="14">
                  <c:v>35.4</c:v>
                </c:pt>
                <c:pt idx="15">
                  <c:v>35.4</c:v>
                </c:pt>
                <c:pt idx="16">
                  <c:v>35.4</c:v>
                </c:pt>
                <c:pt idx="17">
                  <c:v>35.4</c:v>
                </c:pt>
                <c:pt idx="18" formatCode="0.0">
                  <c:v>65.5</c:v>
                </c:pt>
                <c:pt idx="19" formatCode="0.0">
                  <c:v>416.4</c:v>
                </c:pt>
                <c:pt idx="20" formatCode="0.0">
                  <c:v>370.4</c:v>
                </c:pt>
                <c:pt idx="21" formatCode="0.0">
                  <c:v>294.8</c:v>
                </c:pt>
                <c:pt idx="22" formatCode="0.0">
                  <c:v>321</c:v>
                </c:pt>
                <c:pt idx="23" formatCode="0.0">
                  <c:v>224.20000000000002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7B-42E1-AF7C-B58CF51F5601}"/>
            </c:ext>
          </c:extLst>
        </c:ser>
        <c:ser>
          <c:idx val="3"/>
          <c:order val="2"/>
          <c:tx>
            <c:strRef>
              <c:f>'04'!$AL$18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'04'!$AM$18:$BJ$18</c:f>
              <c:numCache>
                <c:formatCode>General</c:formatCode>
                <c:ptCount val="24"/>
                <c:pt idx="0">
                  <c:v>235.74</c:v>
                </c:pt>
                <c:pt idx="1">
                  <c:v>235.74</c:v>
                </c:pt>
                <c:pt idx="2">
                  <c:v>163.74</c:v>
                </c:pt>
                <c:pt idx="3">
                  <c:v>146.63999999999999</c:v>
                </c:pt>
                <c:pt idx="4">
                  <c:v>146.63999999999999</c:v>
                </c:pt>
                <c:pt idx="5">
                  <c:v>149.94</c:v>
                </c:pt>
                <c:pt idx="6">
                  <c:v>180.14000000000001</c:v>
                </c:pt>
                <c:pt idx="7">
                  <c:v>275.54000000000002</c:v>
                </c:pt>
                <c:pt idx="8">
                  <c:v>220.44</c:v>
                </c:pt>
                <c:pt idx="9">
                  <c:v>216.04000000000002</c:v>
                </c:pt>
                <c:pt idx="10">
                  <c:v>220.94</c:v>
                </c:pt>
                <c:pt idx="11">
                  <c:v>244.03999999999996</c:v>
                </c:pt>
                <c:pt idx="12">
                  <c:v>231.54000000000002</c:v>
                </c:pt>
                <c:pt idx="13">
                  <c:v>176.14</c:v>
                </c:pt>
                <c:pt idx="14">
                  <c:v>182.54</c:v>
                </c:pt>
                <c:pt idx="15">
                  <c:v>181.04</c:v>
                </c:pt>
                <c:pt idx="16">
                  <c:v>177.64</c:v>
                </c:pt>
                <c:pt idx="17">
                  <c:v>166.64000000000001</c:v>
                </c:pt>
                <c:pt idx="18" formatCode="0.0">
                  <c:v>233.52</c:v>
                </c:pt>
                <c:pt idx="19" formatCode="0.0">
                  <c:v>327.24</c:v>
                </c:pt>
                <c:pt idx="20" formatCode="0.0">
                  <c:v>330.6400000000001</c:v>
                </c:pt>
                <c:pt idx="21" formatCode="0.0">
                  <c:v>336.24000000000007</c:v>
                </c:pt>
                <c:pt idx="22" formatCode="0.0">
                  <c:v>264.94</c:v>
                </c:pt>
                <c:pt idx="23" formatCode="0.0">
                  <c:v>254.23999999999998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7B-42E1-AF7C-B58CF51F5601}"/>
            </c:ext>
          </c:extLst>
        </c:ser>
        <c:ser>
          <c:idx val="0"/>
          <c:order val="3"/>
          <c:tx>
            <c:strRef>
              <c:f>'04'!$AL$19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'04'!$AM$19:$BJ$19</c:f>
              <c:numCache>
                <c:formatCode>General</c:formatCode>
                <c:ptCount val="24"/>
                <c:pt idx="0">
                  <c:v>312</c:v>
                </c:pt>
                <c:pt idx="1">
                  <c:v>303</c:v>
                </c:pt>
                <c:pt idx="2">
                  <c:v>338</c:v>
                </c:pt>
                <c:pt idx="3">
                  <c:v>321.89999999999998</c:v>
                </c:pt>
                <c:pt idx="4">
                  <c:v>340.3</c:v>
                </c:pt>
                <c:pt idx="5">
                  <c:v>363.7</c:v>
                </c:pt>
                <c:pt idx="6">
                  <c:v>384.00000000000006</c:v>
                </c:pt>
                <c:pt idx="7">
                  <c:v>606.6</c:v>
                </c:pt>
                <c:pt idx="8">
                  <c:v>789.90000000000009</c:v>
                </c:pt>
                <c:pt idx="9">
                  <c:v>785.6</c:v>
                </c:pt>
                <c:pt idx="10">
                  <c:v>803.90000000000009</c:v>
                </c:pt>
                <c:pt idx="11">
                  <c:v>813.6</c:v>
                </c:pt>
                <c:pt idx="12">
                  <c:v>811.80000000000007</c:v>
                </c:pt>
                <c:pt idx="13">
                  <c:v>844.3</c:v>
                </c:pt>
                <c:pt idx="14">
                  <c:v>834.30000000000007</c:v>
                </c:pt>
                <c:pt idx="15">
                  <c:v>808.5</c:v>
                </c:pt>
                <c:pt idx="16">
                  <c:v>692.4</c:v>
                </c:pt>
                <c:pt idx="17">
                  <c:v>738.5</c:v>
                </c:pt>
                <c:pt idx="18" formatCode="0.0">
                  <c:v>471.79999999999995</c:v>
                </c:pt>
                <c:pt idx="19" formatCode="0.0">
                  <c:v>126.19999999999999</c:v>
                </c:pt>
                <c:pt idx="20" formatCode="0.0">
                  <c:v>74.3</c:v>
                </c:pt>
                <c:pt idx="21" formatCode="0.0">
                  <c:v>115.19999999999999</c:v>
                </c:pt>
                <c:pt idx="22" formatCode="0.0">
                  <c:v>134.69999999999999</c:v>
                </c:pt>
                <c:pt idx="23" formatCode="0.0">
                  <c:v>150.4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7B-42E1-AF7C-B58CF51F5601}"/>
            </c:ext>
          </c:extLst>
        </c:ser>
        <c:ser>
          <c:idx val="4"/>
          <c:order val="4"/>
          <c:tx>
            <c:strRef>
              <c:f>'04'!$AL$20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'04'!$AM$20:$BJ$20</c:f>
              <c:numCache>
                <c:formatCode>General</c:formatCode>
                <c:ptCount val="24"/>
                <c:pt idx="0">
                  <c:v>79</c:v>
                </c:pt>
                <c:pt idx="1">
                  <c:v>79</c:v>
                </c:pt>
                <c:pt idx="2">
                  <c:v>79</c:v>
                </c:pt>
                <c:pt idx="3">
                  <c:v>79</c:v>
                </c:pt>
                <c:pt idx="4">
                  <c:v>79</c:v>
                </c:pt>
                <c:pt idx="5">
                  <c:v>79</c:v>
                </c:pt>
                <c:pt idx="6">
                  <c:v>79</c:v>
                </c:pt>
                <c:pt idx="7">
                  <c:v>79</c:v>
                </c:pt>
                <c:pt idx="8">
                  <c:v>61.9</c:v>
                </c:pt>
                <c:pt idx="9">
                  <c:v>71.399999999999991</c:v>
                </c:pt>
                <c:pt idx="10">
                  <c:v>70.3</c:v>
                </c:pt>
                <c:pt idx="11">
                  <c:v>81.7</c:v>
                </c:pt>
                <c:pt idx="12">
                  <c:v>70.5</c:v>
                </c:pt>
                <c:pt idx="13">
                  <c:v>70.7</c:v>
                </c:pt>
                <c:pt idx="14">
                  <c:v>70.7</c:v>
                </c:pt>
                <c:pt idx="15">
                  <c:v>78.400000000000006</c:v>
                </c:pt>
                <c:pt idx="16">
                  <c:v>66.100000000000009</c:v>
                </c:pt>
                <c:pt idx="17">
                  <c:v>59.2</c:v>
                </c:pt>
                <c:pt idx="18" formatCode="0.0">
                  <c:v>0</c:v>
                </c:pt>
                <c:pt idx="19" formatCode="0.0">
                  <c:v>95.6</c:v>
                </c:pt>
                <c:pt idx="20" formatCode="0.0">
                  <c:v>97.4</c:v>
                </c:pt>
                <c:pt idx="21" formatCode="0.0">
                  <c:v>97.1</c:v>
                </c:pt>
                <c:pt idx="22" formatCode="0.0">
                  <c:v>97.1</c:v>
                </c:pt>
                <c:pt idx="23" formatCode="0.0">
                  <c:v>97.1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7B-42E1-AF7C-B58CF51F5601}"/>
            </c:ext>
          </c:extLst>
        </c:ser>
        <c:ser>
          <c:idx val="5"/>
          <c:order val="5"/>
          <c:tx>
            <c:strRef>
              <c:f>'04'!$AL$21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'04'!$AM$21:$BJ$21</c:f>
              <c:numCache>
                <c:formatCode>General</c:formatCode>
                <c:ptCount val="24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100</c:v>
                </c:pt>
                <c:pt idx="8">
                  <c:v>50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250</c:v>
                </c:pt>
                <c:pt idx="20" formatCode="0.0">
                  <c:v>250</c:v>
                </c:pt>
                <c:pt idx="21" formatCode="0.0">
                  <c:v>150</c:v>
                </c:pt>
                <c:pt idx="22" formatCode="0.0">
                  <c:v>125</c:v>
                </c:pt>
                <c:pt idx="23" formatCode="0.0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47B-42E1-AF7C-B58CF51F5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'04'!$AL$23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'04'!$AM$23:$BJ$23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-1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47B-42E1-AF7C-B58CF51F5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'04'!$AL$22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'04'!$AM$22:$BJ$22</c:f>
              <c:numCache>
                <c:formatCode>General</c:formatCode>
                <c:ptCount val="24"/>
                <c:pt idx="0">
                  <c:v>1454.74</c:v>
                </c:pt>
                <c:pt idx="1">
                  <c:v>1421.74</c:v>
                </c:pt>
                <c:pt idx="2">
                  <c:v>1384.74</c:v>
                </c:pt>
                <c:pt idx="3">
                  <c:v>1353.54</c:v>
                </c:pt>
                <c:pt idx="4">
                  <c:v>1356.24</c:v>
                </c:pt>
                <c:pt idx="5">
                  <c:v>1386.74</c:v>
                </c:pt>
                <c:pt idx="6">
                  <c:v>1437.24</c:v>
                </c:pt>
                <c:pt idx="7">
                  <c:v>1574.94</c:v>
                </c:pt>
                <c:pt idx="8">
                  <c:v>1627.7400000000002</c:v>
                </c:pt>
                <c:pt idx="9">
                  <c:v>1581.44</c:v>
                </c:pt>
                <c:pt idx="10">
                  <c:v>1602.14</c:v>
                </c:pt>
                <c:pt idx="11">
                  <c:v>1653.74</c:v>
                </c:pt>
                <c:pt idx="12">
                  <c:v>1619.6399999999999</c:v>
                </c:pt>
                <c:pt idx="13">
                  <c:v>1595.6399999999999</c:v>
                </c:pt>
                <c:pt idx="14">
                  <c:v>1592.0400000000002</c:v>
                </c:pt>
                <c:pt idx="15">
                  <c:v>1572.44</c:v>
                </c:pt>
                <c:pt idx="16">
                  <c:v>1440.6399999999999</c:v>
                </c:pt>
                <c:pt idx="17">
                  <c:v>1468.84</c:v>
                </c:pt>
                <c:pt idx="18">
                  <c:v>1239.9199999999998</c:v>
                </c:pt>
                <c:pt idx="19">
                  <c:v>1684.54</c:v>
                </c:pt>
                <c:pt idx="20">
                  <c:v>1696.4400000000003</c:v>
                </c:pt>
                <c:pt idx="21">
                  <c:v>1572.04</c:v>
                </c:pt>
                <c:pt idx="22">
                  <c:v>1521.44</c:v>
                </c:pt>
                <c:pt idx="23">
                  <c:v>1431.74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147B-42E1-AF7C-B58CF51F5601}"/>
            </c:ext>
          </c:extLst>
        </c:ser>
        <c:ser>
          <c:idx val="8"/>
          <c:order val="8"/>
          <c:tx>
            <c:strRef>
              <c:f>'04'!$AL$24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'04'!$AM$24:$BJ$24</c:f>
              <c:numCache>
                <c:formatCode>General</c:formatCode>
                <c:ptCount val="24"/>
                <c:pt idx="0">
                  <c:v>1454.74</c:v>
                </c:pt>
                <c:pt idx="1">
                  <c:v>1421.74</c:v>
                </c:pt>
                <c:pt idx="2">
                  <c:v>1383.74</c:v>
                </c:pt>
                <c:pt idx="3">
                  <c:v>1353.54</c:v>
                </c:pt>
                <c:pt idx="4">
                  <c:v>1356.24</c:v>
                </c:pt>
                <c:pt idx="5">
                  <c:v>1386.74</c:v>
                </c:pt>
                <c:pt idx="6">
                  <c:v>1437.24</c:v>
                </c:pt>
                <c:pt idx="7">
                  <c:v>1574.94</c:v>
                </c:pt>
                <c:pt idx="8">
                  <c:v>1627.7400000000002</c:v>
                </c:pt>
                <c:pt idx="9">
                  <c:v>1581.44</c:v>
                </c:pt>
                <c:pt idx="10">
                  <c:v>1602.14</c:v>
                </c:pt>
                <c:pt idx="11">
                  <c:v>1653.74</c:v>
                </c:pt>
                <c:pt idx="12">
                  <c:v>1619.6399999999999</c:v>
                </c:pt>
                <c:pt idx="13">
                  <c:v>1595.6399999999999</c:v>
                </c:pt>
                <c:pt idx="14">
                  <c:v>1592.0400000000002</c:v>
                </c:pt>
                <c:pt idx="15">
                  <c:v>1572.44</c:v>
                </c:pt>
                <c:pt idx="16">
                  <c:v>1440.6399999999999</c:v>
                </c:pt>
                <c:pt idx="17">
                  <c:v>1468.84</c:v>
                </c:pt>
                <c:pt idx="18">
                  <c:v>1239.9199999999998</c:v>
                </c:pt>
                <c:pt idx="19">
                  <c:v>1684.54</c:v>
                </c:pt>
                <c:pt idx="20">
                  <c:v>1696.4400000000003</c:v>
                </c:pt>
                <c:pt idx="21">
                  <c:v>1572.04</c:v>
                </c:pt>
                <c:pt idx="22">
                  <c:v>1521.44</c:v>
                </c:pt>
                <c:pt idx="23">
                  <c:v>1431.74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47B-42E1-AF7C-B58CF51F5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D13-45A3-B989-E2871E8B19C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D13-45A3-B989-E2871E8B19C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D13-45A3-B989-E2871E8B19C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D13-45A3-B989-E2871E8B19C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D13-45A3-B989-E2871E8B19C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DD13-45A3-B989-E2871E8B19C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'05'!$AL$16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'05'!$AM$16:$BJ$16</c:f>
              <c:numCache>
                <c:formatCode>General</c:formatCode>
                <c:ptCount val="24"/>
                <c:pt idx="0">
                  <c:v>562.09999999999991</c:v>
                </c:pt>
                <c:pt idx="1">
                  <c:v>562.09999999999991</c:v>
                </c:pt>
                <c:pt idx="2">
                  <c:v>562.09999999999991</c:v>
                </c:pt>
                <c:pt idx="3">
                  <c:v>542.49999999999989</c:v>
                </c:pt>
                <c:pt idx="4">
                  <c:v>562.99999999999989</c:v>
                </c:pt>
                <c:pt idx="5">
                  <c:v>553.99999999999989</c:v>
                </c:pt>
                <c:pt idx="6">
                  <c:v>554.39999999999986</c:v>
                </c:pt>
                <c:pt idx="7">
                  <c:v>548.69999999999993</c:v>
                </c:pt>
                <c:pt idx="8">
                  <c:v>546.69999999999993</c:v>
                </c:pt>
                <c:pt idx="9">
                  <c:v>528.4</c:v>
                </c:pt>
                <c:pt idx="10">
                  <c:v>528.4</c:v>
                </c:pt>
                <c:pt idx="11">
                  <c:v>520.29999999999995</c:v>
                </c:pt>
                <c:pt idx="12">
                  <c:v>520.29999999999995</c:v>
                </c:pt>
                <c:pt idx="13">
                  <c:v>520.29999999999995</c:v>
                </c:pt>
                <c:pt idx="14">
                  <c:v>520.29999999999995</c:v>
                </c:pt>
                <c:pt idx="15">
                  <c:v>519.39999999999986</c:v>
                </c:pt>
                <c:pt idx="16">
                  <c:v>518.39999999999986</c:v>
                </c:pt>
                <c:pt idx="17">
                  <c:v>518.79999999999995</c:v>
                </c:pt>
                <c:pt idx="18" formatCode="0.0">
                  <c:v>520.59999999999991</c:v>
                </c:pt>
                <c:pt idx="19" formatCode="0.0">
                  <c:v>526.29999999999995</c:v>
                </c:pt>
                <c:pt idx="20" formatCode="0.0">
                  <c:v>530.59999999999991</c:v>
                </c:pt>
                <c:pt idx="21" formatCode="0.0">
                  <c:v>530.09999999999991</c:v>
                </c:pt>
                <c:pt idx="22" formatCode="0.0">
                  <c:v>550.89999999999986</c:v>
                </c:pt>
                <c:pt idx="23" formatCode="0.0">
                  <c:v>550.59999999999991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3-463B-A6F5-4A1348958812}"/>
            </c:ext>
          </c:extLst>
        </c:ser>
        <c:ser>
          <c:idx val="2"/>
          <c:order val="1"/>
          <c:tx>
            <c:strRef>
              <c:f>'05'!$AL$17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'05'!$AM$17:$BJ$17</c:f>
              <c:numCache>
                <c:formatCode>General</c:formatCode>
                <c:ptCount val="24"/>
                <c:pt idx="0">
                  <c:v>154.60000000000002</c:v>
                </c:pt>
                <c:pt idx="1">
                  <c:v>154.60000000000002</c:v>
                </c:pt>
                <c:pt idx="2">
                  <c:v>154.60000000000002</c:v>
                </c:pt>
                <c:pt idx="3">
                  <c:v>154.60000000000002</c:v>
                </c:pt>
                <c:pt idx="4">
                  <c:v>143.30000000000001</c:v>
                </c:pt>
                <c:pt idx="5">
                  <c:v>133.30000000000001</c:v>
                </c:pt>
                <c:pt idx="6">
                  <c:v>197.9</c:v>
                </c:pt>
                <c:pt idx="7">
                  <c:v>48.8</c:v>
                </c:pt>
                <c:pt idx="8">
                  <c:v>46.2</c:v>
                </c:pt>
                <c:pt idx="9">
                  <c:v>44.7</c:v>
                </c:pt>
                <c:pt idx="10">
                  <c:v>48.9</c:v>
                </c:pt>
                <c:pt idx="11">
                  <c:v>51</c:v>
                </c:pt>
                <c:pt idx="12">
                  <c:v>43.8</c:v>
                </c:pt>
                <c:pt idx="13">
                  <c:v>42.8</c:v>
                </c:pt>
                <c:pt idx="14">
                  <c:v>41.4</c:v>
                </c:pt>
                <c:pt idx="15">
                  <c:v>41.4</c:v>
                </c:pt>
                <c:pt idx="16">
                  <c:v>41.4</c:v>
                </c:pt>
                <c:pt idx="17">
                  <c:v>41.4</c:v>
                </c:pt>
                <c:pt idx="18" formatCode="0.0">
                  <c:v>83.4</c:v>
                </c:pt>
                <c:pt idx="19" formatCode="0.0">
                  <c:v>298.3</c:v>
                </c:pt>
                <c:pt idx="20" formatCode="0.0">
                  <c:v>349</c:v>
                </c:pt>
                <c:pt idx="21" formatCode="0.0">
                  <c:v>349</c:v>
                </c:pt>
                <c:pt idx="22" formatCode="0.0">
                  <c:v>251.6</c:v>
                </c:pt>
                <c:pt idx="23" formatCode="0.0">
                  <c:v>267.10000000000002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A3-463B-A6F5-4A1348958812}"/>
            </c:ext>
          </c:extLst>
        </c:ser>
        <c:ser>
          <c:idx val="3"/>
          <c:order val="2"/>
          <c:tx>
            <c:strRef>
              <c:f>'05'!$AL$18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'05'!$AM$18:$BJ$18</c:f>
              <c:numCache>
                <c:formatCode>General</c:formatCode>
                <c:ptCount val="24"/>
                <c:pt idx="0">
                  <c:v>263.24</c:v>
                </c:pt>
                <c:pt idx="1">
                  <c:v>263.24</c:v>
                </c:pt>
                <c:pt idx="2">
                  <c:v>263.24</c:v>
                </c:pt>
                <c:pt idx="3">
                  <c:v>230.33999999999997</c:v>
                </c:pt>
                <c:pt idx="4">
                  <c:v>223.73999999999995</c:v>
                </c:pt>
                <c:pt idx="5">
                  <c:v>237.33999999999995</c:v>
                </c:pt>
                <c:pt idx="6">
                  <c:v>353.24</c:v>
                </c:pt>
                <c:pt idx="7">
                  <c:v>226.23999999999998</c:v>
                </c:pt>
                <c:pt idx="8">
                  <c:v>255.93999999999997</c:v>
                </c:pt>
                <c:pt idx="9">
                  <c:v>281.24000000000007</c:v>
                </c:pt>
                <c:pt idx="10">
                  <c:v>285.54000000000002</c:v>
                </c:pt>
                <c:pt idx="11">
                  <c:v>273.84000000000003</c:v>
                </c:pt>
                <c:pt idx="12">
                  <c:v>296.84000000000003</c:v>
                </c:pt>
                <c:pt idx="13">
                  <c:v>333.6400000000001</c:v>
                </c:pt>
                <c:pt idx="14">
                  <c:v>308.74</c:v>
                </c:pt>
                <c:pt idx="15">
                  <c:v>304.04000000000002</c:v>
                </c:pt>
                <c:pt idx="16">
                  <c:v>242.34</c:v>
                </c:pt>
                <c:pt idx="17">
                  <c:v>213.23999999999998</c:v>
                </c:pt>
                <c:pt idx="18" formatCode="0.0">
                  <c:v>195.74</c:v>
                </c:pt>
                <c:pt idx="19" formatCode="0.0">
                  <c:v>301.86</c:v>
                </c:pt>
                <c:pt idx="20" formatCode="0.0">
                  <c:v>351.84000000000003</c:v>
                </c:pt>
                <c:pt idx="21" formatCode="0.0">
                  <c:v>334.14000000000004</c:v>
                </c:pt>
                <c:pt idx="22" formatCode="0.0">
                  <c:v>309.64</c:v>
                </c:pt>
                <c:pt idx="23" formatCode="0.0">
                  <c:v>305.84000000000003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A3-463B-A6F5-4A1348958812}"/>
            </c:ext>
          </c:extLst>
        </c:ser>
        <c:ser>
          <c:idx val="0"/>
          <c:order val="3"/>
          <c:tx>
            <c:strRef>
              <c:f>'05'!$AL$19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'05'!$AM$19:$BJ$19</c:f>
              <c:numCache>
                <c:formatCode>General</c:formatCode>
                <c:ptCount val="24"/>
                <c:pt idx="0">
                  <c:v>152.19999999999999</c:v>
                </c:pt>
                <c:pt idx="1">
                  <c:v>210</c:v>
                </c:pt>
                <c:pt idx="2">
                  <c:v>219.7</c:v>
                </c:pt>
                <c:pt idx="3">
                  <c:v>228.89999999999998</c:v>
                </c:pt>
                <c:pt idx="4">
                  <c:v>179.89999999999998</c:v>
                </c:pt>
                <c:pt idx="5">
                  <c:v>229.89999999999998</c:v>
                </c:pt>
                <c:pt idx="6">
                  <c:v>180.1</c:v>
                </c:pt>
                <c:pt idx="7">
                  <c:v>583.5</c:v>
                </c:pt>
                <c:pt idx="8">
                  <c:v>659.9</c:v>
                </c:pt>
                <c:pt idx="9">
                  <c:v>708.6</c:v>
                </c:pt>
                <c:pt idx="10">
                  <c:v>750.4</c:v>
                </c:pt>
                <c:pt idx="11">
                  <c:v>739.9</c:v>
                </c:pt>
                <c:pt idx="12">
                  <c:v>752.4</c:v>
                </c:pt>
                <c:pt idx="13">
                  <c:v>741.3</c:v>
                </c:pt>
                <c:pt idx="14">
                  <c:v>770.6</c:v>
                </c:pt>
                <c:pt idx="15">
                  <c:v>806.8</c:v>
                </c:pt>
                <c:pt idx="16">
                  <c:v>823.6</c:v>
                </c:pt>
                <c:pt idx="17">
                  <c:v>785.59999999999991</c:v>
                </c:pt>
                <c:pt idx="18" formatCode="0.0">
                  <c:v>682.3</c:v>
                </c:pt>
                <c:pt idx="19" formatCode="0.0">
                  <c:v>531.30000000000007</c:v>
                </c:pt>
                <c:pt idx="20" formatCode="0.0">
                  <c:v>229.8</c:v>
                </c:pt>
                <c:pt idx="21" formatCode="0.0">
                  <c:v>166.5</c:v>
                </c:pt>
                <c:pt idx="22" formatCode="0.0">
                  <c:v>215.6</c:v>
                </c:pt>
                <c:pt idx="23" formatCode="0.0">
                  <c:v>75.099999999999994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A3-463B-A6F5-4A1348958812}"/>
            </c:ext>
          </c:extLst>
        </c:ser>
        <c:ser>
          <c:idx val="4"/>
          <c:order val="4"/>
          <c:tx>
            <c:strRef>
              <c:f>'05'!$AL$20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'05'!$AM$20:$BJ$20</c:f>
              <c:numCache>
                <c:formatCode>General</c:formatCode>
                <c:ptCount val="24"/>
                <c:pt idx="0">
                  <c:v>97.199999999999989</c:v>
                </c:pt>
                <c:pt idx="1">
                  <c:v>47.8</c:v>
                </c:pt>
                <c:pt idx="2">
                  <c:v>48.5</c:v>
                </c:pt>
                <c:pt idx="3">
                  <c:v>48.5</c:v>
                </c:pt>
                <c:pt idx="4">
                  <c:v>48.5</c:v>
                </c:pt>
                <c:pt idx="5">
                  <c:v>48.5</c:v>
                </c:pt>
                <c:pt idx="6">
                  <c:v>48.5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48.2</c:v>
                </c:pt>
                <c:pt idx="21" formatCode="0.0">
                  <c:v>48.2</c:v>
                </c:pt>
                <c:pt idx="22" formatCode="0.0">
                  <c:v>49</c:v>
                </c:pt>
                <c:pt idx="23" formatCode="0.0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A3-463B-A6F5-4A1348958812}"/>
            </c:ext>
          </c:extLst>
        </c:ser>
        <c:ser>
          <c:idx val="5"/>
          <c:order val="5"/>
          <c:tx>
            <c:strRef>
              <c:f>'05'!$AL$21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'05'!$AM$21:$BJ$21</c:f>
              <c:numCache>
                <c:formatCode>General</c:formatCode>
                <c:ptCount val="24"/>
                <c:pt idx="0">
                  <c:v>125</c:v>
                </c:pt>
                <c:pt idx="1">
                  <c:v>125</c:v>
                </c:pt>
                <c:pt idx="2">
                  <c:v>125</c:v>
                </c:pt>
                <c:pt idx="3">
                  <c:v>125</c:v>
                </c:pt>
                <c:pt idx="4">
                  <c:v>125</c:v>
                </c:pt>
                <c:pt idx="5">
                  <c:v>125</c:v>
                </c:pt>
                <c:pt idx="6">
                  <c:v>125</c:v>
                </c:pt>
                <c:pt idx="7">
                  <c:v>60</c:v>
                </c:pt>
                <c:pt idx="8">
                  <c:v>30</c:v>
                </c:pt>
                <c:pt idx="9">
                  <c:v>30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150</c:v>
                </c:pt>
                <c:pt idx="20" formatCode="0.0">
                  <c:v>280</c:v>
                </c:pt>
                <c:pt idx="21" formatCode="0.0">
                  <c:v>280</c:v>
                </c:pt>
                <c:pt idx="22" formatCode="0.0">
                  <c:v>280</c:v>
                </c:pt>
                <c:pt idx="23" formatCode="0.0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7A3-463B-A6F5-4A1348958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'05'!$AL$23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'05'!$AM$23:$BJ$23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A3-463B-A6F5-4A1348958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'05'!$AL$22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'05'!$AM$22:$BJ$22</c:f>
              <c:numCache>
                <c:formatCode>General</c:formatCode>
                <c:ptCount val="24"/>
                <c:pt idx="0">
                  <c:v>1354.34</c:v>
                </c:pt>
                <c:pt idx="1">
                  <c:v>1362.74</c:v>
                </c:pt>
                <c:pt idx="2">
                  <c:v>1373.1399999999999</c:v>
                </c:pt>
                <c:pt idx="3">
                  <c:v>1329.8399999999997</c:v>
                </c:pt>
                <c:pt idx="4">
                  <c:v>1283.44</c:v>
                </c:pt>
                <c:pt idx="5">
                  <c:v>1328.04</c:v>
                </c:pt>
                <c:pt idx="6">
                  <c:v>1459.1399999999999</c:v>
                </c:pt>
                <c:pt idx="7">
                  <c:v>1467.2399999999998</c:v>
                </c:pt>
                <c:pt idx="8">
                  <c:v>1538.7399999999998</c:v>
                </c:pt>
                <c:pt idx="9">
                  <c:v>1592.94</c:v>
                </c:pt>
                <c:pt idx="10">
                  <c:v>1613.2399999999998</c:v>
                </c:pt>
                <c:pt idx="11">
                  <c:v>1585.04</c:v>
                </c:pt>
                <c:pt idx="12">
                  <c:v>1613.34</c:v>
                </c:pt>
                <c:pt idx="13">
                  <c:v>1638.04</c:v>
                </c:pt>
                <c:pt idx="14">
                  <c:v>1641.04</c:v>
                </c:pt>
                <c:pt idx="15">
                  <c:v>1671.6399999999999</c:v>
                </c:pt>
                <c:pt idx="16">
                  <c:v>1625.7399999999998</c:v>
                </c:pt>
                <c:pt idx="17">
                  <c:v>1559.04</c:v>
                </c:pt>
                <c:pt idx="18">
                  <c:v>1482.04</c:v>
                </c:pt>
                <c:pt idx="19">
                  <c:v>1807.7600000000002</c:v>
                </c:pt>
                <c:pt idx="20">
                  <c:v>1789.44</c:v>
                </c:pt>
                <c:pt idx="21">
                  <c:v>1707.94</c:v>
                </c:pt>
                <c:pt idx="22">
                  <c:v>1656.7399999999998</c:v>
                </c:pt>
                <c:pt idx="23">
                  <c:v>1526.6399999999999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47A3-463B-A6F5-4A1348958812}"/>
            </c:ext>
          </c:extLst>
        </c:ser>
        <c:ser>
          <c:idx val="8"/>
          <c:order val="8"/>
          <c:tx>
            <c:strRef>
              <c:f>'05'!$AL$24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'05'!$AM$24:$BJ$24</c:f>
              <c:numCache>
                <c:formatCode>General</c:formatCode>
                <c:ptCount val="24"/>
                <c:pt idx="0">
                  <c:v>1354.34</c:v>
                </c:pt>
                <c:pt idx="1">
                  <c:v>1362.74</c:v>
                </c:pt>
                <c:pt idx="2">
                  <c:v>1373.1399999999999</c:v>
                </c:pt>
                <c:pt idx="3">
                  <c:v>1329.8399999999997</c:v>
                </c:pt>
                <c:pt idx="4">
                  <c:v>1283.44</c:v>
                </c:pt>
                <c:pt idx="5">
                  <c:v>1328.04</c:v>
                </c:pt>
                <c:pt idx="6">
                  <c:v>1459.1399999999999</c:v>
                </c:pt>
                <c:pt idx="7">
                  <c:v>1467.2399999999998</c:v>
                </c:pt>
                <c:pt idx="8">
                  <c:v>1538.7399999999998</c:v>
                </c:pt>
                <c:pt idx="9">
                  <c:v>1592.94</c:v>
                </c:pt>
                <c:pt idx="10">
                  <c:v>1613.2399999999998</c:v>
                </c:pt>
                <c:pt idx="11">
                  <c:v>1585.04</c:v>
                </c:pt>
                <c:pt idx="12">
                  <c:v>1613.34</c:v>
                </c:pt>
                <c:pt idx="13">
                  <c:v>1638.04</c:v>
                </c:pt>
                <c:pt idx="14">
                  <c:v>1641.04</c:v>
                </c:pt>
                <c:pt idx="15">
                  <c:v>1671.6399999999999</c:v>
                </c:pt>
                <c:pt idx="16">
                  <c:v>1625.7399999999998</c:v>
                </c:pt>
                <c:pt idx="17">
                  <c:v>1559.04</c:v>
                </c:pt>
                <c:pt idx="18">
                  <c:v>1482.04</c:v>
                </c:pt>
                <c:pt idx="19">
                  <c:v>1807.7600000000002</c:v>
                </c:pt>
                <c:pt idx="20">
                  <c:v>1789.44</c:v>
                </c:pt>
                <c:pt idx="21">
                  <c:v>1707.94</c:v>
                </c:pt>
                <c:pt idx="22">
                  <c:v>1656.7399999999998</c:v>
                </c:pt>
                <c:pt idx="23">
                  <c:v>1526.6399999999999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7A3-463B-A6F5-4A1348958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DFE-4E56-9419-6AADF248DB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DFE-4E56-9419-6AADF248DB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DFE-4E56-9419-6AADF248DB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DFE-4E56-9419-6AADF248DB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DFE-4E56-9419-6AADF248DB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5DFE-4E56-9419-6AADF248DB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'06'!$AL$16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'06'!$AM$16:$BJ$16</c:f>
              <c:numCache>
                <c:formatCode>General</c:formatCode>
                <c:ptCount val="24"/>
                <c:pt idx="0">
                  <c:v>550.69999999999993</c:v>
                </c:pt>
                <c:pt idx="1">
                  <c:v>549</c:v>
                </c:pt>
                <c:pt idx="2">
                  <c:v>551.89999999999986</c:v>
                </c:pt>
                <c:pt idx="3">
                  <c:v>551.59999999999991</c:v>
                </c:pt>
                <c:pt idx="4">
                  <c:v>551.59999999999991</c:v>
                </c:pt>
                <c:pt idx="5">
                  <c:v>551.59999999999991</c:v>
                </c:pt>
                <c:pt idx="6">
                  <c:v>551.59999999999991</c:v>
                </c:pt>
                <c:pt idx="7">
                  <c:v>551.59999999999991</c:v>
                </c:pt>
                <c:pt idx="8">
                  <c:v>551.19999999999993</c:v>
                </c:pt>
                <c:pt idx="9">
                  <c:v>150</c:v>
                </c:pt>
                <c:pt idx="10">
                  <c:v>542.89999999999986</c:v>
                </c:pt>
                <c:pt idx="11">
                  <c:v>541.59999999999991</c:v>
                </c:pt>
                <c:pt idx="12">
                  <c:v>543.09999999999991</c:v>
                </c:pt>
                <c:pt idx="13">
                  <c:v>543.09999999999991</c:v>
                </c:pt>
                <c:pt idx="14">
                  <c:v>543.09999999999991</c:v>
                </c:pt>
                <c:pt idx="15">
                  <c:v>543.09999999999991</c:v>
                </c:pt>
                <c:pt idx="16">
                  <c:v>543.09999999999991</c:v>
                </c:pt>
                <c:pt idx="17">
                  <c:v>543.09999999999991</c:v>
                </c:pt>
                <c:pt idx="18" formatCode="0.0">
                  <c:v>543.09999999999991</c:v>
                </c:pt>
                <c:pt idx="19" formatCode="0.0">
                  <c:v>543.09999999999991</c:v>
                </c:pt>
                <c:pt idx="20" formatCode="0.0">
                  <c:v>543.09999999999991</c:v>
                </c:pt>
                <c:pt idx="21" formatCode="0.0">
                  <c:v>543.09999999999991</c:v>
                </c:pt>
                <c:pt idx="22" formatCode="0.0">
                  <c:v>543.09999999999991</c:v>
                </c:pt>
                <c:pt idx="23" formatCode="0.0">
                  <c:v>543.09999999999991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29-49DC-8B89-4C1918D8D388}"/>
            </c:ext>
          </c:extLst>
        </c:ser>
        <c:ser>
          <c:idx val="2"/>
          <c:order val="1"/>
          <c:tx>
            <c:strRef>
              <c:f>'06'!$AL$17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'06'!$AM$17:$BJ$17</c:f>
              <c:numCache>
                <c:formatCode>General</c:formatCode>
                <c:ptCount val="24"/>
                <c:pt idx="0">
                  <c:v>247.7</c:v>
                </c:pt>
                <c:pt idx="1">
                  <c:v>245.70000000000002</c:v>
                </c:pt>
                <c:pt idx="2">
                  <c:v>246.6</c:v>
                </c:pt>
                <c:pt idx="3">
                  <c:v>215.39999999999998</c:v>
                </c:pt>
                <c:pt idx="4">
                  <c:v>212.5</c:v>
                </c:pt>
                <c:pt idx="5">
                  <c:v>221.3</c:v>
                </c:pt>
                <c:pt idx="6">
                  <c:v>320.3</c:v>
                </c:pt>
                <c:pt idx="7">
                  <c:v>41.8</c:v>
                </c:pt>
                <c:pt idx="8">
                  <c:v>44.400000000000006</c:v>
                </c:pt>
                <c:pt idx="9">
                  <c:v>0</c:v>
                </c:pt>
                <c:pt idx="10">
                  <c:v>44.400000000000006</c:v>
                </c:pt>
                <c:pt idx="11">
                  <c:v>44.400000000000006</c:v>
                </c:pt>
                <c:pt idx="12">
                  <c:v>38.799999999999997</c:v>
                </c:pt>
                <c:pt idx="13">
                  <c:v>38.799999999999997</c:v>
                </c:pt>
                <c:pt idx="14">
                  <c:v>38.799999999999997</c:v>
                </c:pt>
                <c:pt idx="15">
                  <c:v>38.799999999999997</c:v>
                </c:pt>
                <c:pt idx="16">
                  <c:v>38.799999999999997</c:v>
                </c:pt>
                <c:pt idx="17">
                  <c:v>38.799999999999997</c:v>
                </c:pt>
                <c:pt idx="18" formatCode="0.0">
                  <c:v>38.799999999999997</c:v>
                </c:pt>
                <c:pt idx="19" formatCode="0.0">
                  <c:v>428.6</c:v>
                </c:pt>
                <c:pt idx="20" formatCode="0.0">
                  <c:v>415.2</c:v>
                </c:pt>
                <c:pt idx="21" formatCode="0.0">
                  <c:v>363.2</c:v>
                </c:pt>
                <c:pt idx="22" formatCode="0.0">
                  <c:v>270.7</c:v>
                </c:pt>
                <c:pt idx="23" formatCode="0.0">
                  <c:v>270.7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29-49DC-8B89-4C1918D8D388}"/>
            </c:ext>
          </c:extLst>
        </c:ser>
        <c:ser>
          <c:idx val="3"/>
          <c:order val="2"/>
          <c:tx>
            <c:strRef>
              <c:f>'06'!$AL$18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'06'!$AM$18:$BJ$18</c:f>
              <c:numCache>
                <c:formatCode>General</c:formatCode>
                <c:ptCount val="24"/>
                <c:pt idx="0">
                  <c:v>315.74</c:v>
                </c:pt>
                <c:pt idx="1">
                  <c:v>233.94</c:v>
                </c:pt>
                <c:pt idx="2">
                  <c:v>209.54000000000002</c:v>
                </c:pt>
                <c:pt idx="3">
                  <c:v>201.84000000000003</c:v>
                </c:pt>
                <c:pt idx="4">
                  <c:v>201.54000000000002</c:v>
                </c:pt>
                <c:pt idx="5">
                  <c:v>227.64000000000001</c:v>
                </c:pt>
                <c:pt idx="6">
                  <c:v>244.23999999999998</c:v>
                </c:pt>
                <c:pt idx="7">
                  <c:v>276.64</c:v>
                </c:pt>
                <c:pt idx="8">
                  <c:v>250.34</c:v>
                </c:pt>
                <c:pt idx="9">
                  <c:v>3.54</c:v>
                </c:pt>
                <c:pt idx="10">
                  <c:v>284.74</c:v>
                </c:pt>
                <c:pt idx="11">
                  <c:v>300.34000000000003</c:v>
                </c:pt>
                <c:pt idx="12">
                  <c:v>299.04000000000002</c:v>
                </c:pt>
                <c:pt idx="13">
                  <c:v>0</c:v>
                </c:pt>
                <c:pt idx="14">
                  <c:v>205.14000000000001</c:v>
                </c:pt>
                <c:pt idx="15">
                  <c:v>203.84</c:v>
                </c:pt>
                <c:pt idx="16">
                  <c:v>227.44000000000003</c:v>
                </c:pt>
                <c:pt idx="17">
                  <c:v>225.04000000000002</c:v>
                </c:pt>
                <c:pt idx="18" formatCode="0.0">
                  <c:v>241.44</c:v>
                </c:pt>
                <c:pt idx="19" formatCode="0.0">
                  <c:v>399.9</c:v>
                </c:pt>
                <c:pt idx="20" formatCode="0.0">
                  <c:v>351.54</c:v>
                </c:pt>
                <c:pt idx="21" formatCode="0.0">
                  <c:v>337.34000000000003</c:v>
                </c:pt>
                <c:pt idx="22" formatCode="0.0">
                  <c:v>381.84000000000009</c:v>
                </c:pt>
                <c:pt idx="23" formatCode="0.0">
                  <c:v>336.04000000000008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29-49DC-8B89-4C1918D8D388}"/>
            </c:ext>
          </c:extLst>
        </c:ser>
        <c:ser>
          <c:idx val="0"/>
          <c:order val="3"/>
          <c:tx>
            <c:strRef>
              <c:f>'06'!$AL$19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'06'!$AM$19:$BJ$19</c:f>
              <c:numCache>
                <c:formatCode>General</c:formatCode>
                <c:ptCount val="24"/>
                <c:pt idx="0">
                  <c:v>82.4</c:v>
                </c:pt>
                <c:pt idx="1">
                  <c:v>67.400000000000006</c:v>
                </c:pt>
                <c:pt idx="2">
                  <c:v>62.600000000000009</c:v>
                </c:pt>
                <c:pt idx="3">
                  <c:v>56</c:v>
                </c:pt>
                <c:pt idx="4">
                  <c:v>58.5</c:v>
                </c:pt>
                <c:pt idx="5">
                  <c:v>58.399999999999991</c:v>
                </c:pt>
                <c:pt idx="6">
                  <c:v>46.599999999999994</c:v>
                </c:pt>
                <c:pt idx="7">
                  <c:v>622</c:v>
                </c:pt>
                <c:pt idx="8">
                  <c:v>735</c:v>
                </c:pt>
                <c:pt idx="9">
                  <c:v>0</c:v>
                </c:pt>
                <c:pt idx="10">
                  <c:v>685.3</c:v>
                </c:pt>
                <c:pt idx="11">
                  <c:v>698.69999999999993</c:v>
                </c:pt>
                <c:pt idx="12">
                  <c:v>699.59999999999991</c:v>
                </c:pt>
                <c:pt idx="13">
                  <c:v>685.09999999999991</c:v>
                </c:pt>
                <c:pt idx="14">
                  <c:v>806.80000000000007</c:v>
                </c:pt>
                <c:pt idx="15">
                  <c:v>819.40000000000009</c:v>
                </c:pt>
                <c:pt idx="16">
                  <c:v>781.1</c:v>
                </c:pt>
                <c:pt idx="17">
                  <c:v>754.43</c:v>
                </c:pt>
                <c:pt idx="18" formatCode="0.0">
                  <c:v>611.9</c:v>
                </c:pt>
                <c:pt idx="19" formatCode="0.0">
                  <c:v>123.8</c:v>
                </c:pt>
                <c:pt idx="20" formatCode="0.0">
                  <c:v>87.5</c:v>
                </c:pt>
                <c:pt idx="21" formatCode="0.0">
                  <c:v>69.3</c:v>
                </c:pt>
                <c:pt idx="22" formatCode="0.0">
                  <c:v>73.099999999999994</c:v>
                </c:pt>
                <c:pt idx="23" formatCode="0.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29-49DC-8B89-4C1918D8D388}"/>
            </c:ext>
          </c:extLst>
        </c:ser>
        <c:ser>
          <c:idx val="4"/>
          <c:order val="4"/>
          <c:tx>
            <c:strRef>
              <c:f>'06'!$AL$20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'06'!$AM$20:$BJ$20</c:f>
              <c:numCache>
                <c:formatCode>General</c:formatCode>
                <c:ptCount val="24"/>
                <c:pt idx="0">
                  <c:v>33.9</c:v>
                </c:pt>
                <c:pt idx="1">
                  <c:v>80.8</c:v>
                </c:pt>
                <c:pt idx="2">
                  <c:v>74.2</c:v>
                </c:pt>
                <c:pt idx="3">
                  <c:v>79.800000000000011</c:v>
                </c:pt>
                <c:pt idx="4">
                  <c:v>70.599999999999994</c:v>
                </c:pt>
                <c:pt idx="5">
                  <c:v>69</c:v>
                </c:pt>
                <c:pt idx="6">
                  <c:v>69.900000000000006</c:v>
                </c:pt>
                <c:pt idx="7">
                  <c:v>35.700000000000003</c:v>
                </c:pt>
                <c:pt idx="8">
                  <c:v>19.900000000000002</c:v>
                </c:pt>
                <c:pt idx="9">
                  <c:v>0</c:v>
                </c:pt>
                <c:pt idx="10">
                  <c:v>21.700000000000003</c:v>
                </c:pt>
                <c:pt idx="11">
                  <c:v>32.4</c:v>
                </c:pt>
                <c:pt idx="12">
                  <c:v>47.899999999999991</c:v>
                </c:pt>
                <c:pt idx="13">
                  <c:v>42.4</c:v>
                </c:pt>
                <c:pt idx="14">
                  <c:v>69.400000000000006</c:v>
                </c:pt>
                <c:pt idx="15">
                  <c:v>97.1</c:v>
                </c:pt>
                <c:pt idx="16">
                  <c:v>84.300000000000011</c:v>
                </c:pt>
                <c:pt idx="17">
                  <c:v>44.8</c:v>
                </c:pt>
                <c:pt idx="18" formatCode="0.0">
                  <c:v>21.7</c:v>
                </c:pt>
                <c:pt idx="19" formatCode="0.0">
                  <c:v>87</c:v>
                </c:pt>
                <c:pt idx="20" formatCode="0.0">
                  <c:v>97</c:v>
                </c:pt>
                <c:pt idx="21" formatCode="0.0">
                  <c:v>81.600000000000009</c:v>
                </c:pt>
                <c:pt idx="22" formatCode="0.0">
                  <c:v>92.3</c:v>
                </c:pt>
                <c:pt idx="23" formatCode="0.0">
                  <c:v>92.3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29-49DC-8B89-4C1918D8D388}"/>
            </c:ext>
          </c:extLst>
        </c:ser>
        <c:ser>
          <c:idx val="5"/>
          <c:order val="5"/>
          <c:tx>
            <c:strRef>
              <c:f>'06'!$AL$21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'06'!$AM$21:$BJ$21</c:f>
              <c:numCache>
                <c:formatCode>General</c:formatCode>
                <c:ptCount val="24"/>
                <c:pt idx="0">
                  <c:v>280</c:v>
                </c:pt>
                <c:pt idx="1">
                  <c:v>280</c:v>
                </c:pt>
                <c:pt idx="2">
                  <c:v>280</c:v>
                </c:pt>
                <c:pt idx="3">
                  <c:v>280</c:v>
                </c:pt>
                <c:pt idx="4">
                  <c:v>280</c:v>
                </c:pt>
                <c:pt idx="5">
                  <c:v>280</c:v>
                </c:pt>
                <c:pt idx="6">
                  <c:v>230</c:v>
                </c:pt>
                <c:pt idx="7">
                  <c:v>40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 formatCode="0.0">
                  <c:v>0</c:v>
                </c:pt>
                <c:pt idx="19" formatCode="0.0">
                  <c:v>250</c:v>
                </c:pt>
                <c:pt idx="20" formatCode="0.0">
                  <c:v>250</c:v>
                </c:pt>
                <c:pt idx="21" formatCode="0.0">
                  <c:v>250</c:v>
                </c:pt>
                <c:pt idx="22" formatCode="0.0">
                  <c:v>251</c:v>
                </c:pt>
                <c:pt idx="23" formatCode="0.0">
                  <c:v>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29-49DC-8B89-4C1918D8D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'06'!$AL$23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'06'!$AM$23:$BJ$23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29-49DC-8B89-4C1918D8D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'06'!$AL$22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'06'!$AM$22:$BJ$22</c:f>
              <c:numCache>
                <c:formatCode>General</c:formatCode>
                <c:ptCount val="24"/>
                <c:pt idx="0">
                  <c:v>1510.44</c:v>
                </c:pt>
                <c:pt idx="1">
                  <c:v>1456.8400000000001</c:v>
                </c:pt>
                <c:pt idx="2">
                  <c:v>1424.84</c:v>
                </c:pt>
                <c:pt idx="3">
                  <c:v>1384.6399999999999</c:v>
                </c:pt>
                <c:pt idx="4">
                  <c:v>1374.7399999999998</c:v>
                </c:pt>
                <c:pt idx="5">
                  <c:v>1407.9399999999998</c:v>
                </c:pt>
                <c:pt idx="6">
                  <c:v>1462.6399999999999</c:v>
                </c:pt>
                <c:pt idx="7">
                  <c:v>1567.74</c:v>
                </c:pt>
                <c:pt idx="8">
                  <c:v>1600.8400000000001</c:v>
                </c:pt>
                <c:pt idx="9">
                  <c:v>153.54</c:v>
                </c:pt>
                <c:pt idx="10">
                  <c:v>1579.0399999999997</c:v>
                </c:pt>
                <c:pt idx="11">
                  <c:v>1617.44</c:v>
                </c:pt>
                <c:pt idx="12">
                  <c:v>1638.4399999999998</c:v>
                </c:pt>
                <c:pt idx="13">
                  <c:v>1319.3999999999999</c:v>
                </c:pt>
                <c:pt idx="14">
                  <c:v>1673.24</c:v>
                </c:pt>
                <c:pt idx="15">
                  <c:v>1712.2399999999998</c:v>
                </c:pt>
                <c:pt idx="16">
                  <c:v>1684.74</c:v>
                </c:pt>
                <c:pt idx="17">
                  <c:v>1616.1699999999998</c:v>
                </c:pt>
                <c:pt idx="18">
                  <c:v>1456.9399999999998</c:v>
                </c:pt>
                <c:pt idx="19">
                  <c:v>1832.3999999999999</c:v>
                </c:pt>
                <c:pt idx="20">
                  <c:v>1744.34</c:v>
                </c:pt>
                <c:pt idx="21">
                  <c:v>1644.5399999999997</c:v>
                </c:pt>
                <c:pt idx="22">
                  <c:v>1612.04</c:v>
                </c:pt>
                <c:pt idx="23">
                  <c:v>1566.14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C029-49DC-8B89-4C1918D8D388}"/>
            </c:ext>
          </c:extLst>
        </c:ser>
        <c:ser>
          <c:idx val="8"/>
          <c:order val="8"/>
          <c:tx>
            <c:strRef>
              <c:f>'06'!$AL$24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'06'!$AM$24:$BJ$24</c:f>
              <c:numCache>
                <c:formatCode>General</c:formatCode>
                <c:ptCount val="24"/>
                <c:pt idx="0">
                  <c:v>1510.44</c:v>
                </c:pt>
                <c:pt idx="1">
                  <c:v>1456.8400000000001</c:v>
                </c:pt>
                <c:pt idx="2">
                  <c:v>1424.84</c:v>
                </c:pt>
                <c:pt idx="3">
                  <c:v>1384.6399999999999</c:v>
                </c:pt>
                <c:pt idx="4">
                  <c:v>1374.7399999999998</c:v>
                </c:pt>
                <c:pt idx="5">
                  <c:v>1407.9399999999998</c:v>
                </c:pt>
                <c:pt idx="6">
                  <c:v>1462.6399999999999</c:v>
                </c:pt>
                <c:pt idx="7">
                  <c:v>1567.74</c:v>
                </c:pt>
                <c:pt idx="8">
                  <c:v>1600.8400000000001</c:v>
                </c:pt>
                <c:pt idx="9">
                  <c:v>153.54</c:v>
                </c:pt>
                <c:pt idx="10">
                  <c:v>1579.0399999999997</c:v>
                </c:pt>
                <c:pt idx="11">
                  <c:v>1617.44</c:v>
                </c:pt>
                <c:pt idx="12">
                  <c:v>1638.4399999999998</c:v>
                </c:pt>
                <c:pt idx="13">
                  <c:v>1319.3999999999999</c:v>
                </c:pt>
                <c:pt idx="14">
                  <c:v>1673.24</c:v>
                </c:pt>
                <c:pt idx="15">
                  <c:v>1712.2399999999998</c:v>
                </c:pt>
                <c:pt idx="16">
                  <c:v>1684.74</c:v>
                </c:pt>
                <c:pt idx="17">
                  <c:v>1615.1699999999998</c:v>
                </c:pt>
                <c:pt idx="18">
                  <c:v>1456.9399999999998</c:v>
                </c:pt>
                <c:pt idx="19">
                  <c:v>1832.3999999999999</c:v>
                </c:pt>
                <c:pt idx="20">
                  <c:v>1744.34</c:v>
                </c:pt>
                <c:pt idx="21">
                  <c:v>1644.5399999999997</c:v>
                </c:pt>
                <c:pt idx="22">
                  <c:v>1612.04</c:v>
                </c:pt>
                <c:pt idx="23">
                  <c:v>1566.14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029-49DC-8B89-4C1918D8D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A90-4380-BCF4-125CAD3A16B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A90-4380-BCF4-125CAD3A16B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A90-4380-BCF4-125CAD3A16B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A90-4380-BCF4-125CAD3A16B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A90-4380-BCF4-125CAD3A16B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1A90-4380-BCF4-125CAD3A16B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'07'!$AL$16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'07'!$AM$16:$BJ$16</c:f>
              <c:numCache>
                <c:formatCode>General</c:formatCode>
                <c:ptCount val="24"/>
                <c:pt idx="0">
                  <c:v>543.09999999999991</c:v>
                </c:pt>
                <c:pt idx="1">
                  <c:v>543.09999999999991</c:v>
                </c:pt>
                <c:pt idx="2">
                  <c:v>543.09999999999991</c:v>
                </c:pt>
                <c:pt idx="3">
                  <c:v>543.09999999999991</c:v>
                </c:pt>
                <c:pt idx="4">
                  <c:v>543.09999999999991</c:v>
                </c:pt>
                <c:pt idx="5">
                  <c:v>543.09999999999991</c:v>
                </c:pt>
                <c:pt idx="6">
                  <c:v>543.09999999999991</c:v>
                </c:pt>
                <c:pt idx="7">
                  <c:v>543.09999999999991</c:v>
                </c:pt>
                <c:pt idx="8">
                  <c:v>539.69999999999993</c:v>
                </c:pt>
                <c:pt idx="9">
                  <c:v>539.19999999999993</c:v>
                </c:pt>
                <c:pt idx="10">
                  <c:v>539.19999999999993</c:v>
                </c:pt>
                <c:pt idx="11">
                  <c:v>538.5</c:v>
                </c:pt>
                <c:pt idx="12">
                  <c:v>504.59999999999991</c:v>
                </c:pt>
                <c:pt idx="13">
                  <c:v>504.59999999999991</c:v>
                </c:pt>
                <c:pt idx="14">
                  <c:v>498.99999999999989</c:v>
                </c:pt>
                <c:pt idx="15">
                  <c:v>504.59999999999991</c:v>
                </c:pt>
                <c:pt idx="16">
                  <c:v>504.59999999999991</c:v>
                </c:pt>
                <c:pt idx="17">
                  <c:v>504.59999999999991</c:v>
                </c:pt>
                <c:pt idx="18" formatCode="0.0">
                  <c:v>504.59999999999991</c:v>
                </c:pt>
                <c:pt idx="19" formatCode="0.0">
                  <c:v>532.09999999999991</c:v>
                </c:pt>
                <c:pt idx="20" formatCode="0.0">
                  <c:v>550.5</c:v>
                </c:pt>
                <c:pt idx="21" formatCode="0.0">
                  <c:v>553.70000000000005</c:v>
                </c:pt>
                <c:pt idx="22" formatCode="0.0">
                  <c:v>552.59999999999991</c:v>
                </c:pt>
                <c:pt idx="23" formatCode="0.0">
                  <c:v>551.89999999999986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2C-431B-8B22-29CDA683E0A7}"/>
            </c:ext>
          </c:extLst>
        </c:ser>
        <c:ser>
          <c:idx val="2"/>
          <c:order val="1"/>
          <c:tx>
            <c:strRef>
              <c:f>'07'!$AL$17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'07'!$AM$17:$BJ$17</c:f>
              <c:numCache>
                <c:formatCode>General</c:formatCode>
                <c:ptCount val="24"/>
                <c:pt idx="0">
                  <c:v>191.6</c:v>
                </c:pt>
                <c:pt idx="1">
                  <c:v>122.19999999999999</c:v>
                </c:pt>
                <c:pt idx="2">
                  <c:v>91.9</c:v>
                </c:pt>
                <c:pt idx="3">
                  <c:v>134.9</c:v>
                </c:pt>
                <c:pt idx="4">
                  <c:v>121.7</c:v>
                </c:pt>
                <c:pt idx="5">
                  <c:v>202.60000000000002</c:v>
                </c:pt>
                <c:pt idx="6">
                  <c:v>348.3</c:v>
                </c:pt>
                <c:pt idx="7">
                  <c:v>41.1</c:v>
                </c:pt>
                <c:pt idx="8">
                  <c:v>42.150000000000006</c:v>
                </c:pt>
                <c:pt idx="9">
                  <c:v>42.3</c:v>
                </c:pt>
                <c:pt idx="10">
                  <c:v>42.3</c:v>
                </c:pt>
                <c:pt idx="11">
                  <c:v>42.400000000000006</c:v>
                </c:pt>
                <c:pt idx="12">
                  <c:v>37.9</c:v>
                </c:pt>
                <c:pt idx="13">
                  <c:v>37.4</c:v>
                </c:pt>
                <c:pt idx="14">
                  <c:v>37.4</c:v>
                </c:pt>
                <c:pt idx="15">
                  <c:v>37.4</c:v>
                </c:pt>
                <c:pt idx="16">
                  <c:v>37.4</c:v>
                </c:pt>
                <c:pt idx="17">
                  <c:v>37.4</c:v>
                </c:pt>
                <c:pt idx="18" formatCode="0.0">
                  <c:v>37.4</c:v>
                </c:pt>
                <c:pt idx="19" formatCode="0.0">
                  <c:v>494.5</c:v>
                </c:pt>
                <c:pt idx="20" formatCode="0.0">
                  <c:v>446.9</c:v>
                </c:pt>
                <c:pt idx="21" formatCode="0.0">
                  <c:v>383.4</c:v>
                </c:pt>
                <c:pt idx="22" formatCode="0.0">
                  <c:v>335.79999999999995</c:v>
                </c:pt>
                <c:pt idx="23" formatCode="0.0">
                  <c:v>264.89999999999998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2C-431B-8B22-29CDA683E0A7}"/>
            </c:ext>
          </c:extLst>
        </c:ser>
        <c:ser>
          <c:idx val="3"/>
          <c:order val="2"/>
          <c:tx>
            <c:strRef>
              <c:f>'07'!$AL$18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'07'!$AM$18:$BJ$18</c:f>
              <c:numCache>
                <c:formatCode>General</c:formatCode>
                <c:ptCount val="24"/>
                <c:pt idx="0">
                  <c:v>310.44000000000005</c:v>
                </c:pt>
                <c:pt idx="1">
                  <c:v>276.74000000000007</c:v>
                </c:pt>
                <c:pt idx="2">
                  <c:v>271.73999999999995</c:v>
                </c:pt>
                <c:pt idx="3">
                  <c:v>233.14</c:v>
                </c:pt>
                <c:pt idx="4">
                  <c:v>221.44</c:v>
                </c:pt>
                <c:pt idx="5">
                  <c:v>232.64</c:v>
                </c:pt>
                <c:pt idx="6">
                  <c:v>239.64</c:v>
                </c:pt>
                <c:pt idx="7">
                  <c:v>304.14000000000004</c:v>
                </c:pt>
                <c:pt idx="8">
                  <c:v>277.44000000000005</c:v>
                </c:pt>
                <c:pt idx="9">
                  <c:v>254.34</c:v>
                </c:pt>
                <c:pt idx="10">
                  <c:v>276.14000000000004</c:v>
                </c:pt>
                <c:pt idx="11">
                  <c:v>294.04000000000002</c:v>
                </c:pt>
                <c:pt idx="12">
                  <c:v>265.54000000000002</c:v>
                </c:pt>
                <c:pt idx="13">
                  <c:v>278.44</c:v>
                </c:pt>
                <c:pt idx="14">
                  <c:v>245.54000000000002</c:v>
                </c:pt>
                <c:pt idx="15">
                  <c:v>228.84</c:v>
                </c:pt>
                <c:pt idx="16">
                  <c:v>222.34</c:v>
                </c:pt>
                <c:pt idx="17">
                  <c:v>199.23999999999998</c:v>
                </c:pt>
                <c:pt idx="18" formatCode="0.0">
                  <c:v>175.64</c:v>
                </c:pt>
                <c:pt idx="19" formatCode="0.0">
                  <c:v>379.7</c:v>
                </c:pt>
                <c:pt idx="20" formatCode="0.0">
                  <c:v>376.44</c:v>
                </c:pt>
                <c:pt idx="21" formatCode="0.0">
                  <c:v>377.94</c:v>
                </c:pt>
                <c:pt idx="22" formatCode="0.0">
                  <c:v>353.54</c:v>
                </c:pt>
                <c:pt idx="23" formatCode="0.0">
                  <c:v>337.73999999999995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2C-431B-8B22-29CDA683E0A7}"/>
            </c:ext>
          </c:extLst>
        </c:ser>
        <c:ser>
          <c:idx val="0"/>
          <c:order val="3"/>
          <c:tx>
            <c:strRef>
              <c:f>'07'!$AL$19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'07'!$AM$19:$BJ$19</c:f>
              <c:numCache>
                <c:formatCode>General</c:formatCode>
                <c:ptCount val="24"/>
                <c:pt idx="0">
                  <c:v>62.699999999999996</c:v>
                </c:pt>
                <c:pt idx="1">
                  <c:v>69.099999999999994</c:v>
                </c:pt>
                <c:pt idx="2">
                  <c:v>69.5</c:v>
                </c:pt>
                <c:pt idx="3">
                  <c:v>55.4</c:v>
                </c:pt>
                <c:pt idx="4">
                  <c:v>58.800000000000004</c:v>
                </c:pt>
                <c:pt idx="5">
                  <c:v>55.1</c:v>
                </c:pt>
                <c:pt idx="6">
                  <c:v>67</c:v>
                </c:pt>
                <c:pt idx="7">
                  <c:v>615.30000000000007</c:v>
                </c:pt>
                <c:pt idx="8">
                  <c:v>767</c:v>
                </c:pt>
                <c:pt idx="9">
                  <c:v>804.79999999999984</c:v>
                </c:pt>
                <c:pt idx="10">
                  <c:v>862.4</c:v>
                </c:pt>
                <c:pt idx="11">
                  <c:v>835.80000000000007</c:v>
                </c:pt>
                <c:pt idx="12">
                  <c:v>864.7</c:v>
                </c:pt>
                <c:pt idx="13">
                  <c:v>855.69999999999993</c:v>
                </c:pt>
                <c:pt idx="14">
                  <c:v>803.1</c:v>
                </c:pt>
                <c:pt idx="15">
                  <c:v>703.7</c:v>
                </c:pt>
                <c:pt idx="16">
                  <c:v>750.9</c:v>
                </c:pt>
                <c:pt idx="17">
                  <c:v>704.1</c:v>
                </c:pt>
                <c:pt idx="18" formatCode="0.0">
                  <c:v>605.40000000000009</c:v>
                </c:pt>
                <c:pt idx="19" formatCode="0.0">
                  <c:v>43</c:v>
                </c:pt>
                <c:pt idx="20" formatCode="0.0">
                  <c:v>14.9</c:v>
                </c:pt>
                <c:pt idx="21" formatCode="0.0">
                  <c:v>13.7</c:v>
                </c:pt>
                <c:pt idx="22" formatCode="0.0">
                  <c:v>8.6</c:v>
                </c:pt>
                <c:pt idx="23" formatCode="0.0">
                  <c:v>40.6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2C-431B-8B22-29CDA683E0A7}"/>
            </c:ext>
          </c:extLst>
        </c:ser>
        <c:ser>
          <c:idx val="4"/>
          <c:order val="4"/>
          <c:tx>
            <c:strRef>
              <c:f>'07'!$AL$20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'07'!$AM$20:$BJ$20</c:f>
              <c:numCache>
                <c:formatCode>General</c:formatCode>
                <c:ptCount val="24"/>
                <c:pt idx="0">
                  <c:v>92.3</c:v>
                </c:pt>
                <c:pt idx="1">
                  <c:v>92.3</c:v>
                </c:pt>
                <c:pt idx="2">
                  <c:v>92.3</c:v>
                </c:pt>
                <c:pt idx="3">
                  <c:v>97.2</c:v>
                </c:pt>
                <c:pt idx="4">
                  <c:v>97.2</c:v>
                </c:pt>
                <c:pt idx="5">
                  <c:v>71.2</c:v>
                </c:pt>
                <c:pt idx="6">
                  <c:v>60.9</c:v>
                </c:pt>
                <c:pt idx="7">
                  <c:v>32.300000000000004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15.7</c:v>
                </c:pt>
                <c:pt idx="12">
                  <c:v>47.9</c:v>
                </c:pt>
                <c:pt idx="13">
                  <c:v>20.3</c:v>
                </c:pt>
                <c:pt idx="14">
                  <c:v>36.099999999999994</c:v>
                </c:pt>
                <c:pt idx="15">
                  <c:v>74.699999999999989</c:v>
                </c:pt>
                <c:pt idx="16">
                  <c:v>79.699999999999989</c:v>
                </c:pt>
                <c:pt idx="17">
                  <c:v>99.8</c:v>
                </c:pt>
                <c:pt idx="18" formatCode="0.0">
                  <c:v>16.399999999999999</c:v>
                </c:pt>
                <c:pt idx="19" formatCode="0.0">
                  <c:v>97.899999999999991</c:v>
                </c:pt>
                <c:pt idx="20" formatCode="0.0">
                  <c:v>97.1</c:v>
                </c:pt>
                <c:pt idx="21" formatCode="0.0">
                  <c:v>95.8</c:v>
                </c:pt>
                <c:pt idx="22" formatCode="0.0">
                  <c:v>96.7</c:v>
                </c:pt>
                <c:pt idx="23" formatCode="0.0">
                  <c:v>96.7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2C-431B-8B22-29CDA683E0A7}"/>
            </c:ext>
          </c:extLst>
        </c:ser>
        <c:ser>
          <c:idx val="5"/>
          <c:order val="5"/>
          <c:tx>
            <c:strRef>
              <c:f>'07'!$AL$21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'07'!$AM$21:$BJ$21</c:f>
              <c:numCache>
                <c:formatCode>General</c:formatCode>
                <c:ptCount val="24"/>
                <c:pt idx="0">
                  <c:v>270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280</c:v>
                </c:pt>
                <c:pt idx="6">
                  <c:v>220</c:v>
                </c:pt>
                <c:pt idx="7">
                  <c:v>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200</c:v>
                </c:pt>
                <c:pt idx="19" formatCode="0.0">
                  <c:v>250</c:v>
                </c:pt>
                <c:pt idx="20" formatCode="0.0">
                  <c:v>250</c:v>
                </c:pt>
                <c:pt idx="21" formatCode="0.0">
                  <c:v>250</c:v>
                </c:pt>
                <c:pt idx="22" formatCode="0.0">
                  <c:v>250</c:v>
                </c:pt>
                <c:pt idx="23" formatCode="0.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52C-431B-8B22-29CDA683E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'07'!$AL$23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'07'!$AM$23:$BJ$23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-5</c:v>
                </c:pt>
                <c:pt idx="21">
                  <c:v>0</c:v>
                </c:pt>
                <c:pt idx="22">
                  <c:v>-2.4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2C-431B-8B22-29CDA683E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'07'!$AL$22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'07'!$AM$22:$BJ$22</c:f>
              <c:numCache>
                <c:formatCode>General</c:formatCode>
                <c:ptCount val="24"/>
                <c:pt idx="0">
                  <c:v>1470.1399999999999</c:v>
                </c:pt>
                <c:pt idx="1">
                  <c:v>1403.44</c:v>
                </c:pt>
                <c:pt idx="2">
                  <c:v>1368.5399999999997</c:v>
                </c:pt>
                <c:pt idx="3">
                  <c:v>1363.7399999999998</c:v>
                </c:pt>
                <c:pt idx="4">
                  <c:v>1342.24</c:v>
                </c:pt>
                <c:pt idx="5">
                  <c:v>1384.6399999999999</c:v>
                </c:pt>
                <c:pt idx="6">
                  <c:v>1478.94</c:v>
                </c:pt>
                <c:pt idx="7">
                  <c:v>1565.9399999999998</c:v>
                </c:pt>
                <c:pt idx="8">
                  <c:v>1626.29</c:v>
                </c:pt>
                <c:pt idx="9">
                  <c:v>1640.6399999999999</c:v>
                </c:pt>
                <c:pt idx="10">
                  <c:v>1720.04</c:v>
                </c:pt>
                <c:pt idx="11">
                  <c:v>1726.4400000000003</c:v>
                </c:pt>
                <c:pt idx="12">
                  <c:v>1720.64</c:v>
                </c:pt>
                <c:pt idx="13">
                  <c:v>1696.4399999999998</c:v>
                </c:pt>
                <c:pt idx="14">
                  <c:v>1621.1399999999999</c:v>
                </c:pt>
                <c:pt idx="15">
                  <c:v>1549.24</c:v>
                </c:pt>
                <c:pt idx="16">
                  <c:v>1594.9399999999998</c:v>
                </c:pt>
                <c:pt idx="17">
                  <c:v>1545.1399999999999</c:v>
                </c:pt>
                <c:pt idx="18">
                  <c:v>1539.44</c:v>
                </c:pt>
                <c:pt idx="19">
                  <c:v>1797.2</c:v>
                </c:pt>
                <c:pt idx="20">
                  <c:v>1735.84</c:v>
                </c:pt>
                <c:pt idx="21">
                  <c:v>1674.54</c:v>
                </c:pt>
                <c:pt idx="22">
                  <c:v>1597.2399999999998</c:v>
                </c:pt>
                <c:pt idx="23">
                  <c:v>1541.8399999999997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B52C-431B-8B22-29CDA683E0A7}"/>
            </c:ext>
          </c:extLst>
        </c:ser>
        <c:ser>
          <c:idx val="8"/>
          <c:order val="8"/>
          <c:tx>
            <c:strRef>
              <c:f>'07'!$AL$24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'07'!$AM$24:$BJ$24</c:f>
              <c:numCache>
                <c:formatCode>General</c:formatCode>
                <c:ptCount val="24"/>
                <c:pt idx="0">
                  <c:v>1470.1399999999999</c:v>
                </c:pt>
                <c:pt idx="1">
                  <c:v>1403.44</c:v>
                </c:pt>
                <c:pt idx="2">
                  <c:v>1368.5399999999997</c:v>
                </c:pt>
                <c:pt idx="3">
                  <c:v>1363.7399999999998</c:v>
                </c:pt>
                <c:pt idx="4">
                  <c:v>1342.24</c:v>
                </c:pt>
                <c:pt idx="5">
                  <c:v>1384.6399999999999</c:v>
                </c:pt>
                <c:pt idx="6">
                  <c:v>1478.94</c:v>
                </c:pt>
                <c:pt idx="7">
                  <c:v>1565.9399999999998</c:v>
                </c:pt>
                <c:pt idx="8">
                  <c:v>1626.29</c:v>
                </c:pt>
                <c:pt idx="9">
                  <c:v>1640.6399999999999</c:v>
                </c:pt>
                <c:pt idx="10">
                  <c:v>1720.04</c:v>
                </c:pt>
                <c:pt idx="11">
                  <c:v>1726.4400000000003</c:v>
                </c:pt>
                <c:pt idx="12">
                  <c:v>1720.64</c:v>
                </c:pt>
                <c:pt idx="13">
                  <c:v>1696.4399999999998</c:v>
                </c:pt>
                <c:pt idx="14">
                  <c:v>1621.1399999999999</c:v>
                </c:pt>
                <c:pt idx="15">
                  <c:v>1549.24</c:v>
                </c:pt>
                <c:pt idx="16">
                  <c:v>1594.9399999999998</c:v>
                </c:pt>
                <c:pt idx="17">
                  <c:v>1545.1399999999999</c:v>
                </c:pt>
                <c:pt idx="18">
                  <c:v>1539.44</c:v>
                </c:pt>
                <c:pt idx="19">
                  <c:v>1797.2</c:v>
                </c:pt>
                <c:pt idx="20">
                  <c:v>1730.84</c:v>
                </c:pt>
                <c:pt idx="21">
                  <c:v>1674.54</c:v>
                </c:pt>
                <c:pt idx="22">
                  <c:v>1594.8399999999997</c:v>
                </c:pt>
                <c:pt idx="23">
                  <c:v>1541.8399999999997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52C-431B-8B22-29CDA683E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F45-47BE-9D16-7B181D42AF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F45-47BE-9D16-7B181D42AF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F45-47BE-9D16-7B181D42AF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F45-47BE-9D16-7B181D42AF7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F45-47BE-9D16-7B181D42AF7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DF45-47BE-9D16-7B181D42AF7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'08'!$AL$16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'08'!$AM$16:$BJ$16</c:f>
              <c:numCache>
                <c:formatCode>General</c:formatCode>
                <c:ptCount val="24"/>
                <c:pt idx="0">
                  <c:v>564</c:v>
                </c:pt>
                <c:pt idx="1">
                  <c:v>564</c:v>
                </c:pt>
                <c:pt idx="2">
                  <c:v>564</c:v>
                </c:pt>
                <c:pt idx="3">
                  <c:v>564.20000000000005</c:v>
                </c:pt>
                <c:pt idx="4">
                  <c:v>564.29999999999995</c:v>
                </c:pt>
                <c:pt idx="5">
                  <c:v>564.29999999999995</c:v>
                </c:pt>
                <c:pt idx="6">
                  <c:v>565.29999999999995</c:v>
                </c:pt>
                <c:pt idx="7">
                  <c:v>563.70000000000005</c:v>
                </c:pt>
                <c:pt idx="8">
                  <c:v>551.70000000000005</c:v>
                </c:pt>
                <c:pt idx="9">
                  <c:v>551.70000000000005</c:v>
                </c:pt>
                <c:pt idx="10">
                  <c:v>551.70000000000005</c:v>
                </c:pt>
                <c:pt idx="11">
                  <c:v>551.70000000000005</c:v>
                </c:pt>
                <c:pt idx="12">
                  <c:v>552.1</c:v>
                </c:pt>
                <c:pt idx="13">
                  <c:v>551.5</c:v>
                </c:pt>
                <c:pt idx="14">
                  <c:v>551.5</c:v>
                </c:pt>
                <c:pt idx="15">
                  <c:v>551.5</c:v>
                </c:pt>
                <c:pt idx="16">
                  <c:v>551.5</c:v>
                </c:pt>
                <c:pt idx="17">
                  <c:v>551.5</c:v>
                </c:pt>
                <c:pt idx="18" formatCode="0.0">
                  <c:v>551.5</c:v>
                </c:pt>
                <c:pt idx="19" formatCode="0.0">
                  <c:v>551.5</c:v>
                </c:pt>
                <c:pt idx="20" formatCode="0.0">
                  <c:v>568.90000000000009</c:v>
                </c:pt>
                <c:pt idx="21" formatCode="0.0">
                  <c:v>568.90000000000009</c:v>
                </c:pt>
                <c:pt idx="22" formatCode="0.0">
                  <c:v>568.90000000000009</c:v>
                </c:pt>
                <c:pt idx="23" formatCode="0.0">
                  <c:v>570.5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D1-4527-BAC5-E2F8BB0B8903}"/>
            </c:ext>
          </c:extLst>
        </c:ser>
        <c:ser>
          <c:idx val="2"/>
          <c:order val="1"/>
          <c:tx>
            <c:strRef>
              <c:f>'08'!$AL$17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'08'!$AM$17:$BJ$17</c:f>
              <c:numCache>
                <c:formatCode>General</c:formatCode>
                <c:ptCount val="24"/>
                <c:pt idx="0">
                  <c:v>214.20000000000002</c:v>
                </c:pt>
                <c:pt idx="1">
                  <c:v>144.19999999999999</c:v>
                </c:pt>
                <c:pt idx="2">
                  <c:v>119.80000000000001</c:v>
                </c:pt>
                <c:pt idx="3">
                  <c:v>146.1</c:v>
                </c:pt>
                <c:pt idx="4">
                  <c:v>215.6</c:v>
                </c:pt>
                <c:pt idx="5">
                  <c:v>218.1</c:v>
                </c:pt>
                <c:pt idx="6">
                  <c:v>266.59999999999997</c:v>
                </c:pt>
                <c:pt idx="7">
                  <c:v>45.9</c:v>
                </c:pt>
                <c:pt idx="8">
                  <c:v>44.7</c:v>
                </c:pt>
                <c:pt idx="9">
                  <c:v>44.7</c:v>
                </c:pt>
                <c:pt idx="10">
                  <c:v>44.7</c:v>
                </c:pt>
                <c:pt idx="11">
                  <c:v>46.5</c:v>
                </c:pt>
                <c:pt idx="12">
                  <c:v>46.9</c:v>
                </c:pt>
                <c:pt idx="13">
                  <c:v>44</c:v>
                </c:pt>
                <c:pt idx="14">
                  <c:v>44</c:v>
                </c:pt>
                <c:pt idx="15">
                  <c:v>44</c:v>
                </c:pt>
                <c:pt idx="16">
                  <c:v>44</c:v>
                </c:pt>
                <c:pt idx="17">
                  <c:v>44</c:v>
                </c:pt>
                <c:pt idx="18" formatCode="0.0">
                  <c:v>70.900000000000006</c:v>
                </c:pt>
                <c:pt idx="19" formatCode="0.0">
                  <c:v>498.8</c:v>
                </c:pt>
                <c:pt idx="20" formatCode="0.0">
                  <c:v>424.4</c:v>
                </c:pt>
                <c:pt idx="21" formatCode="0.0">
                  <c:v>356.4</c:v>
                </c:pt>
                <c:pt idx="22" formatCode="0.0">
                  <c:v>285.39999999999998</c:v>
                </c:pt>
                <c:pt idx="23" formatCode="0.0">
                  <c:v>304.89999999999998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D1-4527-BAC5-E2F8BB0B8903}"/>
            </c:ext>
          </c:extLst>
        </c:ser>
        <c:ser>
          <c:idx val="3"/>
          <c:order val="2"/>
          <c:tx>
            <c:strRef>
              <c:f>'08'!$AL$18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'08'!$AM$18:$BJ$18</c:f>
              <c:numCache>
                <c:formatCode>General</c:formatCode>
                <c:ptCount val="24"/>
                <c:pt idx="0">
                  <c:v>311.74</c:v>
                </c:pt>
                <c:pt idx="1">
                  <c:v>311.74</c:v>
                </c:pt>
                <c:pt idx="2">
                  <c:v>301.04000000000002</c:v>
                </c:pt>
                <c:pt idx="3">
                  <c:v>276.04000000000002</c:v>
                </c:pt>
                <c:pt idx="4">
                  <c:v>258.34000000000003</c:v>
                </c:pt>
                <c:pt idx="5">
                  <c:v>257.34000000000003</c:v>
                </c:pt>
                <c:pt idx="6">
                  <c:v>315.84000000000003</c:v>
                </c:pt>
                <c:pt idx="7">
                  <c:v>316.84000000000003</c:v>
                </c:pt>
                <c:pt idx="8">
                  <c:v>351.53999999999996</c:v>
                </c:pt>
                <c:pt idx="9">
                  <c:v>323.64</c:v>
                </c:pt>
                <c:pt idx="10">
                  <c:v>336.64000000000004</c:v>
                </c:pt>
                <c:pt idx="11">
                  <c:v>294.54000000000002</c:v>
                </c:pt>
                <c:pt idx="12">
                  <c:v>275.53999999999996</c:v>
                </c:pt>
                <c:pt idx="13">
                  <c:v>279.44</c:v>
                </c:pt>
                <c:pt idx="14">
                  <c:v>186.84</c:v>
                </c:pt>
                <c:pt idx="15">
                  <c:v>213.14</c:v>
                </c:pt>
                <c:pt idx="16">
                  <c:v>193.94</c:v>
                </c:pt>
                <c:pt idx="17">
                  <c:v>191.84</c:v>
                </c:pt>
                <c:pt idx="18" formatCode="0.0">
                  <c:v>255.74000000000004</c:v>
                </c:pt>
                <c:pt idx="19" formatCode="0.0">
                  <c:v>351.24</c:v>
                </c:pt>
                <c:pt idx="20" formatCode="0.0">
                  <c:v>356.84000000000003</c:v>
                </c:pt>
                <c:pt idx="21" formatCode="0.0">
                  <c:v>346.84000000000009</c:v>
                </c:pt>
                <c:pt idx="22" formatCode="0.0">
                  <c:v>317.94000000000005</c:v>
                </c:pt>
                <c:pt idx="23" formatCode="0.0">
                  <c:v>289.64000000000004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D1-4527-BAC5-E2F8BB0B8903}"/>
            </c:ext>
          </c:extLst>
        </c:ser>
        <c:ser>
          <c:idx val="0"/>
          <c:order val="3"/>
          <c:tx>
            <c:strRef>
              <c:f>'08'!$AL$19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'08'!$AM$19:$BJ$19</c:f>
              <c:numCache>
                <c:formatCode>General</c:formatCode>
                <c:ptCount val="24"/>
                <c:pt idx="0">
                  <c:v>49.4</c:v>
                </c:pt>
                <c:pt idx="1">
                  <c:v>43.1</c:v>
                </c:pt>
                <c:pt idx="2">
                  <c:v>46.6</c:v>
                </c:pt>
                <c:pt idx="3">
                  <c:v>41.6</c:v>
                </c:pt>
                <c:pt idx="4">
                  <c:v>37.300000000000004</c:v>
                </c:pt>
                <c:pt idx="5">
                  <c:v>40.1</c:v>
                </c:pt>
                <c:pt idx="6">
                  <c:v>81.3</c:v>
                </c:pt>
                <c:pt idx="7">
                  <c:v>565</c:v>
                </c:pt>
                <c:pt idx="8">
                  <c:v>593</c:v>
                </c:pt>
                <c:pt idx="9">
                  <c:v>645.29999999999995</c:v>
                </c:pt>
                <c:pt idx="10">
                  <c:v>605.40000000000009</c:v>
                </c:pt>
                <c:pt idx="11">
                  <c:v>617.79999999999995</c:v>
                </c:pt>
                <c:pt idx="12">
                  <c:v>619.9</c:v>
                </c:pt>
                <c:pt idx="13">
                  <c:v>597</c:v>
                </c:pt>
                <c:pt idx="14">
                  <c:v>579.9</c:v>
                </c:pt>
                <c:pt idx="15">
                  <c:v>588</c:v>
                </c:pt>
                <c:pt idx="16">
                  <c:v>600.80000000000007</c:v>
                </c:pt>
                <c:pt idx="17">
                  <c:v>603.79999999999995</c:v>
                </c:pt>
                <c:pt idx="18" formatCode="0.0">
                  <c:v>498.4</c:v>
                </c:pt>
                <c:pt idx="19" formatCode="0.0">
                  <c:v>54.4</c:v>
                </c:pt>
                <c:pt idx="20" formatCode="0.0">
                  <c:v>61.1</c:v>
                </c:pt>
                <c:pt idx="21" formatCode="0.0">
                  <c:v>93.6</c:v>
                </c:pt>
                <c:pt idx="22" formatCode="0.0">
                  <c:v>91</c:v>
                </c:pt>
                <c:pt idx="23" formatCode="0.0">
                  <c:v>123.30000000000001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D1-4527-BAC5-E2F8BB0B8903}"/>
            </c:ext>
          </c:extLst>
        </c:ser>
        <c:ser>
          <c:idx val="4"/>
          <c:order val="4"/>
          <c:tx>
            <c:strRef>
              <c:f>'08'!$AL$20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'08'!$AM$20:$BJ$20</c:f>
              <c:numCache>
                <c:formatCode>General</c:formatCode>
                <c:ptCount val="24"/>
                <c:pt idx="0">
                  <c:v>96.7</c:v>
                </c:pt>
                <c:pt idx="1">
                  <c:v>96.7</c:v>
                </c:pt>
                <c:pt idx="2">
                  <c:v>97.5</c:v>
                </c:pt>
                <c:pt idx="3">
                  <c:v>79.8</c:v>
                </c:pt>
                <c:pt idx="4">
                  <c:v>50.4</c:v>
                </c:pt>
                <c:pt idx="5">
                  <c:v>60.199999999999996</c:v>
                </c:pt>
                <c:pt idx="6">
                  <c:v>70.899999999999991</c:v>
                </c:pt>
                <c:pt idx="7">
                  <c:v>38.700000000000003</c:v>
                </c:pt>
                <c:pt idx="8">
                  <c:v>55</c:v>
                </c:pt>
                <c:pt idx="9">
                  <c:v>0</c:v>
                </c:pt>
                <c:pt idx="10">
                  <c:v>40.1</c:v>
                </c:pt>
                <c:pt idx="11">
                  <c:v>30.5</c:v>
                </c:pt>
                <c:pt idx="12">
                  <c:v>48.1</c:v>
                </c:pt>
                <c:pt idx="13">
                  <c:v>44</c:v>
                </c:pt>
                <c:pt idx="14">
                  <c:v>31</c:v>
                </c:pt>
                <c:pt idx="15">
                  <c:v>19.299999999999997</c:v>
                </c:pt>
                <c:pt idx="16">
                  <c:v>19.299999999999997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78.2</c:v>
                </c:pt>
                <c:pt idx="20" formatCode="0.0">
                  <c:v>96.899999999999991</c:v>
                </c:pt>
                <c:pt idx="21" formatCode="0.0">
                  <c:v>96.9</c:v>
                </c:pt>
                <c:pt idx="22" formatCode="0.0">
                  <c:v>97.1</c:v>
                </c:pt>
                <c:pt idx="23" formatCode="0.0">
                  <c:v>97.899999999999991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D1-4527-BAC5-E2F8BB0B8903}"/>
            </c:ext>
          </c:extLst>
        </c:ser>
        <c:ser>
          <c:idx val="5"/>
          <c:order val="5"/>
          <c:tx>
            <c:strRef>
              <c:f>'08'!$AL$21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'08'!$AM$21:$BJ$21</c:f>
              <c:numCache>
                <c:formatCode>General</c:formatCode>
                <c:ptCount val="24"/>
                <c:pt idx="0">
                  <c:v>260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280</c:v>
                </c:pt>
                <c:pt idx="6">
                  <c:v>200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130</c:v>
                </c:pt>
                <c:pt idx="19" formatCode="0.0">
                  <c:v>200</c:v>
                </c:pt>
                <c:pt idx="20" formatCode="0.0">
                  <c:v>200</c:v>
                </c:pt>
                <c:pt idx="21" formatCode="0.0">
                  <c:v>200</c:v>
                </c:pt>
                <c:pt idx="22" formatCode="0.0">
                  <c:v>180</c:v>
                </c:pt>
                <c:pt idx="23" formatCode="0.0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D1-4527-BAC5-E2F8BB0B8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'08'!$AL$23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'08'!$AM$23:$BJ$23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D1-4527-BAC5-E2F8BB0B8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'08'!$AL$22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'08'!$AM$22:$BJ$22</c:f>
              <c:numCache>
                <c:formatCode>General</c:formatCode>
                <c:ptCount val="24"/>
                <c:pt idx="0">
                  <c:v>1496.0400000000002</c:v>
                </c:pt>
                <c:pt idx="1">
                  <c:v>1459.74</c:v>
                </c:pt>
                <c:pt idx="2">
                  <c:v>1428.9399999999998</c:v>
                </c:pt>
                <c:pt idx="3">
                  <c:v>1407.74</c:v>
                </c:pt>
                <c:pt idx="4">
                  <c:v>1425.94</c:v>
                </c:pt>
                <c:pt idx="5">
                  <c:v>1420.04</c:v>
                </c:pt>
                <c:pt idx="6">
                  <c:v>1499.9399999999998</c:v>
                </c:pt>
                <c:pt idx="7">
                  <c:v>1580.14</c:v>
                </c:pt>
                <c:pt idx="8">
                  <c:v>1645.94</c:v>
                </c:pt>
                <c:pt idx="9">
                  <c:v>1615.3400000000001</c:v>
                </c:pt>
                <c:pt idx="10">
                  <c:v>1628.5400000000002</c:v>
                </c:pt>
                <c:pt idx="11">
                  <c:v>1591.04</c:v>
                </c:pt>
                <c:pt idx="12">
                  <c:v>1542.54</c:v>
                </c:pt>
                <c:pt idx="13">
                  <c:v>1515.94</c:v>
                </c:pt>
                <c:pt idx="14">
                  <c:v>1393.24</c:v>
                </c:pt>
                <c:pt idx="15">
                  <c:v>1415.9399999999998</c:v>
                </c:pt>
                <c:pt idx="16">
                  <c:v>1409.5400000000002</c:v>
                </c:pt>
                <c:pt idx="17">
                  <c:v>1391.1399999999999</c:v>
                </c:pt>
                <c:pt idx="18">
                  <c:v>1506.54</c:v>
                </c:pt>
                <c:pt idx="19">
                  <c:v>1734.14</c:v>
                </c:pt>
                <c:pt idx="20">
                  <c:v>1708.14</c:v>
                </c:pt>
                <c:pt idx="21">
                  <c:v>1662.64</c:v>
                </c:pt>
                <c:pt idx="22">
                  <c:v>1540.3400000000001</c:v>
                </c:pt>
                <c:pt idx="23">
                  <c:v>1566.24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03D1-4527-BAC5-E2F8BB0B8903}"/>
            </c:ext>
          </c:extLst>
        </c:ser>
        <c:ser>
          <c:idx val="8"/>
          <c:order val="8"/>
          <c:tx>
            <c:strRef>
              <c:f>'08'!$AL$24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'08'!$AM$24:$BJ$24</c:f>
              <c:numCache>
                <c:formatCode>General</c:formatCode>
                <c:ptCount val="24"/>
                <c:pt idx="0">
                  <c:v>1496.0400000000002</c:v>
                </c:pt>
                <c:pt idx="1">
                  <c:v>1459.74</c:v>
                </c:pt>
                <c:pt idx="2">
                  <c:v>1428.9399999999998</c:v>
                </c:pt>
                <c:pt idx="3">
                  <c:v>1407.74</c:v>
                </c:pt>
                <c:pt idx="4">
                  <c:v>1425.94</c:v>
                </c:pt>
                <c:pt idx="5">
                  <c:v>1420.04</c:v>
                </c:pt>
                <c:pt idx="6">
                  <c:v>1499.9399999999998</c:v>
                </c:pt>
                <c:pt idx="7">
                  <c:v>1580.14</c:v>
                </c:pt>
                <c:pt idx="8">
                  <c:v>1645.94</c:v>
                </c:pt>
                <c:pt idx="9">
                  <c:v>1615.3400000000001</c:v>
                </c:pt>
                <c:pt idx="10">
                  <c:v>1628.5400000000002</c:v>
                </c:pt>
                <c:pt idx="11">
                  <c:v>1591.04</c:v>
                </c:pt>
                <c:pt idx="12">
                  <c:v>1542.54</c:v>
                </c:pt>
                <c:pt idx="13">
                  <c:v>1515.94</c:v>
                </c:pt>
                <c:pt idx="14">
                  <c:v>1393.24</c:v>
                </c:pt>
                <c:pt idx="15">
                  <c:v>1415.9399999999998</c:v>
                </c:pt>
                <c:pt idx="16">
                  <c:v>1409.5400000000002</c:v>
                </c:pt>
                <c:pt idx="17">
                  <c:v>1391.1399999999999</c:v>
                </c:pt>
                <c:pt idx="18">
                  <c:v>1506.54</c:v>
                </c:pt>
                <c:pt idx="19">
                  <c:v>1734.14</c:v>
                </c:pt>
                <c:pt idx="20">
                  <c:v>1708.14</c:v>
                </c:pt>
                <c:pt idx="21">
                  <c:v>1662.64</c:v>
                </c:pt>
                <c:pt idx="22">
                  <c:v>1540.3400000000001</c:v>
                </c:pt>
                <c:pt idx="23">
                  <c:v>1566.24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3D1-4527-BAC5-E2F8BB0B8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2A6-4F84-9C91-65A34D8423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2A6-4F84-9C91-65A34D8423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2A6-4F84-9C91-65A34D84233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2A6-4F84-9C91-65A34D84233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2A6-4F84-9C91-65A34D84233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62A6-4F84-9C91-65A34D84233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'09'!$AL$16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'09'!$AM$15:$BJ$15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'09'!$AM$16:$BJ$16</c:f>
              <c:numCache>
                <c:formatCode>General</c:formatCode>
                <c:ptCount val="24"/>
                <c:pt idx="0">
                  <c:v>575.09999999999991</c:v>
                </c:pt>
                <c:pt idx="1">
                  <c:v>573.89999999999986</c:v>
                </c:pt>
                <c:pt idx="2">
                  <c:v>573.89999999999986</c:v>
                </c:pt>
                <c:pt idx="3">
                  <c:v>573.89999999999986</c:v>
                </c:pt>
                <c:pt idx="4">
                  <c:v>573.89999999999986</c:v>
                </c:pt>
                <c:pt idx="5">
                  <c:v>573.89999999999986</c:v>
                </c:pt>
                <c:pt idx="6">
                  <c:v>573.89999999999986</c:v>
                </c:pt>
                <c:pt idx="7">
                  <c:v>573.89999999999986</c:v>
                </c:pt>
                <c:pt idx="8">
                  <c:v>573.89999999999986</c:v>
                </c:pt>
                <c:pt idx="9">
                  <c:v>571.59999999999991</c:v>
                </c:pt>
                <c:pt idx="10">
                  <c:v>571.59999999999991</c:v>
                </c:pt>
                <c:pt idx="11">
                  <c:v>574.89999999999986</c:v>
                </c:pt>
                <c:pt idx="12">
                  <c:v>571</c:v>
                </c:pt>
                <c:pt idx="13">
                  <c:v>562.39999999999986</c:v>
                </c:pt>
                <c:pt idx="14">
                  <c:v>562.39999999999986</c:v>
                </c:pt>
                <c:pt idx="15">
                  <c:v>562.39999999999986</c:v>
                </c:pt>
                <c:pt idx="16">
                  <c:v>562.39999999999986</c:v>
                </c:pt>
                <c:pt idx="17">
                  <c:v>562.39999999999986</c:v>
                </c:pt>
                <c:pt idx="18" formatCode="0.0">
                  <c:v>562.39999999999986</c:v>
                </c:pt>
                <c:pt idx="19" formatCode="0.0">
                  <c:v>562.39999999999986</c:v>
                </c:pt>
                <c:pt idx="20" formatCode="0.0">
                  <c:v>563.79999999999995</c:v>
                </c:pt>
                <c:pt idx="21" formatCode="0.0">
                  <c:v>563.79999999999995</c:v>
                </c:pt>
                <c:pt idx="22" formatCode="0.0">
                  <c:v>563.79999999999995</c:v>
                </c:pt>
                <c:pt idx="23" formatCode="0.0">
                  <c:v>563.79999999999995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1F-43E0-8DA3-CFCD488B12D9}"/>
            </c:ext>
          </c:extLst>
        </c:ser>
        <c:ser>
          <c:idx val="2"/>
          <c:order val="1"/>
          <c:tx>
            <c:strRef>
              <c:f>'09'!$AL$17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'09'!$AM$15:$BJ$15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'09'!$AM$17:$BJ$17</c:f>
              <c:numCache>
                <c:formatCode>General</c:formatCode>
                <c:ptCount val="24"/>
                <c:pt idx="0">
                  <c:v>304.10000000000002</c:v>
                </c:pt>
                <c:pt idx="1">
                  <c:v>243.6</c:v>
                </c:pt>
                <c:pt idx="2">
                  <c:v>143.9</c:v>
                </c:pt>
                <c:pt idx="3">
                  <c:v>143.9</c:v>
                </c:pt>
                <c:pt idx="4">
                  <c:v>141.5</c:v>
                </c:pt>
                <c:pt idx="5">
                  <c:v>141.5</c:v>
                </c:pt>
                <c:pt idx="6">
                  <c:v>193.5</c:v>
                </c:pt>
                <c:pt idx="7">
                  <c:v>41.5</c:v>
                </c:pt>
                <c:pt idx="8">
                  <c:v>41.6</c:v>
                </c:pt>
                <c:pt idx="9">
                  <c:v>41.6</c:v>
                </c:pt>
                <c:pt idx="10">
                  <c:v>43.4</c:v>
                </c:pt>
                <c:pt idx="11">
                  <c:v>43.4</c:v>
                </c:pt>
                <c:pt idx="12">
                  <c:v>43.8</c:v>
                </c:pt>
                <c:pt idx="13">
                  <c:v>43.8</c:v>
                </c:pt>
                <c:pt idx="14">
                  <c:v>43.8</c:v>
                </c:pt>
                <c:pt idx="15">
                  <c:v>43.8</c:v>
                </c:pt>
                <c:pt idx="16">
                  <c:v>43.8</c:v>
                </c:pt>
                <c:pt idx="17">
                  <c:v>43.8</c:v>
                </c:pt>
                <c:pt idx="18" formatCode="0.0">
                  <c:v>43.8</c:v>
                </c:pt>
                <c:pt idx="19" formatCode="0.0">
                  <c:v>501.90000000000003</c:v>
                </c:pt>
                <c:pt idx="20" formatCode="0.0">
                  <c:v>477.2</c:v>
                </c:pt>
                <c:pt idx="21" formatCode="0.0">
                  <c:v>416.5</c:v>
                </c:pt>
                <c:pt idx="22" formatCode="0.0">
                  <c:v>273.5</c:v>
                </c:pt>
                <c:pt idx="23" formatCode="0.0">
                  <c:v>243.5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1F-43E0-8DA3-CFCD488B12D9}"/>
            </c:ext>
          </c:extLst>
        </c:ser>
        <c:ser>
          <c:idx val="3"/>
          <c:order val="2"/>
          <c:tx>
            <c:strRef>
              <c:f>'09'!$AL$18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'09'!$AM$15:$BJ$15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'09'!$AM$18:$BJ$18</c:f>
              <c:numCache>
                <c:formatCode>General</c:formatCode>
                <c:ptCount val="24"/>
                <c:pt idx="0">
                  <c:v>281.14000000000004</c:v>
                </c:pt>
                <c:pt idx="1">
                  <c:v>260.64000000000004</c:v>
                </c:pt>
                <c:pt idx="2">
                  <c:v>251.64000000000001</c:v>
                </c:pt>
                <c:pt idx="3">
                  <c:v>275.84000000000003</c:v>
                </c:pt>
                <c:pt idx="4">
                  <c:v>276.44</c:v>
                </c:pt>
                <c:pt idx="5">
                  <c:v>276.44</c:v>
                </c:pt>
                <c:pt idx="6">
                  <c:v>344.64</c:v>
                </c:pt>
                <c:pt idx="7">
                  <c:v>345.74000000000007</c:v>
                </c:pt>
                <c:pt idx="8">
                  <c:v>342.84</c:v>
                </c:pt>
                <c:pt idx="9">
                  <c:v>269.44</c:v>
                </c:pt>
                <c:pt idx="10">
                  <c:v>278.04000000000008</c:v>
                </c:pt>
                <c:pt idx="11">
                  <c:v>286.54000000000002</c:v>
                </c:pt>
                <c:pt idx="12">
                  <c:v>252.33999999999997</c:v>
                </c:pt>
                <c:pt idx="13">
                  <c:v>270.74</c:v>
                </c:pt>
                <c:pt idx="14">
                  <c:v>244.84</c:v>
                </c:pt>
                <c:pt idx="15">
                  <c:v>252.43999999999997</c:v>
                </c:pt>
                <c:pt idx="16">
                  <c:v>252.04</c:v>
                </c:pt>
                <c:pt idx="17">
                  <c:v>253.23999999999998</c:v>
                </c:pt>
                <c:pt idx="18" formatCode="0.0">
                  <c:v>314.94000000000005</c:v>
                </c:pt>
                <c:pt idx="19" formatCode="0.0">
                  <c:v>387.74000000000007</c:v>
                </c:pt>
                <c:pt idx="20" formatCode="0.0">
                  <c:v>380.04</c:v>
                </c:pt>
                <c:pt idx="21" formatCode="0.0">
                  <c:v>380.04</c:v>
                </c:pt>
                <c:pt idx="22" formatCode="0.0">
                  <c:v>380.04</c:v>
                </c:pt>
                <c:pt idx="23" formatCode="0.0">
                  <c:v>343.34000000000003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1F-43E0-8DA3-CFCD488B12D9}"/>
            </c:ext>
          </c:extLst>
        </c:ser>
        <c:ser>
          <c:idx val="0"/>
          <c:order val="3"/>
          <c:tx>
            <c:strRef>
              <c:f>'09'!$AL$19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'09'!$AM$15:$BJ$15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'09'!$AM$19:$BJ$19</c:f>
              <c:numCache>
                <c:formatCode>General</c:formatCode>
                <c:ptCount val="24"/>
                <c:pt idx="0">
                  <c:v>100.4</c:v>
                </c:pt>
                <c:pt idx="1">
                  <c:v>121.69999999999999</c:v>
                </c:pt>
                <c:pt idx="2">
                  <c:v>192</c:v>
                </c:pt>
                <c:pt idx="3">
                  <c:v>148.80000000000001</c:v>
                </c:pt>
                <c:pt idx="4">
                  <c:v>169.7</c:v>
                </c:pt>
                <c:pt idx="5">
                  <c:v>188.4</c:v>
                </c:pt>
                <c:pt idx="6">
                  <c:v>154.69999999999999</c:v>
                </c:pt>
                <c:pt idx="7">
                  <c:v>575.49999999999989</c:v>
                </c:pt>
                <c:pt idx="8">
                  <c:v>606.70000000000005</c:v>
                </c:pt>
                <c:pt idx="9">
                  <c:v>782</c:v>
                </c:pt>
                <c:pt idx="10">
                  <c:v>834.1</c:v>
                </c:pt>
                <c:pt idx="11">
                  <c:v>815.5</c:v>
                </c:pt>
                <c:pt idx="12">
                  <c:v>787.6</c:v>
                </c:pt>
                <c:pt idx="13">
                  <c:v>808.7</c:v>
                </c:pt>
                <c:pt idx="14">
                  <c:v>792</c:v>
                </c:pt>
                <c:pt idx="15">
                  <c:v>819</c:v>
                </c:pt>
                <c:pt idx="16">
                  <c:v>819</c:v>
                </c:pt>
                <c:pt idx="17">
                  <c:v>757.99999999999989</c:v>
                </c:pt>
                <c:pt idx="18" formatCode="0.0">
                  <c:v>538.80000000000007</c:v>
                </c:pt>
                <c:pt idx="19" formatCode="0.0">
                  <c:v>191.3</c:v>
                </c:pt>
                <c:pt idx="20" formatCode="0.0">
                  <c:v>121.7</c:v>
                </c:pt>
                <c:pt idx="21" formatCode="0.0">
                  <c:v>114</c:v>
                </c:pt>
                <c:pt idx="22" formatCode="0.0">
                  <c:v>167</c:v>
                </c:pt>
                <c:pt idx="23" formatCode="0.0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1F-43E0-8DA3-CFCD488B12D9}"/>
            </c:ext>
          </c:extLst>
        </c:ser>
        <c:ser>
          <c:idx val="4"/>
          <c:order val="4"/>
          <c:tx>
            <c:strRef>
              <c:f>'09'!$AL$20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'09'!$AM$15:$BJ$15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'09'!$AM$20:$BJ$20</c:f>
              <c:numCache>
                <c:formatCode>General</c:formatCode>
                <c:ptCount val="24"/>
                <c:pt idx="0">
                  <c:v>96.8</c:v>
                </c:pt>
                <c:pt idx="1">
                  <c:v>97.199999999999989</c:v>
                </c:pt>
                <c:pt idx="2">
                  <c:v>97.1</c:v>
                </c:pt>
                <c:pt idx="3">
                  <c:v>97.1</c:v>
                </c:pt>
                <c:pt idx="4">
                  <c:v>77.900000000000006</c:v>
                </c:pt>
                <c:pt idx="5">
                  <c:v>77.900000000000006</c:v>
                </c:pt>
                <c:pt idx="6">
                  <c:v>89.1</c:v>
                </c:pt>
                <c:pt idx="7">
                  <c:v>65.900000000000006</c:v>
                </c:pt>
                <c:pt idx="8">
                  <c:v>100</c:v>
                </c:pt>
                <c:pt idx="9">
                  <c:v>20.099999999999998</c:v>
                </c:pt>
                <c:pt idx="10">
                  <c:v>29.3</c:v>
                </c:pt>
                <c:pt idx="11">
                  <c:v>47.5</c:v>
                </c:pt>
                <c:pt idx="12">
                  <c:v>48.3</c:v>
                </c:pt>
                <c:pt idx="13">
                  <c:v>49.400000000000006</c:v>
                </c:pt>
                <c:pt idx="14">
                  <c:v>49.400000000000006</c:v>
                </c:pt>
                <c:pt idx="15">
                  <c:v>49.400000000000006</c:v>
                </c:pt>
                <c:pt idx="16">
                  <c:v>49.400000000000006</c:v>
                </c:pt>
                <c:pt idx="17">
                  <c:v>49.400000000000006</c:v>
                </c:pt>
                <c:pt idx="18" formatCode="0.0">
                  <c:v>50.6</c:v>
                </c:pt>
                <c:pt idx="19" formatCode="0.0">
                  <c:v>73.5</c:v>
                </c:pt>
                <c:pt idx="20" formatCode="0.0">
                  <c:v>96.8</c:v>
                </c:pt>
                <c:pt idx="21" formatCode="0.0">
                  <c:v>96.8</c:v>
                </c:pt>
                <c:pt idx="22" formatCode="0.0">
                  <c:v>96.8</c:v>
                </c:pt>
                <c:pt idx="23" formatCode="0.0">
                  <c:v>96.8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1F-43E0-8DA3-CFCD488B12D9}"/>
            </c:ext>
          </c:extLst>
        </c:ser>
        <c:ser>
          <c:idx val="5"/>
          <c:order val="5"/>
          <c:tx>
            <c:strRef>
              <c:f>'09'!$AL$21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'09'!$AM$15:$BJ$15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'09'!$AM$21:$BJ$21</c:f>
              <c:numCache>
                <c:formatCode>General</c:formatCode>
                <c:ptCount val="24"/>
                <c:pt idx="0">
                  <c:v>180</c:v>
                </c:pt>
                <c:pt idx="1">
                  <c:v>180</c:v>
                </c:pt>
                <c:pt idx="2">
                  <c:v>180</c:v>
                </c:pt>
                <c:pt idx="3">
                  <c:v>180</c:v>
                </c:pt>
                <c:pt idx="4">
                  <c:v>180</c:v>
                </c:pt>
                <c:pt idx="5">
                  <c:v>180</c:v>
                </c:pt>
                <c:pt idx="6">
                  <c:v>180</c:v>
                </c:pt>
                <c:pt idx="7">
                  <c:v>80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200</c:v>
                </c:pt>
                <c:pt idx="20" formatCode="0.0">
                  <c:v>200</c:v>
                </c:pt>
                <c:pt idx="21" formatCode="0.0">
                  <c:v>200</c:v>
                </c:pt>
                <c:pt idx="22" formatCode="0.0">
                  <c:v>180</c:v>
                </c:pt>
                <c:pt idx="23" formatCode="0.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1F-43E0-8DA3-CFCD488B1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'09'!$AL$23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'09'!$AM$15:$BJ$15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'09'!$AM$23:$BJ$23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1F-43E0-8DA3-CFCD488B1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'09'!$AL$22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'09'!$AM$15:$BJ$15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'09'!$AM$22:$BJ$22</c:f>
              <c:numCache>
                <c:formatCode>General</c:formatCode>
                <c:ptCount val="24"/>
                <c:pt idx="0">
                  <c:v>1537.54</c:v>
                </c:pt>
                <c:pt idx="1">
                  <c:v>1477.04</c:v>
                </c:pt>
                <c:pt idx="2">
                  <c:v>1438.5399999999997</c:v>
                </c:pt>
                <c:pt idx="3">
                  <c:v>1419.5399999999997</c:v>
                </c:pt>
                <c:pt idx="4">
                  <c:v>1419.44</c:v>
                </c:pt>
                <c:pt idx="5">
                  <c:v>1438.14</c:v>
                </c:pt>
                <c:pt idx="6">
                  <c:v>1535.84</c:v>
                </c:pt>
                <c:pt idx="7">
                  <c:v>1682.54</c:v>
                </c:pt>
                <c:pt idx="8">
                  <c:v>1665.04</c:v>
                </c:pt>
                <c:pt idx="9">
                  <c:v>1684.7399999999998</c:v>
                </c:pt>
                <c:pt idx="10">
                  <c:v>1756.4399999999998</c:v>
                </c:pt>
                <c:pt idx="11">
                  <c:v>1767.84</c:v>
                </c:pt>
                <c:pt idx="12">
                  <c:v>1703.0399999999997</c:v>
                </c:pt>
                <c:pt idx="13">
                  <c:v>1735.04</c:v>
                </c:pt>
                <c:pt idx="14">
                  <c:v>1692.44</c:v>
                </c:pt>
                <c:pt idx="15">
                  <c:v>1727.04</c:v>
                </c:pt>
                <c:pt idx="16">
                  <c:v>1726.6399999999999</c:v>
                </c:pt>
                <c:pt idx="17">
                  <c:v>1666.8399999999997</c:v>
                </c:pt>
                <c:pt idx="18">
                  <c:v>1510.54</c:v>
                </c:pt>
                <c:pt idx="19">
                  <c:v>1916.84</c:v>
                </c:pt>
                <c:pt idx="20">
                  <c:v>1839.54</c:v>
                </c:pt>
                <c:pt idx="21">
                  <c:v>1771.1399999999999</c:v>
                </c:pt>
                <c:pt idx="22">
                  <c:v>1661.1399999999999</c:v>
                </c:pt>
                <c:pt idx="23">
                  <c:v>1532.4399999999998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411F-43E0-8DA3-CFCD488B12D9}"/>
            </c:ext>
          </c:extLst>
        </c:ser>
        <c:ser>
          <c:idx val="8"/>
          <c:order val="8"/>
          <c:tx>
            <c:strRef>
              <c:f>'09'!$AL$24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'09'!$AM$15:$BJ$15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'09'!$AM$24:$BJ$24</c:f>
              <c:numCache>
                <c:formatCode>General</c:formatCode>
                <c:ptCount val="24"/>
                <c:pt idx="0">
                  <c:v>1537.54</c:v>
                </c:pt>
                <c:pt idx="1">
                  <c:v>1477.04</c:v>
                </c:pt>
                <c:pt idx="2">
                  <c:v>1438.5399999999997</c:v>
                </c:pt>
                <c:pt idx="3">
                  <c:v>1419.5399999999997</c:v>
                </c:pt>
                <c:pt idx="4">
                  <c:v>1419.44</c:v>
                </c:pt>
                <c:pt idx="5">
                  <c:v>1438.14</c:v>
                </c:pt>
                <c:pt idx="6">
                  <c:v>1535.84</c:v>
                </c:pt>
                <c:pt idx="7">
                  <c:v>1682.54</c:v>
                </c:pt>
                <c:pt idx="8">
                  <c:v>1665.04</c:v>
                </c:pt>
                <c:pt idx="9">
                  <c:v>1684.7399999999998</c:v>
                </c:pt>
                <c:pt idx="10">
                  <c:v>1756.4399999999998</c:v>
                </c:pt>
                <c:pt idx="11">
                  <c:v>1767.84</c:v>
                </c:pt>
                <c:pt idx="12">
                  <c:v>1703.0399999999997</c:v>
                </c:pt>
                <c:pt idx="13">
                  <c:v>1735.04</c:v>
                </c:pt>
                <c:pt idx="14">
                  <c:v>1692.44</c:v>
                </c:pt>
                <c:pt idx="15">
                  <c:v>1727.04</c:v>
                </c:pt>
                <c:pt idx="16">
                  <c:v>1726.6399999999999</c:v>
                </c:pt>
                <c:pt idx="17">
                  <c:v>1666.8399999999997</c:v>
                </c:pt>
                <c:pt idx="18">
                  <c:v>1510.54</c:v>
                </c:pt>
                <c:pt idx="19">
                  <c:v>1916.84</c:v>
                </c:pt>
                <c:pt idx="20">
                  <c:v>1839.54</c:v>
                </c:pt>
                <c:pt idx="21">
                  <c:v>1771.1399999999999</c:v>
                </c:pt>
                <c:pt idx="22">
                  <c:v>1661.1399999999999</c:v>
                </c:pt>
                <c:pt idx="23">
                  <c:v>1532.4399999999998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11F-43E0-8DA3-CFCD488B1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C27-4935-A3B8-BDF4A706EB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C27-4935-A3B8-BDF4A706EB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C27-4935-A3B8-BDF4A706EB6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C27-4935-A3B8-BDF4A706EB6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C27-4935-A3B8-BDF4A706EB6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5C27-4935-A3B8-BDF4A706EB6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'10'!$AL$16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'10'!$AM$16:$BJ$16</c:f>
              <c:numCache>
                <c:formatCode>General</c:formatCode>
                <c:ptCount val="24"/>
                <c:pt idx="0">
                  <c:v>563.79999999999995</c:v>
                </c:pt>
                <c:pt idx="1">
                  <c:v>563.79999999999995</c:v>
                </c:pt>
                <c:pt idx="2">
                  <c:v>563.79999999999995</c:v>
                </c:pt>
                <c:pt idx="3">
                  <c:v>560.19999999999993</c:v>
                </c:pt>
                <c:pt idx="4">
                  <c:v>560.19999999999993</c:v>
                </c:pt>
                <c:pt idx="5">
                  <c:v>555.09999999999991</c:v>
                </c:pt>
                <c:pt idx="6">
                  <c:v>551.19999999999993</c:v>
                </c:pt>
                <c:pt idx="7">
                  <c:v>551.49999999999989</c:v>
                </c:pt>
                <c:pt idx="8">
                  <c:v>555.59999999999991</c:v>
                </c:pt>
                <c:pt idx="9">
                  <c:v>555.59999999999991</c:v>
                </c:pt>
                <c:pt idx="10">
                  <c:v>556.40000000000009</c:v>
                </c:pt>
                <c:pt idx="11">
                  <c:v>556</c:v>
                </c:pt>
                <c:pt idx="12">
                  <c:v>555.90000000000009</c:v>
                </c:pt>
                <c:pt idx="13">
                  <c:v>555.90000000000009</c:v>
                </c:pt>
                <c:pt idx="14">
                  <c:v>555.90000000000009</c:v>
                </c:pt>
                <c:pt idx="15">
                  <c:v>555.90000000000009</c:v>
                </c:pt>
                <c:pt idx="16">
                  <c:v>555.90000000000009</c:v>
                </c:pt>
                <c:pt idx="17">
                  <c:v>555.90000000000009</c:v>
                </c:pt>
                <c:pt idx="18" formatCode="0.0">
                  <c:v>555.90000000000009</c:v>
                </c:pt>
                <c:pt idx="19" formatCode="0.0">
                  <c:v>555.90000000000009</c:v>
                </c:pt>
                <c:pt idx="20" formatCode="0.0">
                  <c:v>554.20000000000005</c:v>
                </c:pt>
                <c:pt idx="21" formatCode="0.0">
                  <c:v>554.20000000000005</c:v>
                </c:pt>
                <c:pt idx="22" formatCode="0.0">
                  <c:v>554.20000000000005</c:v>
                </c:pt>
                <c:pt idx="23" formatCode="0.0">
                  <c:v>554.20000000000005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0-4E2B-B983-1DAC9230C47C}"/>
            </c:ext>
          </c:extLst>
        </c:ser>
        <c:ser>
          <c:idx val="2"/>
          <c:order val="1"/>
          <c:tx>
            <c:strRef>
              <c:f>'10'!$AL$17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'10'!$AM$17:$BJ$17</c:f>
              <c:numCache>
                <c:formatCode>General</c:formatCode>
                <c:ptCount val="24"/>
                <c:pt idx="0">
                  <c:v>193.5</c:v>
                </c:pt>
                <c:pt idx="1">
                  <c:v>173.5</c:v>
                </c:pt>
                <c:pt idx="2">
                  <c:v>163.5</c:v>
                </c:pt>
                <c:pt idx="3">
                  <c:v>142.70000000000002</c:v>
                </c:pt>
                <c:pt idx="4">
                  <c:v>142.20000000000002</c:v>
                </c:pt>
                <c:pt idx="5">
                  <c:v>142.80000000000001</c:v>
                </c:pt>
                <c:pt idx="6">
                  <c:v>192.8</c:v>
                </c:pt>
                <c:pt idx="7">
                  <c:v>42.7</c:v>
                </c:pt>
                <c:pt idx="8">
                  <c:v>42.3</c:v>
                </c:pt>
                <c:pt idx="9">
                  <c:v>42.2</c:v>
                </c:pt>
                <c:pt idx="10">
                  <c:v>43</c:v>
                </c:pt>
                <c:pt idx="11">
                  <c:v>43</c:v>
                </c:pt>
                <c:pt idx="12">
                  <c:v>43</c:v>
                </c:pt>
                <c:pt idx="13">
                  <c:v>33</c:v>
                </c:pt>
                <c:pt idx="14">
                  <c:v>41.900000000000006</c:v>
                </c:pt>
                <c:pt idx="15">
                  <c:v>41.900000000000006</c:v>
                </c:pt>
                <c:pt idx="16">
                  <c:v>41.900000000000006</c:v>
                </c:pt>
                <c:pt idx="17">
                  <c:v>41.900000000000006</c:v>
                </c:pt>
                <c:pt idx="18" formatCode="0.0">
                  <c:v>57</c:v>
                </c:pt>
                <c:pt idx="19" formatCode="0.0">
                  <c:v>461.40000000000003</c:v>
                </c:pt>
                <c:pt idx="20" formatCode="0.0">
                  <c:v>391.1</c:v>
                </c:pt>
                <c:pt idx="21" formatCode="0.0">
                  <c:v>370.5</c:v>
                </c:pt>
                <c:pt idx="22" formatCode="0.0">
                  <c:v>339.5</c:v>
                </c:pt>
                <c:pt idx="23" formatCode="0.0">
                  <c:v>239.5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20-4E2B-B983-1DAC9230C47C}"/>
            </c:ext>
          </c:extLst>
        </c:ser>
        <c:ser>
          <c:idx val="3"/>
          <c:order val="2"/>
          <c:tx>
            <c:strRef>
              <c:f>'10'!$AL$18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'10'!$AM$18:$BJ$18</c:f>
              <c:numCache>
                <c:formatCode>General</c:formatCode>
                <c:ptCount val="24"/>
                <c:pt idx="0">
                  <c:v>363.34000000000003</c:v>
                </c:pt>
                <c:pt idx="1">
                  <c:v>340.34000000000003</c:v>
                </c:pt>
                <c:pt idx="2">
                  <c:v>328.34000000000003</c:v>
                </c:pt>
                <c:pt idx="3">
                  <c:v>306.04000000000002</c:v>
                </c:pt>
                <c:pt idx="4">
                  <c:v>302.44000000000005</c:v>
                </c:pt>
                <c:pt idx="5">
                  <c:v>308.32000000000005</c:v>
                </c:pt>
                <c:pt idx="6">
                  <c:v>341.44</c:v>
                </c:pt>
                <c:pt idx="7">
                  <c:v>322.04000000000002</c:v>
                </c:pt>
                <c:pt idx="8">
                  <c:v>253.34000000000003</c:v>
                </c:pt>
                <c:pt idx="9">
                  <c:v>258.04000000000002</c:v>
                </c:pt>
                <c:pt idx="10">
                  <c:v>245.24</c:v>
                </c:pt>
                <c:pt idx="11">
                  <c:v>253.73999999999998</c:v>
                </c:pt>
                <c:pt idx="12">
                  <c:v>261.44</c:v>
                </c:pt>
                <c:pt idx="13">
                  <c:v>263.54000000000002</c:v>
                </c:pt>
                <c:pt idx="14">
                  <c:v>219.94000000000003</c:v>
                </c:pt>
                <c:pt idx="15">
                  <c:v>207.44000000000003</c:v>
                </c:pt>
                <c:pt idx="16">
                  <c:v>202.64000000000001</c:v>
                </c:pt>
                <c:pt idx="17">
                  <c:v>216.84</c:v>
                </c:pt>
                <c:pt idx="18" formatCode="0.0">
                  <c:v>303.14000000000004</c:v>
                </c:pt>
                <c:pt idx="19" formatCode="0.0">
                  <c:v>378.04</c:v>
                </c:pt>
                <c:pt idx="20" formatCode="0.0">
                  <c:v>370.94</c:v>
                </c:pt>
                <c:pt idx="21" formatCode="0.0">
                  <c:v>370.94</c:v>
                </c:pt>
                <c:pt idx="22" formatCode="0.0">
                  <c:v>318.44</c:v>
                </c:pt>
                <c:pt idx="23" formatCode="0.0">
                  <c:v>318.44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20-4E2B-B983-1DAC9230C47C}"/>
            </c:ext>
          </c:extLst>
        </c:ser>
        <c:ser>
          <c:idx val="0"/>
          <c:order val="3"/>
          <c:tx>
            <c:strRef>
              <c:f>'10'!$AL$19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'10'!$AM$19:$BJ$19</c:f>
              <c:numCache>
                <c:formatCode>General</c:formatCode>
                <c:ptCount val="24"/>
                <c:pt idx="0">
                  <c:v>84</c:v>
                </c:pt>
                <c:pt idx="1">
                  <c:v>104</c:v>
                </c:pt>
                <c:pt idx="2">
                  <c:v>100</c:v>
                </c:pt>
                <c:pt idx="3">
                  <c:v>136.5</c:v>
                </c:pt>
                <c:pt idx="4">
                  <c:v>112.7</c:v>
                </c:pt>
                <c:pt idx="5">
                  <c:v>130.6</c:v>
                </c:pt>
                <c:pt idx="6">
                  <c:v>143.4</c:v>
                </c:pt>
                <c:pt idx="7">
                  <c:v>616</c:v>
                </c:pt>
                <c:pt idx="8">
                  <c:v>762.6</c:v>
                </c:pt>
                <c:pt idx="9">
                  <c:v>800</c:v>
                </c:pt>
                <c:pt idx="10">
                  <c:v>812.8</c:v>
                </c:pt>
                <c:pt idx="11">
                  <c:v>810.40000000000009</c:v>
                </c:pt>
                <c:pt idx="12">
                  <c:v>837.4</c:v>
                </c:pt>
                <c:pt idx="13">
                  <c:v>775.7</c:v>
                </c:pt>
                <c:pt idx="14">
                  <c:v>774</c:v>
                </c:pt>
                <c:pt idx="15">
                  <c:v>788.59999999999991</c:v>
                </c:pt>
                <c:pt idx="16">
                  <c:v>837.69999999999993</c:v>
                </c:pt>
                <c:pt idx="17">
                  <c:v>791.1</c:v>
                </c:pt>
                <c:pt idx="18" formatCode="0.0">
                  <c:v>571.6</c:v>
                </c:pt>
                <c:pt idx="19" formatCode="0.0">
                  <c:v>289.5</c:v>
                </c:pt>
                <c:pt idx="20" formatCode="0.0">
                  <c:v>258.60000000000002</c:v>
                </c:pt>
                <c:pt idx="21" formatCode="0.0">
                  <c:v>195</c:v>
                </c:pt>
                <c:pt idx="22" formatCode="0.0">
                  <c:v>156</c:v>
                </c:pt>
                <c:pt idx="23" formatCode="0.0">
                  <c:v>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20-4E2B-B983-1DAC9230C47C}"/>
            </c:ext>
          </c:extLst>
        </c:ser>
        <c:ser>
          <c:idx val="4"/>
          <c:order val="4"/>
          <c:tx>
            <c:strRef>
              <c:f>'10'!$AL$20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'10'!$AM$20:$BJ$20</c:f>
              <c:numCache>
                <c:formatCode>General</c:formatCode>
                <c:ptCount val="24"/>
                <c:pt idx="0">
                  <c:v>96.8</c:v>
                </c:pt>
                <c:pt idx="1">
                  <c:v>96.8</c:v>
                </c:pt>
                <c:pt idx="2">
                  <c:v>96.8</c:v>
                </c:pt>
                <c:pt idx="3">
                  <c:v>96.699999999999989</c:v>
                </c:pt>
                <c:pt idx="4">
                  <c:v>96.699999999999989</c:v>
                </c:pt>
                <c:pt idx="5">
                  <c:v>96.6</c:v>
                </c:pt>
                <c:pt idx="6">
                  <c:v>96.699999999999989</c:v>
                </c:pt>
                <c:pt idx="7">
                  <c:v>76.400000000000006</c:v>
                </c:pt>
                <c:pt idx="8">
                  <c:v>61.9</c:v>
                </c:pt>
                <c:pt idx="9">
                  <c:v>61.699999999999996</c:v>
                </c:pt>
                <c:pt idx="10">
                  <c:v>62.199999999999996</c:v>
                </c:pt>
                <c:pt idx="11">
                  <c:v>62.199999999999996</c:v>
                </c:pt>
                <c:pt idx="12">
                  <c:v>62.3</c:v>
                </c:pt>
                <c:pt idx="13">
                  <c:v>62.3</c:v>
                </c:pt>
                <c:pt idx="14">
                  <c:v>58.4</c:v>
                </c:pt>
                <c:pt idx="15">
                  <c:v>97.5</c:v>
                </c:pt>
                <c:pt idx="16">
                  <c:v>97.5</c:v>
                </c:pt>
                <c:pt idx="17">
                  <c:v>97.5</c:v>
                </c:pt>
                <c:pt idx="18" formatCode="0.0">
                  <c:v>68.400000000000006</c:v>
                </c:pt>
                <c:pt idx="19" formatCode="0.0">
                  <c:v>99.2</c:v>
                </c:pt>
                <c:pt idx="20" formatCode="0.0">
                  <c:v>97.3</c:v>
                </c:pt>
                <c:pt idx="21" formatCode="0.0">
                  <c:v>97.3</c:v>
                </c:pt>
                <c:pt idx="22" formatCode="0.0">
                  <c:v>97.3</c:v>
                </c:pt>
                <c:pt idx="23" formatCode="0.0">
                  <c:v>97.3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20-4E2B-B983-1DAC9230C47C}"/>
            </c:ext>
          </c:extLst>
        </c:ser>
        <c:ser>
          <c:idx val="5"/>
          <c:order val="5"/>
          <c:tx>
            <c:strRef>
              <c:f>'10'!$AL$21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'10'!$AM$21:$BJ$21</c:f>
              <c:numCache>
                <c:formatCode>General</c:formatCode>
                <c:ptCount val="24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 formatCode="0.0">
                  <c:v>22</c:v>
                </c:pt>
                <c:pt idx="19" formatCode="0.0">
                  <c:v>200</c:v>
                </c:pt>
                <c:pt idx="20" formatCode="0.0">
                  <c:v>250</c:v>
                </c:pt>
                <c:pt idx="21" formatCode="0.0">
                  <c:v>250</c:v>
                </c:pt>
                <c:pt idx="22" formatCode="0.0">
                  <c:v>250</c:v>
                </c:pt>
                <c:pt idx="23" formatCode="0.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020-4E2B-B983-1DAC9230C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'10'!$AL$23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'10'!$AM$23:$BJ$23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20-4E2B-B983-1DAC9230C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'10'!$AL$22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'10'!$AM$22:$BJ$22</c:f>
              <c:numCache>
                <c:formatCode>General</c:formatCode>
                <c:ptCount val="24"/>
                <c:pt idx="0">
                  <c:v>1551.4399999999998</c:v>
                </c:pt>
                <c:pt idx="1">
                  <c:v>1528.4399999999998</c:v>
                </c:pt>
                <c:pt idx="2">
                  <c:v>1502.4399999999998</c:v>
                </c:pt>
                <c:pt idx="3">
                  <c:v>1492.14</c:v>
                </c:pt>
                <c:pt idx="4">
                  <c:v>1464.24</c:v>
                </c:pt>
                <c:pt idx="5">
                  <c:v>1483.4199999999998</c:v>
                </c:pt>
                <c:pt idx="6">
                  <c:v>1525.5400000000002</c:v>
                </c:pt>
                <c:pt idx="7">
                  <c:v>1608.64</c:v>
                </c:pt>
                <c:pt idx="8">
                  <c:v>1675.74</c:v>
                </c:pt>
                <c:pt idx="9">
                  <c:v>1717.54</c:v>
                </c:pt>
                <c:pt idx="10">
                  <c:v>1719.64</c:v>
                </c:pt>
                <c:pt idx="11">
                  <c:v>1725.3400000000001</c:v>
                </c:pt>
                <c:pt idx="12">
                  <c:v>1760.0400000000002</c:v>
                </c:pt>
                <c:pt idx="13">
                  <c:v>1690.44</c:v>
                </c:pt>
                <c:pt idx="14">
                  <c:v>1670.1400000000003</c:v>
                </c:pt>
                <c:pt idx="15">
                  <c:v>1711.3400000000001</c:v>
                </c:pt>
                <c:pt idx="16">
                  <c:v>1755.6399999999999</c:v>
                </c:pt>
                <c:pt idx="17">
                  <c:v>1723.2400000000002</c:v>
                </c:pt>
                <c:pt idx="18">
                  <c:v>1578.0400000000004</c:v>
                </c:pt>
                <c:pt idx="19">
                  <c:v>1984.0400000000002</c:v>
                </c:pt>
                <c:pt idx="20">
                  <c:v>1922.14</c:v>
                </c:pt>
                <c:pt idx="21">
                  <c:v>1837.94</c:v>
                </c:pt>
                <c:pt idx="22">
                  <c:v>1715.44</c:v>
                </c:pt>
                <c:pt idx="23">
                  <c:v>1669.44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7020-4E2B-B983-1DAC9230C47C}"/>
            </c:ext>
          </c:extLst>
        </c:ser>
        <c:ser>
          <c:idx val="8"/>
          <c:order val="8"/>
          <c:tx>
            <c:strRef>
              <c:f>'10'!$AL$24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'10'!$AM$24:$BJ$24</c:f>
              <c:numCache>
                <c:formatCode>General</c:formatCode>
                <c:ptCount val="24"/>
                <c:pt idx="0">
                  <c:v>1551.4399999999998</c:v>
                </c:pt>
                <c:pt idx="1">
                  <c:v>1528.4399999999998</c:v>
                </c:pt>
                <c:pt idx="2">
                  <c:v>1502.4399999999998</c:v>
                </c:pt>
                <c:pt idx="3">
                  <c:v>1492.14</c:v>
                </c:pt>
                <c:pt idx="4">
                  <c:v>1464.24</c:v>
                </c:pt>
                <c:pt idx="5">
                  <c:v>1483.4199999999998</c:v>
                </c:pt>
                <c:pt idx="6">
                  <c:v>1525.5400000000002</c:v>
                </c:pt>
                <c:pt idx="7">
                  <c:v>1608.64</c:v>
                </c:pt>
                <c:pt idx="8">
                  <c:v>1675.74</c:v>
                </c:pt>
                <c:pt idx="9">
                  <c:v>1717.54</c:v>
                </c:pt>
                <c:pt idx="10">
                  <c:v>1719.64</c:v>
                </c:pt>
                <c:pt idx="11">
                  <c:v>1725.3400000000001</c:v>
                </c:pt>
                <c:pt idx="12">
                  <c:v>1760.0400000000002</c:v>
                </c:pt>
                <c:pt idx="13">
                  <c:v>1690.44</c:v>
                </c:pt>
                <c:pt idx="14">
                  <c:v>1670.1400000000003</c:v>
                </c:pt>
                <c:pt idx="15">
                  <c:v>1711.3400000000001</c:v>
                </c:pt>
                <c:pt idx="16">
                  <c:v>1755.6399999999999</c:v>
                </c:pt>
                <c:pt idx="17">
                  <c:v>1723.2400000000002</c:v>
                </c:pt>
                <c:pt idx="18">
                  <c:v>1578.0400000000004</c:v>
                </c:pt>
                <c:pt idx="19">
                  <c:v>1984.0400000000002</c:v>
                </c:pt>
                <c:pt idx="20">
                  <c:v>1922.14</c:v>
                </c:pt>
                <c:pt idx="21">
                  <c:v>1837.94</c:v>
                </c:pt>
                <c:pt idx="22">
                  <c:v>1715.44</c:v>
                </c:pt>
                <c:pt idx="23">
                  <c:v>1669.44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020-4E2B-B983-1DAC9230C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887-416E-BCD9-4E0726EAE6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887-416E-BCD9-4E0726EAE6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887-416E-BCD9-4E0726EAE6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887-416E-BCD9-4E0726EAE6F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887-416E-BCD9-4E0726EAE6F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A887-416E-BCD9-4E0726EAE6F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'11'!$AL$16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'11'!$AM$16:$BJ$16</c:f>
              <c:numCache>
                <c:formatCode>General</c:formatCode>
                <c:ptCount val="24"/>
                <c:pt idx="0">
                  <c:v>554.20000000000005</c:v>
                </c:pt>
                <c:pt idx="1">
                  <c:v>554.20000000000005</c:v>
                </c:pt>
                <c:pt idx="2">
                  <c:v>554.20000000000005</c:v>
                </c:pt>
                <c:pt idx="3">
                  <c:v>551.59999999999991</c:v>
                </c:pt>
                <c:pt idx="4">
                  <c:v>552.29999999999995</c:v>
                </c:pt>
                <c:pt idx="5">
                  <c:v>552.29999999999995</c:v>
                </c:pt>
                <c:pt idx="6">
                  <c:v>552.20000000000005</c:v>
                </c:pt>
                <c:pt idx="7">
                  <c:v>552.69999999999993</c:v>
                </c:pt>
                <c:pt idx="8">
                  <c:v>552.69999999999993</c:v>
                </c:pt>
                <c:pt idx="9">
                  <c:v>552.69999999999993</c:v>
                </c:pt>
                <c:pt idx="10">
                  <c:v>552.69999999999993</c:v>
                </c:pt>
                <c:pt idx="11">
                  <c:v>552.69999999999993</c:v>
                </c:pt>
                <c:pt idx="12">
                  <c:v>552.69999999999993</c:v>
                </c:pt>
                <c:pt idx="13">
                  <c:v>552.69999999999993</c:v>
                </c:pt>
                <c:pt idx="14">
                  <c:v>552.69999999999993</c:v>
                </c:pt>
                <c:pt idx="15">
                  <c:v>150</c:v>
                </c:pt>
                <c:pt idx="16">
                  <c:v>552.69999999999993</c:v>
                </c:pt>
                <c:pt idx="17">
                  <c:v>552.69999999999993</c:v>
                </c:pt>
                <c:pt idx="18" formatCode="0.0">
                  <c:v>552.69999999999993</c:v>
                </c:pt>
                <c:pt idx="19" formatCode="0.0">
                  <c:v>560.09999999999991</c:v>
                </c:pt>
                <c:pt idx="20" formatCode="0.0">
                  <c:v>560.09999999999991</c:v>
                </c:pt>
                <c:pt idx="21" formatCode="0.0">
                  <c:v>573.09999999999991</c:v>
                </c:pt>
                <c:pt idx="22" formatCode="0.0">
                  <c:v>573.09999999999991</c:v>
                </c:pt>
                <c:pt idx="23" formatCode="0.0">
                  <c:v>573.09999999999991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D-4291-B87A-F8BF90C1FC81}"/>
            </c:ext>
          </c:extLst>
        </c:ser>
        <c:ser>
          <c:idx val="2"/>
          <c:order val="1"/>
          <c:tx>
            <c:strRef>
              <c:f>'11'!$AL$17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'11'!$AM$17:$BJ$17</c:f>
              <c:numCache>
                <c:formatCode>General</c:formatCode>
                <c:ptCount val="24"/>
                <c:pt idx="0">
                  <c:v>149.5</c:v>
                </c:pt>
                <c:pt idx="1">
                  <c:v>149.5</c:v>
                </c:pt>
                <c:pt idx="2">
                  <c:v>149.5</c:v>
                </c:pt>
                <c:pt idx="3">
                  <c:v>149.5</c:v>
                </c:pt>
                <c:pt idx="4">
                  <c:v>142.30000000000001</c:v>
                </c:pt>
                <c:pt idx="5">
                  <c:v>152</c:v>
                </c:pt>
                <c:pt idx="6">
                  <c:v>152.30000000000001</c:v>
                </c:pt>
                <c:pt idx="7">
                  <c:v>41.6</c:v>
                </c:pt>
                <c:pt idx="8">
                  <c:v>41.6</c:v>
                </c:pt>
                <c:pt idx="9">
                  <c:v>41.6</c:v>
                </c:pt>
                <c:pt idx="10">
                  <c:v>41.6</c:v>
                </c:pt>
                <c:pt idx="11">
                  <c:v>41.6</c:v>
                </c:pt>
                <c:pt idx="12">
                  <c:v>41.6</c:v>
                </c:pt>
                <c:pt idx="13">
                  <c:v>41.6</c:v>
                </c:pt>
                <c:pt idx="14">
                  <c:v>38.799999999999997</c:v>
                </c:pt>
                <c:pt idx="15">
                  <c:v>0</c:v>
                </c:pt>
                <c:pt idx="16">
                  <c:v>38.799999999999997</c:v>
                </c:pt>
                <c:pt idx="17">
                  <c:v>35.200000000000003</c:v>
                </c:pt>
                <c:pt idx="18" formatCode="0.0">
                  <c:v>35.200000000000003</c:v>
                </c:pt>
                <c:pt idx="19" formatCode="0.0">
                  <c:v>475.3</c:v>
                </c:pt>
                <c:pt idx="20" formatCode="0.0">
                  <c:v>415.3</c:v>
                </c:pt>
                <c:pt idx="21" formatCode="0.0">
                  <c:v>385.3</c:v>
                </c:pt>
                <c:pt idx="22" formatCode="0.0">
                  <c:v>276.60000000000002</c:v>
                </c:pt>
                <c:pt idx="23" formatCode="0.0">
                  <c:v>206.5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5D-4291-B87A-F8BF90C1FC81}"/>
            </c:ext>
          </c:extLst>
        </c:ser>
        <c:ser>
          <c:idx val="3"/>
          <c:order val="2"/>
          <c:tx>
            <c:strRef>
              <c:f>'11'!$AL$18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'11'!$AM$18:$BJ$18</c:f>
              <c:numCache>
                <c:formatCode>General</c:formatCode>
                <c:ptCount val="24"/>
                <c:pt idx="0">
                  <c:v>287.94</c:v>
                </c:pt>
                <c:pt idx="1">
                  <c:v>287.94</c:v>
                </c:pt>
                <c:pt idx="2">
                  <c:v>287.94</c:v>
                </c:pt>
                <c:pt idx="3">
                  <c:v>296.64000000000004</c:v>
                </c:pt>
                <c:pt idx="4">
                  <c:v>284.94</c:v>
                </c:pt>
                <c:pt idx="5">
                  <c:v>228.04000000000002</c:v>
                </c:pt>
                <c:pt idx="6">
                  <c:v>317.53999999999996</c:v>
                </c:pt>
                <c:pt idx="7">
                  <c:v>314.64</c:v>
                </c:pt>
                <c:pt idx="8">
                  <c:v>260.44</c:v>
                </c:pt>
                <c:pt idx="9">
                  <c:v>239.03999999999996</c:v>
                </c:pt>
                <c:pt idx="10">
                  <c:v>268.14</c:v>
                </c:pt>
                <c:pt idx="11">
                  <c:v>270.24000000000007</c:v>
                </c:pt>
                <c:pt idx="12">
                  <c:v>241.33999999999997</c:v>
                </c:pt>
                <c:pt idx="13">
                  <c:v>246.84</c:v>
                </c:pt>
                <c:pt idx="14">
                  <c:v>234.33999999999997</c:v>
                </c:pt>
                <c:pt idx="15">
                  <c:v>3.54</c:v>
                </c:pt>
                <c:pt idx="16">
                  <c:v>261.24</c:v>
                </c:pt>
                <c:pt idx="17">
                  <c:v>210.94</c:v>
                </c:pt>
                <c:pt idx="18" formatCode="0.0">
                  <c:v>188.84</c:v>
                </c:pt>
                <c:pt idx="19" formatCode="0.0">
                  <c:v>393.7</c:v>
                </c:pt>
                <c:pt idx="20" formatCode="0.0">
                  <c:v>362.54</c:v>
                </c:pt>
                <c:pt idx="21" formatCode="0.0">
                  <c:v>313.74</c:v>
                </c:pt>
                <c:pt idx="22" formatCode="0.0">
                  <c:v>297.94</c:v>
                </c:pt>
                <c:pt idx="23" formatCode="0.0">
                  <c:v>288.24000000000007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5D-4291-B87A-F8BF90C1FC81}"/>
            </c:ext>
          </c:extLst>
        </c:ser>
        <c:ser>
          <c:idx val="0"/>
          <c:order val="3"/>
          <c:tx>
            <c:strRef>
              <c:f>'11'!$AL$19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'11'!$AM$19:$BJ$19</c:f>
              <c:numCache>
                <c:formatCode>General</c:formatCode>
                <c:ptCount val="24"/>
                <c:pt idx="0">
                  <c:v>193.8</c:v>
                </c:pt>
                <c:pt idx="1">
                  <c:v>198</c:v>
                </c:pt>
                <c:pt idx="2">
                  <c:v>152.19999999999999</c:v>
                </c:pt>
                <c:pt idx="3">
                  <c:v>133.30000000000001</c:v>
                </c:pt>
                <c:pt idx="4">
                  <c:v>133.4</c:v>
                </c:pt>
                <c:pt idx="5">
                  <c:v>204</c:v>
                </c:pt>
                <c:pt idx="6">
                  <c:v>253.7</c:v>
                </c:pt>
                <c:pt idx="7">
                  <c:v>618.6</c:v>
                </c:pt>
                <c:pt idx="8">
                  <c:v>688</c:v>
                </c:pt>
                <c:pt idx="9">
                  <c:v>720.1</c:v>
                </c:pt>
                <c:pt idx="10">
                  <c:v>746.5</c:v>
                </c:pt>
                <c:pt idx="11">
                  <c:v>767.2</c:v>
                </c:pt>
                <c:pt idx="12">
                  <c:v>797.9</c:v>
                </c:pt>
                <c:pt idx="13">
                  <c:v>744.19999999999993</c:v>
                </c:pt>
                <c:pt idx="14">
                  <c:v>714.80000000000007</c:v>
                </c:pt>
                <c:pt idx="15">
                  <c:v>0</c:v>
                </c:pt>
                <c:pt idx="16">
                  <c:v>576.1</c:v>
                </c:pt>
                <c:pt idx="17">
                  <c:v>696.3</c:v>
                </c:pt>
                <c:pt idx="18" formatCode="0.0">
                  <c:v>665.6</c:v>
                </c:pt>
                <c:pt idx="19" formatCode="0.0">
                  <c:v>185.2</c:v>
                </c:pt>
                <c:pt idx="20" formatCode="0.0">
                  <c:v>224.9</c:v>
                </c:pt>
                <c:pt idx="21" formatCode="0.0">
                  <c:v>164</c:v>
                </c:pt>
                <c:pt idx="22" formatCode="0.0">
                  <c:v>131.20000000000002</c:v>
                </c:pt>
                <c:pt idx="23" formatCode="0.0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5D-4291-B87A-F8BF90C1FC81}"/>
            </c:ext>
          </c:extLst>
        </c:ser>
        <c:ser>
          <c:idx val="4"/>
          <c:order val="4"/>
          <c:tx>
            <c:strRef>
              <c:f>'11'!$AL$20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'11'!$AM$20:$BJ$20</c:f>
              <c:numCache>
                <c:formatCode>General</c:formatCode>
                <c:ptCount val="24"/>
                <c:pt idx="0">
                  <c:v>97.7</c:v>
                </c:pt>
                <c:pt idx="1">
                  <c:v>97.7</c:v>
                </c:pt>
                <c:pt idx="2">
                  <c:v>97.7</c:v>
                </c:pt>
                <c:pt idx="3">
                  <c:v>97.8</c:v>
                </c:pt>
                <c:pt idx="4">
                  <c:v>98.3</c:v>
                </c:pt>
                <c:pt idx="5">
                  <c:v>97</c:v>
                </c:pt>
                <c:pt idx="6">
                  <c:v>97</c:v>
                </c:pt>
                <c:pt idx="7">
                  <c:v>86.9</c:v>
                </c:pt>
                <c:pt idx="8">
                  <c:v>97.2</c:v>
                </c:pt>
                <c:pt idx="9">
                  <c:v>64.5</c:v>
                </c:pt>
                <c:pt idx="10">
                  <c:v>96.699999999999989</c:v>
                </c:pt>
                <c:pt idx="11">
                  <c:v>96.699999999999989</c:v>
                </c:pt>
                <c:pt idx="12">
                  <c:v>96.699999999999989</c:v>
                </c:pt>
                <c:pt idx="13">
                  <c:v>96.699999999999989</c:v>
                </c:pt>
                <c:pt idx="14">
                  <c:v>54.6</c:v>
                </c:pt>
                <c:pt idx="15">
                  <c:v>0</c:v>
                </c:pt>
                <c:pt idx="16">
                  <c:v>97.3</c:v>
                </c:pt>
                <c:pt idx="17">
                  <c:v>88.8</c:v>
                </c:pt>
                <c:pt idx="18" formatCode="0.0">
                  <c:v>77.500000000000014</c:v>
                </c:pt>
                <c:pt idx="19" formatCode="0.0">
                  <c:v>98.699999999999989</c:v>
                </c:pt>
                <c:pt idx="20" formatCode="0.0">
                  <c:v>98.699999999999989</c:v>
                </c:pt>
                <c:pt idx="21" formatCode="0.0">
                  <c:v>98.699999999999989</c:v>
                </c:pt>
                <c:pt idx="22" formatCode="0.0">
                  <c:v>98.699999999999989</c:v>
                </c:pt>
                <c:pt idx="23" formatCode="0.0">
                  <c:v>98.699999999999989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5D-4291-B87A-F8BF90C1FC81}"/>
            </c:ext>
          </c:extLst>
        </c:ser>
        <c:ser>
          <c:idx val="5"/>
          <c:order val="5"/>
          <c:tx>
            <c:strRef>
              <c:f>'11'!$AL$21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'11'!$AM$21:$BJ$21</c:f>
              <c:numCache>
                <c:formatCode>General</c:formatCode>
                <c:ptCount val="24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250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250</c:v>
                </c:pt>
                <c:pt idx="20" formatCode="0.0">
                  <c:v>250</c:v>
                </c:pt>
                <c:pt idx="21" formatCode="0.0">
                  <c:v>300</c:v>
                </c:pt>
                <c:pt idx="22" formatCode="0.0">
                  <c:v>340</c:v>
                </c:pt>
                <c:pt idx="23" formatCode="0.0">
                  <c:v>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5D-4291-B87A-F8BF90C1F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'11'!$AL$23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'11'!$AM$23:$BJ$23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5D-4291-B87A-F8BF90C1F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'11'!$AL$22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'11'!$AM$22:$BJ$22</c:f>
              <c:numCache>
                <c:formatCode>General</c:formatCode>
                <c:ptCount val="24"/>
                <c:pt idx="0">
                  <c:v>1583.14</c:v>
                </c:pt>
                <c:pt idx="1">
                  <c:v>1587.3400000000001</c:v>
                </c:pt>
                <c:pt idx="2">
                  <c:v>1541.5400000000002</c:v>
                </c:pt>
                <c:pt idx="3">
                  <c:v>1528.84</c:v>
                </c:pt>
                <c:pt idx="4">
                  <c:v>1511.24</c:v>
                </c:pt>
                <c:pt idx="5">
                  <c:v>1533.34</c:v>
                </c:pt>
                <c:pt idx="6">
                  <c:v>1622.74</c:v>
                </c:pt>
                <c:pt idx="7">
                  <c:v>1614.44</c:v>
                </c:pt>
                <c:pt idx="8">
                  <c:v>1639.94</c:v>
                </c:pt>
                <c:pt idx="9">
                  <c:v>1617.94</c:v>
                </c:pt>
                <c:pt idx="10">
                  <c:v>1705.64</c:v>
                </c:pt>
                <c:pt idx="11">
                  <c:v>1728.44</c:v>
                </c:pt>
                <c:pt idx="12">
                  <c:v>1730.24</c:v>
                </c:pt>
                <c:pt idx="13">
                  <c:v>1682.04</c:v>
                </c:pt>
                <c:pt idx="14">
                  <c:v>1595.2399999999998</c:v>
                </c:pt>
                <c:pt idx="15">
                  <c:v>153.54</c:v>
                </c:pt>
                <c:pt idx="16">
                  <c:v>1526.1399999999999</c:v>
                </c:pt>
                <c:pt idx="17">
                  <c:v>1583.9399999999998</c:v>
                </c:pt>
                <c:pt idx="18">
                  <c:v>1519.8400000000001</c:v>
                </c:pt>
                <c:pt idx="19">
                  <c:v>1963</c:v>
                </c:pt>
                <c:pt idx="20">
                  <c:v>1911.54</c:v>
                </c:pt>
                <c:pt idx="21">
                  <c:v>1834.84</c:v>
                </c:pt>
                <c:pt idx="22">
                  <c:v>1717.54</c:v>
                </c:pt>
                <c:pt idx="23">
                  <c:v>1611.54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2C5D-4291-B87A-F8BF90C1FC81}"/>
            </c:ext>
          </c:extLst>
        </c:ser>
        <c:ser>
          <c:idx val="8"/>
          <c:order val="8"/>
          <c:tx>
            <c:strRef>
              <c:f>'11'!$AL$24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'11'!$AM$24:$BJ$24</c:f>
              <c:numCache>
                <c:formatCode>General</c:formatCode>
                <c:ptCount val="24"/>
                <c:pt idx="0">
                  <c:v>1583.14</c:v>
                </c:pt>
                <c:pt idx="1">
                  <c:v>1587.3400000000001</c:v>
                </c:pt>
                <c:pt idx="2">
                  <c:v>1541.5400000000002</c:v>
                </c:pt>
                <c:pt idx="3">
                  <c:v>1528.84</c:v>
                </c:pt>
                <c:pt idx="4">
                  <c:v>1511.24</c:v>
                </c:pt>
                <c:pt idx="5">
                  <c:v>1533.34</c:v>
                </c:pt>
                <c:pt idx="6">
                  <c:v>1622.74</c:v>
                </c:pt>
                <c:pt idx="7">
                  <c:v>1614.44</c:v>
                </c:pt>
                <c:pt idx="8">
                  <c:v>1639.94</c:v>
                </c:pt>
                <c:pt idx="9">
                  <c:v>1617.94</c:v>
                </c:pt>
                <c:pt idx="10">
                  <c:v>1705.64</c:v>
                </c:pt>
                <c:pt idx="11">
                  <c:v>1728.44</c:v>
                </c:pt>
                <c:pt idx="12">
                  <c:v>1730.24</c:v>
                </c:pt>
                <c:pt idx="13">
                  <c:v>1682.04</c:v>
                </c:pt>
                <c:pt idx="14">
                  <c:v>1595.2399999999998</c:v>
                </c:pt>
                <c:pt idx="15">
                  <c:v>153.54</c:v>
                </c:pt>
                <c:pt idx="16">
                  <c:v>1526.1399999999999</c:v>
                </c:pt>
                <c:pt idx="17">
                  <c:v>1583.9399999999998</c:v>
                </c:pt>
                <c:pt idx="18">
                  <c:v>1519.8400000000001</c:v>
                </c:pt>
                <c:pt idx="19">
                  <c:v>1963</c:v>
                </c:pt>
                <c:pt idx="20">
                  <c:v>1911.54</c:v>
                </c:pt>
                <c:pt idx="21">
                  <c:v>1834.84</c:v>
                </c:pt>
                <c:pt idx="22">
                  <c:v>1717.54</c:v>
                </c:pt>
                <c:pt idx="23">
                  <c:v>1611.54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C5D-4291-B87A-F8BF90C1F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302-4092-A3C8-8D5A7DF109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302-4092-A3C8-8D5A7DF109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302-4092-A3C8-8D5A7DF109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302-4092-A3C8-8D5A7DF1092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302-4092-A3C8-8D5A7DF1092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E302-4092-A3C8-8D5A7DF1092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'12'!$AL$16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'12'!$AM$16:$BJ$16</c:f>
              <c:numCache>
                <c:formatCode>General</c:formatCode>
                <c:ptCount val="24"/>
                <c:pt idx="0">
                  <c:v>573.09999999999991</c:v>
                </c:pt>
                <c:pt idx="1">
                  <c:v>573.09999999999991</c:v>
                </c:pt>
                <c:pt idx="2">
                  <c:v>573.09999999999991</c:v>
                </c:pt>
                <c:pt idx="3">
                  <c:v>573.09999999999991</c:v>
                </c:pt>
                <c:pt idx="4">
                  <c:v>573.09999999999991</c:v>
                </c:pt>
                <c:pt idx="5">
                  <c:v>573.09999999999991</c:v>
                </c:pt>
                <c:pt idx="6">
                  <c:v>573.09999999999991</c:v>
                </c:pt>
                <c:pt idx="7">
                  <c:v>573.09999999999991</c:v>
                </c:pt>
                <c:pt idx="8">
                  <c:v>573.09999999999991</c:v>
                </c:pt>
                <c:pt idx="9">
                  <c:v>573.09999999999991</c:v>
                </c:pt>
                <c:pt idx="10">
                  <c:v>573.09999999999991</c:v>
                </c:pt>
                <c:pt idx="11">
                  <c:v>573.09999999999991</c:v>
                </c:pt>
                <c:pt idx="12">
                  <c:v>538.59999999999991</c:v>
                </c:pt>
                <c:pt idx="13">
                  <c:v>538.59999999999991</c:v>
                </c:pt>
                <c:pt idx="14">
                  <c:v>538.59999999999991</c:v>
                </c:pt>
                <c:pt idx="15">
                  <c:v>538.59999999999991</c:v>
                </c:pt>
                <c:pt idx="16">
                  <c:v>538.59999999999991</c:v>
                </c:pt>
                <c:pt idx="17">
                  <c:v>538.59999999999991</c:v>
                </c:pt>
                <c:pt idx="18" formatCode="0.0">
                  <c:v>538.59999999999991</c:v>
                </c:pt>
                <c:pt idx="19" formatCode="0.0">
                  <c:v>538.59999999999991</c:v>
                </c:pt>
                <c:pt idx="20" formatCode="0.0">
                  <c:v>538.29999999999995</c:v>
                </c:pt>
                <c:pt idx="21" formatCode="0.0">
                  <c:v>538.79999999999995</c:v>
                </c:pt>
                <c:pt idx="22" formatCode="0.0">
                  <c:v>538.29999999999995</c:v>
                </c:pt>
                <c:pt idx="23" formatCode="0.0">
                  <c:v>533.9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E0-4CF7-8F46-0791C4F20656}"/>
            </c:ext>
          </c:extLst>
        </c:ser>
        <c:ser>
          <c:idx val="2"/>
          <c:order val="1"/>
          <c:tx>
            <c:strRef>
              <c:f>'12'!$AL$17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'12'!$AM$17:$BJ$17</c:f>
              <c:numCache>
                <c:formatCode>General</c:formatCode>
                <c:ptCount val="24"/>
                <c:pt idx="0">
                  <c:v>186.20000000000002</c:v>
                </c:pt>
                <c:pt idx="1">
                  <c:v>155.30000000000001</c:v>
                </c:pt>
                <c:pt idx="2">
                  <c:v>153.1</c:v>
                </c:pt>
                <c:pt idx="3">
                  <c:v>138</c:v>
                </c:pt>
                <c:pt idx="4">
                  <c:v>137.19999999999999</c:v>
                </c:pt>
                <c:pt idx="5">
                  <c:v>152.30000000000001</c:v>
                </c:pt>
                <c:pt idx="6">
                  <c:v>144.39999999999998</c:v>
                </c:pt>
                <c:pt idx="7">
                  <c:v>35.299999999999997</c:v>
                </c:pt>
                <c:pt idx="8">
                  <c:v>36.1</c:v>
                </c:pt>
                <c:pt idx="9">
                  <c:v>36.1</c:v>
                </c:pt>
                <c:pt idx="10">
                  <c:v>36.1</c:v>
                </c:pt>
                <c:pt idx="11">
                  <c:v>36.1</c:v>
                </c:pt>
                <c:pt idx="12">
                  <c:v>36.700000000000003</c:v>
                </c:pt>
                <c:pt idx="13">
                  <c:v>36.700000000000003</c:v>
                </c:pt>
                <c:pt idx="14">
                  <c:v>34.799999999999997</c:v>
                </c:pt>
                <c:pt idx="15">
                  <c:v>34.799999999999997</c:v>
                </c:pt>
                <c:pt idx="16">
                  <c:v>34.799999999999997</c:v>
                </c:pt>
                <c:pt idx="17">
                  <c:v>34.799999999999997</c:v>
                </c:pt>
                <c:pt idx="18" formatCode="0.0">
                  <c:v>34.799999999999997</c:v>
                </c:pt>
                <c:pt idx="19" formatCode="0.0">
                  <c:v>487.8</c:v>
                </c:pt>
                <c:pt idx="20" formatCode="0.0">
                  <c:v>416.5</c:v>
                </c:pt>
                <c:pt idx="21" formatCode="0.0">
                  <c:v>306.5</c:v>
                </c:pt>
                <c:pt idx="22" formatCode="0.0">
                  <c:v>235.5</c:v>
                </c:pt>
                <c:pt idx="23" formatCode="0.0">
                  <c:v>188.4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E0-4CF7-8F46-0791C4F20656}"/>
            </c:ext>
          </c:extLst>
        </c:ser>
        <c:ser>
          <c:idx val="3"/>
          <c:order val="2"/>
          <c:tx>
            <c:strRef>
              <c:f>'12'!$AL$18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'12'!$AM$18:$BJ$18</c:f>
              <c:numCache>
                <c:formatCode>General</c:formatCode>
                <c:ptCount val="24"/>
                <c:pt idx="0">
                  <c:v>288.24000000000007</c:v>
                </c:pt>
                <c:pt idx="1">
                  <c:v>288.24000000000007</c:v>
                </c:pt>
                <c:pt idx="2">
                  <c:v>288.94</c:v>
                </c:pt>
                <c:pt idx="3">
                  <c:v>254.43999999999997</c:v>
                </c:pt>
                <c:pt idx="4">
                  <c:v>271.94</c:v>
                </c:pt>
                <c:pt idx="5">
                  <c:v>265.54000000000002</c:v>
                </c:pt>
                <c:pt idx="6">
                  <c:v>290.34000000000003</c:v>
                </c:pt>
                <c:pt idx="7">
                  <c:v>371.54</c:v>
                </c:pt>
                <c:pt idx="8">
                  <c:v>251.53999999999996</c:v>
                </c:pt>
                <c:pt idx="9">
                  <c:v>249.94</c:v>
                </c:pt>
                <c:pt idx="10">
                  <c:v>251.94</c:v>
                </c:pt>
                <c:pt idx="11">
                  <c:v>297.74000000000007</c:v>
                </c:pt>
                <c:pt idx="12">
                  <c:v>287.54000000000002</c:v>
                </c:pt>
                <c:pt idx="13">
                  <c:v>271.24000000000007</c:v>
                </c:pt>
                <c:pt idx="14">
                  <c:v>250.94000000000003</c:v>
                </c:pt>
                <c:pt idx="15">
                  <c:v>237.94000000000003</c:v>
                </c:pt>
                <c:pt idx="16">
                  <c:v>211.14000000000001</c:v>
                </c:pt>
                <c:pt idx="17">
                  <c:v>208.44000000000003</c:v>
                </c:pt>
                <c:pt idx="18" formatCode="0.0">
                  <c:v>199.44000000000003</c:v>
                </c:pt>
                <c:pt idx="19" formatCode="0.0">
                  <c:v>293.5</c:v>
                </c:pt>
                <c:pt idx="20" formatCode="0.0">
                  <c:v>309.74000000000007</c:v>
                </c:pt>
                <c:pt idx="21" formatCode="0.0">
                  <c:v>280.24</c:v>
                </c:pt>
                <c:pt idx="22" formatCode="0.0">
                  <c:v>260.94</c:v>
                </c:pt>
                <c:pt idx="23" formatCode="0.0">
                  <c:v>262.33999999999997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E0-4CF7-8F46-0791C4F20656}"/>
            </c:ext>
          </c:extLst>
        </c:ser>
        <c:ser>
          <c:idx val="0"/>
          <c:order val="3"/>
          <c:tx>
            <c:strRef>
              <c:f>'12'!$AL$19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'12'!$AM$19:$BJ$19</c:f>
              <c:numCache>
                <c:formatCode>General</c:formatCode>
                <c:ptCount val="24"/>
                <c:pt idx="0">
                  <c:v>122.10000000000001</c:v>
                </c:pt>
                <c:pt idx="1">
                  <c:v>125.6</c:v>
                </c:pt>
                <c:pt idx="2">
                  <c:v>126.5</c:v>
                </c:pt>
                <c:pt idx="3">
                  <c:v>196.5</c:v>
                </c:pt>
                <c:pt idx="4">
                  <c:v>184.2</c:v>
                </c:pt>
                <c:pt idx="5">
                  <c:v>198.60000000000002</c:v>
                </c:pt>
                <c:pt idx="6">
                  <c:v>315</c:v>
                </c:pt>
                <c:pt idx="7">
                  <c:v>654</c:v>
                </c:pt>
                <c:pt idx="8">
                  <c:v>827.1</c:v>
                </c:pt>
                <c:pt idx="9">
                  <c:v>578.29999999999995</c:v>
                </c:pt>
                <c:pt idx="10">
                  <c:v>588.29999999999995</c:v>
                </c:pt>
                <c:pt idx="11">
                  <c:v>593</c:v>
                </c:pt>
                <c:pt idx="12">
                  <c:v>633.30000000000007</c:v>
                </c:pt>
                <c:pt idx="13">
                  <c:v>613.6</c:v>
                </c:pt>
                <c:pt idx="14">
                  <c:v>723.5</c:v>
                </c:pt>
                <c:pt idx="15">
                  <c:v>687.6</c:v>
                </c:pt>
                <c:pt idx="16">
                  <c:v>782</c:v>
                </c:pt>
                <c:pt idx="17">
                  <c:v>676.1</c:v>
                </c:pt>
                <c:pt idx="18" formatCode="0.0">
                  <c:v>667.30000000000007</c:v>
                </c:pt>
                <c:pt idx="19" formatCode="0.0">
                  <c:v>279.5</c:v>
                </c:pt>
                <c:pt idx="20" formatCode="0.0">
                  <c:v>241.4</c:v>
                </c:pt>
                <c:pt idx="21" formatCode="0.0">
                  <c:v>348.3</c:v>
                </c:pt>
                <c:pt idx="22" formatCode="0.0">
                  <c:v>341.9</c:v>
                </c:pt>
                <c:pt idx="23" formatCode="0.0">
                  <c:v>306.60000000000002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E0-4CF7-8F46-0791C4F20656}"/>
            </c:ext>
          </c:extLst>
        </c:ser>
        <c:ser>
          <c:idx val="4"/>
          <c:order val="4"/>
          <c:tx>
            <c:strRef>
              <c:f>'12'!$AL$20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'12'!$AM$20:$BJ$20</c:f>
              <c:numCache>
                <c:formatCode>General</c:formatCode>
                <c:ptCount val="24"/>
                <c:pt idx="0">
                  <c:v>98.699999999999989</c:v>
                </c:pt>
                <c:pt idx="1">
                  <c:v>98.699999999999989</c:v>
                </c:pt>
                <c:pt idx="2">
                  <c:v>97.899999999999991</c:v>
                </c:pt>
                <c:pt idx="3">
                  <c:v>97.8</c:v>
                </c:pt>
                <c:pt idx="4">
                  <c:v>97.1</c:v>
                </c:pt>
                <c:pt idx="5">
                  <c:v>96.699999999999989</c:v>
                </c:pt>
                <c:pt idx="6">
                  <c:v>97.7</c:v>
                </c:pt>
                <c:pt idx="7">
                  <c:v>97.600000000000009</c:v>
                </c:pt>
                <c:pt idx="8">
                  <c:v>97.600000000000009</c:v>
                </c:pt>
                <c:pt idx="9">
                  <c:v>97.7</c:v>
                </c:pt>
                <c:pt idx="10">
                  <c:v>97.7</c:v>
                </c:pt>
                <c:pt idx="11">
                  <c:v>97.7</c:v>
                </c:pt>
                <c:pt idx="12">
                  <c:v>97.8</c:v>
                </c:pt>
                <c:pt idx="13">
                  <c:v>97.8</c:v>
                </c:pt>
                <c:pt idx="14">
                  <c:v>97.8</c:v>
                </c:pt>
                <c:pt idx="15">
                  <c:v>97.8</c:v>
                </c:pt>
                <c:pt idx="16">
                  <c:v>97.8</c:v>
                </c:pt>
                <c:pt idx="17">
                  <c:v>97.8</c:v>
                </c:pt>
                <c:pt idx="18" formatCode="0.0">
                  <c:v>97.8</c:v>
                </c:pt>
                <c:pt idx="19" formatCode="0.0">
                  <c:v>97.8</c:v>
                </c:pt>
                <c:pt idx="20" formatCode="0.0">
                  <c:v>97.600000000000009</c:v>
                </c:pt>
                <c:pt idx="21" formatCode="0.0">
                  <c:v>97.199999999999989</c:v>
                </c:pt>
                <c:pt idx="22" formatCode="0.0">
                  <c:v>97.199999999999989</c:v>
                </c:pt>
                <c:pt idx="23" formatCode="0.0">
                  <c:v>95.9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E0-4CF7-8F46-0791C4F20656}"/>
            </c:ext>
          </c:extLst>
        </c:ser>
        <c:ser>
          <c:idx val="5"/>
          <c:order val="5"/>
          <c:tx>
            <c:strRef>
              <c:f>'12'!$AL$21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'12'!$AM$21:$BJ$21</c:f>
              <c:numCache>
                <c:formatCode>General</c:formatCode>
                <c:ptCount val="24"/>
                <c:pt idx="0">
                  <c:v>340</c:v>
                </c:pt>
                <c:pt idx="1">
                  <c:v>340</c:v>
                </c:pt>
                <c:pt idx="2">
                  <c:v>320</c:v>
                </c:pt>
                <c:pt idx="3">
                  <c:v>260</c:v>
                </c:pt>
                <c:pt idx="4">
                  <c:v>260</c:v>
                </c:pt>
                <c:pt idx="5">
                  <c:v>260</c:v>
                </c:pt>
                <c:pt idx="6">
                  <c:v>220</c:v>
                </c:pt>
                <c:pt idx="7">
                  <c:v>30</c:v>
                </c:pt>
                <c:pt idx="8">
                  <c:v>30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150</c:v>
                </c:pt>
                <c:pt idx="19" formatCode="0.0">
                  <c:v>280</c:v>
                </c:pt>
                <c:pt idx="20" formatCode="0.0">
                  <c:v>280</c:v>
                </c:pt>
                <c:pt idx="21" formatCode="0.0">
                  <c:v>280</c:v>
                </c:pt>
                <c:pt idx="22" formatCode="0.0">
                  <c:v>280</c:v>
                </c:pt>
                <c:pt idx="23" formatCode="0.0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3E0-4CF7-8F46-0791C4F20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'12'!$AL$23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'12'!$AM$23:$BJ$23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E0-4CF7-8F46-0791C4F20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'12'!$AL$22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'12'!$AM$22:$BJ$22</c:f>
              <c:numCache>
                <c:formatCode>General</c:formatCode>
                <c:ptCount val="24"/>
                <c:pt idx="0">
                  <c:v>1608.34</c:v>
                </c:pt>
                <c:pt idx="1">
                  <c:v>1580.9399999999998</c:v>
                </c:pt>
                <c:pt idx="2">
                  <c:v>1559.54</c:v>
                </c:pt>
                <c:pt idx="3">
                  <c:v>1519.84</c:v>
                </c:pt>
                <c:pt idx="4">
                  <c:v>1523.54</c:v>
                </c:pt>
                <c:pt idx="5">
                  <c:v>1546.24</c:v>
                </c:pt>
                <c:pt idx="6">
                  <c:v>1640.54</c:v>
                </c:pt>
                <c:pt idx="7">
                  <c:v>1761.5399999999997</c:v>
                </c:pt>
                <c:pt idx="8">
                  <c:v>1815.4399999999998</c:v>
                </c:pt>
                <c:pt idx="9">
                  <c:v>1635.1399999999999</c:v>
                </c:pt>
                <c:pt idx="10">
                  <c:v>1647.1399999999999</c:v>
                </c:pt>
                <c:pt idx="11">
                  <c:v>1697.64</c:v>
                </c:pt>
                <c:pt idx="12">
                  <c:v>1693.9399999999998</c:v>
                </c:pt>
                <c:pt idx="13">
                  <c:v>1657.9399999999998</c:v>
                </c:pt>
                <c:pt idx="14">
                  <c:v>1645.6399999999999</c:v>
                </c:pt>
                <c:pt idx="15">
                  <c:v>1596.74</c:v>
                </c:pt>
                <c:pt idx="16">
                  <c:v>1664.34</c:v>
                </c:pt>
                <c:pt idx="17">
                  <c:v>1555.74</c:v>
                </c:pt>
                <c:pt idx="18">
                  <c:v>1687.9399999999998</c:v>
                </c:pt>
                <c:pt idx="19">
                  <c:v>1977.1999999999998</c:v>
                </c:pt>
                <c:pt idx="20">
                  <c:v>1883.54</c:v>
                </c:pt>
                <c:pt idx="21">
                  <c:v>1851.04</c:v>
                </c:pt>
                <c:pt idx="22">
                  <c:v>1753.84</c:v>
                </c:pt>
                <c:pt idx="23">
                  <c:v>1667.1399999999999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83E0-4CF7-8F46-0791C4F20656}"/>
            </c:ext>
          </c:extLst>
        </c:ser>
        <c:ser>
          <c:idx val="8"/>
          <c:order val="8"/>
          <c:tx>
            <c:strRef>
              <c:f>'12'!$AL$24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'12'!$AM$24:$BJ$24</c:f>
              <c:numCache>
                <c:formatCode>General</c:formatCode>
                <c:ptCount val="24"/>
                <c:pt idx="0">
                  <c:v>1608.34</c:v>
                </c:pt>
                <c:pt idx="1">
                  <c:v>1580.9399999999998</c:v>
                </c:pt>
                <c:pt idx="2">
                  <c:v>1559.54</c:v>
                </c:pt>
                <c:pt idx="3">
                  <c:v>1519.84</c:v>
                </c:pt>
                <c:pt idx="4">
                  <c:v>1523.54</c:v>
                </c:pt>
                <c:pt idx="5">
                  <c:v>1546.24</c:v>
                </c:pt>
                <c:pt idx="6">
                  <c:v>1640.54</c:v>
                </c:pt>
                <c:pt idx="7">
                  <c:v>1761.5399999999997</c:v>
                </c:pt>
                <c:pt idx="8">
                  <c:v>1815.4399999999998</c:v>
                </c:pt>
                <c:pt idx="9">
                  <c:v>1635.1399999999999</c:v>
                </c:pt>
                <c:pt idx="10">
                  <c:v>1647.1399999999999</c:v>
                </c:pt>
                <c:pt idx="11">
                  <c:v>1697.64</c:v>
                </c:pt>
                <c:pt idx="12">
                  <c:v>1693.9399999999998</c:v>
                </c:pt>
                <c:pt idx="13">
                  <c:v>1657.9399999999998</c:v>
                </c:pt>
                <c:pt idx="14">
                  <c:v>1645.6399999999999</c:v>
                </c:pt>
                <c:pt idx="15">
                  <c:v>1596.74</c:v>
                </c:pt>
                <c:pt idx="16">
                  <c:v>1664.34</c:v>
                </c:pt>
                <c:pt idx="17">
                  <c:v>1555.74</c:v>
                </c:pt>
                <c:pt idx="18">
                  <c:v>1687.9399999999998</c:v>
                </c:pt>
                <c:pt idx="19">
                  <c:v>1977.1999999999998</c:v>
                </c:pt>
                <c:pt idx="20">
                  <c:v>1883.54</c:v>
                </c:pt>
                <c:pt idx="21">
                  <c:v>1851.04</c:v>
                </c:pt>
                <c:pt idx="22">
                  <c:v>1753.84</c:v>
                </c:pt>
                <c:pt idx="23">
                  <c:v>1667.1399999999999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3E0-4CF7-8F46-0791C4F20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DA5-44A8-A30D-E3048E92DF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DA5-44A8-A30D-E3048E92DF9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DA5-44A8-A30D-E3048E92DF9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DA5-44A8-A30D-E3048E92DF9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DA5-44A8-A30D-E3048E92DF9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DA5-44A8-A30D-E3048E92DF9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'13'!$AL$16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'13'!$AM$16:$BJ$16</c:f>
              <c:numCache>
                <c:formatCode>General</c:formatCode>
                <c:ptCount val="24"/>
                <c:pt idx="0">
                  <c:v>531.20000000000005</c:v>
                </c:pt>
                <c:pt idx="1">
                  <c:v>532.70000000000005</c:v>
                </c:pt>
                <c:pt idx="2">
                  <c:v>533.90000000000009</c:v>
                </c:pt>
                <c:pt idx="3">
                  <c:v>534.79999999999995</c:v>
                </c:pt>
                <c:pt idx="4">
                  <c:v>533.90000000000009</c:v>
                </c:pt>
                <c:pt idx="5">
                  <c:v>536.5</c:v>
                </c:pt>
                <c:pt idx="6">
                  <c:v>533.6</c:v>
                </c:pt>
                <c:pt idx="7">
                  <c:v>533.90000000000009</c:v>
                </c:pt>
                <c:pt idx="8">
                  <c:v>0</c:v>
                </c:pt>
                <c:pt idx="9">
                  <c:v>533.90000000000009</c:v>
                </c:pt>
                <c:pt idx="10">
                  <c:v>533.90000000000009</c:v>
                </c:pt>
                <c:pt idx="11">
                  <c:v>533.90000000000009</c:v>
                </c:pt>
                <c:pt idx="12">
                  <c:v>533.90000000000009</c:v>
                </c:pt>
                <c:pt idx="13">
                  <c:v>533.90000000000009</c:v>
                </c:pt>
                <c:pt idx="14">
                  <c:v>517.10000000000014</c:v>
                </c:pt>
                <c:pt idx="15">
                  <c:v>517.10000000000014</c:v>
                </c:pt>
                <c:pt idx="16">
                  <c:v>517.10000000000014</c:v>
                </c:pt>
                <c:pt idx="17">
                  <c:v>517.20000000000005</c:v>
                </c:pt>
                <c:pt idx="18" formatCode="0.0">
                  <c:v>488.5</c:v>
                </c:pt>
                <c:pt idx="19" formatCode="0.0">
                  <c:v>488.5</c:v>
                </c:pt>
                <c:pt idx="20" formatCode="0.0">
                  <c:v>488.5</c:v>
                </c:pt>
                <c:pt idx="21" formatCode="0.0">
                  <c:v>488.5</c:v>
                </c:pt>
                <c:pt idx="22" formatCode="0.0">
                  <c:v>488.5</c:v>
                </c:pt>
                <c:pt idx="23" formatCode="0.0">
                  <c:v>488.5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E1-49AD-AC35-1715B3638A33}"/>
            </c:ext>
          </c:extLst>
        </c:ser>
        <c:ser>
          <c:idx val="2"/>
          <c:order val="1"/>
          <c:tx>
            <c:strRef>
              <c:f>'13'!$AL$17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'13'!$AM$17:$BJ$17</c:f>
              <c:numCache>
                <c:formatCode>General</c:formatCode>
                <c:ptCount val="24"/>
                <c:pt idx="0">
                  <c:v>143.69999999999999</c:v>
                </c:pt>
                <c:pt idx="1">
                  <c:v>138.69999999999999</c:v>
                </c:pt>
                <c:pt idx="2">
                  <c:v>118.2</c:v>
                </c:pt>
                <c:pt idx="3">
                  <c:v>115.00000000000001</c:v>
                </c:pt>
                <c:pt idx="4">
                  <c:v>114.9</c:v>
                </c:pt>
                <c:pt idx="5">
                  <c:v>115</c:v>
                </c:pt>
                <c:pt idx="6">
                  <c:v>185.20000000000002</c:v>
                </c:pt>
                <c:pt idx="7">
                  <c:v>31.8</c:v>
                </c:pt>
                <c:pt idx="8">
                  <c:v>31.8</c:v>
                </c:pt>
                <c:pt idx="9">
                  <c:v>31.8</c:v>
                </c:pt>
                <c:pt idx="10">
                  <c:v>31.8</c:v>
                </c:pt>
                <c:pt idx="11">
                  <c:v>31.8</c:v>
                </c:pt>
                <c:pt idx="12">
                  <c:v>31.8</c:v>
                </c:pt>
                <c:pt idx="13">
                  <c:v>31.8</c:v>
                </c:pt>
                <c:pt idx="14">
                  <c:v>15.8</c:v>
                </c:pt>
                <c:pt idx="15">
                  <c:v>15.8</c:v>
                </c:pt>
                <c:pt idx="16">
                  <c:v>15.8</c:v>
                </c:pt>
                <c:pt idx="17">
                  <c:v>31.2</c:v>
                </c:pt>
                <c:pt idx="18" formatCode="0.0">
                  <c:v>66.399999999999991</c:v>
                </c:pt>
                <c:pt idx="19" formatCode="0.0">
                  <c:v>234.4</c:v>
                </c:pt>
                <c:pt idx="20" formatCode="0.0">
                  <c:v>240.60000000000002</c:v>
                </c:pt>
                <c:pt idx="21" formatCode="0.0">
                  <c:v>339.6</c:v>
                </c:pt>
                <c:pt idx="22" formatCode="0.0">
                  <c:v>395.6</c:v>
                </c:pt>
                <c:pt idx="23" formatCode="0.0">
                  <c:v>420.6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E1-49AD-AC35-1715B3638A33}"/>
            </c:ext>
          </c:extLst>
        </c:ser>
        <c:ser>
          <c:idx val="3"/>
          <c:order val="2"/>
          <c:tx>
            <c:strRef>
              <c:f>'13'!$AL$18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'13'!$AM$18:$BJ$18</c:f>
              <c:numCache>
                <c:formatCode>General</c:formatCode>
                <c:ptCount val="24"/>
                <c:pt idx="0">
                  <c:v>240.64</c:v>
                </c:pt>
                <c:pt idx="1">
                  <c:v>241.93999999999997</c:v>
                </c:pt>
                <c:pt idx="2">
                  <c:v>220.53999999999996</c:v>
                </c:pt>
                <c:pt idx="3">
                  <c:v>210.04</c:v>
                </c:pt>
                <c:pt idx="4">
                  <c:v>193.43999999999997</c:v>
                </c:pt>
                <c:pt idx="5">
                  <c:v>193.83999999999997</c:v>
                </c:pt>
                <c:pt idx="6">
                  <c:v>242.93999999999997</c:v>
                </c:pt>
                <c:pt idx="7">
                  <c:v>357.24</c:v>
                </c:pt>
                <c:pt idx="8">
                  <c:v>266.33999999999997</c:v>
                </c:pt>
                <c:pt idx="9">
                  <c:v>358.44000000000011</c:v>
                </c:pt>
                <c:pt idx="10">
                  <c:v>358.44000000000011</c:v>
                </c:pt>
                <c:pt idx="11">
                  <c:v>266.74</c:v>
                </c:pt>
                <c:pt idx="12">
                  <c:v>255.73999999999998</c:v>
                </c:pt>
                <c:pt idx="13">
                  <c:v>255.73999999999998</c:v>
                </c:pt>
                <c:pt idx="14">
                  <c:v>243.45</c:v>
                </c:pt>
                <c:pt idx="15">
                  <c:v>243.45</c:v>
                </c:pt>
                <c:pt idx="16">
                  <c:v>253.45</c:v>
                </c:pt>
                <c:pt idx="17">
                  <c:v>214.34</c:v>
                </c:pt>
                <c:pt idx="18" formatCode="0.0">
                  <c:v>184.18000000000004</c:v>
                </c:pt>
                <c:pt idx="19" formatCode="0.0">
                  <c:v>189.94</c:v>
                </c:pt>
                <c:pt idx="20" formatCode="0.0">
                  <c:v>256.58000000000004</c:v>
                </c:pt>
                <c:pt idx="21" formatCode="0.0">
                  <c:v>250.58</c:v>
                </c:pt>
                <c:pt idx="22" formatCode="0.0">
                  <c:v>230.78</c:v>
                </c:pt>
                <c:pt idx="23" formatCode="0.0">
                  <c:v>200.48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E1-49AD-AC35-1715B3638A33}"/>
            </c:ext>
          </c:extLst>
        </c:ser>
        <c:ser>
          <c:idx val="0"/>
          <c:order val="3"/>
          <c:tx>
            <c:strRef>
              <c:f>'13'!$AL$19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'13'!$AM$19:$BJ$19</c:f>
              <c:numCache>
                <c:formatCode>General</c:formatCode>
                <c:ptCount val="24"/>
                <c:pt idx="0">
                  <c:v>331.90000000000003</c:v>
                </c:pt>
                <c:pt idx="1">
                  <c:v>315.2</c:v>
                </c:pt>
                <c:pt idx="2">
                  <c:v>313.89999999999998</c:v>
                </c:pt>
                <c:pt idx="3">
                  <c:v>312.79999999999995</c:v>
                </c:pt>
                <c:pt idx="4">
                  <c:v>320.3</c:v>
                </c:pt>
                <c:pt idx="5">
                  <c:v>331.59999999999997</c:v>
                </c:pt>
                <c:pt idx="6">
                  <c:v>432.7</c:v>
                </c:pt>
                <c:pt idx="7">
                  <c:v>708.69999999999993</c:v>
                </c:pt>
                <c:pt idx="8">
                  <c:v>659.2</c:v>
                </c:pt>
                <c:pt idx="9">
                  <c:v>713</c:v>
                </c:pt>
                <c:pt idx="10">
                  <c:v>693.5</c:v>
                </c:pt>
                <c:pt idx="11">
                  <c:v>699.6</c:v>
                </c:pt>
                <c:pt idx="12">
                  <c:v>699.6</c:v>
                </c:pt>
                <c:pt idx="13">
                  <c:v>699.6</c:v>
                </c:pt>
                <c:pt idx="14">
                  <c:v>870.8</c:v>
                </c:pt>
                <c:pt idx="15">
                  <c:v>845.80000000000007</c:v>
                </c:pt>
                <c:pt idx="16">
                  <c:v>879.90999999999985</c:v>
                </c:pt>
                <c:pt idx="17">
                  <c:v>892.6400000000001</c:v>
                </c:pt>
                <c:pt idx="18" formatCode="0.0">
                  <c:v>713.5</c:v>
                </c:pt>
                <c:pt idx="19" formatCode="0.0">
                  <c:v>526.20000000000005</c:v>
                </c:pt>
                <c:pt idx="20" formatCode="0.0">
                  <c:v>515</c:v>
                </c:pt>
                <c:pt idx="21" formatCode="0.0">
                  <c:v>495</c:v>
                </c:pt>
                <c:pt idx="22" formatCode="0.0">
                  <c:v>268</c:v>
                </c:pt>
                <c:pt idx="23" formatCode="0.0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E1-49AD-AC35-1715B3638A33}"/>
            </c:ext>
          </c:extLst>
        </c:ser>
        <c:ser>
          <c:idx val="4"/>
          <c:order val="4"/>
          <c:tx>
            <c:strRef>
              <c:f>'13'!$AL$20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'13'!$AM$20:$BJ$20</c:f>
              <c:numCache>
                <c:formatCode>General</c:formatCode>
                <c:ptCount val="24"/>
                <c:pt idx="0">
                  <c:v>96.1</c:v>
                </c:pt>
                <c:pt idx="1">
                  <c:v>96</c:v>
                </c:pt>
                <c:pt idx="2">
                  <c:v>96</c:v>
                </c:pt>
                <c:pt idx="3">
                  <c:v>96.8</c:v>
                </c:pt>
                <c:pt idx="4">
                  <c:v>94.6</c:v>
                </c:pt>
                <c:pt idx="5">
                  <c:v>96.100000000000009</c:v>
                </c:pt>
                <c:pt idx="6">
                  <c:v>96.100000000000009</c:v>
                </c:pt>
                <c:pt idx="7">
                  <c:v>97.100000000000009</c:v>
                </c:pt>
                <c:pt idx="8">
                  <c:v>97.100000000000009</c:v>
                </c:pt>
                <c:pt idx="9">
                  <c:v>97.100000000000009</c:v>
                </c:pt>
                <c:pt idx="10">
                  <c:v>97.100000000000009</c:v>
                </c:pt>
                <c:pt idx="11">
                  <c:v>97.100000000000009</c:v>
                </c:pt>
                <c:pt idx="12">
                  <c:v>97.100000000000009</c:v>
                </c:pt>
                <c:pt idx="13">
                  <c:v>97.100000000000009</c:v>
                </c:pt>
                <c:pt idx="14">
                  <c:v>97.100000000000009</c:v>
                </c:pt>
                <c:pt idx="15">
                  <c:v>97.100000000000009</c:v>
                </c:pt>
                <c:pt idx="16">
                  <c:v>97.100000000000009</c:v>
                </c:pt>
                <c:pt idx="17">
                  <c:v>97.100000000000009</c:v>
                </c:pt>
                <c:pt idx="18" formatCode="0.0">
                  <c:v>35</c:v>
                </c:pt>
                <c:pt idx="19" formatCode="0.0">
                  <c:v>98.23</c:v>
                </c:pt>
                <c:pt idx="20" formatCode="0.0">
                  <c:v>98.23</c:v>
                </c:pt>
                <c:pt idx="21" formatCode="0.0">
                  <c:v>98.23</c:v>
                </c:pt>
                <c:pt idx="22" formatCode="0.0">
                  <c:v>98.23</c:v>
                </c:pt>
                <c:pt idx="23" formatCode="0.0">
                  <c:v>98.23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E1-49AD-AC35-1715B3638A33}"/>
            </c:ext>
          </c:extLst>
        </c:ser>
        <c:ser>
          <c:idx val="5"/>
          <c:order val="5"/>
          <c:tx>
            <c:strRef>
              <c:f>'13'!$AL$21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'13'!$AM$21:$BJ$21</c:f>
              <c:numCache>
                <c:formatCode>General</c:formatCode>
                <c:ptCount val="24"/>
                <c:pt idx="0">
                  <c:v>280</c:v>
                </c:pt>
                <c:pt idx="1">
                  <c:v>280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200</c:v>
                </c:pt>
                <c:pt idx="7">
                  <c:v>50</c:v>
                </c:pt>
                <c:pt idx="8">
                  <c:v>50</c:v>
                </c:pt>
                <c:pt idx="9">
                  <c:v>80</c:v>
                </c:pt>
                <c:pt idx="10">
                  <c:v>80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50</c:v>
                </c:pt>
                <c:pt idx="15">
                  <c:v>50</c:v>
                </c:pt>
                <c:pt idx="16">
                  <c:v>25</c:v>
                </c:pt>
                <c:pt idx="17">
                  <c:v>25</c:v>
                </c:pt>
                <c:pt idx="18" formatCode="0.0">
                  <c:v>200</c:v>
                </c:pt>
                <c:pt idx="19" formatCode="0.0">
                  <c:v>300</c:v>
                </c:pt>
                <c:pt idx="20" formatCode="0.0">
                  <c:v>300</c:v>
                </c:pt>
                <c:pt idx="21" formatCode="0.0">
                  <c:v>300</c:v>
                </c:pt>
                <c:pt idx="22" formatCode="0.0">
                  <c:v>300</c:v>
                </c:pt>
                <c:pt idx="23" formatCode="0.0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E1-49AD-AC35-1715B3638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'13'!$AL$23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'13'!$AM$23:$BJ$23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E1-49AD-AC35-1715B3638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'13'!$AL$22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'13'!$AM$22:$BJ$22</c:f>
              <c:numCache>
                <c:formatCode>General</c:formatCode>
                <c:ptCount val="24"/>
                <c:pt idx="0">
                  <c:v>1623.54</c:v>
                </c:pt>
                <c:pt idx="1">
                  <c:v>1604.54</c:v>
                </c:pt>
                <c:pt idx="2">
                  <c:v>1532.54</c:v>
                </c:pt>
                <c:pt idx="3">
                  <c:v>1519.4399999999998</c:v>
                </c:pt>
                <c:pt idx="4">
                  <c:v>1507.1399999999999</c:v>
                </c:pt>
                <c:pt idx="5">
                  <c:v>1523.0399999999997</c:v>
                </c:pt>
                <c:pt idx="6">
                  <c:v>1690.54</c:v>
                </c:pt>
                <c:pt idx="7">
                  <c:v>1778.7399999999998</c:v>
                </c:pt>
                <c:pt idx="8">
                  <c:v>1104.44</c:v>
                </c:pt>
                <c:pt idx="9">
                  <c:v>1814.24</c:v>
                </c:pt>
                <c:pt idx="10">
                  <c:v>1794.74</c:v>
                </c:pt>
                <c:pt idx="11">
                  <c:v>1729.1399999999999</c:v>
                </c:pt>
                <c:pt idx="12">
                  <c:v>1718.1399999999999</c:v>
                </c:pt>
                <c:pt idx="13">
                  <c:v>1718.1399999999999</c:v>
                </c:pt>
                <c:pt idx="14">
                  <c:v>1794.25</c:v>
                </c:pt>
                <c:pt idx="15">
                  <c:v>1769.25</c:v>
                </c:pt>
                <c:pt idx="16">
                  <c:v>1788.36</c:v>
                </c:pt>
                <c:pt idx="17">
                  <c:v>1777.48</c:v>
                </c:pt>
                <c:pt idx="18">
                  <c:v>1687.58</c:v>
                </c:pt>
                <c:pt idx="19">
                  <c:v>1837.27</c:v>
                </c:pt>
                <c:pt idx="20">
                  <c:v>1898.91</c:v>
                </c:pt>
                <c:pt idx="21">
                  <c:v>1971.91</c:v>
                </c:pt>
                <c:pt idx="22">
                  <c:v>1781.1100000000001</c:v>
                </c:pt>
                <c:pt idx="23">
                  <c:v>1684.81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CAE1-49AD-AC35-1715B3638A33}"/>
            </c:ext>
          </c:extLst>
        </c:ser>
        <c:ser>
          <c:idx val="8"/>
          <c:order val="8"/>
          <c:tx>
            <c:strRef>
              <c:f>'13'!$AL$24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'13'!$AM$24:$BJ$24</c:f>
              <c:numCache>
                <c:formatCode>General</c:formatCode>
                <c:ptCount val="24"/>
                <c:pt idx="0">
                  <c:v>1623.54</c:v>
                </c:pt>
                <c:pt idx="1">
                  <c:v>1604.54</c:v>
                </c:pt>
                <c:pt idx="2">
                  <c:v>1532.54</c:v>
                </c:pt>
                <c:pt idx="3">
                  <c:v>1519.4399999999998</c:v>
                </c:pt>
                <c:pt idx="4">
                  <c:v>1507.1399999999999</c:v>
                </c:pt>
                <c:pt idx="5">
                  <c:v>1523.0399999999997</c:v>
                </c:pt>
                <c:pt idx="6">
                  <c:v>1690.54</c:v>
                </c:pt>
                <c:pt idx="7">
                  <c:v>1778.7399999999998</c:v>
                </c:pt>
                <c:pt idx="8">
                  <c:v>1104.44</c:v>
                </c:pt>
                <c:pt idx="9">
                  <c:v>1814.24</c:v>
                </c:pt>
                <c:pt idx="10">
                  <c:v>1794.74</c:v>
                </c:pt>
                <c:pt idx="11">
                  <c:v>1729.1399999999999</c:v>
                </c:pt>
                <c:pt idx="12">
                  <c:v>1718.1399999999999</c:v>
                </c:pt>
                <c:pt idx="13">
                  <c:v>1718.1399999999999</c:v>
                </c:pt>
                <c:pt idx="14">
                  <c:v>1794.25</c:v>
                </c:pt>
                <c:pt idx="15">
                  <c:v>1769.25</c:v>
                </c:pt>
                <c:pt idx="16">
                  <c:v>1788.36</c:v>
                </c:pt>
                <c:pt idx="17">
                  <c:v>1777.48</c:v>
                </c:pt>
                <c:pt idx="18">
                  <c:v>1687.58</c:v>
                </c:pt>
                <c:pt idx="19">
                  <c:v>1837.27</c:v>
                </c:pt>
                <c:pt idx="20">
                  <c:v>1898.91</c:v>
                </c:pt>
                <c:pt idx="21">
                  <c:v>1971.91</c:v>
                </c:pt>
                <c:pt idx="22">
                  <c:v>1781.1100000000001</c:v>
                </c:pt>
                <c:pt idx="23">
                  <c:v>1684.81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AE1-49AD-AC35-1715B3638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C0E-48CB-B7ED-6C0DF00CEB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C0E-48CB-B7ED-6C0DF00CEB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C0E-48CB-B7ED-6C0DF00CEB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C0E-48CB-B7ED-6C0DF00CEB1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C0E-48CB-B7ED-6C0DF00CEB1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4C0E-48CB-B7ED-6C0DF00CEB1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'14'!$AL$16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'14'!$AM$16:$BJ$16</c:f>
              <c:numCache>
                <c:formatCode>General</c:formatCode>
                <c:ptCount val="24"/>
                <c:pt idx="0">
                  <c:v>461.74999999999994</c:v>
                </c:pt>
                <c:pt idx="1">
                  <c:v>461.74999999999994</c:v>
                </c:pt>
                <c:pt idx="2">
                  <c:v>461.74999999999994</c:v>
                </c:pt>
                <c:pt idx="3">
                  <c:v>461.74999999999994</c:v>
                </c:pt>
                <c:pt idx="4">
                  <c:v>461.74999999999994</c:v>
                </c:pt>
                <c:pt idx="5">
                  <c:v>461.74999999999994</c:v>
                </c:pt>
                <c:pt idx="6">
                  <c:v>461.74999999999994</c:v>
                </c:pt>
                <c:pt idx="7">
                  <c:v>461.74999999999994</c:v>
                </c:pt>
                <c:pt idx="8">
                  <c:v>461.74999999999994</c:v>
                </c:pt>
                <c:pt idx="9">
                  <c:v>461.74999999999994</c:v>
                </c:pt>
                <c:pt idx="10">
                  <c:v>461.74999999999994</c:v>
                </c:pt>
                <c:pt idx="11">
                  <c:v>461.74999999999994</c:v>
                </c:pt>
                <c:pt idx="12">
                  <c:v>483.34999999999997</c:v>
                </c:pt>
                <c:pt idx="13">
                  <c:v>483.34999999999997</c:v>
                </c:pt>
                <c:pt idx="14">
                  <c:v>483.34999999999997</c:v>
                </c:pt>
                <c:pt idx="15">
                  <c:v>483.34999999999997</c:v>
                </c:pt>
                <c:pt idx="16">
                  <c:v>483.34999999999997</c:v>
                </c:pt>
                <c:pt idx="17">
                  <c:v>483.34999999999997</c:v>
                </c:pt>
                <c:pt idx="18" formatCode="0.0">
                  <c:v>483.34999999999997</c:v>
                </c:pt>
                <c:pt idx="19" formatCode="0.0">
                  <c:v>483.34999999999997</c:v>
                </c:pt>
                <c:pt idx="20" formatCode="0.0">
                  <c:v>483.34999999999997</c:v>
                </c:pt>
                <c:pt idx="21" formatCode="0.0">
                  <c:v>483.34999999999997</c:v>
                </c:pt>
                <c:pt idx="22" formatCode="0.0">
                  <c:v>486.05</c:v>
                </c:pt>
                <c:pt idx="23" formatCode="0.0">
                  <c:v>486.05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E5-4070-A023-5509993DA5B8}"/>
            </c:ext>
          </c:extLst>
        </c:ser>
        <c:ser>
          <c:idx val="2"/>
          <c:order val="1"/>
          <c:tx>
            <c:strRef>
              <c:f>'14'!$AL$17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'14'!$AM$17:$BJ$17</c:f>
              <c:numCache>
                <c:formatCode>General</c:formatCode>
                <c:ptCount val="24"/>
                <c:pt idx="0">
                  <c:v>209.60000000000002</c:v>
                </c:pt>
                <c:pt idx="1">
                  <c:v>139.6</c:v>
                </c:pt>
                <c:pt idx="2">
                  <c:v>139.6</c:v>
                </c:pt>
                <c:pt idx="3">
                  <c:v>139.6</c:v>
                </c:pt>
                <c:pt idx="4">
                  <c:v>139.6</c:v>
                </c:pt>
                <c:pt idx="5">
                  <c:v>139.6</c:v>
                </c:pt>
                <c:pt idx="6">
                  <c:v>139.6</c:v>
                </c:pt>
                <c:pt idx="7">
                  <c:v>39.6</c:v>
                </c:pt>
                <c:pt idx="8">
                  <c:v>39.6</c:v>
                </c:pt>
                <c:pt idx="9">
                  <c:v>39.6</c:v>
                </c:pt>
                <c:pt idx="10">
                  <c:v>39.6</c:v>
                </c:pt>
                <c:pt idx="11">
                  <c:v>39.6</c:v>
                </c:pt>
                <c:pt idx="12">
                  <c:v>33.700000000000003</c:v>
                </c:pt>
                <c:pt idx="13">
                  <c:v>33.700000000000003</c:v>
                </c:pt>
                <c:pt idx="14">
                  <c:v>37.6</c:v>
                </c:pt>
                <c:pt idx="15">
                  <c:v>37.5</c:v>
                </c:pt>
                <c:pt idx="16">
                  <c:v>37.5</c:v>
                </c:pt>
                <c:pt idx="17">
                  <c:v>37.5</c:v>
                </c:pt>
                <c:pt idx="18" formatCode="0.0">
                  <c:v>53.1</c:v>
                </c:pt>
                <c:pt idx="19" formatCode="0.0">
                  <c:v>337.5</c:v>
                </c:pt>
                <c:pt idx="20" formatCode="0.0">
                  <c:v>321.5</c:v>
                </c:pt>
                <c:pt idx="21" formatCode="0.0">
                  <c:v>282.5</c:v>
                </c:pt>
                <c:pt idx="22" formatCode="0.0">
                  <c:v>282.5</c:v>
                </c:pt>
                <c:pt idx="23" formatCode="0.0">
                  <c:v>240.9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E5-4070-A023-5509993DA5B8}"/>
            </c:ext>
          </c:extLst>
        </c:ser>
        <c:ser>
          <c:idx val="3"/>
          <c:order val="2"/>
          <c:tx>
            <c:strRef>
              <c:f>'14'!$AL$18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'14'!$AM$18:$BJ$18</c:f>
              <c:numCache>
                <c:formatCode>General</c:formatCode>
                <c:ptCount val="24"/>
                <c:pt idx="0">
                  <c:v>238.88</c:v>
                </c:pt>
                <c:pt idx="1">
                  <c:v>238.88</c:v>
                </c:pt>
                <c:pt idx="2">
                  <c:v>238.88</c:v>
                </c:pt>
                <c:pt idx="3">
                  <c:v>253.88000000000002</c:v>
                </c:pt>
                <c:pt idx="4">
                  <c:v>255.88000000000002</c:v>
                </c:pt>
                <c:pt idx="5">
                  <c:v>238.38000000000002</c:v>
                </c:pt>
                <c:pt idx="6">
                  <c:v>278.08000000000004</c:v>
                </c:pt>
                <c:pt idx="7">
                  <c:v>226.48000000000002</c:v>
                </c:pt>
                <c:pt idx="8">
                  <c:v>284.77999999999997</c:v>
                </c:pt>
                <c:pt idx="9">
                  <c:v>246.07999999999998</c:v>
                </c:pt>
                <c:pt idx="10">
                  <c:v>249.74</c:v>
                </c:pt>
                <c:pt idx="11">
                  <c:v>282.27999999999997</c:v>
                </c:pt>
                <c:pt idx="12">
                  <c:v>286.67999999999995</c:v>
                </c:pt>
                <c:pt idx="13">
                  <c:v>269.58</c:v>
                </c:pt>
                <c:pt idx="14">
                  <c:v>276.97999999999996</c:v>
                </c:pt>
                <c:pt idx="15">
                  <c:v>269.47999999999996</c:v>
                </c:pt>
                <c:pt idx="16">
                  <c:v>239.77999999999997</c:v>
                </c:pt>
                <c:pt idx="17">
                  <c:v>206.98000000000002</c:v>
                </c:pt>
                <c:pt idx="18" formatCode="0.0">
                  <c:v>234.27999999999997</c:v>
                </c:pt>
                <c:pt idx="19" formatCode="0.0">
                  <c:v>329.17999999999995</c:v>
                </c:pt>
                <c:pt idx="20" formatCode="0.0">
                  <c:v>272.08</c:v>
                </c:pt>
                <c:pt idx="21" formatCode="0.0">
                  <c:v>261.77999999999997</c:v>
                </c:pt>
                <c:pt idx="22" formatCode="0.0">
                  <c:v>261.77999999999997</c:v>
                </c:pt>
                <c:pt idx="23" formatCode="0.0">
                  <c:v>272.18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E5-4070-A023-5509993DA5B8}"/>
            </c:ext>
          </c:extLst>
        </c:ser>
        <c:ser>
          <c:idx val="0"/>
          <c:order val="3"/>
          <c:tx>
            <c:strRef>
              <c:f>'14'!$AL$19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'14'!$AM$19:$BJ$19</c:f>
              <c:numCache>
                <c:formatCode>General</c:formatCode>
                <c:ptCount val="24"/>
                <c:pt idx="0">
                  <c:v>273</c:v>
                </c:pt>
                <c:pt idx="1">
                  <c:v>300</c:v>
                </c:pt>
                <c:pt idx="2">
                  <c:v>300</c:v>
                </c:pt>
                <c:pt idx="3">
                  <c:v>228.2</c:v>
                </c:pt>
                <c:pt idx="4">
                  <c:v>224.5</c:v>
                </c:pt>
                <c:pt idx="5">
                  <c:v>270.2</c:v>
                </c:pt>
                <c:pt idx="6">
                  <c:v>352.4</c:v>
                </c:pt>
                <c:pt idx="7">
                  <c:v>804.4</c:v>
                </c:pt>
                <c:pt idx="8">
                  <c:v>841</c:v>
                </c:pt>
                <c:pt idx="9">
                  <c:v>835</c:v>
                </c:pt>
                <c:pt idx="10">
                  <c:v>793</c:v>
                </c:pt>
                <c:pt idx="11">
                  <c:v>887</c:v>
                </c:pt>
                <c:pt idx="12">
                  <c:v>849.2</c:v>
                </c:pt>
                <c:pt idx="13">
                  <c:v>784.6</c:v>
                </c:pt>
                <c:pt idx="14">
                  <c:v>864.69999999999993</c:v>
                </c:pt>
                <c:pt idx="15">
                  <c:v>890.9</c:v>
                </c:pt>
                <c:pt idx="16">
                  <c:v>857.60000000000014</c:v>
                </c:pt>
                <c:pt idx="17">
                  <c:v>908.50000000000011</c:v>
                </c:pt>
                <c:pt idx="18" formatCode="0.0">
                  <c:v>702.6</c:v>
                </c:pt>
                <c:pt idx="19" formatCode="0.0">
                  <c:v>463.5</c:v>
                </c:pt>
                <c:pt idx="20" formatCode="0.0">
                  <c:v>381.6</c:v>
                </c:pt>
                <c:pt idx="21" formatCode="0.0">
                  <c:v>388</c:v>
                </c:pt>
                <c:pt idx="22" formatCode="0.0">
                  <c:v>293.3</c:v>
                </c:pt>
                <c:pt idx="23" formatCode="0.0">
                  <c:v>223.39999999999998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E5-4070-A023-5509993DA5B8}"/>
            </c:ext>
          </c:extLst>
        </c:ser>
        <c:ser>
          <c:idx val="4"/>
          <c:order val="4"/>
          <c:tx>
            <c:strRef>
              <c:f>'14'!$AL$20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'14'!$AM$20:$BJ$20</c:f>
              <c:numCache>
                <c:formatCode>General</c:formatCode>
                <c:ptCount val="24"/>
                <c:pt idx="0">
                  <c:v>98.23</c:v>
                </c:pt>
                <c:pt idx="1">
                  <c:v>98.23</c:v>
                </c:pt>
                <c:pt idx="2">
                  <c:v>98.23</c:v>
                </c:pt>
                <c:pt idx="3">
                  <c:v>98.23</c:v>
                </c:pt>
                <c:pt idx="4">
                  <c:v>98.23</c:v>
                </c:pt>
                <c:pt idx="5">
                  <c:v>98.23</c:v>
                </c:pt>
                <c:pt idx="6">
                  <c:v>98.23</c:v>
                </c:pt>
                <c:pt idx="7">
                  <c:v>98.23</c:v>
                </c:pt>
                <c:pt idx="8">
                  <c:v>80</c:v>
                </c:pt>
                <c:pt idx="9">
                  <c:v>98</c:v>
                </c:pt>
                <c:pt idx="10">
                  <c:v>98</c:v>
                </c:pt>
                <c:pt idx="11">
                  <c:v>98</c:v>
                </c:pt>
                <c:pt idx="12">
                  <c:v>98</c:v>
                </c:pt>
                <c:pt idx="13">
                  <c:v>98</c:v>
                </c:pt>
                <c:pt idx="14">
                  <c:v>98</c:v>
                </c:pt>
                <c:pt idx="15">
                  <c:v>98.5</c:v>
                </c:pt>
                <c:pt idx="16">
                  <c:v>88</c:v>
                </c:pt>
                <c:pt idx="17">
                  <c:v>81</c:v>
                </c:pt>
                <c:pt idx="18" formatCode="0.0">
                  <c:v>53.4</c:v>
                </c:pt>
                <c:pt idx="19" formatCode="0.0">
                  <c:v>97.5</c:v>
                </c:pt>
                <c:pt idx="20" formatCode="0.0">
                  <c:v>97.5</c:v>
                </c:pt>
                <c:pt idx="21" formatCode="0.0">
                  <c:v>97.5</c:v>
                </c:pt>
                <c:pt idx="22" formatCode="0.0">
                  <c:v>97.5</c:v>
                </c:pt>
                <c:pt idx="23" formatCode="0.0">
                  <c:v>97.5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E5-4070-A023-5509993DA5B8}"/>
            </c:ext>
          </c:extLst>
        </c:ser>
        <c:ser>
          <c:idx val="5"/>
          <c:order val="5"/>
          <c:tx>
            <c:strRef>
              <c:f>'14'!$AL$21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'14'!$AM$21:$BJ$21</c:f>
              <c:numCache>
                <c:formatCode>General</c:formatCode>
                <c:ptCount val="24"/>
                <c:pt idx="0">
                  <c:v>280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 formatCode="0.0">
                  <c:v>11</c:v>
                </c:pt>
                <c:pt idx="19" formatCode="0.0">
                  <c:v>300</c:v>
                </c:pt>
                <c:pt idx="20" formatCode="0.0">
                  <c:v>300</c:v>
                </c:pt>
                <c:pt idx="21" formatCode="0.0">
                  <c:v>300</c:v>
                </c:pt>
                <c:pt idx="22" formatCode="0.0">
                  <c:v>300</c:v>
                </c:pt>
                <c:pt idx="23" formatCode="0.0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3E5-4070-A023-5509993DA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'14'!$AL$23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'14'!$AM$23:$BJ$23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E5-4070-A023-5509993DA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'14'!$AL$22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'14'!$AM$22:$BJ$22</c:f>
              <c:numCache>
                <c:formatCode>General</c:formatCode>
                <c:ptCount val="24"/>
                <c:pt idx="0">
                  <c:v>1561.46</c:v>
                </c:pt>
                <c:pt idx="1">
                  <c:v>1488.46</c:v>
                </c:pt>
                <c:pt idx="2">
                  <c:v>1488.46</c:v>
                </c:pt>
                <c:pt idx="3">
                  <c:v>1431.6599999999999</c:v>
                </c:pt>
                <c:pt idx="4">
                  <c:v>1429.96</c:v>
                </c:pt>
                <c:pt idx="5">
                  <c:v>1458.1599999999999</c:v>
                </c:pt>
                <c:pt idx="6">
                  <c:v>1580.06</c:v>
                </c:pt>
                <c:pt idx="7">
                  <c:v>1630.46</c:v>
                </c:pt>
                <c:pt idx="8">
                  <c:v>1727.1299999999999</c:v>
                </c:pt>
                <c:pt idx="9">
                  <c:v>1700.4299999999998</c:v>
                </c:pt>
                <c:pt idx="10">
                  <c:v>1662.09</c:v>
                </c:pt>
                <c:pt idx="11">
                  <c:v>1788.6299999999999</c:v>
                </c:pt>
                <c:pt idx="12">
                  <c:v>1770.9299999999998</c:v>
                </c:pt>
                <c:pt idx="13">
                  <c:v>1689.23</c:v>
                </c:pt>
                <c:pt idx="14">
                  <c:v>1770.6299999999997</c:v>
                </c:pt>
                <c:pt idx="15">
                  <c:v>1789.73</c:v>
                </c:pt>
                <c:pt idx="16">
                  <c:v>1716.23</c:v>
                </c:pt>
                <c:pt idx="17">
                  <c:v>1727.33</c:v>
                </c:pt>
                <c:pt idx="18">
                  <c:v>1537.73</c:v>
                </c:pt>
                <c:pt idx="19">
                  <c:v>2011.0299999999997</c:v>
                </c:pt>
                <c:pt idx="20">
                  <c:v>1856.0299999999997</c:v>
                </c:pt>
                <c:pt idx="21">
                  <c:v>1813.1299999999999</c:v>
                </c:pt>
                <c:pt idx="22">
                  <c:v>1721.1299999999999</c:v>
                </c:pt>
                <c:pt idx="23">
                  <c:v>1620.0300000000002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63E5-4070-A023-5509993DA5B8}"/>
            </c:ext>
          </c:extLst>
        </c:ser>
        <c:ser>
          <c:idx val="8"/>
          <c:order val="8"/>
          <c:tx>
            <c:strRef>
              <c:f>'14'!$AL$24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'14'!$AM$24:$BJ$24</c:f>
              <c:numCache>
                <c:formatCode>General</c:formatCode>
                <c:ptCount val="24"/>
                <c:pt idx="0">
                  <c:v>1561.46</c:v>
                </c:pt>
                <c:pt idx="1">
                  <c:v>1488.46</c:v>
                </c:pt>
                <c:pt idx="2">
                  <c:v>1488.46</c:v>
                </c:pt>
                <c:pt idx="3">
                  <c:v>1431.6599999999999</c:v>
                </c:pt>
                <c:pt idx="4">
                  <c:v>1429.96</c:v>
                </c:pt>
                <c:pt idx="5">
                  <c:v>1458.1599999999999</c:v>
                </c:pt>
                <c:pt idx="6">
                  <c:v>1580.06</c:v>
                </c:pt>
                <c:pt idx="7">
                  <c:v>1630.46</c:v>
                </c:pt>
                <c:pt idx="8">
                  <c:v>1727.1299999999999</c:v>
                </c:pt>
                <c:pt idx="9">
                  <c:v>1700.4299999999998</c:v>
                </c:pt>
                <c:pt idx="10">
                  <c:v>1662.09</c:v>
                </c:pt>
                <c:pt idx="11">
                  <c:v>1788.6299999999999</c:v>
                </c:pt>
                <c:pt idx="12">
                  <c:v>1770.9299999999998</c:v>
                </c:pt>
                <c:pt idx="13">
                  <c:v>1689.23</c:v>
                </c:pt>
                <c:pt idx="14">
                  <c:v>1770.6299999999997</c:v>
                </c:pt>
                <c:pt idx="15">
                  <c:v>1789.73</c:v>
                </c:pt>
                <c:pt idx="16">
                  <c:v>1716.23</c:v>
                </c:pt>
                <c:pt idx="17">
                  <c:v>1727.33</c:v>
                </c:pt>
                <c:pt idx="18">
                  <c:v>1537.73</c:v>
                </c:pt>
                <c:pt idx="19">
                  <c:v>2011.0299999999997</c:v>
                </c:pt>
                <c:pt idx="20">
                  <c:v>1856.0299999999997</c:v>
                </c:pt>
                <c:pt idx="21">
                  <c:v>1813.1299999999999</c:v>
                </c:pt>
                <c:pt idx="22">
                  <c:v>1721.1299999999999</c:v>
                </c:pt>
                <c:pt idx="23">
                  <c:v>1620.0300000000002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3E5-4070-A023-5509993DA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009-4219-BDB4-4D31C9DF11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009-4219-BDB4-4D31C9DF11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009-4219-BDB4-4D31C9DF118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009-4219-BDB4-4D31C9DF118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009-4219-BDB4-4D31C9DF118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009-4219-BDB4-4D31C9DF118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'15'!$AL$16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'15'!$AM$16:$BJ$16</c:f>
              <c:numCache>
                <c:formatCode>General</c:formatCode>
                <c:ptCount val="24"/>
                <c:pt idx="0">
                  <c:v>486.05</c:v>
                </c:pt>
                <c:pt idx="1">
                  <c:v>486.05</c:v>
                </c:pt>
                <c:pt idx="2">
                  <c:v>486.05</c:v>
                </c:pt>
                <c:pt idx="3">
                  <c:v>518.54999999999995</c:v>
                </c:pt>
                <c:pt idx="4">
                  <c:v>518.54999999999995</c:v>
                </c:pt>
                <c:pt idx="5">
                  <c:v>518.54999999999995</c:v>
                </c:pt>
                <c:pt idx="6">
                  <c:v>515.34999999999991</c:v>
                </c:pt>
                <c:pt idx="7">
                  <c:v>509.15000000000003</c:v>
                </c:pt>
                <c:pt idx="8">
                  <c:v>509.15000000000003</c:v>
                </c:pt>
                <c:pt idx="9">
                  <c:v>509.15000000000003</c:v>
                </c:pt>
                <c:pt idx="10">
                  <c:v>509.85</c:v>
                </c:pt>
                <c:pt idx="11">
                  <c:v>508.45</c:v>
                </c:pt>
                <c:pt idx="12">
                  <c:v>498.25000000000006</c:v>
                </c:pt>
                <c:pt idx="13">
                  <c:v>499.15000000000003</c:v>
                </c:pt>
                <c:pt idx="14">
                  <c:v>499.15000000000003</c:v>
                </c:pt>
                <c:pt idx="15">
                  <c:v>499.15000000000003</c:v>
                </c:pt>
                <c:pt idx="16">
                  <c:v>499.15000000000003</c:v>
                </c:pt>
                <c:pt idx="17">
                  <c:v>499.15000000000003</c:v>
                </c:pt>
                <c:pt idx="18" formatCode="0.0">
                  <c:v>499.15000000000003</c:v>
                </c:pt>
                <c:pt idx="19" formatCode="0.0">
                  <c:v>499.15000000000003</c:v>
                </c:pt>
                <c:pt idx="20" formatCode="0.0">
                  <c:v>497.95</c:v>
                </c:pt>
                <c:pt idx="21" formatCode="0.0">
                  <c:v>497.95</c:v>
                </c:pt>
                <c:pt idx="22" formatCode="0.0">
                  <c:v>497.95</c:v>
                </c:pt>
                <c:pt idx="23" formatCode="0.0">
                  <c:v>497.95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EB-4C53-BA9B-7827157642C3}"/>
            </c:ext>
          </c:extLst>
        </c:ser>
        <c:ser>
          <c:idx val="2"/>
          <c:order val="1"/>
          <c:tx>
            <c:strRef>
              <c:f>'15'!$AL$17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'15'!$AM$17:$BJ$17</c:f>
              <c:numCache>
                <c:formatCode>General</c:formatCode>
                <c:ptCount val="24"/>
                <c:pt idx="0">
                  <c:v>240.9</c:v>
                </c:pt>
                <c:pt idx="1">
                  <c:v>200.9</c:v>
                </c:pt>
                <c:pt idx="2">
                  <c:v>182.9</c:v>
                </c:pt>
                <c:pt idx="3">
                  <c:v>182.6</c:v>
                </c:pt>
                <c:pt idx="4">
                  <c:v>166.6</c:v>
                </c:pt>
                <c:pt idx="5">
                  <c:v>166.6</c:v>
                </c:pt>
                <c:pt idx="6">
                  <c:v>167.8</c:v>
                </c:pt>
                <c:pt idx="7">
                  <c:v>38.700000000000003</c:v>
                </c:pt>
                <c:pt idx="8">
                  <c:v>38.700000000000003</c:v>
                </c:pt>
                <c:pt idx="9">
                  <c:v>38.6</c:v>
                </c:pt>
                <c:pt idx="10">
                  <c:v>38</c:v>
                </c:pt>
                <c:pt idx="11">
                  <c:v>38</c:v>
                </c:pt>
                <c:pt idx="12">
                  <c:v>34.900000000000006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 formatCode="0.0">
                  <c:v>65.100000000000009</c:v>
                </c:pt>
                <c:pt idx="19" formatCode="0.0">
                  <c:v>439.5</c:v>
                </c:pt>
                <c:pt idx="20" formatCode="0.0">
                  <c:v>444.5</c:v>
                </c:pt>
                <c:pt idx="21" formatCode="0.0">
                  <c:v>390.2</c:v>
                </c:pt>
                <c:pt idx="22" formatCode="0.0">
                  <c:v>192.2</c:v>
                </c:pt>
                <c:pt idx="23" formatCode="0.0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EB-4C53-BA9B-7827157642C3}"/>
            </c:ext>
          </c:extLst>
        </c:ser>
        <c:ser>
          <c:idx val="3"/>
          <c:order val="2"/>
          <c:tx>
            <c:strRef>
              <c:f>'15'!$AL$18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'15'!$AM$18:$BJ$18</c:f>
              <c:numCache>
                <c:formatCode>General</c:formatCode>
                <c:ptCount val="24"/>
                <c:pt idx="0">
                  <c:v>242.97999999999996</c:v>
                </c:pt>
                <c:pt idx="1">
                  <c:v>246.48</c:v>
                </c:pt>
                <c:pt idx="2">
                  <c:v>209.28</c:v>
                </c:pt>
                <c:pt idx="3">
                  <c:v>212.07999999999996</c:v>
                </c:pt>
                <c:pt idx="4">
                  <c:v>212.07999999999996</c:v>
                </c:pt>
                <c:pt idx="5">
                  <c:v>195.57999999999996</c:v>
                </c:pt>
                <c:pt idx="6">
                  <c:v>244.43900000000002</c:v>
                </c:pt>
                <c:pt idx="7">
                  <c:v>195.14000000000001</c:v>
                </c:pt>
                <c:pt idx="8">
                  <c:v>192.84000000000003</c:v>
                </c:pt>
                <c:pt idx="9">
                  <c:v>186.64000000000001</c:v>
                </c:pt>
                <c:pt idx="10">
                  <c:v>179.74</c:v>
                </c:pt>
                <c:pt idx="11">
                  <c:v>178.24</c:v>
                </c:pt>
                <c:pt idx="12">
                  <c:v>153.44</c:v>
                </c:pt>
                <c:pt idx="13">
                  <c:v>93.04000000000002</c:v>
                </c:pt>
                <c:pt idx="14">
                  <c:v>148.34</c:v>
                </c:pt>
                <c:pt idx="15">
                  <c:v>216.54</c:v>
                </c:pt>
                <c:pt idx="16">
                  <c:v>215.44</c:v>
                </c:pt>
                <c:pt idx="17">
                  <c:v>238.03999999999996</c:v>
                </c:pt>
                <c:pt idx="18" formatCode="0.0">
                  <c:v>221.03999999999996</c:v>
                </c:pt>
                <c:pt idx="19" formatCode="0.0">
                  <c:v>326.23999999999995</c:v>
                </c:pt>
                <c:pt idx="20" formatCode="0.0">
                  <c:v>406.53999999999996</c:v>
                </c:pt>
                <c:pt idx="21" formatCode="0.0">
                  <c:v>393.03999999999991</c:v>
                </c:pt>
                <c:pt idx="22" formatCode="0.0">
                  <c:v>372.23999999999995</c:v>
                </c:pt>
                <c:pt idx="23" formatCode="0.0">
                  <c:v>339.03999999999996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EB-4C53-BA9B-7827157642C3}"/>
            </c:ext>
          </c:extLst>
        </c:ser>
        <c:ser>
          <c:idx val="0"/>
          <c:order val="3"/>
          <c:tx>
            <c:strRef>
              <c:f>'15'!$AL$19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'15'!$AM$19:$BJ$19</c:f>
              <c:numCache>
                <c:formatCode>General</c:formatCode>
                <c:ptCount val="24"/>
                <c:pt idx="0">
                  <c:v>245.3</c:v>
                </c:pt>
                <c:pt idx="1">
                  <c:v>240.7</c:v>
                </c:pt>
                <c:pt idx="2">
                  <c:v>276.59999999999997</c:v>
                </c:pt>
                <c:pt idx="3">
                  <c:v>273.39999999999998</c:v>
                </c:pt>
                <c:pt idx="4">
                  <c:v>259.5</c:v>
                </c:pt>
                <c:pt idx="5">
                  <c:v>278.5</c:v>
                </c:pt>
                <c:pt idx="6">
                  <c:v>289.60000000000002</c:v>
                </c:pt>
                <c:pt idx="7">
                  <c:v>661.3</c:v>
                </c:pt>
                <c:pt idx="8">
                  <c:v>736.40000000000009</c:v>
                </c:pt>
                <c:pt idx="9">
                  <c:v>785.80000000000018</c:v>
                </c:pt>
                <c:pt idx="10">
                  <c:v>769.2</c:v>
                </c:pt>
                <c:pt idx="11">
                  <c:v>782.1</c:v>
                </c:pt>
                <c:pt idx="12">
                  <c:v>776.6</c:v>
                </c:pt>
                <c:pt idx="13">
                  <c:v>778.4</c:v>
                </c:pt>
                <c:pt idx="14">
                  <c:v>799.59999999999991</c:v>
                </c:pt>
                <c:pt idx="15">
                  <c:v>783.39999999999986</c:v>
                </c:pt>
                <c:pt idx="16">
                  <c:v>762.3</c:v>
                </c:pt>
                <c:pt idx="17">
                  <c:v>740.9</c:v>
                </c:pt>
                <c:pt idx="18" formatCode="0.0">
                  <c:v>661.1</c:v>
                </c:pt>
                <c:pt idx="19" formatCode="0.0">
                  <c:v>231.8</c:v>
                </c:pt>
                <c:pt idx="20" formatCode="0.0">
                  <c:v>16</c:v>
                </c:pt>
                <c:pt idx="21" formatCode="0.0">
                  <c:v>80.800000000000011</c:v>
                </c:pt>
                <c:pt idx="22" formatCode="0.0">
                  <c:v>81.800000000000011</c:v>
                </c:pt>
                <c:pt idx="23" formatCode="0.0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EB-4C53-BA9B-7827157642C3}"/>
            </c:ext>
          </c:extLst>
        </c:ser>
        <c:ser>
          <c:idx val="4"/>
          <c:order val="4"/>
          <c:tx>
            <c:strRef>
              <c:f>'15'!$AL$20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'15'!$AM$20:$BJ$20</c:f>
              <c:numCache>
                <c:formatCode>General</c:formatCode>
                <c:ptCount val="24"/>
                <c:pt idx="0">
                  <c:v>97.5</c:v>
                </c:pt>
                <c:pt idx="1">
                  <c:v>97.5</c:v>
                </c:pt>
                <c:pt idx="2">
                  <c:v>97.5</c:v>
                </c:pt>
                <c:pt idx="3">
                  <c:v>97.5</c:v>
                </c:pt>
                <c:pt idx="4">
                  <c:v>99.5</c:v>
                </c:pt>
                <c:pt idx="5">
                  <c:v>97.5</c:v>
                </c:pt>
                <c:pt idx="6">
                  <c:v>97.5</c:v>
                </c:pt>
                <c:pt idx="7">
                  <c:v>47.8</c:v>
                </c:pt>
                <c:pt idx="8">
                  <c:v>72.2</c:v>
                </c:pt>
                <c:pt idx="9">
                  <c:v>62.199999999999996</c:v>
                </c:pt>
                <c:pt idx="10">
                  <c:v>56.800000000000004</c:v>
                </c:pt>
                <c:pt idx="11">
                  <c:v>60</c:v>
                </c:pt>
                <c:pt idx="12">
                  <c:v>62.6</c:v>
                </c:pt>
                <c:pt idx="13">
                  <c:v>60.1</c:v>
                </c:pt>
                <c:pt idx="14">
                  <c:v>61.4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88.7</c:v>
                </c:pt>
                <c:pt idx="20" formatCode="0.0">
                  <c:v>96.600000000000009</c:v>
                </c:pt>
                <c:pt idx="21" formatCode="0.0">
                  <c:v>95.4</c:v>
                </c:pt>
                <c:pt idx="22" formatCode="0.0">
                  <c:v>95.4</c:v>
                </c:pt>
                <c:pt idx="23" formatCode="0.0">
                  <c:v>95.4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EB-4C53-BA9B-7827157642C3}"/>
            </c:ext>
          </c:extLst>
        </c:ser>
        <c:ser>
          <c:idx val="5"/>
          <c:order val="5"/>
          <c:tx>
            <c:strRef>
              <c:f>'15'!$AL$21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'15'!$AM$21:$BJ$21</c:f>
              <c:numCache>
                <c:formatCode>General</c:formatCode>
                <c:ptCount val="24"/>
                <c:pt idx="0">
                  <c:v>280</c:v>
                </c:pt>
                <c:pt idx="1">
                  <c:v>280</c:v>
                </c:pt>
                <c:pt idx="2">
                  <c:v>280</c:v>
                </c:pt>
                <c:pt idx="3">
                  <c:v>280</c:v>
                </c:pt>
                <c:pt idx="4">
                  <c:v>280</c:v>
                </c:pt>
                <c:pt idx="5">
                  <c:v>250</c:v>
                </c:pt>
                <c:pt idx="6">
                  <c:v>180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300</c:v>
                </c:pt>
                <c:pt idx="20" formatCode="0.0">
                  <c:v>360</c:v>
                </c:pt>
                <c:pt idx="21" formatCode="0.0">
                  <c:v>360</c:v>
                </c:pt>
                <c:pt idx="22" formatCode="0.0">
                  <c:v>330</c:v>
                </c:pt>
                <c:pt idx="23" formatCode="0.0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EB-4C53-BA9B-782715764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'15'!$AL$23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'15'!$AM$23:$BJ$23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EB-4C53-BA9B-782715764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'15'!$AL$22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'15'!$AM$22:$BJ$22</c:f>
              <c:numCache>
                <c:formatCode>General</c:formatCode>
                <c:ptCount val="24"/>
                <c:pt idx="0">
                  <c:v>1592.73</c:v>
                </c:pt>
                <c:pt idx="1">
                  <c:v>1551.63</c:v>
                </c:pt>
                <c:pt idx="2">
                  <c:v>1532.33</c:v>
                </c:pt>
                <c:pt idx="3">
                  <c:v>1564.1299999999999</c:v>
                </c:pt>
                <c:pt idx="4">
                  <c:v>1536.23</c:v>
                </c:pt>
                <c:pt idx="5">
                  <c:v>1506.73</c:v>
                </c:pt>
                <c:pt idx="6">
                  <c:v>1494.6889999999999</c:v>
                </c:pt>
                <c:pt idx="7">
                  <c:v>1452.09</c:v>
                </c:pt>
                <c:pt idx="8">
                  <c:v>1549.2900000000002</c:v>
                </c:pt>
                <c:pt idx="9">
                  <c:v>1582.39</c:v>
                </c:pt>
                <c:pt idx="10">
                  <c:v>1553.59</c:v>
                </c:pt>
                <c:pt idx="11">
                  <c:v>1566.79</c:v>
                </c:pt>
                <c:pt idx="12">
                  <c:v>1525.79</c:v>
                </c:pt>
                <c:pt idx="13">
                  <c:v>1465.69</c:v>
                </c:pt>
                <c:pt idx="14">
                  <c:v>1543.4900000000002</c:v>
                </c:pt>
                <c:pt idx="15">
                  <c:v>1534.09</c:v>
                </c:pt>
                <c:pt idx="16">
                  <c:v>1511.89</c:v>
                </c:pt>
                <c:pt idx="17">
                  <c:v>1513.0900000000001</c:v>
                </c:pt>
                <c:pt idx="18">
                  <c:v>1446.3899999999999</c:v>
                </c:pt>
                <c:pt idx="19">
                  <c:v>1885.39</c:v>
                </c:pt>
                <c:pt idx="20">
                  <c:v>1821.59</c:v>
                </c:pt>
                <c:pt idx="21">
                  <c:v>1817.3899999999999</c:v>
                </c:pt>
                <c:pt idx="22">
                  <c:v>1569.59</c:v>
                </c:pt>
                <c:pt idx="23">
                  <c:v>1651.39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B8EB-4C53-BA9B-7827157642C3}"/>
            </c:ext>
          </c:extLst>
        </c:ser>
        <c:ser>
          <c:idx val="8"/>
          <c:order val="8"/>
          <c:tx>
            <c:strRef>
              <c:f>'15'!$AL$24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'15'!$AM$24:$BJ$24</c:f>
              <c:numCache>
                <c:formatCode>General</c:formatCode>
                <c:ptCount val="24"/>
                <c:pt idx="0">
                  <c:v>1592.73</c:v>
                </c:pt>
                <c:pt idx="1">
                  <c:v>1551.63</c:v>
                </c:pt>
                <c:pt idx="2">
                  <c:v>1532.33</c:v>
                </c:pt>
                <c:pt idx="3">
                  <c:v>1564.1299999999999</c:v>
                </c:pt>
                <c:pt idx="4">
                  <c:v>1536.23</c:v>
                </c:pt>
                <c:pt idx="5">
                  <c:v>1506.73</c:v>
                </c:pt>
                <c:pt idx="6">
                  <c:v>1494.6889999999999</c:v>
                </c:pt>
                <c:pt idx="7">
                  <c:v>1452.09</c:v>
                </c:pt>
                <c:pt idx="8">
                  <c:v>1549.2900000000002</c:v>
                </c:pt>
                <c:pt idx="9">
                  <c:v>1582.39</c:v>
                </c:pt>
                <c:pt idx="10">
                  <c:v>1553.59</c:v>
                </c:pt>
                <c:pt idx="11">
                  <c:v>1566.79</c:v>
                </c:pt>
                <c:pt idx="12">
                  <c:v>1525.79</c:v>
                </c:pt>
                <c:pt idx="13">
                  <c:v>1465.69</c:v>
                </c:pt>
                <c:pt idx="14">
                  <c:v>1543.4900000000002</c:v>
                </c:pt>
                <c:pt idx="15">
                  <c:v>1534.09</c:v>
                </c:pt>
                <c:pt idx="16">
                  <c:v>1511.89</c:v>
                </c:pt>
                <c:pt idx="17">
                  <c:v>1513.0900000000001</c:v>
                </c:pt>
                <c:pt idx="18">
                  <c:v>1446.3899999999999</c:v>
                </c:pt>
                <c:pt idx="19">
                  <c:v>1885.39</c:v>
                </c:pt>
                <c:pt idx="20">
                  <c:v>1820.59</c:v>
                </c:pt>
                <c:pt idx="21">
                  <c:v>1817.3899999999999</c:v>
                </c:pt>
                <c:pt idx="22">
                  <c:v>1569.59</c:v>
                </c:pt>
                <c:pt idx="23">
                  <c:v>1651.39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8EB-4C53-BA9B-782715764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C26-467C-9135-9456D9F11C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C26-467C-9135-9456D9F11C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C26-467C-9135-9456D9F11C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C26-467C-9135-9456D9F11C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C26-467C-9135-9456D9F11C6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CC26-467C-9135-9456D9F11C6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'16'!$AL$16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'16'!$AM$16:$BJ$16</c:f>
              <c:numCache>
                <c:formatCode>General</c:formatCode>
                <c:ptCount val="24"/>
                <c:pt idx="0">
                  <c:v>497.95</c:v>
                </c:pt>
                <c:pt idx="1">
                  <c:v>497.95</c:v>
                </c:pt>
                <c:pt idx="2">
                  <c:v>497.95</c:v>
                </c:pt>
                <c:pt idx="3">
                  <c:v>502.74999999999994</c:v>
                </c:pt>
                <c:pt idx="4">
                  <c:v>502.74999999999994</c:v>
                </c:pt>
                <c:pt idx="5">
                  <c:v>495.15000000000003</c:v>
                </c:pt>
                <c:pt idx="6">
                  <c:v>495.35</c:v>
                </c:pt>
                <c:pt idx="7">
                  <c:v>490.25000000000006</c:v>
                </c:pt>
                <c:pt idx="8">
                  <c:v>486.75000000000006</c:v>
                </c:pt>
                <c:pt idx="9">
                  <c:v>488.75000000000006</c:v>
                </c:pt>
                <c:pt idx="10">
                  <c:v>487.25000000000006</c:v>
                </c:pt>
                <c:pt idx="11">
                  <c:v>488.75000000000006</c:v>
                </c:pt>
                <c:pt idx="12">
                  <c:v>489.55</c:v>
                </c:pt>
                <c:pt idx="13">
                  <c:v>490.25000000000006</c:v>
                </c:pt>
                <c:pt idx="14">
                  <c:v>490.25000000000006</c:v>
                </c:pt>
                <c:pt idx="15">
                  <c:v>490.25000000000006</c:v>
                </c:pt>
                <c:pt idx="16">
                  <c:v>490.25000000000006</c:v>
                </c:pt>
                <c:pt idx="17">
                  <c:v>490.25000000000006</c:v>
                </c:pt>
                <c:pt idx="18" formatCode="0.0">
                  <c:v>490.25000000000006</c:v>
                </c:pt>
                <c:pt idx="19" formatCode="0.0">
                  <c:v>490.25000000000006</c:v>
                </c:pt>
                <c:pt idx="20" formatCode="0.0">
                  <c:v>490.25000000000006</c:v>
                </c:pt>
                <c:pt idx="21" formatCode="0.0">
                  <c:v>490.25000000000006</c:v>
                </c:pt>
                <c:pt idx="22" formatCode="0.0">
                  <c:v>490.25000000000006</c:v>
                </c:pt>
                <c:pt idx="23" formatCode="0.0">
                  <c:v>490.25000000000006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0-48B3-8B7D-39C0F73411A3}"/>
            </c:ext>
          </c:extLst>
        </c:ser>
        <c:ser>
          <c:idx val="2"/>
          <c:order val="1"/>
          <c:tx>
            <c:strRef>
              <c:f>'16'!$AL$17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'16'!$AM$17:$BJ$17</c:f>
              <c:numCache>
                <c:formatCode>General</c:formatCode>
                <c:ptCount val="24"/>
                <c:pt idx="0">
                  <c:v>190</c:v>
                </c:pt>
                <c:pt idx="1">
                  <c:v>190</c:v>
                </c:pt>
                <c:pt idx="2">
                  <c:v>190</c:v>
                </c:pt>
                <c:pt idx="3">
                  <c:v>191.10000000000002</c:v>
                </c:pt>
                <c:pt idx="4">
                  <c:v>191.3</c:v>
                </c:pt>
                <c:pt idx="5">
                  <c:v>191.3</c:v>
                </c:pt>
                <c:pt idx="6">
                  <c:v>191.3</c:v>
                </c:pt>
                <c:pt idx="7">
                  <c:v>40.4</c:v>
                </c:pt>
                <c:pt idx="8">
                  <c:v>37.9</c:v>
                </c:pt>
                <c:pt idx="9">
                  <c:v>37.9</c:v>
                </c:pt>
                <c:pt idx="10">
                  <c:v>36.700000000000003</c:v>
                </c:pt>
                <c:pt idx="11">
                  <c:v>31.7</c:v>
                </c:pt>
                <c:pt idx="12">
                  <c:v>28.5</c:v>
                </c:pt>
                <c:pt idx="13">
                  <c:v>28.6</c:v>
                </c:pt>
                <c:pt idx="14">
                  <c:v>28.6</c:v>
                </c:pt>
                <c:pt idx="15">
                  <c:v>28.6</c:v>
                </c:pt>
                <c:pt idx="16">
                  <c:v>37.4</c:v>
                </c:pt>
                <c:pt idx="17">
                  <c:v>37.4</c:v>
                </c:pt>
                <c:pt idx="18" formatCode="0.0">
                  <c:v>37.4</c:v>
                </c:pt>
                <c:pt idx="19" formatCode="0.0">
                  <c:v>341.3</c:v>
                </c:pt>
                <c:pt idx="20" formatCode="0.0">
                  <c:v>312.8</c:v>
                </c:pt>
                <c:pt idx="21" formatCode="0.0">
                  <c:v>412.3</c:v>
                </c:pt>
                <c:pt idx="22" formatCode="0.0">
                  <c:v>294.8</c:v>
                </c:pt>
                <c:pt idx="23" formatCode="0.0">
                  <c:v>262.39999999999998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D0-48B3-8B7D-39C0F73411A3}"/>
            </c:ext>
          </c:extLst>
        </c:ser>
        <c:ser>
          <c:idx val="3"/>
          <c:order val="2"/>
          <c:tx>
            <c:strRef>
              <c:f>'16'!$AL$18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'16'!$AM$18:$BJ$18</c:f>
              <c:numCache>
                <c:formatCode>General</c:formatCode>
                <c:ptCount val="24"/>
                <c:pt idx="0">
                  <c:v>339.03999999999996</c:v>
                </c:pt>
                <c:pt idx="1">
                  <c:v>324.03999999999996</c:v>
                </c:pt>
                <c:pt idx="2">
                  <c:v>283.03999999999996</c:v>
                </c:pt>
                <c:pt idx="3">
                  <c:v>285.64</c:v>
                </c:pt>
                <c:pt idx="4">
                  <c:v>286.23999999999995</c:v>
                </c:pt>
                <c:pt idx="5">
                  <c:v>236.34000000000003</c:v>
                </c:pt>
                <c:pt idx="6">
                  <c:v>256.84000000000003</c:v>
                </c:pt>
                <c:pt idx="7">
                  <c:v>238.44</c:v>
                </c:pt>
                <c:pt idx="8">
                  <c:v>281.83999999999997</c:v>
                </c:pt>
                <c:pt idx="9">
                  <c:v>286.64</c:v>
                </c:pt>
                <c:pt idx="10">
                  <c:v>302.74</c:v>
                </c:pt>
                <c:pt idx="11">
                  <c:v>314.44</c:v>
                </c:pt>
                <c:pt idx="12">
                  <c:v>314.24</c:v>
                </c:pt>
                <c:pt idx="13">
                  <c:v>281.74</c:v>
                </c:pt>
                <c:pt idx="14">
                  <c:v>298.44</c:v>
                </c:pt>
                <c:pt idx="15">
                  <c:v>288.44</c:v>
                </c:pt>
                <c:pt idx="16">
                  <c:v>268.64</c:v>
                </c:pt>
                <c:pt idx="17">
                  <c:v>255.54</c:v>
                </c:pt>
                <c:pt idx="18" formatCode="0.0">
                  <c:v>203.94</c:v>
                </c:pt>
                <c:pt idx="19" formatCode="0.0">
                  <c:v>332.29999999999995</c:v>
                </c:pt>
                <c:pt idx="20" formatCode="0.0">
                  <c:v>378.94</c:v>
                </c:pt>
                <c:pt idx="21" formatCode="0.0">
                  <c:v>352.24</c:v>
                </c:pt>
                <c:pt idx="22" formatCode="0.0">
                  <c:v>333.73999999999995</c:v>
                </c:pt>
                <c:pt idx="23" formatCode="0.0">
                  <c:v>283.64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D0-48B3-8B7D-39C0F73411A3}"/>
            </c:ext>
          </c:extLst>
        </c:ser>
        <c:ser>
          <c:idx val="0"/>
          <c:order val="3"/>
          <c:tx>
            <c:strRef>
              <c:f>'16'!$AL$19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'16'!$AM$19:$BJ$19</c:f>
              <c:numCache>
                <c:formatCode>General</c:formatCode>
                <c:ptCount val="24"/>
                <c:pt idx="0">
                  <c:v>129</c:v>
                </c:pt>
                <c:pt idx="1">
                  <c:v>155</c:v>
                </c:pt>
                <c:pt idx="2">
                  <c:v>145</c:v>
                </c:pt>
                <c:pt idx="3">
                  <c:v>111.7</c:v>
                </c:pt>
                <c:pt idx="4">
                  <c:v>99.5</c:v>
                </c:pt>
                <c:pt idx="5">
                  <c:v>175.3</c:v>
                </c:pt>
                <c:pt idx="6">
                  <c:v>184.7</c:v>
                </c:pt>
                <c:pt idx="7">
                  <c:v>810.7</c:v>
                </c:pt>
                <c:pt idx="8">
                  <c:v>900.99999999999989</c:v>
                </c:pt>
                <c:pt idx="9">
                  <c:v>895.7</c:v>
                </c:pt>
                <c:pt idx="10">
                  <c:v>905.30000000000007</c:v>
                </c:pt>
                <c:pt idx="11">
                  <c:v>900.69999999999993</c:v>
                </c:pt>
                <c:pt idx="12">
                  <c:v>892.9</c:v>
                </c:pt>
                <c:pt idx="13">
                  <c:v>850.6</c:v>
                </c:pt>
                <c:pt idx="14">
                  <c:v>783.2</c:v>
                </c:pt>
                <c:pt idx="15">
                  <c:v>845</c:v>
                </c:pt>
                <c:pt idx="16">
                  <c:v>800.50000000000011</c:v>
                </c:pt>
                <c:pt idx="17">
                  <c:v>794.50000000000011</c:v>
                </c:pt>
                <c:pt idx="18" formatCode="0.0">
                  <c:v>775</c:v>
                </c:pt>
                <c:pt idx="19" formatCode="0.0">
                  <c:v>397.6</c:v>
                </c:pt>
                <c:pt idx="20" formatCode="0.0">
                  <c:v>314.7</c:v>
                </c:pt>
                <c:pt idx="21" formatCode="0.0">
                  <c:v>145.10000000000002</c:v>
                </c:pt>
                <c:pt idx="22" formatCode="0.0">
                  <c:v>151.79999999999998</c:v>
                </c:pt>
                <c:pt idx="23" formatCode="0.0">
                  <c:v>185.10000000000002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D0-48B3-8B7D-39C0F73411A3}"/>
            </c:ext>
          </c:extLst>
        </c:ser>
        <c:ser>
          <c:idx val="4"/>
          <c:order val="4"/>
          <c:tx>
            <c:strRef>
              <c:f>'16'!$AL$20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'16'!$AM$20:$BJ$20</c:f>
              <c:numCache>
                <c:formatCode>General</c:formatCode>
                <c:ptCount val="24"/>
                <c:pt idx="0">
                  <c:v>96</c:v>
                </c:pt>
                <c:pt idx="1">
                  <c:v>96</c:v>
                </c:pt>
                <c:pt idx="2">
                  <c:v>96</c:v>
                </c:pt>
                <c:pt idx="3">
                  <c:v>96.2</c:v>
                </c:pt>
                <c:pt idx="4">
                  <c:v>96.2</c:v>
                </c:pt>
                <c:pt idx="5">
                  <c:v>97.1</c:v>
                </c:pt>
                <c:pt idx="6">
                  <c:v>97.1</c:v>
                </c:pt>
                <c:pt idx="7">
                  <c:v>86.1</c:v>
                </c:pt>
                <c:pt idx="8">
                  <c:v>95</c:v>
                </c:pt>
                <c:pt idx="9">
                  <c:v>98.8</c:v>
                </c:pt>
                <c:pt idx="10">
                  <c:v>98.7</c:v>
                </c:pt>
                <c:pt idx="11">
                  <c:v>97.7</c:v>
                </c:pt>
                <c:pt idx="12">
                  <c:v>92</c:v>
                </c:pt>
                <c:pt idx="13">
                  <c:v>98.8</c:v>
                </c:pt>
                <c:pt idx="14">
                  <c:v>98.8</c:v>
                </c:pt>
                <c:pt idx="15">
                  <c:v>98.8</c:v>
                </c:pt>
                <c:pt idx="16">
                  <c:v>98.8</c:v>
                </c:pt>
                <c:pt idx="17">
                  <c:v>98.8</c:v>
                </c:pt>
                <c:pt idx="18" formatCode="0.0">
                  <c:v>98.8</c:v>
                </c:pt>
                <c:pt idx="19" formatCode="0.0">
                  <c:v>85.8</c:v>
                </c:pt>
                <c:pt idx="20" formatCode="0.0">
                  <c:v>97.4</c:v>
                </c:pt>
                <c:pt idx="21" formatCode="0.0">
                  <c:v>97.4</c:v>
                </c:pt>
                <c:pt idx="22" formatCode="0.0">
                  <c:v>97.4</c:v>
                </c:pt>
                <c:pt idx="23" formatCode="0.0">
                  <c:v>97.4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D0-48B3-8B7D-39C0F73411A3}"/>
            </c:ext>
          </c:extLst>
        </c:ser>
        <c:ser>
          <c:idx val="5"/>
          <c:order val="5"/>
          <c:tx>
            <c:strRef>
              <c:f>'16'!$AL$21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'16'!$AM$21:$BJ$21</c:f>
              <c:numCache>
                <c:formatCode>General</c:formatCode>
                <c:ptCount val="24"/>
                <c:pt idx="0">
                  <c:v>280</c:v>
                </c:pt>
                <c:pt idx="1">
                  <c:v>280</c:v>
                </c:pt>
                <c:pt idx="2">
                  <c:v>280</c:v>
                </c:pt>
                <c:pt idx="3">
                  <c:v>280</c:v>
                </c:pt>
                <c:pt idx="4">
                  <c:v>280</c:v>
                </c:pt>
                <c:pt idx="5">
                  <c:v>280</c:v>
                </c:pt>
                <c:pt idx="6">
                  <c:v>280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280</c:v>
                </c:pt>
                <c:pt idx="20" formatCode="0.0">
                  <c:v>280</c:v>
                </c:pt>
                <c:pt idx="21" formatCode="0.0">
                  <c:v>280</c:v>
                </c:pt>
                <c:pt idx="22" formatCode="0.0">
                  <c:v>330</c:v>
                </c:pt>
                <c:pt idx="23" formatCode="0.0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D0-48B3-8B7D-39C0F7341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'16'!$AL$23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'16'!$AM$23:$BJ$23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D0-48B3-8B7D-39C0F7341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'16'!$AL$22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'16'!$AM$22:$BJ$22</c:f>
              <c:numCache>
                <c:formatCode>General</c:formatCode>
                <c:ptCount val="24"/>
                <c:pt idx="0">
                  <c:v>1531.99</c:v>
                </c:pt>
                <c:pt idx="1">
                  <c:v>1542.99</c:v>
                </c:pt>
                <c:pt idx="2">
                  <c:v>1491.99</c:v>
                </c:pt>
                <c:pt idx="3">
                  <c:v>1467.3899999999999</c:v>
                </c:pt>
                <c:pt idx="4">
                  <c:v>1455.99</c:v>
                </c:pt>
                <c:pt idx="5">
                  <c:v>1475.19</c:v>
                </c:pt>
                <c:pt idx="6">
                  <c:v>1505.29</c:v>
                </c:pt>
                <c:pt idx="7">
                  <c:v>1665.89</c:v>
                </c:pt>
                <c:pt idx="8">
                  <c:v>1802.4899999999998</c:v>
                </c:pt>
                <c:pt idx="9">
                  <c:v>1807.7900000000002</c:v>
                </c:pt>
                <c:pt idx="10">
                  <c:v>1830.6900000000003</c:v>
                </c:pt>
                <c:pt idx="11">
                  <c:v>1833.2900000000002</c:v>
                </c:pt>
                <c:pt idx="12">
                  <c:v>1817.19</c:v>
                </c:pt>
                <c:pt idx="13">
                  <c:v>1749.99</c:v>
                </c:pt>
                <c:pt idx="14">
                  <c:v>1699.29</c:v>
                </c:pt>
                <c:pt idx="15">
                  <c:v>1751.09</c:v>
                </c:pt>
                <c:pt idx="16">
                  <c:v>1695.5900000000001</c:v>
                </c:pt>
                <c:pt idx="17">
                  <c:v>1676.49</c:v>
                </c:pt>
                <c:pt idx="18">
                  <c:v>1605.39</c:v>
                </c:pt>
                <c:pt idx="19">
                  <c:v>1927.2499999999998</c:v>
                </c:pt>
                <c:pt idx="20">
                  <c:v>1874.0900000000001</c:v>
                </c:pt>
                <c:pt idx="21">
                  <c:v>1777.29</c:v>
                </c:pt>
                <c:pt idx="22">
                  <c:v>1697.99</c:v>
                </c:pt>
                <c:pt idx="23">
                  <c:v>1648.79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21D0-48B3-8B7D-39C0F73411A3}"/>
            </c:ext>
          </c:extLst>
        </c:ser>
        <c:ser>
          <c:idx val="8"/>
          <c:order val="8"/>
          <c:tx>
            <c:strRef>
              <c:f>'16'!$AL$24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'16'!$AM$24:$BJ$24</c:f>
              <c:numCache>
                <c:formatCode>General</c:formatCode>
                <c:ptCount val="24"/>
                <c:pt idx="0">
                  <c:v>1531.99</c:v>
                </c:pt>
                <c:pt idx="1">
                  <c:v>1542.99</c:v>
                </c:pt>
                <c:pt idx="2">
                  <c:v>1491.99</c:v>
                </c:pt>
                <c:pt idx="3">
                  <c:v>1467.3899999999999</c:v>
                </c:pt>
                <c:pt idx="4">
                  <c:v>1455.99</c:v>
                </c:pt>
                <c:pt idx="5">
                  <c:v>1475.19</c:v>
                </c:pt>
                <c:pt idx="6">
                  <c:v>1505.29</c:v>
                </c:pt>
                <c:pt idx="7">
                  <c:v>1665.89</c:v>
                </c:pt>
                <c:pt idx="8">
                  <c:v>1802.4899999999998</c:v>
                </c:pt>
                <c:pt idx="9">
                  <c:v>1807.7900000000002</c:v>
                </c:pt>
                <c:pt idx="10">
                  <c:v>1830.6900000000003</c:v>
                </c:pt>
                <c:pt idx="11">
                  <c:v>1833.2900000000002</c:v>
                </c:pt>
                <c:pt idx="12">
                  <c:v>1817.19</c:v>
                </c:pt>
                <c:pt idx="13">
                  <c:v>1749.99</c:v>
                </c:pt>
                <c:pt idx="14">
                  <c:v>1698.29</c:v>
                </c:pt>
                <c:pt idx="15">
                  <c:v>1751.09</c:v>
                </c:pt>
                <c:pt idx="16">
                  <c:v>1695.5900000000001</c:v>
                </c:pt>
                <c:pt idx="17">
                  <c:v>1676.49</c:v>
                </c:pt>
                <c:pt idx="18">
                  <c:v>1604.39</c:v>
                </c:pt>
                <c:pt idx="19">
                  <c:v>1927.2499999999998</c:v>
                </c:pt>
                <c:pt idx="20">
                  <c:v>1874.0900000000001</c:v>
                </c:pt>
                <c:pt idx="21">
                  <c:v>1777.29</c:v>
                </c:pt>
                <c:pt idx="22">
                  <c:v>1697.99</c:v>
                </c:pt>
                <c:pt idx="23">
                  <c:v>1648.79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1D0-48B3-8B7D-39C0F7341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53E-4ED0-8588-7EEF64931C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53E-4ED0-8588-7EEF64931C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53E-4ED0-8588-7EEF64931C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53E-4ED0-8588-7EEF64931C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53E-4ED0-8588-7EEF64931C1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E53E-4ED0-8588-7EEF64931C1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'17'!$AL$16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'17'!$AM$16:$BJ$16</c:f>
              <c:numCache>
                <c:formatCode>General</c:formatCode>
                <c:ptCount val="24"/>
                <c:pt idx="0">
                  <c:v>490.25000000000006</c:v>
                </c:pt>
                <c:pt idx="1">
                  <c:v>490.25000000000006</c:v>
                </c:pt>
                <c:pt idx="2">
                  <c:v>490.25000000000006</c:v>
                </c:pt>
                <c:pt idx="3">
                  <c:v>490.25000000000006</c:v>
                </c:pt>
                <c:pt idx="4">
                  <c:v>490.25000000000006</c:v>
                </c:pt>
                <c:pt idx="5">
                  <c:v>490.25000000000006</c:v>
                </c:pt>
                <c:pt idx="6">
                  <c:v>490.25000000000006</c:v>
                </c:pt>
                <c:pt idx="7">
                  <c:v>490.25000000000006</c:v>
                </c:pt>
                <c:pt idx="8">
                  <c:v>497.95</c:v>
                </c:pt>
                <c:pt idx="9">
                  <c:v>497.95</c:v>
                </c:pt>
                <c:pt idx="10">
                  <c:v>492.75</c:v>
                </c:pt>
                <c:pt idx="11">
                  <c:v>492.75</c:v>
                </c:pt>
                <c:pt idx="12">
                  <c:v>492.75</c:v>
                </c:pt>
                <c:pt idx="13">
                  <c:v>492.75</c:v>
                </c:pt>
                <c:pt idx="14">
                  <c:v>492.75</c:v>
                </c:pt>
                <c:pt idx="15">
                  <c:v>492.75</c:v>
                </c:pt>
                <c:pt idx="16">
                  <c:v>492.75</c:v>
                </c:pt>
                <c:pt idx="17">
                  <c:v>490.85</c:v>
                </c:pt>
                <c:pt idx="18" formatCode="0.0">
                  <c:v>490.85</c:v>
                </c:pt>
                <c:pt idx="19" formatCode="0.0">
                  <c:v>490.85</c:v>
                </c:pt>
                <c:pt idx="20" formatCode="0.0">
                  <c:v>516.15000000000009</c:v>
                </c:pt>
                <c:pt idx="21" formatCode="0.0">
                  <c:v>515.85</c:v>
                </c:pt>
                <c:pt idx="22" formatCode="0.0">
                  <c:v>529.15</c:v>
                </c:pt>
                <c:pt idx="23" formatCode="0.0">
                  <c:v>529.15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58-42F8-AADD-3AD476481BEF}"/>
            </c:ext>
          </c:extLst>
        </c:ser>
        <c:ser>
          <c:idx val="2"/>
          <c:order val="1"/>
          <c:tx>
            <c:strRef>
              <c:f>'17'!$AL$17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'17'!$AM$17:$BJ$17</c:f>
              <c:numCache>
                <c:formatCode>General</c:formatCode>
                <c:ptCount val="24"/>
                <c:pt idx="0">
                  <c:v>262.39999999999998</c:v>
                </c:pt>
                <c:pt idx="1">
                  <c:v>213.29999999999998</c:v>
                </c:pt>
                <c:pt idx="2">
                  <c:v>231.2</c:v>
                </c:pt>
                <c:pt idx="3">
                  <c:v>201.5</c:v>
                </c:pt>
                <c:pt idx="4">
                  <c:v>185.8</c:v>
                </c:pt>
                <c:pt idx="5">
                  <c:v>140</c:v>
                </c:pt>
                <c:pt idx="6">
                  <c:v>157.1</c:v>
                </c:pt>
                <c:pt idx="7">
                  <c:v>40.700000000000003</c:v>
                </c:pt>
                <c:pt idx="8">
                  <c:v>37.799999999999997</c:v>
                </c:pt>
                <c:pt idx="9">
                  <c:v>37.4</c:v>
                </c:pt>
                <c:pt idx="10">
                  <c:v>38.1</c:v>
                </c:pt>
                <c:pt idx="11">
                  <c:v>38.1</c:v>
                </c:pt>
                <c:pt idx="12">
                  <c:v>36.099999999999994</c:v>
                </c:pt>
                <c:pt idx="13">
                  <c:v>34.5</c:v>
                </c:pt>
                <c:pt idx="14">
                  <c:v>34.5</c:v>
                </c:pt>
                <c:pt idx="15">
                  <c:v>34.5</c:v>
                </c:pt>
                <c:pt idx="16">
                  <c:v>34.5</c:v>
                </c:pt>
                <c:pt idx="17">
                  <c:v>34.5</c:v>
                </c:pt>
                <c:pt idx="18" formatCode="0.0">
                  <c:v>34.5</c:v>
                </c:pt>
                <c:pt idx="19" formatCode="0.0">
                  <c:v>348.5</c:v>
                </c:pt>
                <c:pt idx="20" formatCode="0.0">
                  <c:v>444.5</c:v>
                </c:pt>
                <c:pt idx="21" formatCode="0.0">
                  <c:v>403.7</c:v>
                </c:pt>
                <c:pt idx="22" formatCode="0.0">
                  <c:v>343.2</c:v>
                </c:pt>
                <c:pt idx="23" formatCode="0.0">
                  <c:v>312.7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58-42F8-AADD-3AD476481BEF}"/>
            </c:ext>
          </c:extLst>
        </c:ser>
        <c:ser>
          <c:idx val="3"/>
          <c:order val="2"/>
          <c:tx>
            <c:strRef>
              <c:f>'17'!$AL$18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'17'!$AM$18:$BJ$18</c:f>
              <c:numCache>
                <c:formatCode>General</c:formatCode>
                <c:ptCount val="24"/>
                <c:pt idx="0">
                  <c:v>258.04000000000002</c:v>
                </c:pt>
                <c:pt idx="1">
                  <c:v>238.84</c:v>
                </c:pt>
                <c:pt idx="2">
                  <c:v>232.64</c:v>
                </c:pt>
                <c:pt idx="3">
                  <c:v>247.44</c:v>
                </c:pt>
                <c:pt idx="4">
                  <c:v>259.24</c:v>
                </c:pt>
                <c:pt idx="5">
                  <c:v>232.04000000000002</c:v>
                </c:pt>
                <c:pt idx="6">
                  <c:v>234.04000000000002</c:v>
                </c:pt>
                <c:pt idx="7">
                  <c:v>243.44000000000003</c:v>
                </c:pt>
                <c:pt idx="8">
                  <c:v>269.74</c:v>
                </c:pt>
                <c:pt idx="9">
                  <c:v>245.23999999999995</c:v>
                </c:pt>
                <c:pt idx="10">
                  <c:v>282.74000000000007</c:v>
                </c:pt>
                <c:pt idx="11">
                  <c:v>267.44</c:v>
                </c:pt>
                <c:pt idx="12">
                  <c:v>272.74000000000007</c:v>
                </c:pt>
                <c:pt idx="13">
                  <c:v>280.44</c:v>
                </c:pt>
                <c:pt idx="14">
                  <c:v>264.34000000000003</c:v>
                </c:pt>
                <c:pt idx="15">
                  <c:v>260.54000000000002</c:v>
                </c:pt>
                <c:pt idx="16">
                  <c:v>261.74000000000007</c:v>
                </c:pt>
                <c:pt idx="17">
                  <c:v>241.54</c:v>
                </c:pt>
                <c:pt idx="18" formatCode="0.0">
                  <c:v>209.64</c:v>
                </c:pt>
                <c:pt idx="19" formatCode="0.0">
                  <c:v>362.2</c:v>
                </c:pt>
                <c:pt idx="20" formatCode="0.0">
                  <c:v>349.84000000000003</c:v>
                </c:pt>
                <c:pt idx="21" formatCode="0.0">
                  <c:v>305.74000000000007</c:v>
                </c:pt>
                <c:pt idx="22" formatCode="0.0">
                  <c:v>280.24</c:v>
                </c:pt>
                <c:pt idx="23" formatCode="0.0">
                  <c:v>270.14000000000004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58-42F8-AADD-3AD476481BEF}"/>
            </c:ext>
          </c:extLst>
        </c:ser>
        <c:ser>
          <c:idx val="0"/>
          <c:order val="3"/>
          <c:tx>
            <c:strRef>
              <c:f>'17'!$AL$19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'17'!$AM$19:$BJ$19</c:f>
              <c:numCache>
                <c:formatCode>General</c:formatCode>
                <c:ptCount val="24"/>
                <c:pt idx="0">
                  <c:v>156.89999999999998</c:v>
                </c:pt>
                <c:pt idx="1">
                  <c:v>224</c:v>
                </c:pt>
                <c:pt idx="2">
                  <c:v>160.69999999999999</c:v>
                </c:pt>
                <c:pt idx="3">
                  <c:v>152.80000000000001</c:v>
                </c:pt>
                <c:pt idx="4">
                  <c:v>142.9</c:v>
                </c:pt>
                <c:pt idx="5">
                  <c:v>225.89999999999998</c:v>
                </c:pt>
                <c:pt idx="6">
                  <c:v>354</c:v>
                </c:pt>
                <c:pt idx="7">
                  <c:v>824.7</c:v>
                </c:pt>
                <c:pt idx="8">
                  <c:v>898.1</c:v>
                </c:pt>
                <c:pt idx="9">
                  <c:v>851.86199999999997</c:v>
                </c:pt>
                <c:pt idx="10">
                  <c:v>910.2</c:v>
                </c:pt>
                <c:pt idx="11">
                  <c:v>937</c:v>
                </c:pt>
                <c:pt idx="12">
                  <c:v>917.8</c:v>
                </c:pt>
                <c:pt idx="13">
                  <c:v>921</c:v>
                </c:pt>
                <c:pt idx="14">
                  <c:v>893</c:v>
                </c:pt>
                <c:pt idx="15">
                  <c:v>922</c:v>
                </c:pt>
                <c:pt idx="16">
                  <c:v>877.6</c:v>
                </c:pt>
                <c:pt idx="17">
                  <c:v>840.7</c:v>
                </c:pt>
                <c:pt idx="18" formatCode="0.0">
                  <c:v>786</c:v>
                </c:pt>
                <c:pt idx="19" formatCode="0.0">
                  <c:v>331</c:v>
                </c:pt>
                <c:pt idx="20" formatCode="0.0">
                  <c:v>209.09999999999997</c:v>
                </c:pt>
                <c:pt idx="21" formatCode="0.0">
                  <c:v>200.5</c:v>
                </c:pt>
                <c:pt idx="22" formatCode="0.0">
                  <c:v>222.8</c:v>
                </c:pt>
                <c:pt idx="23" formatCode="0.0">
                  <c:v>175.9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58-42F8-AADD-3AD476481BEF}"/>
            </c:ext>
          </c:extLst>
        </c:ser>
        <c:ser>
          <c:idx val="4"/>
          <c:order val="4"/>
          <c:tx>
            <c:strRef>
              <c:f>'17'!$AL$20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'17'!$AM$20:$BJ$20</c:f>
              <c:numCache>
                <c:formatCode>General</c:formatCode>
                <c:ptCount val="24"/>
                <c:pt idx="0">
                  <c:v>97.4</c:v>
                </c:pt>
                <c:pt idx="1">
                  <c:v>97.4</c:v>
                </c:pt>
                <c:pt idx="2">
                  <c:v>96.8</c:v>
                </c:pt>
                <c:pt idx="3">
                  <c:v>96.8</c:v>
                </c:pt>
                <c:pt idx="4">
                  <c:v>97</c:v>
                </c:pt>
                <c:pt idx="5">
                  <c:v>97</c:v>
                </c:pt>
                <c:pt idx="6">
                  <c:v>97.5</c:v>
                </c:pt>
                <c:pt idx="7">
                  <c:v>73.7</c:v>
                </c:pt>
                <c:pt idx="8">
                  <c:v>97.899999999999991</c:v>
                </c:pt>
                <c:pt idx="9">
                  <c:v>99.6</c:v>
                </c:pt>
                <c:pt idx="10">
                  <c:v>98.800000000000011</c:v>
                </c:pt>
                <c:pt idx="11">
                  <c:v>98.800000000000011</c:v>
                </c:pt>
                <c:pt idx="12">
                  <c:v>98.800000000000011</c:v>
                </c:pt>
                <c:pt idx="13">
                  <c:v>98.8</c:v>
                </c:pt>
                <c:pt idx="14">
                  <c:v>98.8</c:v>
                </c:pt>
                <c:pt idx="15">
                  <c:v>98.8</c:v>
                </c:pt>
                <c:pt idx="16">
                  <c:v>98.8</c:v>
                </c:pt>
                <c:pt idx="17">
                  <c:v>98.8</c:v>
                </c:pt>
                <c:pt idx="18" formatCode="0.0">
                  <c:v>84.2</c:v>
                </c:pt>
                <c:pt idx="19" formatCode="0.0">
                  <c:v>63.9</c:v>
                </c:pt>
                <c:pt idx="20" formatCode="0.0">
                  <c:v>98.300000000000011</c:v>
                </c:pt>
                <c:pt idx="21" formatCode="0.0">
                  <c:v>97</c:v>
                </c:pt>
                <c:pt idx="22" formatCode="0.0">
                  <c:v>97.1</c:v>
                </c:pt>
                <c:pt idx="23" formatCode="0.0">
                  <c:v>97.1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58-42F8-AADD-3AD476481BEF}"/>
            </c:ext>
          </c:extLst>
        </c:ser>
        <c:ser>
          <c:idx val="5"/>
          <c:order val="5"/>
          <c:tx>
            <c:strRef>
              <c:f>'17'!$AL$21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'17'!$AM$21:$BJ$21</c:f>
              <c:numCache>
                <c:formatCode>General</c:formatCode>
                <c:ptCount val="24"/>
                <c:pt idx="0">
                  <c:v>330</c:v>
                </c:pt>
                <c:pt idx="1">
                  <c:v>280</c:v>
                </c:pt>
                <c:pt idx="2">
                  <c:v>280</c:v>
                </c:pt>
                <c:pt idx="3">
                  <c:v>280</c:v>
                </c:pt>
                <c:pt idx="4">
                  <c:v>280</c:v>
                </c:pt>
                <c:pt idx="5">
                  <c:v>280</c:v>
                </c:pt>
                <c:pt idx="6">
                  <c:v>180</c:v>
                </c:pt>
                <c:pt idx="7">
                  <c:v>0</c:v>
                </c:pt>
                <c:pt idx="8">
                  <c:v>10</c:v>
                </c:pt>
                <c:pt idx="9">
                  <c:v>20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250</c:v>
                </c:pt>
                <c:pt idx="20" formatCode="0.0">
                  <c:v>350</c:v>
                </c:pt>
                <c:pt idx="21" formatCode="0.0">
                  <c:v>350</c:v>
                </c:pt>
                <c:pt idx="22" formatCode="0.0">
                  <c:v>350</c:v>
                </c:pt>
                <c:pt idx="23" formatCode="0.0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58-42F8-AADD-3AD476481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'17'!$AL$23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'17'!$AM$23:$BJ$23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58-42F8-AADD-3AD476481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'17'!$AL$22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'17'!$AM$22:$BJ$22</c:f>
              <c:numCache>
                <c:formatCode>General</c:formatCode>
                <c:ptCount val="24"/>
                <c:pt idx="0">
                  <c:v>1594.9900000000002</c:v>
                </c:pt>
                <c:pt idx="1">
                  <c:v>1543.7900000000002</c:v>
                </c:pt>
                <c:pt idx="2">
                  <c:v>1491.59</c:v>
                </c:pt>
                <c:pt idx="3">
                  <c:v>1468.79</c:v>
                </c:pt>
                <c:pt idx="4">
                  <c:v>1455.19</c:v>
                </c:pt>
                <c:pt idx="5">
                  <c:v>1465.19</c:v>
                </c:pt>
                <c:pt idx="6">
                  <c:v>1512.89</c:v>
                </c:pt>
                <c:pt idx="7">
                  <c:v>1672.7900000000002</c:v>
                </c:pt>
                <c:pt idx="8">
                  <c:v>1811.4900000000002</c:v>
                </c:pt>
                <c:pt idx="9">
                  <c:v>1752.0519999999997</c:v>
                </c:pt>
                <c:pt idx="10">
                  <c:v>1822.5900000000001</c:v>
                </c:pt>
                <c:pt idx="11">
                  <c:v>1834.09</c:v>
                </c:pt>
                <c:pt idx="12">
                  <c:v>1818.19</c:v>
                </c:pt>
                <c:pt idx="13">
                  <c:v>1827.49</c:v>
                </c:pt>
                <c:pt idx="14">
                  <c:v>1783.39</c:v>
                </c:pt>
                <c:pt idx="15">
                  <c:v>1808.59</c:v>
                </c:pt>
                <c:pt idx="16">
                  <c:v>1765.39</c:v>
                </c:pt>
                <c:pt idx="17">
                  <c:v>1706.39</c:v>
                </c:pt>
                <c:pt idx="18">
                  <c:v>1605.19</c:v>
                </c:pt>
                <c:pt idx="19">
                  <c:v>1846.45</c:v>
                </c:pt>
                <c:pt idx="20">
                  <c:v>1967.89</c:v>
                </c:pt>
                <c:pt idx="21">
                  <c:v>1872.79</c:v>
                </c:pt>
                <c:pt idx="22">
                  <c:v>1822.4899999999998</c:v>
                </c:pt>
                <c:pt idx="23">
                  <c:v>1734.99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E558-42F8-AADD-3AD476481BEF}"/>
            </c:ext>
          </c:extLst>
        </c:ser>
        <c:ser>
          <c:idx val="8"/>
          <c:order val="8"/>
          <c:tx>
            <c:strRef>
              <c:f>'17'!$AL$24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'17'!$AM$24:$BJ$24</c:f>
              <c:numCache>
                <c:formatCode>General</c:formatCode>
                <c:ptCount val="24"/>
                <c:pt idx="0">
                  <c:v>1594.9900000000002</c:v>
                </c:pt>
                <c:pt idx="1">
                  <c:v>1543.7900000000002</c:v>
                </c:pt>
                <c:pt idx="2">
                  <c:v>1491.59</c:v>
                </c:pt>
                <c:pt idx="3">
                  <c:v>1468.79</c:v>
                </c:pt>
                <c:pt idx="4">
                  <c:v>1455.19</c:v>
                </c:pt>
                <c:pt idx="5">
                  <c:v>1465.19</c:v>
                </c:pt>
                <c:pt idx="6">
                  <c:v>1512.89</c:v>
                </c:pt>
                <c:pt idx="7">
                  <c:v>1672.7900000000002</c:v>
                </c:pt>
                <c:pt idx="8">
                  <c:v>1811.4900000000002</c:v>
                </c:pt>
                <c:pt idx="9">
                  <c:v>1752.0519999999997</c:v>
                </c:pt>
                <c:pt idx="10">
                  <c:v>1822.5900000000001</c:v>
                </c:pt>
                <c:pt idx="11">
                  <c:v>1834.09</c:v>
                </c:pt>
                <c:pt idx="12">
                  <c:v>1818.19</c:v>
                </c:pt>
                <c:pt idx="13">
                  <c:v>1827.49</c:v>
                </c:pt>
                <c:pt idx="14">
                  <c:v>1783.39</c:v>
                </c:pt>
                <c:pt idx="15">
                  <c:v>1808.59</c:v>
                </c:pt>
                <c:pt idx="16">
                  <c:v>1765.39</c:v>
                </c:pt>
                <c:pt idx="17">
                  <c:v>1706.39</c:v>
                </c:pt>
                <c:pt idx="18">
                  <c:v>1605.19</c:v>
                </c:pt>
                <c:pt idx="19">
                  <c:v>1846.45</c:v>
                </c:pt>
                <c:pt idx="20">
                  <c:v>1967.89</c:v>
                </c:pt>
                <c:pt idx="21">
                  <c:v>1872.79</c:v>
                </c:pt>
                <c:pt idx="22">
                  <c:v>1822.4899999999998</c:v>
                </c:pt>
                <c:pt idx="23">
                  <c:v>1734.99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558-42F8-AADD-3AD476481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16E-4822-8A36-A0823C69D9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16E-4822-8A36-A0823C69D9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16E-4822-8A36-A0823C69D93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16E-4822-8A36-A0823C69D93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16E-4822-8A36-A0823C69D93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B16E-4822-8A36-A0823C69D93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'18'!$AL$16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'18'!$AM$16:$BJ$16</c:f>
              <c:numCache>
                <c:formatCode>General</c:formatCode>
                <c:ptCount val="24"/>
                <c:pt idx="0">
                  <c:v>529.15</c:v>
                </c:pt>
                <c:pt idx="1">
                  <c:v>529.15</c:v>
                </c:pt>
                <c:pt idx="2">
                  <c:v>525.25</c:v>
                </c:pt>
                <c:pt idx="3">
                  <c:v>526.25</c:v>
                </c:pt>
                <c:pt idx="4">
                  <c:v>518.95000000000005</c:v>
                </c:pt>
                <c:pt idx="5">
                  <c:v>518.25</c:v>
                </c:pt>
                <c:pt idx="6">
                  <c:v>514.04999999999995</c:v>
                </c:pt>
                <c:pt idx="7">
                  <c:v>514.04999999999995</c:v>
                </c:pt>
                <c:pt idx="8">
                  <c:v>515.25</c:v>
                </c:pt>
                <c:pt idx="9">
                  <c:v>515.25</c:v>
                </c:pt>
                <c:pt idx="10">
                  <c:v>515.25</c:v>
                </c:pt>
                <c:pt idx="11">
                  <c:v>515.25</c:v>
                </c:pt>
                <c:pt idx="12">
                  <c:v>515.25</c:v>
                </c:pt>
                <c:pt idx="13">
                  <c:v>515.25</c:v>
                </c:pt>
                <c:pt idx="14">
                  <c:v>482.6</c:v>
                </c:pt>
                <c:pt idx="15">
                  <c:v>495.1</c:v>
                </c:pt>
                <c:pt idx="16">
                  <c:v>491.6</c:v>
                </c:pt>
                <c:pt idx="17">
                  <c:v>491.6</c:v>
                </c:pt>
                <c:pt idx="18" formatCode="0.0">
                  <c:v>479.70000000000005</c:v>
                </c:pt>
                <c:pt idx="19" formatCode="0.0">
                  <c:v>482.40000000000003</c:v>
                </c:pt>
                <c:pt idx="20" formatCode="0.0">
                  <c:v>482.40000000000003</c:v>
                </c:pt>
                <c:pt idx="21" formatCode="0.0">
                  <c:v>482.40000000000003</c:v>
                </c:pt>
                <c:pt idx="22" formatCode="0.0">
                  <c:v>482.40000000000003</c:v>
                </c:pt>
                <c:pt idx="23" formatCode="0.0">
                  <c:v>482.40000000000003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41-43E3-902B-A7982E0600DF}"/>
            </c:ext>
          </c:extLst>
        </c:ser>
        <c:ser>
          <c:idx val="2"/>
          <c:order val="1"/>
          <c:tx>
            <c:strRef>
              <c:f>'18'!$AL$17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'18'!$AM$17:$BJ$17</c:f>
              <c:numCache>
                <c:formatCode>General</c:formatCode>
                <c:ptCount val="24"/>
                <c:pt idx="0">
                  <c:v>210.2</c:v>
                </c:pt>
                <c:pt idx="1">
                  <c:v>214.2</c:v>
                </c:pt>
                <c:pt idx="2">
                  <c:v>172.9</c:v>
                </c:pt>
                <c:pt idx="3">
                  <c:v>142.80000000000001</c:v>
                </c:pt>
                <c:pt idx="4">
                  <c:v>142.9</c:v>
                </c:pt>
                <c:pt idx="5">
                  <c:v>142.69999999999999</c:v>
                </c:pt>
                <c:pt idx="6">
                  <c:v>191.6</c:v>
                </c:pt>
                <c:pt idx="7">
                  <c:v>41.5</c:v>
                </c:pt>
                <c:pt idx="8">
                  <c:v>41.5</c:v>
                </c:pt>
                <c:pt idx="9">
                  <c:v>41.5</c:v>
                </c:pt>
                <c:pt idx="10">
                  <c:v>41.5</c:v>
                </c:pt>
                <c:pt idx="11">
                  <c:v>39.1</c:v>
                </c:pt>
                <c:pt idx="12">
                  <c:v>39.1</c:v>
                </c:pt>
                <c:pt idx="13">
                  <c:v>39.1</c:v>
                </c:pt>
                <c:pt idx="14">
                  <c:v>38.9</c:v>
                </c:pt>
                <c:pt idx="15">
                  <c:v>37.299999999999997</c:v>
                </c:pt>
                <c:pt idx="16">
                  <c:v>35.299999999999997</c:v>
                </c:pt>
                <c:pt idx="17">
                  <c:v>40.599999999999994</c:v>
                </c:pt>
                <c:pt idx="18" formatCode="0.0">
                  <c:v>71.8</c:v>
                </c:pt>
                <c:pt idx="19" formatCode="0.0">
                  <c:v>347.09999999999997</c:v>
                </c:pt>
                <c:pt idx="20" formatCode="0.0">
                  <c:v>341.2</c:v>
                </c:pt>
                <c:pt idx="21" formatCode="0.0">
                  <c:v>282.2</c:v>
                </c:pt>
                <c:pt idx="22" formatCode="0.0">
                  <c:v>263.2</c:v>
                </c:pt>
                <c:pt idx="23" formatCode="0.0">
                  <c:v>391.2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41-43E3-902B-A7982E0600DF}"/>
            </c:ext>
          </c:extLst>
        </c:ser>
        <c:ser>
          <c:idx val="3"/>
          <c:order val="2"/>
          <c:tx>
            <c:strRef>
              <c:f>'18'!$AL$18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'18'!$AM$18:$BJ$18</c:f>
              <c:numCache>
                <c:formatCode>General</c:formatCode>
                <c:ptCount val="24"/>
                <c:pt idx="0">
                  <c:v>272.64000000000004</c:v>
                </c:pt>
                <c:pt idx="1">
                  <c:v>237.64</c:v>
                </c:pt>
                <c:pt idx="2">
                  <c:v>237.03999999999996</c:v>
                </c:pt>
                <c:pt idx="3">
                  <c:v>237.44</c:v>
                </c:pt>
                <c:pt idx="4">
                  <c:v>236.83999999999997</c:v>
                </c:pt>
                <c:pt idx="5">
                  <c:v>238.44</c:v>
                </c:pt>
                <c:pt idx="6">
                  <c:v>271.94</c:v>
                </c:pt>
                <c:pt idx="7">
                  <c:v>226.94</c:v>
                </c:pt>
                <c:pt idx="8">
                  <c:v>248.54000000000002</c:v>
                </c:pt>
                <c:pt idx="9">
                  <c:v>238.54</c:v>
                </c:pt>
                <c:pt idx="10">
                  <c:v>271.84000000000003</c:v>
                </c:pt>
                <c:pt idx="11">
                  <c:v>271.84000000000003</c:v>
                </c:pt>
                <c:pt idx="12">
                  <c:v>264.84000000000003</c:v>
                </c:pt>
                <c:pt idx="13">
                  <c:v>266.84000000000003</c:v>
                </c:pt>
                <c:pt idx="14">
                  <c:v>287.04000000000002</c:v>
                </c:pt>
                <c:pt idx="15">
                  <c:v>266.04000000000002</c:v>
                </c:pt>
                <c:pt idx="16">
                  <c:v>262.44000000000005</c:v>
                </c:pt>
                <c:pt idx="17">
                  <c:v>257.54000000000002</c:v>
                </c:pt>
                <c:pt idx="18" formatCode="0.0">
                  <c:v>255.84</c:v>
                </c:pt>
                <c:pt idx="19" formatCode="0.0">
                  <c:v>333.24000000000007</c:v>
                </c:pt>
                <c:pt idx="20" formatCode="0.0">
                  <c:v>367.64000000000004</c:v>
                </c:pt>
                <c:pt idx="21" formatCode="0.0">
                  <c:v>367.64000000000004</c:v>
                </c:pt>
                <c:pt idx="22" formatCode="0.0">
                  <c:v>298.64</c:v>
                </c:pt>
                <c:pt idx="23" formatCode="0.0">
                  <c:v>287.64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41-43E3-902B-A7982E0600DF}"/>
            </c:ext>
          </c:extLst>
        </c:ser>
        <c:ser>
          <c:idx val="0"/>
          <c:order val="3"/>
          <c:tx>
            <c:strRef>
              <c:f>'18'!$AL$19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'18'!$AM$19:$BJ$19</c:f>
              <c:numCache>
                <c:formatCode>General</c:formatCode>
                <c:ptCount val="24"/>
                <c:pt idx="0">
                  <c:v>211.39999999999998</c:v>
                </c:pt>
                <c:pt idx="1">
                  <c:v>197.6</c:v>
                </c:pt>
                <c:pt idx="2">
                  <c:v>200.3</c:v>
                </c:pt>
                <c:pt idx="3">
                  <c:v>193.2</c:v>
                </c:pt>
                <c:pt idx="4">
                  <c:v>193.3</c:v>
                </c:pt>
                <c:pt idx="5">
                  <c:v>204.7</c:v>
                </c:pt>
                <c:pt idx="6">
                  <c:v>187</c:v>
                </c:pt>
                <c:pt idx="7">
                  <c:v>775.60000000000014</c:v>
                </c:pt>
                <c:pt idx="8">
                  <c:v>906.2</c:v>
                </c:pt>
                <c:pt idx="9">
                  <c:v>908</c:v>
                </c:pt>
                <c:pt idx="10">
                  <c:v>901</c:v>
                </c:pt>
                <c:pt idx="11">
                  <c:v>922.8</c:v>
                </c:pt>
                <c:pt idx="12">
                  <c:v>908.2</c:v>
                </c:pt>
                <c:pt idx="13">
                  <c:v>875.2</c:v>
                </c:pt>
                <c:pt idx="14">
                  <c:v>878.5</c:v>
                </c:pt>
                <c:pt idx="15">
                  <c:v>888.69999999999993</c:v>
                </c:pt>
                <c:pt idx="16">
                  <c:v>899.3</c:v>
                </c:pt>
                <c:pt idx="17">
                  <c:v>877.6</c:v>
                </c:pt>
                <c:pt idx="18" formatCode="0.0">
                  <c:v>722.9</c:v>
                </c:pt>
                <c:pt idx="19" formatCode="0.0">
                  <c:v>370.2</c:v>
                </c:pt>
                <c:pt idx="20" formatCode="0.0">
                  <c:v>309.39999999999998</c:v>
                </c:pt>
                <c:pt idx="21" formatCode="0.0">
                  <c:v>315.7</c:v>
                </c:pt>
                <c:pt idx="22" formatCode="0.0">
                  <c:v>348.4</c:v>
                </c:pt>
                <c:pt idx="23" formatCode="0.0">
                  <c:v>178.4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41-43E3-902B-A7982E0600DF}"/>
            </c:ext>
          </c:extLst>
        </c:ser>
        <c:ser>
          <c:idx val="4"/>
          <c:order val="4"/>
          <c:tx>
            <c:strRef>
              <c:f>'18'!$AL$20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'18'!$AM$20:$BJ$20</c:f>
              <c:numCache>
                <c:formatCode>General</c:formatCode>
                <c:ptCount val="24"/>
                <c:pt idx="0">
                  <c:v>97.1</c:v>
                </c:pt>
                <c:pt idx="1">
                  <c:v>97.1</c:v>
                </c:pt>
                <c:pt idx="2">
                  <c:v>97.1</c:v>
                </c:pt>
                <c:pt idx="3">
                  <c:v>97.199999999999989</c:v>
                </c:pt>
                <c:pt idx="4">
                  <c:v>97.3</c:v>
                </c:pt>
                <c:pt idx="5">
                  <c:v>97.3</c:v>
                </c:pt>
                <c:pt idx="6">
                  <c:v>96</c:v>
                </c:pt>
                <c:pt idx="7">
                  <c:v>93.2</c:v>
                </c:pt>
                <c:pt idx="8">
                  <c:v>69</c:v>
                </c:pt>
                <c:pt idx="9">
                  <c:v>73.3</c:v>
                </c:pt>
                <c:pt idx="10">
                  <c:v>97</c:v>
                </c:pt>
                <c:pt idx="11">
                  <c:v>87.4</c:v>
                </c:pt>
                <c:pt idx="12">
                  <c:v>87.4</c:v>
                </c:pt>
                <c:pt idx="13">
                  <c:v>70</c:v>
                </c:pt>
                <c:pt idx="14">
                  <c:v>13.4</c:v>
                </c:pt>
                <c:pt idx="15">
                  <c:v>26.2</c:v>
                </c:pt>
                <c:pt idx="16">
                  <c:v>48</c:v>
                </c:pt>
                <c:pt idx="17">
                  <c:v>48.7</c:v>
                </c:pt>
                <c:pt idx="18" formatCode="0.0">
                  <c:v>23.2</c:v>
                </c:pt>
                <c:pt idx="19" formatCode="0.0">
                  <c:v>89</c:v>
                </c:pt>
                <c:pt idx="20" formatCode="0.0">
                  <c:v>98.799999999999983</c:v>
                </c:pt>
                <c:pt idx="21" formatCode="0.0">
                  <c:v>98.799999999999983</c:v>
                </c:pt>
                <c:pt idx="22" formatCode="0.0">
                  <c:v>67</c:v>
                </c:pt>
                <c:pt idx="23" formatCode="0.0">
                  <c:v>47.9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41-43E3-902B-A7982E0600DF}"/>
            </c:ext>
          </c:extLst>
        </c:ser>
        <c:ser>
          <c:idx val="5"/>
          <c:order val="5"/>
          <c:tx>
            <c:strRef>
              <c:f>'18'!$AL$21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'18'!$AM$21:$BJ$21</c:f>
              <c:numCache>
                <c:formatCode>General</c:formatCode>
                <c:ptCount val="24"/>
                <c:pt idx="0">
                  <c:v>350</c:v>
                </c:pt>
                <c:pt idx="1">
                  <c:v>350</c:v>
                </c:pt>
                <c:pt idx="2">
                  <c:v>350</c:v>
                </c:pt>
                <c:pt idx="3">
                  <c:v>350</c:v>
                </c:pt>
                <c:pt idx="4">
                  <c:v>350</c:v>
                </c:pt>
                <c:pt idx="5">
                  <c:v>350</c:v>
                </c:pt>
                <c:pt idx="6">
                  <c:v>300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200</c:v>
                </c:pt>
                <c:pt idx="19" formatCode="0.0">
                  <c:v>280</c:v>
                </c:pt>
                <c:pt idx="20" formatCode="0.0">
                  <c:v>281</c:v>
                </c:pt>
                <c:pt idx="21" formatCode="0.0">
                  <c:v>283</c:v>
                </c:pt>
                <c:pt idx="22" formatCode="0.0">
                  <c:v>250</c:v>
                </c:pt>
                <c:pt idx="23" formatCode="0.0">
                  <c:v>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41-43E3-902B-A7982E060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'18'!$AL$23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'18'!$AM$23:$BJ$23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41-43E3-902B-A7982E060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'18'!$AL$22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'18'!$AM$22:$BJ$22</c:f>
              <c:numCache>
                <c:formatCode>General</c:formatCode>
                <c:ptCount val="24"/>
                <c:pt idx="0">
                  <c:v>1670.4899999999998</c:v>
                </c:pt>
                <c:pt idx="1">
                  <c:v>1625.6899999999998</c:v>
                </c:pt>
                <c:pt idx="2">
                  <c:v>1582.59</c:v>
                </c:pt>
                <c:pt idx="3">
                  <c:v>1546.89</c:v>
                </c:pt>
                <c:pt idx="4">
                  <c:v>1539.29</c:v>
                </c:pt>
                <c:pt idx="5">
                  <c:v>1551.39</c:v>
                </c:pt>
                <c:pt idx="6">
                  <c:v>1560.59</c:v>
                </c:pt>
                <c:pt idx="7">
                  <c:v>1651.2900000000002</c:v>
                </c:pt>
                <c:pt idx="8">
                  <c:v>1780.49</c:v>
                </c:pt>
                <c:pt idx="9">
                  <c:v>1776.59</c:v>
                </c:pt>
                <c:pt idx="10">
                  <c:v>1826.5900000000001</c:v>
                </c:pt>
                <c:pt idx="11">
                  <c:v>1836.39</c:v>
                </c:pt>
                <c:pt idx="12">
                  <c:v>1814.7900000000002</c:v>
                </c:pt>
                <c:pt idx="13">
                  <c:v>1766.39</c:v>
                </c:pt>
                <c:pt idx="14">
                  <c:v>1700.44</c:v>
                </c:pt>
                <c:pt idx="15">
                  <c:v>1713.34</c:v>
                </c:pt>
                <c:pt idx="16">
                  <c:v>1736.6399999999999</c:v>
                </c:pt>
                <c:pt idx="17">
                  <c:v>1716.0400000000002</c:v>
                </c:pt>
                <c:pt idx="18">
                  <c:v>1753.44</c:v>
                </c:pt>
                <c:pt idx="19">
                  <c:v>1901.94</c:v>
                </c:pt>
                <c:pt idx="20">
                  <c:v>1880.4399999999998</c:v>
                </c:pt>
                <c:pt idx="21">
                  <c:v>1829.74</c:v>
                </c:pt>
                <c:pt idx="22">
                  <c:v>1709.6399999999999</c:v>
                </c:pt>
                <c:pt idx="23">
                  <c:v>1638.5400000000002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5941-43E3-902B-A7982E0600DF}"/>
            </c:ext>
          </c:extLst>
        </c:ser>
        <c:ser>
          <c:idx val="8"/>
          <c:order val="8"/>
          <c:tx>
            <c:strRef>
              <c:f>'18'!$AL$24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'18'!$AM$24:$BJ$24</c:f>
              <c:numCache>
                <c:formatCode>General</c:formatCode>
                <c:ptCount val="24"/>
                <c:pt idx="0">
                  <c:v>1670.4899999999998</c:v>
                </c:pt>
                <c:pt idx="1">
                  <c:v>1625.6899999999998</c:v>
                </c:pt>
                <c:pt idx="2">
                  <c:v>1582.59</c:v>
                </c:pt>
                <c:pt idx="3">
                  <c:v>1546.89</c:v>
                </c:pt>
                <c:pt idx="4">
                  <c:v>1539.29</c:v>
                </c:pt>
                <c:pt idx="5">
                  <c:v>1551.39</c:v>
                </c:pt>
                <c:pt idx="6">
                  <c:v>1560.59</c:v>
                </c:pt>
                <c:pt idx="7">
                  <c:v>1651.2900000000002</c:v>
                </c:pt>
                <c:pt idx="8">
                  <c:v>1780.49</c:v>
                </c:pt>
                <c:pt idx="9">
                  <c:v>1776.59</c:v>
                </c:pt>
                <c:pt idx="10">
                  <c:v>1826.5900000000001</c:v>
                </c:pt>
                <c:pt idx="11">
                  <c:v>1836.39</c:v>
                </c:pt>
                <c:pt idx="12">
                  <c:v>1814.7900000000002</c:v>
                </c:pt>
                <c:pt idx="13">
                  <c:v>1766.39</c:v>
                </c:pt>
                <c:pt idx="14">
                  <c:v>1700.44</c:v>
                </c:pt>
                <c:pt idx="15">
                  <c:v>1713.34</c:v>
                </c:pt>
                <c:pt idx="16">
                  <c:v>1736.6399999999999</c:v>
                </c:pt>
                <c:pt idx="17">
                  <c:v>1716.0400000000002</c:v>
                </c:pt>
                <c:pt idx="18">
                  <c:v>1753.44</c:v>
                </c:pt>
                <c:pt idx="19">
                  <c:v>1901.94</c:v>
                </c:pt>
                <c:pt idx="20">
                  <c:v>1880.4399999999998</c:v>
                </c:pt>
                <c:pt idx="21">
                  <c:v>1829.74</c:v>
                </c:pt>
                <c:pt idx="22">
                  <c:v>1709.6399999999999</c:v>
                </c:pt>
                <c:pt idx="23">
                  <c:v>1638.5400000000002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941-43E3-902B-A7982E060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EFC-46B9-BCCC-B122B6D6B1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EFC-46B9-BCCC-B122B6D6B1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EFC-46B9-BCCC-B122B6D6B1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EFC-46B9-BCCC-B122B6D6B1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EFC-46B9-BCCC-B122B6D6B17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4EFC-46B9-BCCC-B122B6D6B17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'19'!$AL$16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'19'!$AM$16:$BJ$16</c:f>
              <c:numCache>
                <c:formatCode>General</c:formatCode>
                <c:ptCount val="24"/>
                <c:pt idx="0">
                  <c:v>482.40000000000003</c:v>
                </c:pt>
                <c:pt idx="1">
                  <c:v>482.40000000000003</c:v>
                </c:pt>
                <c:pt idx="2">
                  <c:v>491.3</c:v>
                </c:pt>
                <c:pt idx="3">
                  <c:v>496.1</c:v>
                </c:pt>
                <c:pt idx="4">
                  <c:v>505.3</c:v>
                </c:pt>
                <c:pt idx="5">
                  <c:v>505.3</c:v>
                </c:pt>
                <c:pt idx="6">
                  <c:v>504</c:v>
                </c:pt>
                <c:pt idx="7">
                  <c:v>503</c:v>
                </c:pt>
                <c:pt idx="8">
                  <c:v>503</c:v>
                </c:pt>
                <c:pt idx="9">
                  <c:v>501.2</c:v>
                </c:pt>
                <c:pt idx="10">
                  <c:v>501.2</c:v>
                </c:pt>
                <c:pt idx="11">
                  <c:v>501.2</c:v>
                </c:pt>
                <c:pt idx="12">
                  <c:v>501.2</c:v>
                </c:pt>
                <c:pt idx="13">
                  <c:v>501.2</c:v>
                </c:pt>
                <c:pt idx="14">
                  <c:v>501.2</c:v>
                </c:pt>
                <c:pt idx="15">
                  <c:v>501.2</c:v>
                </c:pt>
                <c:pt idx="16">
                  <c:v>501.2</c:v>
                </c:pt>
                <c:pt idx="17">
                  <c:v>501.2</c:v>
                </c:pt>
                <c:pt idx="18" formatCode="0.0">
                  <c:v>501.2</c:v>
                </c:pt>
                <c:pt idx="19" formatCode="0.0">
                  <c:v>501.2</c:v>
                </c:pt>
                <c:pt idx="20" formatCode="0.0">
                  <c:v>501.2</c:v>
                </c:pt>
                <c:pt idx="21" formatCode="0.0">
                  <c:v>501.2</c:v>
                </c:pt>
                <c:pt idx="22" formatCode="0.0">
                  <c:v>501.2</c:v>
                </c:pt>
                <c:pt idx="23" formatCode="0.0">
                  <c:v>490.20000000000005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CC-4157-A25B-16662D2479E7}"/>
            </c:ext>
          </c:extLst>
        </c:ser>
        <c:ser>
          <c:idx val="2"/>
          <c:order val="1"/>
          <c:tx>
            <c:strRef>
              <c:f>'19'!$AL$17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'19'!$AM$17:$BJ$17</c:f>
              <c:numCache>
                <c:formatCode>General</c:formatCode>
                <c:ptCount val="24"/>
                <c:pt idx="0">
                  <c:v>241.20000000000002</c:v>
                </c:pt>
                <c:pt idx="1">
                  <c:v>312.2</c:v>
                </c:pt>
                <c:pt idx="2">
                  <c:v>312.2</c:v>
                </c:pt>
                <c:pt idx="3">
                  <c:v>246</c:v>
                </c:pt>
                <c:pt idx="4">
                  <c:v>211.8</c:v>
                </c:pt>
                <c:pt idx="5">
                  <c:v>211.8</c:v>
                </c:pt>
                <c:pt idx="6">
                  <c:v>269.8</c:v>
                </c:pt>
                <c:pt idx="7">
                  <c:v>41.5</c:v>
                </c:pt>
                <c:pt idx="8">
                  <c:v>41.5</c:v>
                </c:pt>
                <c:pt idx="9">
                  <c:v>41.5</c:v>
                </c:pt>
                <c:pt idx="10">
                  <c:v>41.5</c:v>
                </c:pt>
                <c:pt idx="11">
                  <c:v>41.5</c:v>
                </c:pt>
                <c:pt idx="12">
                  <c:v>22.4</c:v>
                </c:pt>
                <c:pt idx="13">
                  <c:v>40.4</c:v>
                </c:pt>
                <c:pt idx="14">
                  <c:v>40.4</c:v>
                </c:pt>
                <c:pt idx="15">
                  <c:v>40.4</c:v>
                </c:pt>
                <c:pt idx="16">
                  <c:v>40.4</c:v>
                </c:pt>
                <c:pt idx="17">
                  <c:v>40.4</c:v>
                </c:pt>
                <c:pt idx="18" formatCode="0.0">
                  <c:v>55.5</c:v>
                </c:pt>
                <c:pt idx="19" formatCode="0.0">
                  <c:v>180.4</c:v>
                </c:pt>
                <c:pt idx="20" formatCode="0.0">
                  <c:v>418.4</c:v>
                </c:pt>
                <c:pt idx="21" formatCode="0.0">
                  <c:v>483.40000000000003</c:v>
                </c:pt>
                <c:pt idx="22" formatCode="0.0">
                  <c:v>383</c:v>
                </c:pt>
                <c:pt idx="23" formatCode="0.0">
                  <c:v>334.2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CC-4157-A25B-16662D2479E7}"/>
            </c:ext>
          </c:extLst>
        </c:ser>
        <c:ser>
          <c:idx val="3"/>
          <c:order val="2"/>
          <c:tx>
            <c:strRef>
              <c:f>'19'!$AL$18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'19'!$AM$18:$BJ$18</c:f>
              <c:numCache>
                <c:formatCode>General</c:formatCode>
                <c:ptCount val="24"/>
                <c:pt idx="0">
                  <c:v>279.24</c:v>
                </c:pt>
                <c:pt idx="1">
                  <c:v>289.24</c:v>
                </c:pt>
                <c:pt idx="2">
                  <c:v>289.24</c:v>
                </c:pt>
                <c:pt idx="3">
                  <c:v>287.24</c:v>
                </c:pt>
                <c:pt idx="4">
                  <c:v>240.34000000000003</c:v>
                </c:pt>
                <c:pt idx="5">
                  <c:v>240.34000000000003</c:v>
                </c:pt>
                <c:pt idx="6">
                  <c:v>273.74</c:v>
                </c:pt>
                <c:pt idx="7">
                  <c:v>292.03999999999996</c:v>
                </c:pt>
                <c:pt idx="8">
                  <c:v>293.44000000000005</c:v>
                </c:pt>
                <c:pt idx="9">
                  <c:v>269.34000000000009</c:v>
                </c:pt>
                <c:pt idx="10">
                  <c:v>269.04000000000002</c:v>
                </c:pt>
                <c:pt idx="11">
                  <c:v>283.84000000000003</c:v>
                </c:pt>
                <c:pt idx="12">
                  <c:v>283.84000000000003</c:v>
                </c:pt>
                <c:pt idx="13">
                  <c:v>276.84000000000003</c:v>
                </c:pt>
                <c:pt idx="14">
                  <c:v>248.43999999999997</c:v>
                </c:pt>
                <c:pt idx="15">
                  <c:v>235.03999999999996</c:v>
                </c:pt>
                <c:pt idx="16">
                  <c:v>186.73999999999995</c:v>
                </c:pt>
                <c:pt idx="17">
                  <c:v>186.73999999999995</c:v>
                </c:pt>
                <c:pt idx="18" formatCode="0.0">
                  <c:v>251.93999999999997</c:v>
                </c:pt>
                <c:pt idx="19" formatCode="0.0">
                  <c:v>314.94</c:v>
                </c:pt>
                <c:pt idx="20" formatCode="0.0">
                  <c:v>403.34</c:v>
                </c:pt>
                <c:pt idx="21" formatCode="0.0">
                  <c:v>349.14</c:v>
                </c:pt>
                <c:pt idx="22" formatCode="0.0">
                  <c:v>349.14000000000004</c:v>
                </c:pt>
                <c:pt idx="23" formatCode="0.0">
                  <c:v>326.53999999999996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CC-4157-A25B-16662D2479E7}"/>
            </c:ext>
          </c:extLst>
        </c:ser>
        <c:ser>
          <c:idx val="0"/>
          <c:order val="3"/>
          <c:tx>
            <c:strRef>
              <c:f>'19'!$AL$19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'19'!$AM$19:$BJ$19</c:f>
              <c:numCache>
                <c:formatCode>General</c:formatCode>
                <c:ptCount val="24"/>
                <c:pt idx="0">
                  <c:v>288.8</c:v>
                </c:pt>
                <c:pt idx="1">
                  <c:v>160.80000000000001</c:v>
                </c:pt>
                <c:pt idx="2">
                  <c:v>151.9</c:v>
                </c:pt>
                <c:pt idx="3">
                  <c:v>198.7</c:v>
                </c:pt>
                <c:pt idx="4">
                  <c:v>250.10000000000002</c:v>
                </c:pt>
                <c:pt idx="5">
                  <c:v>245.4</c:v>
                </c:pt>
                <c:pt idx="6">
                  <c:v>232.29999999999998</c:v>
                </c:pt>
                <c:pt idx="7">
                  <c:v>712.6</c:v>
                </c:pt>
                <c:pt idx="8">
                  <c:v>716.4</c:v>
                </c:pt>
                <c:pt idx="9">
                  <c:v>716.4</c:v>
                </c:pt>
                <c:pt idx="10">
                  <c:v>716.4</c:v>
                </c:pt>
                <c:pt idx="11">
                  <c:v>806.70000000000016</c:v>
                </c:pt>
                <c:pt idx="12">
                  <c:v>751.69999999999993</c:v>
                </c:pt>
                <c:pt idx="13">
                  <c:v>753.9</c:v>
                </c:pt>
                <c:pt idx="14">
                  <c:v>788.8</c:v>
                </c:pt>
                <c:pt idx="15">
                  <c:v>836.1</c:v>
                </c:pt>
                <c:pt idx="16">
                  <c:v>799.2</c:v>
                </c:pt>
                <c:pt idx="17">
                  <c:v>763.2410000000001</c:v>
                </c:pt>
                <c:pt idx="18" formatCode="0.0">
                  <c:v>673.66</c:v>
                </c:pt>
                <c:pt idx="19" formatCode="0.0">
                  <c:v>519.90000000000009</c:v>
                </c:pt>
                <c:pt idx="20" formatCode="0.0">
                  <c:v>140.80000000000001</c:v>
                </c:pt>
                <c:pt idx="21" formatCode="0.0">
                  <c:v>187.9</c:v>
                </c:pt>
                <c:pt idx="22" formatCode="0.0">
                  <c:v>161.69999999999999</c:v>
                </c:pt>
                <c:pt idx="23" formatCode="0.0">
                  <c:v>181.39999999999998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CC-4157-A25B-16662D2479E7}"/>
            </c:ext>
          </c:extLst>
        </c:ser>
        <c:ser>
          <c:idx val="4"/>
          <c:order val="4"/>
          <c:tx>
            <c:strRef>
              <c:f>'19'!$AL$20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'19'!$AM$20:$BJ$20</c:f>
              <c:numCache>
                <c:formatCode>General</c:formatCode>
                <c:ptCount val="24"/>
                <c:pt idx="0">
                  <c:v>47.9</c:v>
                </c:pt>
                <c:pt idx="1">
                  <c:v>47.9</c:v>
                </c:pt>
                <c:pt idx="2">
                  <c:v>47.9</c:v>
                </c:pt>
                <c:pt idx="3">
                  <c:v>47.9</c:v>
                </c:pt>
                <c:pt idx="4">
                  <c:v>47.9</c:v>
                </c:pt>
                <c:pt idx="5">
                  <c:v>47.9</c:v>
                </c:pt>
                <c:pt idx="6">
                  <c:v>47.9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</c:v>
                </c:pt>
                <c:pt idx="18" formatCode="0.0">
                  <c:v>15.1</c:v>
                </c:pt>
                <c:pt idx="19" formatCode="0.0">
                  <c:v>98.8</c:v>
                </c:pt>
                <c:pt idx="20" formatCode="0.0">
                  <c:v>98.8</c:v>
                </c:pt>
                <c:pt idx="21" formatCode="0.0">
                  <c:v>48.2</c:v>
                </c:pt>
                <c:pt idx="22" formatCode="0.0">
                  <c:v>47.699999999999996</c:v>
                </c:pt>
                <c:pt idx="23" formatCode="0.0">
                  <c:v>48.300000000000004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CC-4157-A25B-16662D2479E7}"/>
            </c:ext>
          </c:extLst>
        </c:ser>
        <c:ser>
          <c:idx val="5"/>
          <c:order val="5"/>
          <c:tx>
            <c:strRef>
              <c:f>'19'!$AL$21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'19'!$AM$21:$BJ$21</c:f>
              <c:numCache>
                <c:formatCode>General</c:formatCode>
                <c:ptCount val="24"/>
                <c:pt idx="0">
                  <c:v>230</c:v>
                </c:pt>
                <c:pt idx="1">
                  <c:v>231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300</c:v>
                </c:pt>
                <c:pt idx="20" formatCode="0.0">
                  <c:v>300</c:v>
                </c:pt>
                <c:pt idx="21" formatCode="0.0">
                  <c:v>300</c:v>
                </c:pt>
                <c:pt idx="22" formatCode="0.0">
                  <c:v>280</c:v>
                </c:pt>
                <c:pt idx="23" formatCode="0.0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1CC-4157-A25B-16662D247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'19'!$AL$23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'19'!$AM$23:$BJ$23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CC-4157-A25B-16662D247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'19'!$AL$22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'19'!$AM$22:$BJ$22</c:f>
              <c:numCache>
                <c:formatCode>General</c:formatCode>
                <c:ptCount val="24"/>
                <c:pt idx="0">
                  <c:v>1569.5400000000002</c:v>
                </c:pt>
                <c:pt idx="1">
                  <c:v>1523.5400000000002</c:v>
                </c:pt>
                <c:pt idx="2">
                  <c:v>1492.5400000000002</c:v>
                </c:pt>
                <c:pt idx="3">
                  <c:v>1475.9400000000003</c:v>
                </c:pt>
                <c:pt idx="4">
                  <c:v>1455.44</c:v>
                </c:pt>
                <c:pt idx="5">
                  <c:v>1450.7400000000002</c:v>
                </c:pt>
                <c:pt idx="6">
                  <c:v>1527.74</c:v>
                </c:pt>
                <c:pt idx="7">
                  <c:v>1549.1399999999999</c:v>
                </c:pt>
                <c:pt idx="8">
                  <c:v>1554.3400000000001</c:v>
                </c:pt>
                <c:pt idx="9">
                  <c:v>1528.44</c:v>
                </c:pt>
                <c:pt idx="10">
                  <c:v>1528.1399999999999</c:v>
                </c:pt>
                <c:pt idx="11">
                  <c:v>1633.2400000000002</c:v>
                </c:pt>
                <c:pt idx="12">
                  <c:v>1559.1399999999999</c:v>
                </c:pt>
                <c:pt idx="13">
                  <c:v>1572.3400000000001</c:v>
                </c:pt>
                <c:pt idx="14">
                  <c:v>1578.84</c:v>
                </c:pt>
                <c:pt idx="15">
                  <c:v>1612.74</c:v>
                </c:pt>
                <c:pt idx="16">
                  <c:v>1527.54</c:v>
                </c:pt>
                <c:pt idx="17">
                  <c:v>1533.5810000000001</c:v>
                </c:pt>
                <c:pt idx="18">
                  <c:v>1497.3999999999999</c:v>
                </c:pt>
                <c:pt idx="19">
                  <c:v>1915.24</c:v>
                </c:pt>
                <c:pt idx="20">
                  <c:v>1862.5399999999997</c:v>
                </c:pt>
                <c:pt idx="21">
                  <c:v>1869.8400000000001</c:v>
                </c:pt>
                <c:pt idx="22">
                  <c:v>1722.7400000000002</c:v>
                </c:pt>
                <c:pt idx="23">
                  <c:v>1650.64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61CC-4157-A25B-16662D2479E7}"/>
            </c:ext>
          </c:extLst>
        </c:ser>
        <c:ser>
          <c:idx val="8"/>
          <c:order val="8"/>
          <c:tx>
            <c:strRef>
              <c:f>'19'!$AL$24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'19'!$AM$15:$BJ$15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'19'!$AM$24:$BJ$24</c:f>
              <c:numCache>
                <c:formatCode>General</c:formatCode>
                <c:ptCount val="24"/>
                <c:pt idx="0">
                  <c:v>1569.5400000000002</c:v>
                </c:pt>
                <c:pt idx="1">
                  <c:v>1523.5400000000002</c:v>
                </c:pt>
                <c:pt idx="2">
                  <c:v>1492.5400000000002</c:v>
                </c:pt>
                <c:pt idx="3">
                  <c:v>1475.9400000000003</c:v>
                </c:pt>
                <c:pt idx="4">
                  <c:v>1455.44</c:v>
                </c:pt>
                <c:pt idx="5">
                  <c:v>1450.7400000000002</c:v>
                </c:pt>
                <c:pt idx="6">
                  <c:v>1527.74</c:v>
                </c:pt>
                <c:pt idx="7">
                  <c:v>1549.1399999999999</c:v>
                </c:pt>
                <c:pt idx="8">
                  <c:v>1554.3400000000001</c:v>
                </c:pt>
                <c:pt idx="9">
                  <c:v>1528.44</c:v>
                </c:pt>
                <c:pt idx="10">
                  <c:v>1528.1399999999999</c:v>
                </c:pt>
                <c:pt idx="11">
                  <c:v>1633.2400000000002</c:v>
                </c:pt>
                <c:pt idx="12">
                  <c:v>1559.1399999999999</c:v>
                </c:pt>
                <c:pt idx="13">
                  <c:v>1572.3400000000001</c:v>
                </c:pt>
                <c:pt idx="14">
                  <c:v>1578.84</c:v>
                </c:pt>
                <c:pt idx="15">
                  <c:v>1612.74</c:v>
                </c:pt>
                <c:pt idx="16">
                  <c:v>1527.54</c:v>
                </c:pt>
                <c:pt idx="17">
                  <c:v>1533.5810000000001</c:v>
                </c:pt>
                <c:pt idx="18">
                  <c:v>1497.3999999999999</c:v>
                </c:pt>
                <c:pt idx="19">
                  <c:v>1915.24</c:v>
                </c:pt>
                <c:pt idx="20">
                  <c:v>1862.5399999999997</c:v>
                </c:pt>
                <c:pt idx="21">
                  <c:v>1869.8400000000001</c:v>
                </c:pt>
                <c:pt idx="22">
                  <c:v>1722.7400000000002</c:v>
                </c:pt>
                <c:pt idx="23">
                  <c:v>1650.64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1CC-4157-A25B-16662D247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5F4-432B-9C16-A5B7B31E33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5F4-432B-9C16-A5B7B31E33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5F4-432B-9C16-A5B7B31E33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5F4-432B-9C16-A5B7B31E33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5F4-432B-9C16-A5B7B31E331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25F4-432B-9C16-A5B7B31E331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'20'!$AL$16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'20'!$AM$16:$BJ$16</c:f>
              <c:numCache>
                <c:formatCode>General</c:formatCode>
                <c:ptCount val="24"/>
                <c:pt idx="0">
                  <c:v>490.20000000000005</c:v>
                </c:pt>
                <c:pt idx="1">
                  <c:v>490.20000000000005</c:v>
                </c:pt>
                <c:pt idx="2">
                  <c:v>490.20000000000005</c:v>
                </c:pt>
                <c:pt idx="3">
                  <c:v>466.7</c:v>
                </c:pt>
                <c:pt idx="4">
                  <c:v>466.7</c:v>
                </c:pt>
                <c:pt idx="5">
                  <c:v>466.7</c:v>
                </c:pt>
                <c:pt idx="6">
                  <c:v>466.7</c:v>
                </c:pt>
                <c:pt idx="7">
                  <c:v>466.7</c:v>
                </c:pt>
                <c:pt idx="8">
                  <c:v>467.3</c:v>
                </c:pt>
                <c:pt idx="9">
                  <c:v>465.9</c:v>
                </c:pt>
                <c:pt idx="10">
                  <c:v>465.20000000000005</c:v>
                </c:pt>
                <c:pt idx="11">
                  <c:v>466.8</c:v>
                </c:pt>
                <c:pt idx="12">
                  <c:v>466.1</c:v>
                </c:pt>
                <c:pt idx="13">
                  <c:v>465.20000000000005</c:v>
                </c:pt>
                <c:pt idx="14">
                  <c:v>465.20000000000005</c:v>
                </c:pt>
                <c:pt idx="15">
                  <c:v>465.20000000000005</c:v>
                </c:pt>
                <c:pt idx="16">
                  <c:v>465.20000000000005</c:v>
                </c:pt>
                <c:pt idx="17">
                  <c:v>465.20000000000005</c:v>
                </c:pt>
                <c:pt idx="18" formatCode="0.0">
                  <c:v>465.20000000000005</c:v>
                </c:pt>
                <c:pt idx="19" formatCode="0.0">
                  <c:v>465.20000000000005</c:v>
                </c:pt>
                <c:pt idx="20" formatCode="0.0">
                  <c:v>471.3</c:v>
                </c:pt>
                <c:pt idx="21" formatCode="0.0">
                  <c:v>471.1</c:v>
                </c:pt>
                <c:pt idx="22" formatCode="0.0">
                  <c:v>471.1</c:v>
                </c:pt>
                <c:pt idx="23" formatCode="0.0">
                  <c:v>471.1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BA-4AEA-AA14-2B8059625D4E}"/>
            </c:ext>
          </c:extLst>
        </c:ser>
        <c:ser>
          <c:idx val="2"/>
          <c:order val="1"/>
          <c:tx>
            <c:strRef>
              <c:f>'20'!$AL$17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'20'!$AM$17:$BJ$17</c:f>
              <c:numCache>
                <c:formatCode>General</c:formatCode>
                <c:ptCount val="24"/>
                <c:pt idx="0">
                  <c:v>305.30000000000007</c:v>
                </c:pt>
                <c:pt idx="1">
                  <c:v>253.79999999999998</c:v>
                </c:pt>
                <c:pt idx="2">
                  <c:v>134.1</c:v>
                </c:pt>
                <c:pt idx="3">
                  <c:v>131.9</c:v>
                </c:pt>
                <c:pt idx="4">
                  <c:v>131.9</c:v>
                </c:pt>
                <c:pt idx="5">
                  <c:v>131.9</c:v>
                </c:pt>
                <c:pt idx="6">
                  <c:v>162</c:v>
                </c:pt>
                <c:pt idx="7">
                  <c:v>36.1</c:v>
                </c:pt>
                <c:pt idx="8">
                  <c:v>33.400000000000006</c:v>
                </c:pt>
                <c:pt idx="9">
                  <c:v>33.400000000000006</c:v>
                </c:pt>
                <c:pt idx="10">
                  <c:v>36.299999999999997</c:v>
                </c:pt>
                <c:pt idx="11">
                  <c:v>39.200000000000003</c:v>
                </c:pt>
                <c:pt idx="12">
                  <c:v>34.5</c:v>
                </c:pt>
                <c:pt idx="13">
                  <c:v>32.5</c:v>
                </c:pt>
                <c:pt idx="14">
                  <c:v>28.9</c:v>
                </c:pt>
                <c:pt idx="15">
                  <c:v>28.9</c:v>
                </c:pt>
                <c:pt idx="16">
                  <c:v>28.9</c:v>
                </c:pt>
                <c:pt idx="17">
                  <c:v>28.9</c:v>
                </c:pt>
                <c:pt idx="18" formatCode="0.0">
                  <c:v>43.9</c:v>
                </c:pt>
                <c:pt idx="19" formatCode="0.0">
                  <c:v>486.9</c:v>
                </c:pt>
                <c:pt idx="20" formatCode="0.0">
                  <c:v>478.7</c:v>
                </c:pt>
                <c:pt idx="21" formatCode="0.0">
                  <c:v>388.9</c:v>
                </c:pt>
                <c:pt idx="22" formatCode="0.0">
                  <c:v>238.89999999999998</c:v>
                </c:pt>
                <c:pt idx="23" formatCode="0.0">
                  <c:v>178.89999999999998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BA-4AEA-AA14-2B8059625D4E}"/>
            </c:ext>
          </c:extLst>
        </c:ser>
        <c:ser>
          <c:idx val="3"/>
          <c:order val="2"/>
          <c:tx>
            <c:strRef>
              <c:f>'20'!$AL$18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'20'!$AM$18:$BJ$18</c:f>
              <c:numCache>
                <c:formatCode>General</c:formatCode>
                <c:ptCount val="24"/>
                <c:pt idx="0">
                  <c:v>296.14000000000004</c:v>
                </c:pt>
                <c:pt idx="1">
                  <c:v>285.83999999999997</c:v>
                </c:pt>
                <c:pt idx="2">
                  <c:v>285.14</c:v>
                </c:pt>
                <c:pt idx="3">
                  <c:v>219.33999999999997</c:v>
                </c:pt>
                <c:pt idx="4">
                  <c:v>219.33999999999997</c:v>
                </c:pt>
                <c:pt idx="5">
                  <c:v>219.33999999999997</c:v>
                </c:pt>
                <c:pt idx="6">
                  <c:v>273.34000000000003</c:v>
                </c:pt>
                <c:pt idx="7">
                  <c:v>256.44</c:v>
                </c:pt>
                <c:pt idx="8">
                  <c:v>272.94</c:v>
                </c:pt>
                <c:pt idx="9">
                  <c:v>271.34000000000003</c:v>
                </c:pt>
                <c:pt idx="10">
                  <c:v>293.74000000000007</c:v>
                </c:pt>
                <c:pt idx="11">
                  <c:v>307.83999999999997</c:v>
                </c:pt>
                <c:pt idx="12">
                  <c:v>304.24</c:v>
                </c:pt>
                <c:pt idx="13">
                  <c:v>300.54000000000002</c:v>
                </c:pt>
                <c:pt idx="14">
                  <c:v>281.44</c:v>
                </c:pt>
                <c:pt idx="15">
                  <c:v>235.73999999999998</c:v>
                </c:pt>
                <c:pt idx="16">
                  <c:v>235.73999999999998</c:v>
                </c:pt>
                <c:pt idx="17">
                  <c:v>206.64</c:v>
                </c:pt>
                <c:pt idx="18" formatCode="0.0">
                  <c:v>190.07999999999998</c:v>
                </c:pt>
                <c:pt idx="19" formatCode="0.0">
                  <c:v>274.14000000000004</c:v>
                </c:pt>
                <c:pt idx="20" formatCode="0.0">
                  <c:v>286.94000000000005</c:v>
                </c:pt>
                <c:pt idx="21" formatCode="0.0">
                  <c:v>229.64</c:v>
                </c:pt>
                <c:pt idx="22" formatCode="0.0">
                  <c:v>229.64</c:v>
                </c:pt>
                <c:pt idx="23" formatCode="0.0">
                  <c:v>199.64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BA-4AEA-AA14-2B8059625D4E}"/>
            </c:ext>
          </c:extLst>
        </c:ser>
        <c:ser>
          <c:idx val="0"/>
          <c:order val="3"/>
          <c:tx>
            <c:strRef>
              <c:f>'20'!$AL$19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'20'!$AM$19:$BJ$19</c:f>
              <c:numCache>
                <c:formatCode>General</c:formatCode>
                <c:ptCount val="24"/>
                <c:pt idx="0">
                  <c:v>188.4</c:v>
                </c:pt>
                <c:pt idx="1">
                  <c:v>235.79999999999998</c:v>
                </c:pt>
                <c:pt idx="2">
                  <c:v>324.39999999999998</c:v>
                </c:pt>
                <c:pt idx="3">
                  <c:v>290.5</c:v>
                </c:pt>
                <c:pt idx="4">
                  <c:v>233.5</c:v>
                </c:pt>
                <c:pt idx="5">
                  <c:v>283.5</c:v>
                </c:pt>
                <c:pt idx="6">
                  <c:v>280.7</c:v>
                </c:pt>
                <c:pt idx="7">
                  <c:v>876.00000000000011</c:v>
                </c:pt>
                <c:pt idx="8">
                  <c:v>898.99999999999989</c:v>
                </c:pt>
                <c:pt idx="9">
                  <c:v>894.2</c:v>
                </c:pt>
                <c:pt idx="10">
                  <c:v>912.1</c:v>
                </c:pt>
                <c:pt idx="11">
                  <c:v>899.20000000000016</c:v>
                </c:pt>
                <c:pt idx="12">
                  <c:v>923.5</c:v>
                </c:pt>
                <c:pt idx="13">
                  <c:v>898.30000000000018</c:v>
                </c:pt>
                <c:pt idx="14">
                  <c:v>915.4</c:v>
                </c:pt>
                <c:pt idx="15">
                  <c:v>930.30000000000007</c:v>
                </c:pt>
                <c:pt idx="16">
                  <c:v>931.40000000000009</c:v>
                </c:pt>
                <c:pt idx="17">
                  <c:v>929.4</c:v>
                </c:pt>
                <c:pt idx="18" formatCode="0.0">
                  <c:v>732.8</c:v>
                </c:pt>
                <c:pt idx="19" formatCode="0.0">
                  <c:v>233.3</c:v>
                </c:pt>
                <c:pt idx="20" formatCode="0.0">
                  <c:v>234.10000000000002</c:v>
                </c:pt>
                <c:pt idx="21" formatCode="0.0">
                  <c:v>253.9</c:v>
                </c:pt>
                <c:pt idx="22" formatCode="0.0">
                  <c:v>306.10000000000002</c:v>
                </c:pt>
                <c:pt idx="23" formatCode="0.0">
                  <c:v>301.10000000000002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BA-4AEA-AA14-2B8059625D4E}"/>
            </c:ext>
          </c:extLst>
        </c:ser>
        <c:ser>
          <c:idx val="4"/>
          <c:order val="4"/>
          <c:tx>
            <c:strRef>
              <c:f>'20'!$AL$20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'20'!$AM$20:$BJ$20</c:f>
              <c:numCache>
                <c:formatCode>General</c:formatCode>
                <c:ptCount val="24"/>
                <c:pt idx="0">
                  <c:v>47.3</c:v>
                </c:pt>
                <c:pt idx="1">
                  <c:v>47.9</c:v>
                </c:pt>
                <c:pt idx="2">
                  <c:v>47.9</c:v>
                </c:pt>
                <c:pt idx="3">
                  <c:v>98.100000000000009</c:v>
                </c:pt>
                <c:pt idx="4">
                  <c:v>98.100000000000009</c:v>
                </c:pt>
                <c:pt idx="5">
                  <c:v>98.100000000000009</c:v>
                </c:pt>
                <c:pt idx="6">
                  <c:v>98.100000000000009</c:v>
                </c:pt>
                <c:pt idx="7">
                  <c:v>49.699999999999996</c:v>
                </c:pt>
                <c:pt idx="8">
                  <c:v>98.2</c:v>
                </c:pt>
                <c:pt idx="9">
                  <c:v>98.3</c:v>
                </c:pt>
                <c:pt idx="10">
                  <c:v>98.3</c:v>
                </c:pt>
                <c:pt idx="11">
                  <c:v>98.4</c:v>
                </c:pt>
                <c:pt idx="12">
                  <c:v>98</c:v>
                </c:pt>
                <c:pt idx="13">
                  <c:v>98.300000000000011</c:v>
                </c:pt>
                <c:pt idx="14">
                  <c:v>98.300000000000011</c:v>
                </c:pt>
                <c:pt idx="15">
                  <c:v>98.300000000000011</c:v>
                </c:pt>
                <c:pt idx="16">
                  <c:v>98.300000000000011</c:v>
                </c:pt>
                <c:pt idx="17">
                  <c:v>98.300000000000011</c:v>
                </c:pt>
                <c:pt idx="18" formatCode="0.0">
                  <c:v>98.300000000000011</c:v>
                </c:pt>
                <c:pt idx="19" formatCode="0.0">
                  <c:v>98.300000000000011</c:v>
                </c:pt>
                <c:pt idx="20" formatCode="0.0">
                  <c:v>97.6</c:v>
                </c:pt>
                <c:pt idx="21" formatCode="0.0">
                  <c:v>97.699999999999989</c:v>
                </c:pt>
                <c:pt idx="22" formatCode="0.0">
                  <c:v>97.699999999999989</c:v>
                </c:pt>
                <c:pt idx="23" formatCode="0.0">
                  <c:v>97.699999999999989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BA-4AEA-AA14-2B8059625D4E}"/>
            </c:ext>
          </c:extLst>
        </c:ser>
        <c:ser>
          <c:idx val="5"/>
          <c:order val="5"/>
          <c:tx>
            <c:strRef>
              <c:f>'20'!$AL$21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'20'!$AM$21:$BJ$21</c:f>
              <c:numCache>
                <c:formatCode>General</c:formatCode>
                <c:ptCount val="24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350</c:v>
                </c:pt>
                <c:pt idx="20" formatCode="0.0">
                  <c:v>350</c:v>
                </c:pt>
                <c:pt idx="21" formatCode="0.0">
                  <c:v>350</c:v>
                </c:pt>
                <c:pt idx="22" formatCode="0.0">
                  <c:v>300</c:v>
                </c:pt>
                <c:pt idx="23" formatCode="0.0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9BA-4AEA-AA14-2B8059625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'20'!$AL$23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'20'!$AM$23:$BJ$23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BA-4AEA-AA14-2B8059625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'20'!$AL$22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'20'!$AM$22:$BJ$22</c:f>
              <c:numCache>
                <c:formatCode>General</c:formatCode>
                <c:ptCount val="24"/>
                <c:pt idx="0">
                  <c:v>1577.3400000000001</c:v>
                </c:pt>
                <c:pt idx="1">
                  <c:v>1563.54</c:v>
                </c:pt>
                <c:pt idx="2">
                  <c:v>1531.7400000000002</c:v>
                </c:pt>
                <c:pt idx="3">
                  <c:v>1456.54</c:v>
                </c:pt>
                <c:pt idx="4">
                  <c:v>1399.54</c:v>
                </c:pt>
                <c:pt idx="5">
                  <c:v>1449.54</c:v>
                </c:pt>
                <c:pt idx="6">
                  <c:v>1530.84</c:v>
                </c:pt>
                <c:pt idx="7">
                  <c:v>1684.9400000000003</c:v>
                </c:pt>
                <c:pt idx="8">
                  <c:v>1770.84</c:v>
                </c:pt>
                <c:pt idx="9">
                  <c:v>1763.14</c:v>
                </c:pt>
                <c:pt idx="10">
                  <c:v>1805.64</c:v>
                </c:pt>
                <c:pt idx="11">
                  <c:v>1811.44</c:v>
                </c:pt>
                <c:pt idx="12">
                  <c:v>1826.3400000000001</c:v>
                </c:pt>
                <c:pt idx="13">
                  <c:v>1794.8400000000001</c:v>
                </c:pt>
                <c:pt idx="14">
                  <c:v>1789.24</c:v>
                </c:pt>
                <c:pt idx="15">
                  <c:v>1758.44</c:v>
                </c:pt>
                <c:pt idx="16">
                  <c:v>1759.5400000000002</c:v>
                </c:pt>
                <c:pt idx="17">
                  <c:v>1728.4399999999998</c:v>
                </c:pt>
                <c:pt idx="18">
                  <c:v>1530.28</c:v>
                </c:pt>
                <c:pt idx="19">
                  <c:v>1907.84</c:v>
                </c:pt>
                <c:pt idx="20">
                  <c:v>1918.6399999999999</c:v>
                </c:pt>
                <c:pt idx="21">
                  <c:v>1791.24</c:v>
                </c:pt>
                <c:pt idx="22">
                  <c:v>1643.44</c:v>
                </c:pt>
                <c:pt idx="23">
                  <c:v>1548.44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F9BA-4AEA-AA14-2B8059625D4E}"/>
            </c:ext>
          </c:extLst>
        </c:ser>
        <c:ser>
          <c:idx val="8"/>
          <c:order val="8"/>
          <c:tx>
            <c:strRef>
              <c:f>'20'!$AL$24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'20'!$AM$24:$BJ$24</c:f>
              <c:numCache>
                <c:formatCode>General</c:formatCode>
                <c:ptCount val="24"/>
                <c:pt idx="0">
                  <c:v>1577.3400000000001</c:v>
                </c:pt>
                <c:pt idx="1">
                  <c:v>1563.54</c:v>
                </c:pt>
                <c:pt idx="2">
                  <c:v>1531.7400000000002</c:v>
                </c:pt>
                <c:pt idx="3">
                  <c:v>1456.54</c:v>
                </c:pt>
                <c:pt idx="4">
                  <c:v>1399.54</c:v>
                </c:pt>
                <c:pt idx="5">
                  <c:v>1449.54</c:v>
                </c:pt>
                <c:pt idx="6">
                  <c:v>1530.84</c:v>
                </c:pt>
                <c:pt idx="7">
                  <c:v>1684.9400000000003</c:v>
                </c:pt>
                <c:pt idx="8">
                  <c:v>1770.84</c:v>
                </c:pt>
                <c:pt idx="9">
                  <c:v>1763.14</c:v>
                </c:pt>
                <c:pt idx="10">
                  <c:v>1805.64</c:v>
                </c:pt>
                <c:pt idx="11">
                  <c:v>1811.44</c:v>
                </c:pt>
                <c:pt idx="12">
                  <c:v>1826.3400000000001</c:v>
                </c:pt>
                <c:pt idx="13">
                  <c:v>1794.8400000000001</c:v>
                </c:pt>
                <c:pt idx="14">
                  <c:v>1789.24</c:v>
                </c:pt>
                <c:pt idx="15">
                  <c:v>1758.44</c:v>
                </c:pt>
                <c:pt idx="16">
                  <c:v>1759.5400000000002</c:v>
                </c:pt>
                <c:pt idx="17">
                  <c:v>1728.4399999999998</c:v>
                </c:pt>
                <c:pt idx="18">
                  <c:v>1530.28</c:v>
                </c:pt>
                <c:pt idx="19">
                  <c:v>1907.84</c:v>
                </c:pt>
                <c:pt idx="20">
                  <c:v>1918.6399999999999</c:v>
                </c:pt>
                <c:pt idx="21">
                  <c:v>1791.24</c:v>
                </c:pt>
                <c:pt idx="22">
                  <c:v>1643.44</c:v>
                </c:pt>
                <c:pt idx="23">
                  <c:v>1548.44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9BA-4AEA-AA14-2B8059625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3BD-4257-87FE-829D68F746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3BD-4257-87FE-829D68F746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3BD-4257-87FE-829D68F7467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3BD-4257-87FE-829D68F7467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3BD-4257-87FE-829D68F7467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F3BD-4257-87FE-829D68F7467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'21'!$AL$16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'21'!$AM$16:$BJ$16</c:f>
              <c:numCache>
                <c:formatCode>General</c:formatCode>
                <c:ptCount val="24"/>
                <c:pt idx="0">
                  <c:v>471.1</c:v>
                </c:pt>
                <c:pt idx="1">
                  <c:v>471.1</c:v>
                </c:pt>
                <c:pt idx="2">
                  <c:v>471.1</c:v>
                </c:pt>
                <c:pt idx="3">
                  <c:v>484.15000000000003</c:v>
                </c:pt>
                <c:pt idx="4">
                  <c:v>484.15000000000003</c:v>
                </c:pt>
                <c:pt idx="5">
                  <c:v>484.15000000000003</c:v>
                </c:pt>
                <c:pt idx="6">
                  <c:v>480.2</c:v>
                </c:pt>
                <c:pt idx="7">
                  <c:v>480.2</c:v>
                </c:pt>
                <c:pt idx="8">
                  <c:v>472.09999999999997</c:v>
                </c:pt>
                <c:pt idx="9">
                  <c:v>472.59999999999997</c:v>
                </c:pt>
                <c:pt idx="10">
                  <c:v>472.09999999999997</c:v>
                </c:pt>
                <c:pt idx="11">
                  <c:v>472.4</c:v>
                </c:pt>
                <c:pt idx="12">
                  <c:v>473</c:v>
                </c:pt>
                <c:pt idx="13">
                  <c:v>471.59999999999997</c:v>
                </c:pt>
                <c:pt idx="14">
                  <c:v>464.9</c:v>
                </c:pt>
                <c:pt idx="15">
                  <c:v>464.9</c:v>
                </c:pt>
                <c:pt idx="16">
                  <c:v>464.9</c:v>
                </c:pt>
                <c:pt idx="17">
                  <c:v>464.9</c:v>
                </c:pt>
                <c:pt idx="18" formatCode="0.0">
                  <c:v>464.9</c:v>
                </c:pt>
                <c:pt idx="19" formatCode="0.0">
                  <c:v>473.5</c:v>
                </c:pt>
                <c:pt idx="20" formatCode="0.0">
                  <c:v>473.5</c:v>
                </c:pt>
                <c:pt idx="21" formatCode="0.0">
                  <c:v>547.6</c:v>
                </c:pt>
                <c:pt idx="22" formatCode="0.0">
                  <c:v>547.6</c:v>
                </c:pt>
                <c:pt idx="23" formatCode="0.0">
                  <c:v>547.6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E6-4B39-ACBF-6E5F5FAA619F}"/>
            </c:ext>
          </c:extLst>
        </c:ser>
        <c:ser>
          <c:idx val="2"/>
          <c:order val="1"/>
          <c:tx>
            <c:strRef>
              <c:f>'21'!$AL$17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'21'!$AM$17:$BJ$17</c:f>
              <c:numCache>
                <c:formatCode>General</c:formatCode>
                <c:ptCount val="24"/>
                <c:pt idx="0">
                  <c:v>178.89999999999998</c:v>
                </c:pt>
                <c:pt idx="1">
                  <c:v>138.9</c:v>
                </c:pt>
                <c:pt idx="2">
                  <c:v>133.9</c:v>
                </c:pt>
                <c:pt idx="3">
                  <c:v>133.9</c:v>
                </c:pt>
                <c:pt idx="4">
                  <c:v>133.9</c:v>
                </c:pt>
                <c:pt idx="5">
                  <c:v>133.9</c:v>
                </c:pt>
                <c:pt idx="6">
                  <c:v>134.39999999999998</c:v>
                </c:pt>
                <c:pt idx="7">
                  <c:v>38.700000000000003</c:v>
                </c:pt>
                <c:pt idx="8">
                  <c:v>38.299999999999997</c:v>
                </c:pt>
                <c:pt idx="9">
                  <c:v>35.299999999999997</c:v>
                </c:pt>
                <c:pt idx="10">
                  <c:v>35.299999999999997</c:v>
                </c:pt>
                <c:pt idx="11">
                  <c:v>35.299999999999997</c:v>
                </c:pt>
                <c:pt idx="12">
                  <c:v>31.700000000000003</c:v>
                </c:pt>
                <c:pt idx="13">
                  <c:v>31.8</c:v>
                </c:pt>
                <c:pt idx="14">
                  <c:v>31.8</c:v>
                </c:pt>
                <c:pt idx="15">
                  <c:v>35.6</c:v>
                </c:pt>
                <c:pt idx="16">
                  <c:v>35.6</c:v>
                </c:pt>
                <c:pt idx="17">
                  <c:v>35.6</c:v>
                </c:pt>
                <c:pt idx="18" formatCode="0.0">
                  <c:v>50.6</c:v>
                </c:pt>
                <c:pt idx="19" formatCode="0.0">
                  <c:v>497.70000000000005</c:v>
                </c:pt>
                <c:pt idx="20" formatCode="0.0">
                  <c:v>467.40000000000003</c:v>
                </c:pt>
                <c:pt idx="21" formatCode="0.0">
                  <c:v>413.30000000000007</c:v>
                </c:pt>
                <c:pt idx="22" formatCode="0.0">
                  <c:v>413.30000000000007</c:v>
                </c:pt>
                <c:pt idx="23" formatCode="0.0">
                  <c:v>161.1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E6-4B39-ACBF-6E5F5FAA619F}"/>
            </c:ext>
          </c:extLst>
        </c:ser>
        <c:ser>
          <c:idx val="3"/>
          <c:order val="2"/>
          <c:tx>
            <c:strRef>
              <c:f>'21'!$AL$18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'21'!$AM$18:$BJ$18</c:f>
              <c:numCache>
                <c:formatCode>General</c:formatCode>
                <c:ptCount val="24"/>
                <c:pt idx="0">
                  <c:v>199.64</c:v>
                </c:pt>
                <c:pt idx="1">
                  <c:v>199.64</c:v>
                </c:pt>
                <c:pt idx="2">
                  <c:v>199.64</c:v>
                </c:pt>
                <c:pt idx="3">
                  <c:v>177.43999999999997</c:v>
                </c:pt>
                <c:pt idx="4">
                  <c:v>177.43999999999997</c:v>
                </c:pt>
                <c:pt idx="5">
                  <c:v>177.43999999999997</c:v>
                </c:pt>
                <c:pt idx="6">
                  <c:v>213.34</c:v>
                </c:pt>
                <c:pt idx="7">
                  <c:v>277.04000000000002</c:v>
                </c:pt>
                <c:pt idx="8">
                  <c:v>289.54000000000008</c:v>
                </c:pt>
                <c:pt idx="9">
                  <c:v>285.54000000000002</c:v>
                </c:pt>
                <c:pt idx="10">
                  <c:v>281.64000000000004</c:v>
                </c:pt>
                <c:pt idx="11">
                  <c:v>282.94000000000005</c:v>
                </c:pt>
                <c:pt idx="12">
                  <c:v>292.14000000000004</c:v>
                </c:pt>
                <c:pt idx="13">
                  <c:v>278.44000000000005</c:v>
                </c:pt>
                <c:pt idx="14">
                  <c:v>271.34000000000003</c:v>
                </c:pt>
                <c:pt idx="15">
                  <c:v>278.54000000000002</c:v>
                </c:pt>
                <c:pt idx="16">
                  <c:v>250.64</c:v>
                </c:pt>
                <c:pt idx="17">
                  <c:v>230.04</c:v>
                </c:pt>
                <c:pt idx="18" formatCode="0.0">
                  <c:v>202.94</c:v>
                </c:pt>
                <c:pt idx="19" formatCode="0.0">
                  <c:v>306.59999999999997</c:v>
                </c:pt>
                <c:pt idx="20" formatCode="0.0">
                  <c:v>330.44</c:v>
                </c:pt>
                <c:pt idx="21" formatCode="0.0">
                  <c:v>313.83999999999997</c:v>
                </c:pt>
                <c:pt idx="22" formatCode="0.0">
                  <c:v>245.14000000000001</c:v>
                </c:pt>
                <c:pt idx="23" formatCode="0.0">
                  <c:v>221.44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E6-4B39-ACBF-6E5F5FAA619F}"/>
            </c:ext>
          </c:extLst>
        </c:ser>
        <c:ser>
          <c:idx val="0"/>
          <c:order val="3"/>
          <c:tx>
            <c:strRef>
              <c:f>'21'!$AL$19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'21'!$AM$19:$BJ$19</c:f>
              <c:numCache>
                <c:formatCode>General</c:formatCode>
                <c:ptCount val="24"/>
                <c:pt idx="0">
                  <c:v>291.2</c:v>
                </c:pt>
                <c:pt idx="1">
                  <c:v>262.60000000000002</c:v>
                </c:pt>
                <c:pt idx="2">
                  <c:v>232</c:v>
                </c:pt>
                <c:pt idx="3">
                  <c:v>224.5</c:v>
                </c:pt>
                <c:pt idx="4">
                  <c:v>231.39999999999998</c:v>
                </c:pt>
                <c:pt idx="5">
                  <c:v>262.5</c:v>
                </c:pt>
                <c:pt idx="6">
                  <c:v>274.14</c:v>
                </c:pt>
                <c:pt idx="7">
                  <c:v>830.4</c:v>
                </c:pt>
                <c:pt idx="8">
                  <c:v>921.90000000000009</c:v>
                </c:pt>
                <c:pt idx="9">
                  <c:v>869.7</c:v>
                </c:pt>
                <c:pt idx="10">
                  <c:v>922.9</c:v>
                </c:pt>
                <c:pt idx="11">
                  <c:v>915.80000000000007</c:v>
                </c:pt>
                <c:pt idx="12">
                  <c:v>916.69999999999993</c:v>
                </c:pt>
                <c:pt idx="13">
                  <c:v>894.1</c:v>
                </c:pt>
                <c:pt idx="14">
                  <c:v>976.5</c:v>
                </c:pt>
                <c:pt idx="15">
                  <c:v>966.9</c:v>
                </c:pt>
                <c:pt idx="16">
                  <c:v>937.5</c:v>
                </c:pt>
                <c:pt idx="17">
                  <c:v>880.40000000000009</c:v>
                </c:pt>
                <c:pt idx="18" formatCode="0.0">
                  <c:v>740</c:v>
                </c:pt>
                <c:pt idx="19" formatCode="0.0">
                  <c:v>191.6</c:v>
                </c:pt>
                <c:pt idx="20" formatCode="0.0">
                  <c:v>83.1</c:v>
                </c:pt>
                <c:pt idx="21" formatCode="0.0">
                  <c:v>117.5</c:v>
                </c:pt>
                <c:pt idx="22" formatCode="0.0">
                  <c:v>129.6</c:v>
                </c:pt>
                <c:pt idx="23" formatCode="0.0">
                  <c:v>233.6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E6-4B39-ACBF-6E5F5FAA619F}"/>
            </c:ext>
          </c:extLst>
        </c:ser>
        <c:ser>
          <c:idx val="4"/>
          <c:order val="4"/>
          <c:tx>
            <c:strRef>
              <c:f>'21'!$AL$20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'21'!$AM$20:$BJ$20</c:f>
              <c:numCache>
                <c:formatCode>General</c:formatCode>
                <c:ptCount val="24"/>
                <c:pt idx="0">
                  <c:v>98.3</c:v>
                </c:pt>
                <c:pt idx="1">
                  <c:v>98.3</c:v>
                </c:pt>
                <c:pt idx="2">
                  <c:v>98.3</c:v>
                </c:pt>
                <c:pt idx="3">
                  <c:v>98.3</c:v>
                </c:pt>
                <c:pt idx="4">
                  <c:v>98.3</c:v>
                </c:pt>
                <c:pt idx="5">
                  <c:v>98.3</c:v>
                </c:pt>
                <c:pt idx="6">
                  <c:v>98.3</c:v>
                </c:pt>
                <c:pt idx="7">
                  <c:v>38.4</c:v>
                </c:pt>
                <c:pt idx="8">
                  <c:v>63.699999999999996</c:v>
                </c:pt>
                <c:pt idx="9">
                  <c:v>69.3</c:v>
                </c:pt>
                <c:pt idx="10">
                  <c:v>69.5</c:v>
                </c:pt>
                <c:pt idx="11">
                  <c:v>80</c:v>
                </c:pt>
                <c:pt idx="12">
                  <c:v>81.7</c:v>
                </c:pt>
                <c:pt idx="13">
                  <c:v>97.7</c:v>
                </c:pt>
                <c:pt idx="14">
                  <c:v>97.7</c:v>
                </c:pt>
                <c:pt idx="15">
                  <c:v>97.7</c:v>
                </c:pt>
                <c:pt idx="16">
                  <c:v>97.7</c:v>
                </c:pt>
                <c:pt idx="17">
                  <c:v>98.600000000000009</c:v>
                </c:pt>
                <c:pt idx="18" formatCode="0.0">
                  <c:v>71.3</c:v>
                </c:pt>
                <c:pt idx="19" formatCode="0.0">
                  <c:v>96.2</c:v>
                </c:pt>
                <c:pt idx="20" formatCode="0.0">
                  <c:v>96.2</c:v>
                </c:pt>
                <c:pt idx="21" formatCode="0.0">
                  <c:v>96.2</c:v>
                </c:pt>
                <c:pt idx="22" formatCode="0.0">
                  <c:v>96.899999999999991</c:v>
                </c:pt>
                <c:pt idx="23" formatCode="0.0">
                  <c:v>96.899999999999991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E6-4B39-ACBF-6E5F5FAA619F}"/>
            </c:ext>
          </c:extLst>
        </c:ser>
        <c:ser>
          <c:idx val="5"/>
          <c:order val="5"/>
          <c:tx>
            <c:strRef>
              <c:f>'21'!$AL$21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'21'!$AM$21:$BJ$21</c:f>
              <c:numCache>
                <c:formatCode>General</c:formatCode>
                <c:ptCount val="24"/>
                <c:pt idx="0">
                  <c:v>300</c:v>
                </c:pt>
                <c:pt idx="1">
                  <c:v>300</c:v>
                </c:pt>
                <c:pt idx="2">
                  <c:v>280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20</c:v>
                </c:pt>
                <c:pt idx="16">
                  <c:v>20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250</c:v>
                </c:pt>
                <c:pt idx="20" formatCode="0.0">
                  <c:v>290</c:v>
                </c:pt>
                <c:pt idx="21" formatCode="0.0">
                  <c:v>350</c:v>
                </c:pt>
                <c:pt idx="22" formatCode="0.0">
                  <c:v>350</c:v>
                </c:pt>
                <c:pt idx="23" formatCode="0.0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7E6-4B39-ACBF-6E5F5FAA6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'21'!$AL$23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'21'!$AM$23:$BJ$23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E6-4B39-ACBF-6E5F5FAA6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'21'!$AL$22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'21'!$AM$22:$BJ$22</c:f>
              <c:numCache>
                <c:formatCode>General</c:formatCode>
                <c:ptCount val="24"/>
                <c:pt idx="0">
                  <c:v>1539.1399999999999</c:v>
                </c:pt>
                <c:pt idx="1">
                  <c:v>1470.54</c:v>
                </c:pt>
                <c:pt idx="2">
                  <c:v>1414.9399999999998</c:v>
                </c:pt>
                <c:pt idx="3">
                  <c:v>1118.29</c:v>
                </c:pt>
                <c:pt idx="4">
                  <c:v>1125.1899999999998</c:v>
                </c:pt>
                <c:pt idx="5">
                  <c:v>1156.29</c:v>
                </c:pt>
                <c:pt idx="6">
                  <c:v>1200.3799999999999</c:v>
                </c:pt>
                <c:pt idx="7">
                  <c:v>1664.7400000000002</c:v>
                </c:pt>
                <c:pt idx="8">
                  <c:v>1785.5400000000002</c:v>
                </c:pt>
                <c:pt idx="9">
                  <c:v>1732.44</c:v>
                </c:pt>
                <c:pt idx="10">
                  <c:v>1781.44</c:v>
                </c:pt>
                <c:pt idx="11">
                  <c:v>1786.44</c:v>
                </c:pt>
                <c:pt idx="12">
                  <c:v>1795.24</c:v>
                </c:pt>
                <c:pt idx="13">
                  <c:v>1773.64</c:v>
                </c:pt>
                <c:pt idx="14">
                  <c:v>1842.24</c:v>
                </c:pt>
                <c:pt idx="15">
                  <c:v>1863.64</c:v>
                </c:pt>
                <c:pt idx="16">
                  <c:v>1806.34</c:v>
                </c:pt>
                <c:pt idx="17">
                  <c:v>1709.54</c:v>
                </c:pt>
                <c:pt idx="18">
                  <c:v>1529.74</c:v>
                </c:pt>
                <c:pt idx="19">
                  <c:v>1815.6</c:v>
                </c:pt>
                <c:pt idx="20">
                  <c:v>1740.64</c:v>
                </c:pt>
                <c:pt idx="21">
                  <c:v>1838.44</c:v>
                </c:pt>
                <c:pt idx="22">
                  <c:v>1782.5400000000002</c:v>
                </c:pt>
                <c:pt idx="23">
                  <c:v>1610.64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57E6-4B39-ACBF-6E5F5FAA619F}"/>
            </c:ext>
          </c:extLst>
        </c:ser>
        <c:ser>
          <c:idx val="8"/>
          <c:order val="8"/>
          <c:tx>
            <c:strRef>
              <c:f>'21'!$AL$24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'21'!$AM$24:$BJ$24</c:f>
              <c:numCache>
                <c:formatCode>General</c:formatCode>
                <c:ptCount val="24"/>
                <c:pt idx="0">
                  <c:v>1539.1399999999999</c:v>
                </c:pt>
                <c:pt idx="1">
                  <c:v>1470.54</c:v>
                </c:pt>
                <c:pt idx="2">
                  <c:v>1414.9399999999998</c:v>
                </c:pt>
                <c:pt idx="3">
                  <c:v>1118.29</c:v>
                </c:pt>
                <c:pt idx="4">
                  <c:v>1125.1899999999998</c:v>
                </c:pt>
                <c:pt idx="5">
                  <c:v>1156.29</c:v>
                </c:pt>
                <c:pt idx="6">
                  <c:v>1200.3799999999999</c:v>
                </c:pt>
                <c:pt idx="7">
                  <c:v>1664.7400000000002</c:v>
                </c:pt>
                <c:pt idx="8">
                  <c:v>1785.5400000000002</c:v>
                </c:pt>
                <c:pt idx="9">
                  <c:v>1732.44</c:v>
                </c:pt>
                <c:pt idx="10">
                  <c:v>1781.44</c:v>
                </c:pt>
                <c:pt idx="11">
                  <c:v>1786.44</c:v>
                </c:pt>
                <c:pt idx="12">
                  <c:v>1795.24</c:v>
                </c:pt>
                <c:pt idx="13">
                  <c:v>1773.64</c:v>
                </c:pt>
                <c:pt idx="14">
                  <c:v>1842.24</c:v>
                </c:pt>
                <c:pt idx="15">
                  <c:v>1863.64</c:v>
                </c:pt>
                <c:pt idx="16">
                  <c:v>1806.34</c:v>
                </c:pt>
                <c:pt idx="17">
                  <c:v>1709.54</c:v>
                </c:pt>
                <c:pt idx="18">
                  <c:v>1529.74</c:v>
                </c:pt>
                <c:pt idx="19">
                  <c:v>1815.6</c:v>
                </c:pt>
                <c:pt idx="20">
                  <c:v>1740.64</c:v>
                </c:pt>
                <c:pt idx="21">
                  <c:v>1838.44</c:v>
                </c:pt>
                <c:pt idx="22">
                  <c:v>1782.5400000000002</c:v>
                </c:pt>
                <c:pt idx="23">
                  <c:v>1609.64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E6-4B39-ACBF-6E5F5FAA6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47F-4352-99AA-64837AFEEA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47F-4352-99AA-64837AFEEA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47F-4352-99AA-64837AFEEA4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47F-4352-99AA-64837AFEEA4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47F-4352-99AA-64837AFEEA4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547F-4352-99AA-64837AFEEA4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'22'!$AL$16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'22'!$AM$16:$BJ$16</c:f>
              <c:numCache>
                <c:formatCode>General</c:formatCode>
                <c:ptCount val="24"/>
                <c:pt idx="0">
                  <c:v>551.00000000000011</c:v>
                </c:pt>
                <c:pt idx="1">
                  <c:v>540.70000000000005</c:v>
                </c:pt>
                <c:pt idx="2">
                  <c:v>540.39999999999986</c:v>
                </c:pt>
                <c:pt idx="3">
                  <c:v>540.39999999999986</c:v>
                </c:pt>
                <c:pt idx="4">
                  <c:v>540.39999999999986</c:v>
                </c:pt>
                <c:pt idx="5">
                  <c:v>540.39999999999986</c:v>
                </c:pt>
                <c:pt idx="6">
                  <c:v>540.39999999999986</c:v>
                </c:pt>
                <c:pt idx="7">
                  <c:v>540.39999999999986</c:v>
                </c:pt>
                <c:pt idx="8">
                  <c:v>540.39999999999986</c:v>
                </c:pt>
                <c:pt idx="9">
                  <c:v>539.99999999999989</c:v>
                </c:pt>
                <c:pt idx="10">
                  <c:v>530.59999999999991</c:v>
                </c:pt>
                <c:pt idx="11">
                  <c:v>529.69999999999993</c:v>
                </c:pt>
                <c:pt idx="12">
                  <c:v>529.69999999999993</c:v>
                </c:pt>
                <c:pt idx="13">
                  <c:v>529.69999999999993</c:v>
                </c:pt>
                <c:pt idx="14">
                  <c:v>529.69999999999993</c:v>
                </c:pt>
                <c:pt idx="15">
                  <c:v>529.69999999999993</c:v>
                </c:pt>
                <c:pt idx="16">
                  <c:v>529.69999999999993</c:v>
                </c:pt>
                <c:pt idx="17">
                  <c:v>529.69999999999993</c:v>
                </c:pt>
                <c:pt idx="18" formatCode="0.0">
                  <c:v>529.69999999999993</c:v>
                </c:pt>
                <c:pt idx="19" formatCode="0.0">
                  <c:v>529.69999999999993</c:v>
                </c:pt>
                <c:pt idx="20" formatCode="0.0">
                  <c:v>532.09999999999991</c:v>
                </c:pt>
                <c:pt idx="21" formatCode="0.0">
                  <c:v>532.09999999999991</c:v>
                </c:pt>
                <c:pt idx="22" formatCode="0.0">
                  <c:v>532.09999999999991</c:v>
                </c:pt>
                <c:pt idx="23" formatCode="0.0">
                  <c:v>532.79999999999995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4-4891-A67D-0928360904B6}"/>
            </c:ext>
          </c:extLst>
        </c:ser>
        <c:ser>
          <c:idx val="2"/>
          <c:order val="1"/>
          <c:tx>
            <c:strRef>
              <c:f>'22'!$AL$17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'22'!$AM$17:$BJ$17</c:f>
              <c:numCache>
                <c:formatCode>General</c:formatCode>
                <c:ptCount val="24"/>
                <c:pt idx="0">
                  <c:v>152.30000000000001</c:v>
                </c:pt>
                <c:pt idx="1">
                  <c:v>190.6</c:v>
                </c:pt>
                <c:pt idx="2">
                  <c:v>162.30000000000001</c:v>
                </c:pt>
                <c:pt idx="3">
                  <c:v>152.19999999999999</c:v>
                </c:pt>
                <c:pt idx="4">
                  <c:v>140.19999999999999</c:v>
                </c:pt>
                <c:pt idx="5">
                  <c:v>152.19999999999999</c:v>
                </c:pt>
                <c:pt idx="6">
                  <c:v>252.2</c:v>
                </c:pt>
                <c:pt idx="7">
                  <c:v>40.599999999999994</c:v>
                </c:pt>
                <c:pt idx="8">
                  <c:v>41</c:v>
                </c:pt>
                <c:pt idx="9">
                  <c:v>40.900000000000006</c:v>
                </c:pt>
                <c:pt idx="10">
                  <c:v>40.900000000000006</c:v>
                </c:pt>
                <c:pt idx="11">
                  <c:v>40.900000000000006</c:v>
                </c:pt>
                <c:pt idx="12">
                  <c:v>37.4</c:v>
                </c:pt>
                <c:pt idx="13">
                  <c:v>37.4</c:v>
                </c:pt>
                <c:pt idx="14">
                  <c:v>39.599999999999994</c:v>
                </c:pt>
                <c:pt idx="15">
                  <c:v>39.599999999999994</c:v>
                </c:pt>
                <c:pt idx="16">
                  <c:v>39.599999999999994</c:v>
                </c:pt>
                <c:pt idx="17">
                  <c:v>39.599999999999994</c:v>
                </c:pt>
                <c:pt idx="18" formatCode="0.0">
                  <c:v>69.900000000000006</c:v>
                </c:pt>
                <c:pt idx="19" formatCode="0.0">
                  <c:v>497</c:v>
                </c:pt>
                <c:pt idx="20" formatCode="0.0">
                  <c:v>472.70000000000005</c:v>
                </c:pt>
                <c:pt idx="21" formatCode="0.0">
                  <c:v>331.80000000000007</c:v>
                </c:pt>
                <c:pt idx="22" formatCode="0.0">
                  <c:v>286.70000000000005</c:v>
                </c:pt>
                <c:pt idx="23" formatCode="0.0">
                  <c:v>269.7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4-4891-A67D-0928360904B6}"/>
            </c:ext>
          </c:extLst>
        </c:ser>
        <c:ser>
          <c:idx val="3"/>
          <c:order val="2"/>
          <c:tx>
            <c:strRef>
              <c:f>'22'!$AL$18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'22'!$AM$18:$BJ$18</c:f>
              <c:numCache>
                <c:formatCode>General</c:formatCode>
                <c:ptCount val="24"/>
                <c:pt idx="0">
                  <c:v>213.64</c:v>
                </c:pt>
                <c:pt idx="1">
                  <c:v>224.33999999999995</c:v>
                </c:pt>
                <c:pt idx="2">
                  <c:v>211.34</c:v>
                </c:pt>
                <c:pt idx="3">
                  <c:v>235.04</c:v>
                </c:pt>
                <c:pt idx="4">
                  <c:v>235.04</c:v>
                </c:pt>
                <c:pt idx="5">
                  <c:v>235.04</c:v>
                </c:pt>
                <c:pt idx="6">
                  <c:v>235.84</c:v>
                </c:pt>
                <c:pt idx="7">
                  <c:v>221.04</c:v>
                </c:pt>
                <c:pt idx="8">
                  <c:v>230.34</c:v>
                </c:pt>
                <c:pt idx="9">
                  <c:v>278.94000000000005</c:v>
                </c:pt>
                <c:pt idx="10">
                  <c:v>251.23999999999998</c:v>
                </c:pt>
                <c:pt idx="11">
                  <c:v>233.83999999999997</c:v>
                </c:pt>
                <c:pt idx="12">
                  <c:v>247.84000000000003</c:v>
                </c:pt>
                <c:pt idx="13">
                  <c:v>251.34</c:v>
                </c:pt>
                <c:pt idx="14">
                  <c:v>274.14</c:v>
                </c:pt>
                <c:pt idx="15">
                  <c:v>266.14000000000004</c:v>
                </c:pt>
                <c:pt idx="16">
                  <c:v>267.83999999999997</c:v>
                </c:pt>
                <c:pt idx="17">
                  <c:v>271.94000000000005</c:v>
                </c:pt>
                <c:pt idx="18" formatCode="0.0">
                  <c:v>257.34000000000003</c:v>
                </c:pt>
                <c:pt idx="19" formatCode="0.0">
                  <c:v>407.29999999999995</c:v>
                </c:pt>
                <c:pt idx="20" formatCode="0.0">
                  <c:v>406.84</c:v>
                </c:pt>
                <c:pt idx="21" formatCode="0.0">
                  <c:v>404.64</c:v>
                </c:pt>
                <c:pt idx="22" formatCode="0.0">
                  <c:v>360.14</c:v>
                </c:pt>
                <c:pt idx="23" formatCode="0.0">
                  <c:v>311.33999999999997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4-4891-A67D-0928360904B6}"/>
            </c:ext>
          </c:extLst>
        </c:ser>
        <c:ser>
          <c:idx val="0"/>
          <c:order val="3"/>
          <c:tx>
            <c:strRef>
              <c:f>'22'!$AL$19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'22'!$AM$19:$BJ$19</c:f>
              <c:numCache>
                <c:formatCode>General</c:formatCode>
                <c:ptCount val="24"/>
                <c:pt idx="0">
                  <c:v>185.8</c:v>
                </c:pt>
                <c:pt idx="1">
                  <c:v>92.9</c:v>
                </c:pt>
                <c:pt idx="2">
                  <c:v>114.60000000000001</c:v>
                </c:pt>
                <c:pt idx="3">
                  <c:v>87.4</c:v>
                </c:pt>
                <c:pt idx="4">
                  <c:v>107.19999999999999</c:v>
                </c:pt>
                <c:pt idx="5">
                  <c:v>112.5</c:v>
                </c:pt>
                <c:pt idx="6">
                  <c:v>101.5</c:v>
                </c:pt>
                <c:pt idx="7">
                  <c:v>776.2</c:v>
                </c:pt>
                <c:pt idx="8">
                  <c:v>789.90000000000009</c:v>
                </c:pt>
                <c:pt idx="9">
                  <c:v>773.69999999999993</c:v>
                </c:pt>
                <c:pt idx="10">
                  <c:v>772.90000000000009</c:v>
                </c:pt>
                <c:pt idx="11">
                  <c:v>760.90000000000009</c:v>
                </c:pt>
                <c:pt idx="12">
                  <c:v>797.79999999999984</c:v>
                </c:pt>
                <c:pt idx="13">
                  <c:v>795.7</c:v>
                </c:pt>
                <c:pt idx="14">
                  <c:v>812.2</c:v>
                </c:pt>
                <c:pt idx="15">
                  <c:v>798.30000000000007</c:v>
                </c:pt>
                <c:pt idx="16">
                  <c:v>769.2</c:v>
                </c:pt>
                <c:pt idx="17">
                  <c:v>702.09999999999991</c:v>
                </c:pt>
                <c:pt idx="18" formatCode="0.0">
                  <c:v>636</c:v>
                </c:pt>
                <c:pt idx="19" formatCode="0.0">
                  <c:v>166.6</c:v>
                </c:pt>
                <c:pt idx="20" formatCode="0.0">
                  <c:v>121.19999999999999</c:v>
                </c:pt>
                <c:pt idx="21" formatCode="0.0">
                  <c:v>113.39999999999999</c:v>
                </c:pt>
                <c:pt idx="22" formatCode="0.0">
                  <c:v>125.8</c:v>
                </c:pt>
                <c:pt idx="23" formatCode="0.0">
                  <c:v>93.800000000000011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A4-4891-A67D-0928360904B6}"/>
            </c:ext>
          </c:extLst>
        </c:ser>
        <c:ser>
          <c:idx val="4"/>
          <c:order val="4"/>
          <c:tx>
            <c:strRef>
              <c:f>'22'!$AL$20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'22'!$AM$20:$BJ$20</c:f>
              <c:numCache>
                <c:formatCode>General</c:formatCode>
                <c:ptCount val="24"/>
                <c:pt idx="0">
                  <c:v>96.899999999999991</c:v>
                </c:pt>
                <c:pt idx="1">
                  <c:v>96.899999999999991</c:v>
                </c:pt>
                <c:pt idx="2">
                  <c:v>98.399999999999991</c:v>
                </c:pt>
                <c:pt idx="3">
                  <c:v>98.399999999999991</c:v>
                </c:pt>
                <c:pt idx="4">
                  <c:v>98.399999999999991</c:v>
                </c:pt>
                <c:pt idx="5">
                  <c:v>98.399999999999991</c:v>
                </c:pt>
                <c:pt idx="6">
                  <c:v>98.399999999999991</c:v>
                </c:pt>
                <c:pt idx="7">
                  <c:v>20.5</c:v>
                </c:pt>
                <c:pt idx="8">
                  <c:v>20.5</c:v>
                </c:pt>
                <c:pt idx="9">
                  <c:v>5.7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37.5</c:v>
                </c:pt>
                <c:pt idx="20" formatCode="0.0">
                  <c:v>44.5</c:v>
                </c:pt>
                <c:pt idx="21" formatCode="0.0">
                  <c:v>98.1</c:v>
                </c:pt>
                <c:pt idx="22" formatCode="0.0">
                  <c:v>95.6</c:v>
                </c:pt>
                <c:pt idx="23" formatCode="0.0">
                  <c:v>97.2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A4-4891-A67D-0928360904B6}"/>
            </c:ext>
          </c:extLst>
        </c:ser>
        <c:ser>
          <c:idx val="5"/>
          <c:order val="5"/>
          <c:tx>
            <c:strRef>
              <c:f>'22'!$AL$21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'22'!$AM$21:$BJ$21</c:f>
              <c:numCache>
                <c:formatCode>General</c:formatCode>
                <c:ptCount val="24"/>
                <c:pt idx="0">
                  <c:v>350</c:v>
                </c:pt>
                <c:pt idx="1">
                  <c:v>350</c:v>
                </c:pt>
                <c:pt idx="2">
                  <c:v>350</c:v>
                </c:pt>
                <c:pt idx="3">
                  <c:v>350</c:v>
                </c:pt>
                <c:pt idx="4">
                  <c:v>350</c:v>
                </c:pt>
                <c:pt idx="5">
                  <c:v>350</c:v>
                </c:pt>
                <c:pt idx="6">
                  <c:v>331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250</c:v>
                </c:pt>
                <c:pt idx="20" formatCode="0.0">
                  <c:v>250</c:v>
                </c:pt>
                <c:pt idx="21" formatCode="0.0">
                  <c:v>250</c:v>
                </c:pt>
                <c:pt idx="22" formatCode="0.0">
                  <c:v>250</c:v>
                </c:pt>
                <c:pt idx="23" formatCode="0.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CA4-4891-A67D-092836090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'22'!$AL$23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CA4-4891-A67D-092836090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'22'!$AL$22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'22'!$AM$22:$BJ$22</c:f>
              <c:numCache>
                <c:formatCode>General</c:formatCode>
                <c:ptCount val="24"/>
                <c:pt idx="0">
                  <c:v>1549.6400000000003</c:v>
                </c:pt>
                <c:pt idx="1">
                  <c:v>1495.44</c:v>
                </c:pt>
                <c:pt idx="2">
                  <c:v>1477.04</c:v>
                </c:pt>
                <c:pt idx="3">
                  <c:v>1463.4399999999998</c:v>
                </c:pt>
                <c:pt idx="4">
                  <c:v>1471.24</c:v>
                </c:pt>
                <c:pt idx="5">
                  <c:v>1488.54</c:v>
                </c:pt>
                <c:pt idx="6">
                  <c:v>1559.34</c:v>
                </c:pt>
                <c:pt idx="7">
                  <c:v>1598.7399999999998</c:v>
                </c:pt>
                <c:pt idx="8">
                  <c:v>1622.1399999999999</c:v>
                </c:pt>
                <c:pt idx="9">
                  <c:v>1639.24</c:v>
                </c:pt>
                <c:pt idx="10">
                  <c:v>1595.6399999999999</c:v>
                </c:pt>
                <c:pt idx="11">
                  <c:v>1565.34</c:v>
                </c:pt>
                <c:pt idx="12">
                  <c:v>1612.7399999999998</c:v>
                </c:pt>
                <c:pt idx="13">
                  <c:v>1614.1399999999999</c:v>
                </c:pt>
                <c:pt idx="14">
                  <c:v>1655.6399999999999</c:v>
                </c:pt>
                <c:pt idx="15">
                  <c:v>1633.7400000000002</c:v>
                </c:pt>
                <c:pt idx="16">
                  <c:v>1606.34</c:v>
                </c:pt>
                <c:pt idx="17">
                  <c:v>1543.34</c:v>
                </c:pt>
                <c:pt idx="18">
                  <c:v>1492.94</c:v>
                </c:pt>
                <c:pt idx="19">
                  <c:v>1888.0999999999997</c:v>
                </c:pt>
                <c:pt idx="20">
                  <c:v>1827.34</c:v>
                </c:pt>
                <c:pt idx="21">
                  <c:v>1730.04</c:v>
                </c:pt>
                <c:pt idx="22">
                  <c:v>1650.34</c:v>
                </c:pt>
                <c:pt idx="23">
                  <c:v>1554.84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5CA4-4891-A67D-0928360904B6}"/>
            </c:ext>
          </c:extLst>
        </c:ser>
        <c:ser>
          <c:idx val="8"/>
          <c:order val="8"/>
          <c:tx>
            <c:strRef>
              <c:f>'22'!$AL$24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'22'!$AM$15:$BJ$15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'22'!$AM$24:$BJ$24</c:f>
              <c:numCache>
                <c:formatCode>General</c:formatCode>
                <c:ptCount val="24"/>
                <c:pt idx="0">
                  <c:v>1549.6400000000003</c:v>
                </c:pt>
                <c:pt idx="1">
                  <c:v>1495.44</c:v>
                </c:pt>
                <c:pt idx="2">
                  <c:v>1477.04</c:v>
                </c:pt>
                <c:pt idx="3">
                  <c:v>1463.4399999999998</c:v>
                </c:pt>
                <c:pt idx="4">
                  <c:v>1471.24</c:v>
                </c:pt>
                <c:pt idx="5">
                  <c:v>1488.54</c:v>
                </c:pt>
                <c:pt idx="6">
                  <c:v>1559.34</c:v>
                </c:pt>
                <c:pt idx="7">
                  <c:v>1598.7399999999998</c:v>
                </c:pt>
                <c:pt idx="8">
                  <c:v>1622.1399999999999</c:v>
                </c:pt>
                <c:pt idx="9">
                  <c:v>1639.24</c:v>
                </c:pt>
                <c:pt idx="10">
                  <c:v>1595.6399999999999</c:v>
                </c:pt>
                <c:pt idx="11">
                  <c:v>1565.34</c:v>
                </c:pt>
                <c:pt idx="12">
                  <c:v>1612.7399999999998</c:v>
                </c:pt>
                <c:pt idx="13">
                  <c:v>1614.1399999999999</c:v>
                </c:pt>
                <c:pt idx="14">
                  <c:v>1655.6399999999999</c:v>
                </c:pt>
                <c:pt idx="15">
                  <c:v>1633.7400000000002</c:v>
                </c:pt>
                <c:pt idx="16">
                  <c:v>1606.34</c:v>
                </c:pt>
                <c:pt idx="17">
                  <c:v>1543.34</c:v>
                </c:pt>
                <c:pt idx="18">
                  <c:v>1492.94</c:v>
                </c:pt>
                <c:pt idx="19">
                  <c:v>1888.0999999999997</c:v>
                </c:pt>
                <c:pt idx="20">
                  <c:v>1827.34</c:v>
                </c:pt>
                <c:pt idx="21">
                  <c:v>1730.04</c:v>
                </c:pt>
                <c:pt idx="22">
                  <c:v>1650.34</c:v>
                </c:pt>
                <c:pt idx="23">
                  <c:v>1554.84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CA4-4891-A67D-092836090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989-4001-9CB6-A34CFE058E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989-4001-9CB6-A34CFE058E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989-4001-9CB6-A34CFE058E6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989-4001-9CB6-A34CFE058E6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989-4001-9CB6-A34CFE058E6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4989-4001-9CB6-A34CFE058E6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'23'!$AL$16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'23'!$AM$16:$BJ$16</c:f>
              <c:numCache>
                <c:formatCode>General</c:formatCode>
                <c:ptCount val="24"/>
                <c:pt idx="0">
                  <c:v>532.79999999999995</c:v>
                </c:pt>
                <c:pt idx="1">
                  <c:v>529.5</c:v>
                </c:pt>
                <c:pt idx="2">
                  <c:v>532.09999999999991</c:v>
                </c:pt>
                <c:pt idx="3">
                  <c:v>532.09999999999991</c:v>
                </c:pt>
                <c:pt idx="4">
                  <c:v>532.09999999999991</c:v>
                </c:pt>
                <c:pt idx="5">
                  <c:v>532.09999999999991</c:v>
                </c:pt>
                <c:pt idx="6">
                  <c:v>532.09999999999991</c:v>
                </c:pt>
                <c:pt idx="7">
                  <c:v>532.09999999999991</c:v>
                </c:pt>
                <c:pt idx="8">
                  <c:v>532.09999999999991</c:v>
                </c:pt>
                <c:pt idx="9">
                  <c:v>532.09999999999991</c:v>
                </c:pt>
                <c:pt idx="10">
                  <c:v>532.09999999999991</c:v>
                </c:pt>
                <c:pt idx="11">
                  <c:v>532.09999999999991</c:v>
                </c:pt>
                <c:pt idx="12">
                  <c:v>532.09999999999991</c:v>
                </c:pt>
                <c:pt idx="13">
                  <c:v>532.09999999999991</c:v>
                </c:pt>
                <c:pt idx="14">
                  <c:v>508.9</c:v>
                </c:pt>
                <c:pt idx="15">
                  <c:v>508.9</c:v>
                </c:pt>
                <c:pt idx="16">
                  <c:v>508.9</c:v>
                </c:pt>
                <c:pt idx="17">
                  <c:v>508.9</c:v>
                </c:pt>
                <c:pt idx="18" formatCode="0.0">
                  <c:v>510.19999999999993</c:v>
                </c:pt>
                <c:pt idx="19" formatCode="0.0">
                  <c:v>510.19999999999993</c:v>
                </c:pt>
                <c:pt idx="20" formatCode="0.0">
                  <c:v>510.19999999999993</c:v>
                </c:pt>
                <c:pt idx="21" formatCode="0.0">
                  <c:v>510.19999999999993</c:v>
                </c:pt>
                <c:pt idx="22" formatCode="0.0">
                  <c:v>510.19999999999993</c:v>
                </c:pt>
                <c:pt idx="23" formatCode="0.0">
                  <c:v>510.19999999999993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2-4566-97D3-85197C288E15}"/>
            </c:ext>
          </c:extLst>
        </c:ser>
        <c:ser>
          <c:idx val="2"/>
          <c:order val="1"/>
          <c:tx>
            <c:strRef>
              <c:f>'23'!$AL$17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'23'!$AM$17:$BJ$17</c:f>
              <c:numCache>
                <c:formatCode>General</c:formatCode>
                <c:ptCount val="24"/>
                <c:pt idx="0">
                  <c:v>269.7</c:v>
                </c:pt>
                <c:pt idx="1">
                  <c:v>199.2</c:v>
                </c:pt>
                <c:pt idx="2">
                  <c:v>179.2</c:v>
                </c:pt>
                <c:pt idx="3">
                  <c:v>180</c:v>
                </c:pt>
                <c:pt idx="4">
                  <c:v>158.1</c:v>
                </c:pt>
                <c:pt idx="5">
                  <c:v>137.1</c:v>
                </c:pt>
                <c:pt idx="6">
                  <c:v>140.19999999999999</c:v>
                </c:pt>
                <c:pt idx="7">
                  <c:v>38.200000000000003</c:v>
                </c:pt>
                <c:pt idx="8">
                  <c:v>38.099999999999994</c:v>
                </c:pt>
                <c:pt idx="9">
                  <c:v>38.099999999999994</c:v>
                </c:pt>
                <c:pt idx="10">
                  <c:v>38.099999999999994</c:v>
                </c:pt>
                <c:pt idx="11">
                  <c:v>38.099999999999994</c:v>
                </c:pt>
                <c:pt idx="12">
                  <c:v>38.099999999999994</c:v>
                </c:pt>
                <c:pt idx="13">
                  <c:v>38.099999999999994</c:v>
                </c:pt>
                <c:pt idx="14">
                  <c:v>32.700000000000003</c:v>
                </c:pt>
                <c:pt idx="15">
                  <c:v>37.200000000000003</c:v>
                </c:pt>
                <c:pt idx="16">
                  <c:v>37.200000000000003</c:v>
                </c:pt>
                <c:pt idx="17">
                  <c:v>37.1</c:v>
                </c:pt>
                <c:pt idx="18" formatCode="0.0">
                  <c:v>36.900000000000006</c:v>
                </c:pt>
                <c:pt idx="19" formatCode="0.0">
                  <c:v>340.6</c:v>
                </c:pt>
                <c:pt idx="20" formatCode="0.0">
                  <c:v>371.4</c:v>
                </c:pt>
                <c:pt idx="21" formatCode="0.0">
                  <c:v>280.89999999999998</c:v>
                </c:pt>
                <c:pt idx="22" formatCode="0.0">
                  <c:v>299.89999999999998</c:v>
                </c:pt>
                <c:pt idx="23" formatCode="0.0">
                  <c:v>239.89999999999998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32-4566-97D3-85197C288E15}"/>
            </c:ext>
          </c:extLst>
        </c:ser>
        <c:ser>
          <c:idx val="3"/>
          <c:order val="2"/>
          <c:tx>
            <c:strRef>
              <c:f>'23'!$AL$18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'23'!$AM$18:$BJ$18</c:f>
              <c:numCache>
                <c:formatCode>General</c:formatCode>
                <c:ptCount val="24"/>
                <c:pt idx="0">
                  <c:v>311.33999999999997</c:v>
                </c:pt>
                <c:pt idx="1">
                  <c:v>259.24</c:v>
                </c:pt>
                <c:pt idx="2">
                  <c:v>275.24</c:v>
                </c:pt>
                <c:pt idx="3">
                  <c:v>284.14000000000004</c:v>
                </c:pt>
                <c:pt idx="4">
                  <c:v>283.64000000000004</c:v>
                </c:pt>
                <c:pt idx="5">
                  <c:v>273.94000000000005</c:v>
                </c:pt>
                <c:pt idx="6">
                  <c:v>270.54000000000002</c:v>
                </c:pt>
                <c:pt idx="7">
                  <c:v>236.54</c:v>
                </c:pt>
                <c:pt idx="8">
                  <c:v>324.33999999999997</c:v>
                </c:pt>
                <c:pt idx="9">
                  <c:v>281.24</c:v>
                </c:pt>
                <c:pt idx="10">
                  <c:v>302.44</c:v>
                </c:pt>
                <c:pt idx="11">
                  <c:v>307.44</c:v>
                </c:pt>
                <c:pt idx="12">
                  <c:v>307.44</c:v>
                </c:pt>
                <c:pt idx="13">
                  <c:v>288.44</c:v>
                </c:pt>
                <c:pt idx="14">
                  <c:v>268.839</c:v>
                </c:pt>
                <c:pt idx="15">
                  <c:v>264.54000000000002</c:v>
                </c:pt>
                <c:pt idx="16">
                  <c:v>272.04000000000002</c:v>
                </c:pt>
                <c:pt idx="17">
                  <c:v>282.24000000000007</c:v>
                </c:pt>
                <c:pt idx="18" formatCode="0.0">
                  <c:v>299.64</c:v>
                </c:pt>
                <c:pt idx="19" formatCode="0.0">
                  <c:v>356.49999999999994</c:v>
                </c:pt>
                <c:pt idx="20" formatCode="0.0">
                  <c:v>375.34000000000003</c:v>
                </c:pt>
                <c:pt idx="21" formatCode="0.0">
                  <c:v>368.54</c:v>
                </c:pt>
                <c:pt idx="22" formatCode="0.0">
                  <c:v>364.54</c:v>
                </c:pt>
                <c:pt idx="23" formatCode="0.0">
                  <c:v>327.74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32-4566-97D3-85197C288E15}"/>
            </c:ext>
          </c:extLst>
        </c:ser>
        <c:ser>
          <c:idx val="0"/>
          <c:order val="3"/>
          <c:tx>
            <c:strRef>
              <c:f>'23'!$AL$19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'23'!$AM$19:$BJ$19</c:f>
              <c:numCache>
                <c:formatCode>General</c:formatCode>
                <c:ptCount val="24"/>
                <c:pt idx="0">
                  <c:v>93.800000000000011</c:v>
                </c:pt>
                <c:pt idx="1">
                  <c:v>137.30000000000001</c:v>
                </c:pt>
                <c:pt idx="2">
                  <c:v>121.5</c:v>
                </c:pt>
                <c:pt idx="3">
                  <c:v>113.69999999999999</c:v>
                </c:pt>
                <c:pt idx="4">
                  <c:v>174.29999999999998</c:v>
                </c:pt>
                <c:pt idx="5">
                  <c:v>178.8</c:v>
                </c:pt>
                <c:pt idx="6">
                  <c:v>295.39999999999998</c:v>
                </c:pt>
                <c:pt idx="7">
                  <c:v>843.09999999999991</c:v>
                </c:pt>
                <c:pt idx="8">
                  <c:v>758.09999999999991</c:v>
                </c:pt>
                <c:pt idx="9">
                  <c:v>912.2</c:v>
                </c:pt>
                <c:pt idx="10">
                  <c:v>911.99999999999989</c:v>
                </c:pt>
                <c:pt idx="11">
                  <c:v>873.40000000000009</c:v>
                </c:pt>
                <c:pt idx="12">
                  <c:v>886</c:v>
                </c:pt>
                <c:pt idx="13">
                  <c:v>886</c:v>
                </c:pt>
                <c:pt idx="14">
                  <c:v>949.59999999999991</c:v>
                </c:pt>
                <c:pt idx="15">
                  <c:v>963.4</c:v>
                </c:pt>
                <c:pt idx="16">
                  <c:v>929.10000000000014</c:v>
                </c:pt>
                <c:pt idx="17">
                  <c:v>912.5</c:v>
                </c:pt>
                <c:pt idx="18" formatCode="0.0">
                  <c:v>725.30000000000018</c:v>
                </c:pt>
                <c:pt idx="19" formatCode="0.0">
                  <c:v>304.59999999999997</c:v>
                </c:pt>
                <c:pt idx="20" formatCode="0.0">
                  <c:v>283.29999999999995</c:v>
                </c:pt>
                <c:pt idx="21" formatCode="0.0">
                  <c:v>234.4</c:v>
                </c:pt>
                <c:pt idx="22" formatCode="0.0">
                  <c:v>143</c:v>
                </c:pt>
                <c:pt idx="23" formatCode="0.0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32-4566-97D3-85197C288E15}"/>
            </c:ext>
          </c:extLst>
        </c:ser>
        <c:ser>
          <c:idx val="4"/>
          <c:order val="4"/>
          <c:tx>
            <c:strRef>
              <c:f>'23'!$AL$20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'23'!$AM$20:$BJ$20</c:f>
              <c:numCache>
                <c:formatCode>General</c:formatCode>
                <c:ptCount val="24"/>
                <c:pt idx="0">
                  <c:v>97.2</c:v>
                </c:pt>
                <c:pt idx="1">
                  <c:v>95.800000000000011</c:v>
                </c:pt>
                <c:pt idx="2">
                  <c:v>86.5</c:v>
                </c:pt>
                <c:pt idx="3">
                  <c:v>50.6</c:v>
                </c:pt>
                <c:pt idx="4">
                  <c:v>58.999999999999993</c:v>
                </c:pt>
                <c:pt idx="5">
                  <c:v>96.8</c:v>
                </c:pt>
                <c:pt idx="6">
                  <c:v>96.8</c:v>
                </c:pt>
                <c:pt idx="7">
                  <c:v>17.100000000000001</c:v>
                </c:pt>
                <c:pt idx="8">
                  <c:v>13.4</c:v>
                </c:pt>
                <c:pt idx="9">
                  <c:v>29.9</c:v>
                </c:pt>
                <c:pt idx="10">
                  <c:v>41.399999999999991</c:v>
                </c:pt>
                <c:pt idx="11">
                  <c:v>68.100000000000009</c:v>
                </c:pt>
                <c:pt idx="12">
                  <c:v>68.100000000000009</c:v>
                </c:pt>
                <c:pt idx="13">
                  <c:v>68.100000000000009</c:v>
                </c:pt>
                <c:pt idx="14">
                  <c:v>96.8</c:v>
                </c:pt>
                <c:pt idx="15">
                  <c:v>96</c:v>
                </c:pt>
                <c:pt idx="16">
                  <c:v>95.9</c:v>
                </c:pt>
                <c:pt idx="17">
                  <c:v>71.099999999999994</c:v>
                </c:pt>
                <c:pt idx="18" formatCode="0.0">
                  <c:v>34</c:v>
                </c:pt>
                <c:pt idx="19" formatCode="0.0">
                  <c:v>80.199999999999989</c:v>
                </c:pt>
                <c:pt idx="20" formatCode="0.0">
                  <c:v>79.3</c:v>
                </c:pt>
                <c:pt idx="21" formatCode="0.0">
                  <c:v>79.3</c:v>
                </c:pt>
                <c:pt idx="22" formatCode="0.0">
                  <c:v>96</c:v>
                </c:pt>
                <c:pt idx="23" formatCode="0.0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32-4566-97D3-85197C288E15}"/>
            </c:ext>
          </c:extLst>
        </c:ser>
        <c:ser>
          <c:idx val="5"/>
          <c:order val="5"/>
          <c:tx>
            <c:strRef>
              <c:f>'23'!$AL$21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'23'!$AM$21:$BJ$21</c:f>
              <c:numCache>
                <c:formatCode>General</c:formatCode>
                <c:ptCount val="24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210</c:v>
                </c:pt>
                <c:pt idx="5">
                  <c:v>210</c:v>
                </c:pt>
                <c:pt idx="6">
                  <c:v>180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280</c:v>
                </c:pt>
                <c:pt idx="20" formatCode="0.0">
                  <c:v>281</c:v>
                </c:pt>
                <c:pt idx="21" formatCode="0.0">
                  <c:v>283</c:v>
                </c:pt>
                <c:pt idx="22" formatCode="0.0">
                  <c:v>280</c:v>
                </c:pt>
                <c:pt idx="23" formatCode="0.0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32-4566-97D3-85197C288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'23'!$AL$23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32-4566-97D3-85197C288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'23'!$AL$22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'23'!$AM$22:$BJ$22</c:f>
              <c:numCache>
                <c:formatCode>General</c:formatCode>
                <c:ptCount val="24"/>
                <c:pt idx="0">
                  <c:v>1554.84</c:v>
                </c:pt>
                <c:pt idx="1">
                  <c:v>1471.04</c:v>
                </c:pt>
                <c:pt idx="2">
                  <c:v>1444.54</c:v>
                </c:pt>
                <c:pt idx="3">
                  <c:v>1410.54</c:v>
                </c:pt>
                <c:pt idx="4">
                  <c:v>1417.1399999999999</c:v>
                </c:pt>
                <c:pt idx="5">
                  <c:v>1428.74</c:v>
                </c:pt>
                <c:pt idx="6">
                  <c:v>1515.0399999999997</c:v>
                </c:pt>
                <c:pt idx="7">
                  <c:v>1667.0399999999997</c:v>
                </c:pt>
                <c:pt idx="8">
                  <c:v>1666.04</c:v>
                </c:pt>
                <c:pt idx="9">
                  <c:v>1793.54</c:v>
                </c:pt>
                <c:pt idx="10">
                  <c:v>1826.04</c:v>
                </c:pt>
                <c:pt idx="11">
                  <c:v>1819.1399999999999</c:v>
                </c:pt>
                <c:pt idx="12">
                  <c:v>1831.7399999999998</c:v>
                </c:pt>
                <c:pt idx="13">
                  <c:v>1812.7399999999998</c:v>
                </c:pt>
                <c:pt idx="14">
                  <c:v>1856.8389999999999</c:v>
                </c:pt>
                <c:pt idx="15">
                  <c:v>1870.04</c:v>
                </c:pt>
                <c:pt idx="16">
                  <c:v>1843.1400000000003</c:v>
                </c:pt>
                <c:pt idx="17">
                  <c:v>1811.84</c:v>
                </c:pt>
                <c:pt idx="18">
                  <c:v>1606.04</c:v>
                </c:pt>
                <c:pt idx="19">
                  <c:v>1872.1</c:v>
                </c:pt>
                <c:pt idx="20">
                  <c:v>1900.54</c:v>
                </c:pt>
                <c:pt idx="21">
                  <c:v>1756.34</c:v>
                </c:pt>
                <c:pt idx="22">
                  <c:v>1693.6399999999999</c:v>
                </c:pt>
                <c:pt idx="23">
                  <c:v>1582.84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032-4566-97D3-85197C288E15}"/>
            </c:ext>
          </c:extLst>
        </c:ser>
        <c:ser>
          <c:idx val="8"/>
          <c:order val="8"/>
          <c:tx>
            <c:strRef>
              <c:f>'23'!$AL$24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'23'!$AM$15:$BJ$15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'23'!$AM$24:$BJ$24</c:f>
              <c:numCache>
                <c:formatCode>General</c:formatCode>
                <c:ptCount val="24"/>
                <c:pt idx="0">
                  <c:v>1554.84</c:v>
                </c:pt>
                <c:pt idx="1">
                  <c:v>1471.04</c:v>
                </c:pt>
                <c:pt idx="2">
                  <c:v>1444.54</c:v>
                </c:pt>
                <c:pt idx="3">
                  <c:v>1410.54</c:v>
                </c:pt>
                <c:pt idx="4">
                  <c:v>1417.1399999999999</c:v>
                </c:pt>
                <c:pt idx="5">
                  <c:v>1428.74</c:v>
                </c:pt>
                <c:pt idx="6">
                  <c:v>1515.0399999999997</c:v>
                </c:pt>
                <c:pt idx="7">
                  <c:v>1667.0399999999997</c:v>
                </c:pt>
                <c:pt idx="8">
                  <c:v>1666.04</c:v>
                </c:pt>
                <c:pt idx="9">
                  <c:v>1793.54</c:v>
                </c:pt>
                <c:pt idx="10">
                  <c:v>1826.04</c:v>
                </c:pt>
                <c:pt idx="11">
                  <c:v>1819.1399999999999</c:v>
                </c:pt>
                <c:pt idx="12">
                  <c:v>1831.7399999999998</c:v>
                </c:pt>
                <c:pt idx="13">
                  <c:v>1812.7399999999998</c:v>
                </c:pt>
                <c:pt idx="14">
                  <c:v>1856.8389999999999</c:v>
                </c:pt>
                <c:pt idx="15">
                  <c:v>1870.04</c:v>
                </c:pt>
                <c:pt idx="16">
                  <c:v>1843.1400000000003</c:v>
                </c:pt>
                <c:pt idx="17">
                  <c:v>1811.84</c:v>
                </c:pt>
                <c:pt idx="18">
                  <c:v>1606.04</c:v>
                </c:pt>
                <c:pt idx="19">
                  <c:v>1872.1</c:v>
                </c:pt>
                <c:pt idx="20">
                  <c:v>1900.54</c:v>
                </c:pt>
                <c:pt idx="21">
                  <c:v>1756.34</c:v>
                </c:pt>
                <c:pt idx="22">
                  <c:v>1693.6399999999999</c:v>
                </c:pt>
                <c:pt idx="23">
                  <c:v>1582.84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032-4566-97D3-85197C288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F93-4BF9-8C1A-FA33BF6F44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F93-4BF9-8C1A-FA33BF6F440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F93-4BF9-8C1A-FA33BF6F440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F93-4BF9-8C1A-FA33BF6F440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F93-4BF9-8C1A-FA33BF6F440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F93-4BF9-8C1A-FA33BF6F440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'24'!$AL$16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'24'!$AM$16:$BJ$16</c:f>
              <c:numCache>
                <c:formatCode>General</c:formatCode>
                <c:ptCount val="24"/>
                <c:pt idx="0">
                  <c:v>510.19999999999993</c:v>
                </c:pt>
                <c:pt idx="1">
                  <c:v>510.19999999999993</c:v>
                </c:pt>
                <c:pt idx="2">
                  <c:v>510.19999999999993</c:v>
                </c:pt>
                <c:pt idx="3">
                  <c:v>511.9</c:v>
                </c:pt>
                <c:pt idx="4">
                  <c:v>512.29999999999995</c:v>
                </c:pt>
                <c:pt idx="5">
                  <c:v>512.19999999999993</c:v>
                </c:pt>
                <c:pt idx="6">
                  <c:v>512</c:v>
                </c:pt>
                <c:pt idx="7">
                  <c:v>510.4</c:v>
                </c:pt>
                <c:pt idx="8">
                  <c:v>516.59999999999991</c:v>
                </c:pt>
                <c:pt idx="9">
                  <c:v>516.59999999999991</c:v>
                </c:pt>
                <c:pt idx="10">
                  <c:v>516.59999999999991</c:v>
                </c:pt>
                <c:pt idx="11">
                  <c:v>516.59999999999991</c:v>
                </c:pt>
                <c:pt idx="12">
                  <c:v>516.59999999999991</c:v>
                </c:pt>
                <c:pt idx="13">
                  <c:v>516.59999999999991</c:v>
                </c:pt>
                <c:pt idx="14">
                  <c:v>516.59999999999991</c:v>
                </c:pt>
                <c:pt idx="15">
                  <c:v>516.59999999999991</c:v>
                </c:pt>
                <c:pt idx="16">
                  <c:v>516.59999999999991</c:v>
                </c:pt>
                <c:pt idx="17">
                  <c:v>516.59999999999991</c:v>
                </c:pt>
                <c:pt idx="18" formatCode="0.0">
                  <c:v>516.59999999999991</c:v>
                </c:pt>
                <c:pt idx="19" formatCode="0.0">
                  <c:v>516.59999999999991</c:v>
                </c:pt>
                <c:pt idx="20" formatCode="0.0">
                  <c:v>517.09999999999991</c:v>
                </c:pt>
                <c:pt idx="21" formatCode="0.0">
                  <c:v>518.19999999999993</c:v>
                </c:pt>
                <c:pt idx="22" formatCode="0.0">
                  <c:v>518.19999999999993</c:v>
                </c:pt>
                <c:pt idx="23" formatCode="0.0">
                  <c:v>518.19999999999993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21-4B5A-ABEC-64CB7D681C66}"/>
            </c:ext>
          </c:extLst>
        </c:ser>
        <c:ser>
          <c:idx val="2"/>
          <c:order val="1"/>
          <c:tx>
            <c:strRef>
              <c:f>'24'!$AL$17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'24'!$AM$17:$BJ$17</c:f>
              <c:numCache>
                <c:formatCode>General</c:formatCode>
                <c:ptCount val="24"/>
                <c:pt idx="0">
                  <c:v>239.89999999999998</c:v>
                </c:pt>
                <c:pt idx="1">
                  <c:v>199.89999999999998</c:v>
                </c:pt>
                <c:pt idx="2">
                  <c:v>159.89999999999998</c:v>
                </c:pt>
                <c:pt idx="3">
                  <c:v>171.1</c:v>
                </c:pt>
                <c:pt idx="4">
                  <c:v>161.1</c:v>
                </c:pt>
                <c:pt idx="5">
                  <c:v>194.1</c:v>
                </c:pt>
                <c:pt idx="6">
                  <c:v>193.1</c:v>
                </c:pt>
                <c:pt idx="7">
                  <c:v>41.099999999999994</c:v>
                </c:pt>
                <c:pt idx="8">
                  <c:v>40.9</c:v>
                </c:pt>
                <c:pt idx="9">
                  <c:v>40.9</c:v>
                </c:pt>
                <c:pt idx="10">
                  <c:v>40.9</c:v>
                </c:pt>
                <c:pt idx="11">
                  <c:v>40.9</c:v>
                </c:pt>
                <c:pt idx="12">
                  <c:v>40.9</c:v>
                </c:pt>
                <c:pt idx="13">
                  <c:v>40.9</c:v>
                </c:pt>
                <c:pt idx="14">
                  <c:v>40.9</c:v>
                </c:pt>
                <c:pt idx="15">
                  <c:v>40.9</c:v>
                </c:pt>
                <c:pt idx="16">
                  <c:v>40.9</c:v>
                </c:pt>
                <c:pt idx="17">
                  <c:v>40.9</c:v>
                </c:pt>
                <c:pt idx="18" formatCode="0.0">
                  <c:v>172.5</c:v>
                </c:pt>
                <c:pt idx="19" formatCode="0.0">
                  <c:v>382.2</c:v>
                </c:pt>
                <c:pt idx="20" formatCode="0.0">
                  <c:v>318</c:v>
                </c:pt>
                <c:pt idx="21" formatCode="0.0">
                  <c:v>369.09999999999997</c:v>
                </c:pt>
                <c:pt idx="22" formatCode="0.0">
                  <c:v>339.59999999999997</c:v>
                </c:pt>
                <c:pt idx="23" formatCode="0.0">
                  <c:v>298.5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21-4B5A-ABEC-64CB7D681C66}"/>
            </c:ext>
          </c:extLst>
        </c:ser>
        <c:ser>
          <c:idx val="3"/>
          <c:order val="2"/>
          <c:tx>
            <c:strRef>
              <c:f>'24'!$AL$18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'24'!$AM$18:$BJ$18</c:f>
              <c:numCache>
                <c:formatCode>General</c:formatCode>
                <c:ptCount val="24"/>
                <c:pt idx="0">
                  <c:v>317.74</c:v>
                </c:pt>
                <c:pt idx="1">
                  <c:v>297.74</c:v>
                </c:pt>
                <c:pt idx="2">
                  <c:v>297.74</c:v>
                </c:pt>
                <c:pt idx="3">
                  <c:v>311.39999999999998</c:v>
                </c:pt>
                <c:pt idx="4">
                  <c:v>290.84000000000003</c:v>
                </c:pt>
                <c:pt idx="5">
                  <c:v>278.34000000000003</c:v>
                </c:pt>
                <c:pt idx="6">
                  <c:v>356.14</c:v>
                </c:pt>
                <c:pt idx="7">
                  <c:v>275.04000000000002</c:v>
                </c:pt>
                <c:pt idx="8">
                  <c:v>286.84000000000009</c:v>
                </c:pt>
                <c:pt idx="9">
                  <c:v>248.14</c:v>
                </c:pt>
                <c:pt idx="10">
                  <c:v>282.14000000000004</c:v>
                </c:pt>
                <c:pt idx="11">
                  <c:v>319.14000000000004</c:v>
                </c:pt>
                <c:pt idx="12">
                  <c:v>319.14000000000004</c:v>
                </c:pt>
                <c:pt idx="13">
                  <c:v>281.14000000000004</c:v>
                </c:pt>
                <c:pt idx="14">
                  <c:v>300.84000000000003</c:v>
                </c:pt>
                <c:pt idx="15">
                  <c:v>293.44000000000005</c:v>
                </c:pt>
                <c:pt idx="16">
                  <c:v>273.84000000000003</c:v>
                </c:pt>
                <c:pt idx="17">
                  <c:v>219.33999999999997</c:v>
                </c:pt>
                <c:pt idx="18" formatCode="0.0">
                  <c:v>219.03999999999996</c:v>
                </c:pt>
                <c:pt idx="19" formatCode="0.0">
                  <c:v>329.54</c:v>
                </c:pt>
                <c:pt idx="20" formatCode="0.0">
                  <c:v>348.44</c:v>
                </c:pt>
                <c:pt idx="21" formatCode="0.0">
                  <c:v>321.94000000000005</c:v>
                </c:pt>
                <c:pt idx="22" formatCode="0.0">
                  <c:v>294.14</c:v>
                </c:pt>
                <c:pt idx="23" formatCode="0.0">
                  <c:v>291.84000000000003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21-4B5A-ABEC-64CB7D681C66}"/>
            </c:ext>
          </c:extLst>
        </c:ser>
        <c:ser>
          <c:idx val="0"/>
          <c:order val="3"/>
          <c:tx>
            <c:strRef>
              <c:f>'24'!$AL$19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'24'!$AM$19:$BJ$19</c:f>
              <c:numCache>
                <c:formatCode>General</c:formatCode>
                <c:ptCount val="24"/>
                <c:pt idx="0">
                  <c:v>100</c:v>
                </c:pt>
                <c:pt idx="1">
                  <c:v>112</c:v>
                </c:pt>
                <c:pt idx="2">
                  <c:v>109</c:v>
                </c:pt>
                <c:pt idx="3">
                  <c:v>69</c:v>
                </c:pt>
                <c:pt idx="4">
                  <c:v>77.099999999999994</c:v>
                </c:pt>
                <c:pt idx="5">
                  <c:v>96.5</c:v>
                </c:pt>
                <c:pt idx="6">
                  <c:v>112</c:v>
                </c:pt>
                <c:pt idx="7">
                  <c:v>803.4</c:v>
                </c:pt>
                <c:pt idx="8">
                  <c:v>834.83</c:v>
                </c:pt>
                <c:pt idx="9">
                  <c:v>825.6</c:v>
                </c:pt>
                <c:pt idx="10">
                  <c:v>842</c:v>
                </c:pt>
                <c:pt idx="11">
                  <c:v>755.40000000000009</c:v>
                </c:pt>
                <c:pt idx="12">
                  <c:v>837.40000000000009</c:v>
                </c:pt>
                <c:pt idx="13">
                  <c:v>839.5</c:v>
                </c:pt>
                <c:pt idx="14">
                  <c:v>864.09999999999991</c:v>
                </c:pt>
                <c:pt idx="15">
                  <c:v>866.9</c:v>
                </c:pt>
                <c:pt idx="16">
                  <c:v>870.6</c:v>
                </c:pt>
                <c:pt idx="17">
                  <c:v>870.6</c:v>
                </c:pt>
                <c:pt idx="18" formatCode="0.0">
                  <c:v>450.79999999999995</c:v>
                </c:pt>
                <c:pt idx="19" formatCode="0.0">
                  <c:v>254.2</c:v>
                </c:pt>
                <c:pt idx="20" formatCode="0.0">
                  <c:v>138.5</c:v>
                </c:pt>
                <c:pt idx="21" formatCode="0.0">
                  <c:v>128.5</c:v>
                </c:pt>
                <c:pt idx="22" formatCode="0.0">
                  <c:v>153.4</c:v>
                </c:pt>
                <c:pt idx="23" formatCode="0.0">
                  <c:v>165.9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21-4B5A-ABEC-64CB7D681C66}"/>
            </c:ext>
          </c:extLst>
        </c:ser>
        <c:ser>
          <c:idx val="4"/>
          <c:order val="4"/>
          <c:tx>
            <c:strRef>
              <c:f>'24'!$AL$20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'24'!$AM$20:$BJ$20</c:f>
              <c:numCache>
                <c:formatCode>General</c:formatCode>
                <c:ptCount val="24"/>
                <c:pt idx="0">
                  <c:v>96</c:v>
                </c:pt>
                <c:pt idx="1">
                  <c:v>96</c:v>
                </c:pt>
                <c:pt idx="2">
                  <c:v>96</c:v>
                </c:pt>
                <c:pt idx="3">
                  <c:v>97.899999999999991</c:v>
                </c:pt>
                <c:pt idx="4">
                  <c:v>97.600000000000009</c:v>
                </c:pt>
                <c:pt idx="5">
                  <c:v>97.399999999999991</c:v>
                </c:pt>
                <c:pt idx="6">
                  <c:v>97.8</c:v>
                </c:pt>
                <c:pt idx="7">
                  <c:v>16.100000000000001</c:v>
                </c:pt>
                <c:pt idx="8">
                  <c:v>49</c:v>
                </c:pt>
                <c:pt idx="9">
                  <c:v>22.5</c:v>
                </c:pt>
                <c:pt idx="10">
                  <c:v>24.2</c:v>
                </c:pt>
                <c:pt idx="11">
                  <c:v>63.5</c:v>
                </c:pt>
                <c:pt idx="12">
                  <c:v>63.5</c:v>
                </c:pt>
                <c:pt idx="13">
                  <c:v>83.5</c:v>
                </c:pt>
                <c:pt idx="14">
                  <c:v>88.13000000000001</c:v>
                </c:pt>
                <c:pt idx="15">
                  <c:v>97.8</c:v>
                </c:pt>
                <c:pt idx="16">
                  <c:v>97.8</c:v>
                </c:pt>
                <c:pt idx="17">
                  <c:v>97.8</c:v>
                </c:pt>
                <c:pt idx="18" formatCode="0.0">
                  <c:v>51.300000000000004</c:v>
                </c:pt>
                <c:pt idx="19" formatCode="0.0">
                  <c:v>61.3</c:v>
                </c:pt>
                <c:pt idx="20" formatCode="0.0">
                  <c:v>20.2</c:v>
                </c:pt>
                <c:pt idx="21" formatCode="0.0">
                  <c:v>20.5</c:v>
                </c:pt>
                <c:pt idx="22" formatCode="0.0">
                  <c:v>20.5</c:v>
                </c:pt>
                <c:pt idx="23" formatCode="0.0">
                  <c:v>20.6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21-4B5A-ABEC-64CB7D681C66}"/>
            </c:ext>
          </c:extLst>
        </c:ser>
        <c:ser>
          <c:idx val="5"/>
          <c:order val="5"/>
          <c:tx>
            <c:strRef>
              <c:f>'24'!$AL$21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'24'!$AM$21:$BJ$21</c:f>
              <c:numCache>
                <c:formatCode>General</c:formatCode>
                <c:ptCount val="24"/>
                <c:pt idx="0">
                  <c:v>280</c:v>
                </c:pt>
                <c:pt idx="1">
                  <c:v>280</c:v>
                </c:pt>
                <c:pt idx="2">
                  <c:v>280</c:v>
                </c:pt>
                <c:pt idx="3">
                  <c:v>280</c:v>
                </c:pt>
                <c:pt idx="4">
                  <c:v>280</c:v>
                </c:pt>
                <c:pt idx="5">
                  <c:v>280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250</c:v>
                </c:pt>
                <c:pt idx="20" formatCode="0.0">
                  <c:v>280</c:v>
                </c:pt>
                <c:pt idx="21" formatCode="0.0">
                  <c:v>250</c:v>
                </c:pt>
                <c:pt idx="22" formatCode="0.0">
                  <c:v>250</c:v>
                </c:pt>
                <c:pt idx="23" formatCode="0.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E21-4B5A-ABEC-64CB7D681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'24'!$AL$23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21-4B5A-ABEC-64CB7D681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'24'!$AL$22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'24'!$AM$22:$BJ$22</c:f>
              <c:numCache>
                <c:formatCode>General</c:formatCode>
                <c:ptCount val="24"/>
                <c:pt idx="0">
                  <c:v>1543.84</c:v>
                </c:pt>
                <c:pt idx="1">
                  <c:v>1495.84</c:v>
                </c:pt>
                <c:pt idx="2">
                  <c:v>1452.84</c:v>
                </c:pt>
                <c:pt idx="3">
                  <c:v>1441.3000000000002</c:v>
                </c:pt>
                <c:pt idx="4">
                  <c:v>1418.9399999999998</c:v>
                </c:pt>
                <c:pt idx="5">
                  <c:v>1458.54</c:v>
                </c:pt>
                <c:pt idx="6">
                  <c:v>1421.04</c:v>
                </c:pt>
                <c:pt idx="7">
                  <c:v>1646.04</c:v>
                </c:pt>
                <c:pt idx="8">
                  <c:v>1728.17</c:v>
                </c:pt>
                <c:pt idx="9">
                  <c:v>1653.7399999999998</c:v>
                </c:pt>
                <c:pt idx="10">
                  <c:v>1705.84</c:v>
                </c:pt>
                <c:pt idx="11">
                  <c:v>1695.54</c:v>
                </c:pt>
                <c:pt idx="12">
                  <c:v>1777.54</c:v>
                </c:pt>
                <c:pt idx="13">
                  <c:v>1761.6399999999999</c:v>
                </c:pt>
                <c:pt idx="14">
                  <c:v>1810.57</c:v>
                </c:pt>
                <c:pt idx="15">
                  <c:v>1815.6399999999999</c:v>
                </c:pt>
                <c:pt idx="16">
                  <c:v>1799.74</c:v>
                </c:pt>
                <c:pt idx="17">
                  <c:v>1745.24</c:v>
                </c:pt>
                <c:pt idx="18">
                  <c:v>1410.2399999999998</c:v>
                </c:pt>
                <c:pt idx="19">
                  <c:v>1793.84</c:v>
                </c:pt>
                <c:pt idx="20">
                  <c:v>1622.24</c:v>
                </c:pt>
                <c:pt idx="21">
                  <c:v>1608.24</c:v>
                </c:pt>
                <c:pt idx="22">
                  <c:v>1575.8400000000001</c:v>
                </c:pt>
                <c:pt idx="23">
                  <c:v>1545.04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8E21-4B5A-ABEC-64CB7D681C66}"/>
            </c:ext>
          </c:extLst>
        </c:ser>
        <c:ser>
          <c:idx val="8"/>
          <c:order val="8"/>
          <c:tx>
            <c:strRef>
              <c:f>'24'!$AL$24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'24'!$AM$15:$BJ$15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'24'!$AM$24:$BJ$24</c:f>
              <c:numCache>
                <c:formatCode>General</c:formatCode>
                <c:ptCount val="24"/>
                <c:pt idx="0">
                  <c:v>1543.84</c:v>
                </c:pt>
                <c:pt idx="1">
                  <c:v>1495.84</c:v>
                </c:pt>
                <c:pt idx="2">
                  <c:v>1452.84</c:v>
                </c:pt>
                <c:pt idx="3">
                  <c:v>1441.3000000000002</c:v>
                </c:pt>
                <c:pt idx="4">
                  <c:v>1418.9399999999998</c:v>
                </c:pt>
                <c:pt idx="5">
                  <c:v>1458.54</c:v>
                </c:pt>
                <c:pt idx="6">
                  <c:v>1421.04</c:v>
                </c:pt>
                <c:pt idx="7">
                  <c:v>1646.04</c:v>
                </c:pt>
                <c:pt idx="8">
                  <c:v>1728.17</c:v>
                </c:pt>
                <c:pt idx="9">
                  <c:v>1653.7399999999998</c:v>
                </c:pt>
                <c:pt idx="10">
                  <c:v>1705.84</c:v>
                </c:pt>
                <c:pt idx="11">
                  <c:v>1695.54</c:v>
                </c:pt>
                <c:pt idx="12">
                  <c:v>1777.54</c:v>
                </c:pt>
                <c:pt idx="13">
                  <c:v>1761.6399999999999</c:v>
                </c:pt>
                <c:pt idx="14">
                  <c:v>1810.57</c:v>
                </c:pt>
                <c:pt idx="15">
                  <c:v>1815.6399999999999</c:v>
                </c:pt>
                <c:pt idx="16">
                  <c:v>1799.74</c:v>
                </c:pt>
                <c:pt idx="17">
                  <c:v>1745.24</c:v>
                </c:pt>
                <c:pt idx="18">
                  <c:v>1410.2399999999998</c:v>
                </c:pt>
                <c:pt idx="19">
                  <c:v>1793.84</c:v>
                </c:pt>
                <c:pt idx="20">
                  <c:v>1622.24</c:v>
                </c:pt>
                <c:pt idx="21">
                  <c:v>1608.24</c:v>
                </c:pt>
                <c:pt idx="22">
                  <c:v>1575.8400000000001</c:v>
                </c:pt>
                <c:pt idx="23">
                  <c:v>1545.04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E21-4B5A-ABEC-64CB7D681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CB4-49D7-85E6-15B3D7C351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CB4-49D7-85E6-15B3D7C351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CB4-49D7-85E6-15B3D7C351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CB4-49D7-85E6-15B3D7C351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CB4-49D7-85E6-15B3D7C3511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CB4-49D7-85E6-15B3D7C3511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'25'!$AL$16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'25'!$AM$16:$BJ$16</c:f>
              <c:numCache>
                <c:formatCode>General</c:formatCode>
                <c:ptCount val="24"/>
                <c:pt idx="0">
                  <c:v>518.19999999999993</c:v>
                </c:pt>
                <c:pt idx="1">
                  <c:v>518.19999999999993</c:v>
                </c:pt>
                <c:pt idx="2">
                  <c:v>518.19999999999993</c:v>
                </c:pt>
                <c:pt idx="3">
                  <c:v>507.8</c:v>
                </c:pt>
                <c:pt idx="4">
                  <c:v>506.50000000000006</c:v>
                </c:pt>
                <c:pt idx="5">
                  <c:v>505.50000000000006</c:v>
                </c:pt>
                <c:pt idx="6">
                  <c:v>506.00000000000006</c:v>
                </c:pt>
                <c:pt idx="7">
                  <c:v>505.00000000000006</c:v>
                </c:pt>
                <c:pt idx="8">
                  <c:v>505.00000000000006</c:v>
                </c:pt>
                <c:pt idx="9">
                  <c:v>504.40000000000003</c:v>
                </c:pt>
                <c:pt idx="10">
                  <c:v>504.40000000000003</c:v>
                </c:pt>
                <c:pt idx="11">
                  <c:v>502.50000000000006</c:v>
                </c:pt>
                <c:pt idx="12">
                  <c:v>502.50000000000006</c:v>
                </c:pt>
                <c:pt idx="13">
                  <c:v>505.40000000000003</c:v>
                </c:pt>
                <c:pt idx="14">
                  <c:v>505.40000000000003</c:v>
                </c:pt>
                <c:pt idx="15">
                  <c:v>505.40000000000003</c:v>
                </c:pt>
                <c:pt idx="16">
                  <c:v>505.40000000000003</c:v>
                </c:pt>
                <c:pt idx="17">
                  <c:v>505.40000000000003</c:v>
                </c:pt>
                <c:pt idx="18" formatCode="0.0">
                  <c:v>505.40000000000003</c:v>
                </c:pt>
                <c:pt idx="19" formatCode="0.0">
                  <c:v>505.40000000000003</c:v>
                </c:pt>
                <c:pt idx="20" formatCode="0.0">
                  <c:v>501.5</c:v>
                </c:pt>
                <c:pt idx="21" formatCode="0.0">
                  <c:v>515.20000000000005</c:v>
                </c:pt>
                <c:pt idx="22" formatCode="0.0">
                  <c:v>515.20000000000005</c:v>
                </c:pt>
                <c:pt idx="23" formatCode="0.0">
                  <c:v>515.20000000000005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D8-4202-81B1-0B2B4D0EF479}"/>
            </c:ext>
          </c:extLst>
        </c:ser>
        <c:ser>
          <c:idx val="2"/>
          <c:order val="1"/>
          <c:tx>
            <c:strRef>
              <c:f>'25'!$AL$17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'25'!$AM$17:$BJ$17</c:f>
              <c:numCache>
                <c:formatCode>General</c:formatCode>
                <c:ptCount val="24"/>
                <c:pt idx="0">
                  <c:v>279.8</c:v>
                </c:pt>
                <c:pt idx="1">
                  <c:v>219.6</c:v>
                </c:pt>
                <c:pt idx="2">
                  <c:v>168.8</c:v>
                </c:pt>
                <c:pt idx="3">
                  <c:v>118.2</c:v>
                </c:pt>
                <c:pt idx="4">
                  <c:v>118.2</c:v>
                </c:pt>
                <c:pt idx="5">
                  <c:v>96.1</c:v>
                </c:pt>
                <c:pt idx="6">
                  <c:v>119.399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41.5</c:v>
                </c:pt>
                <c:pt idx="14">
                  <c:v>19</c:v>
                </c:pt>
                <c:pt idx="15">
                  <c:v>19</c:v>
                </c:pt>
                <c:pt idx="16">
                  <c:v>40.200000000000003</c:v>
                </c:pt>
                <c:pt idx="17">
                  <c:v>40.200000000000003</c:v>
                </c:pt>
                <c:pt idx="18" formatCode="0.0">
                  <c:v>40.200000000000003</c:v>
                </c:pt>
                <c:pt idx="19" formatCode="0.0">
                  <c:v>100.5</c:v>
                </c:pt>
                <c:pt idx="20" formatCode="0.0">
                  <c:v>286.90000000000003</c:v>
                </c:pt>
                <c:pt idx="21" formatCode="0.0">
                  <c:v>245.6</c:v>
                </c:pt>
                <c:pt idx="22" formatCode="0.0">
                  <c:v>221.6</c:v>
                </c:pt>
                <c:pt idx="23" formatCode="0.0">
                  <c:v>226.2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D8-4202-81B1-0B2B4D0EF479}"/>
            </c:ext>
          </c:extLst>
        </c:ser>
        <c:ser>
          <c:idx val="3"/>
          <c:order val="2"/>
          <c:tx>
            <c:strRef>
              <c:f>'25'!$AL$18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'25'!$AM$18:$BJ$18</c:f>
              <c:numCache>
                <c:formatCode>General</c:formatCode>
                <c:ptCount val="24"/>
                <c:pt idx="0">
                  <c:v>274.83999999999997</c:v>
                </c:pt>
                <c:pt idx="1">
                  <c:v>268.24</c:v>
                </c:pt>
                <c:pt idx="2">
                  <c:v>251.64</c:v>
                </c:pt>
                <c:pt idx="3">
                  <c:v>251.64</c:v>
                </c:pt>
                <c:pt idx="4">
                  <c:v>234.74</c:v>
                </c:pt>
                <c:pt idx="5">
                  <c:v>243.74</c:v>
                </c:pt>
                <c:pt idx="6">
                  <c:v>321.94000000000005</c:v>
                </c:pt>
                <c:pt idx="7">
                  <c:v>287.54000000000002</c:v>
                </c:pt>
                <c:pt idx="8">
                  <c:v>279.44</c:v>
                </c:pt>
                <c:pt idx="9">
                  <c:v>229.73999999999998</c:v>
                </c:pt>
                <c:pt idx="10">
                  <c:v>234.73999999999998</c:v>
                </c:pt>
                <c:pt idx="11">
                  <c:v>322.84000000000003</c:v>
                </c:pt>
                <c:pt idx="12">
                  <c:v>296.44</c:v>
                </c:pt>
                <c:pt idx="13">
                  <c:v>290.14000000000004</c:v>
                </c:pt>
                <c:pt idx="14">
                  <c:v>289.03999999999996</c:v>
                </c:pt>
                <c:pt idx="15">
                  <c:v>289.03999999999996</c:v>
                </c:pt>
                <c:pt idx="16">
                  <c:v>290.14000000000004</c:v>
                </c:pt>
                <c:pt idx="17">
                  <c:v>288.94</c:v>
                </c:pt>
                <c:pt idx="18" formatCode="0.0">
                  <c:v>271.54000000000002</c:v>
                </c:pt>
                <c:pt idx="19" formatCode="0.0">
                  <c:v>292.64</c:v>
                </c:pt>
                <c:pt idx="20" formatCode="0.0">
                  <c:v>357.74</c:v>
                </c:pt>
                <c:pt idx="21" formatCode="0.0">
                  <c:v>353.44</c:v>
                </c:pt>
                <c:pt idx="22" formatCode="0.0">
                  <c:v>298.44</c:v>
                </c:pt>
                <c:pt idx="23" formatCode="0.0">
                  <c:v>273.44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D8-4202-81B1-0B2B4D0EF479}"/>
            </c:ext>
          </c:extLst>
        </c:ser>
        <c:ser>
          <c:idx val="0"/>
          <c:order val="3"/>
          <c:tx>
            <c:strRef>
              <c:f>'25'!$AL$19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'25'!$AM$19:$BJ$19</c:f>
              <c:numCache>
                <c:formatCode>General</c:formatCode>
                <c:ptCount val="24"/>
                <c:pt idx="0">
                  <c:v>171.9</c:v>
                </c:pt>
                <c:pt idx="1">
                  <c:v>191.4</c:v>
                </c:pt>
                <c:pt idx="2">
                  <c:v>232.4</c:v>
                </c:pt>
                <c:pt idx="3">
                  <c:v>264.09999999999997</c:v>
                </c:pt>
                <c:pt idx="4">
                  <c:v>294.59999999999997</c:v>
                </c:pt>
                <c:pt idx="5">
                  <c:v>328.4</c:v>
                </c:pt>
                <c:pt idx="6">
                  <c:v>346.9</c:v>
                </c:pt>
                <c:pt idx="7">
                  <c:v>859.89999999999986</c:v>
                </c:pt>
                <c:pt idx="8">
                  <c:v>853</c:v>
                </c:pt>
                <c:pt idx="9">
                  <c:v>786</c:v>
                </c:pt>
                <c:pt idx="10">
                  <c:v>725.2</c:v>
                </c:pt>
                <c:pt idx="11">
                  <c:v>716.49999999999989</c:v>
                </c:pt>
                <c:pt idx="12">
                  <c:v>713.99999999999989</c:v>
                </c:pt>
                <c:pt idx="13">
                  <c:v>749</c:v>
                </c:pt>
                <c:pt idx="14">
                  <c:v>689.7</c:v>
                </c:pt>
                <c:pt idx="15">
                  <c:v>787.09999999999991</c:v>
                </c:pt>
                <c:pt idx="16">
                  <c:v>657.19999999999993</c:v>
                </c:pt>
                <c:pt idx="17">
                  <c:v>599.30000000000007</c:v>
                </c:pt>
                <c:pt idx="18" formatCode="0.0">
                  <c:v>518.19999999999993</c:v>
                </c:pt>
                <c:pt idx="19" formatCode="0.0">
                  <c:v>398.2</c:v>
                </c:pt>
                <c:pt idx="20" formatCode="0.0">
                  <c:v>67.900000000000006</c:v>
                </c:pt>
                <c:pt idx="21" formatCode="0.0">
                  <c:v>109</c:v>
                </c:pt>
                <c:pt idx="22" formatCode="0.0">
                  <c:v>75.599999999999994</c:v>
                </c:pt>
                <c:pt idx="23" formatCode="0.0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D8-4202-81B1-0B2B4D0EF479}"/>
            </c:ext>
          </c:extLst>
        </c:ser>
        <c:ser>
          <c:idx val="4"/>
          <c:order val="4"/>
          <c:tx>
            <c:strRef>
              <c:f>'25'!$AL$20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'25'!$AM$20:$BJ$20</c:f>
              <c:numCache>
                <c:formatCode>General</c:formatCode>
                <c:ptCount val="24"/>
                <c:pt idx="0">
                  <c:v>20.7</c:v>
                </c:pt>
                <c:pt idx="1">
                  <c:v>20.8</c:v>
                </c:pt>
                <c:pt idx="2">
                  <c:v>20.8</c:v>
                </c:pt>
                <c:pt idx="3">
                  <c:v>40.700000000000003</c:v>
                </c:pt>
                <c:pt idx="4">
                  <c:v>40.700000000000003</c:v>
                </c:pt>
                <c:pt idx="5">
                  <c:v>40.700000000000003</c:v>
                </c:pt>
                <c:pt idx="6">
                  <c:v>48.8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16.8</c:v>
                </c:pt>
                <c:pt idx="19" formatCode="0.0">
                  <c:v>18.59</c:v>
                </c:pt>
                <c:pt idx="20" formatCode="0.0">
                  <c:v>79.8</c:v>
                </c:pt>
                <c:pt idx="21" formatCode="0.0">
                  <c:v>48.1</c:v>
                </c:pt>
                <c:pt idx="22" formatCode="0.0">
                  <c:v>31.6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D8-4202-81B1-0B2B4D0EF479}"/>
            </c:ext>
          </c:extLst>
        </c:ser>
        <c:ser>
          <c:idx val="5"/>
          <c:order val="5"/>
          <c:tx>
            <c:strRef>
              <c:f>'25'!$AL$21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'25'!$AM$21:$BJ$21</c:f>
              <c:numCache>
                <c:formatCode>General</c:formatCode>
                <c:ptCount val="24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240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150</c:v>
                </c:pt>
                <c:pt idx="20" formatCode="0.0">
                  <c:v>200</c:v>
                </c:pt>
                <c:pt idx="21" formatCode="0.0">
                  <c:v>200</c:v>
                </c:pt>
                <c:pt idx="22" formatCode="0.0">
                  <c:v>200</c:v>
                </c:pt>
                <c:pt idx="23" formatCode="0.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6D8-4202-81B1-0B2B4D0EF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'25'!$AL$23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6D8-4202-81B1-0B2B4D0EF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'25'!$AL$22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'25'!$AM$22:$BJ$22</c:f>
              <c:numCache>
                <c:formatCode>General</c:formatCode>
                <c:ptCount val="24"/>
                <c:pt idx="0">
                  <c:v>1515.44</c:v>
                </c:pt>
                <c:pt idx="1">
                  <c:v>1468.24</c:v>
                </c:pt>
                <c:pt idx="2">
                  <c:v>1441.84</c:v>
                </c:pt>
                <c:pt idx="3">
                  <c:v>1432.44</c:v>
                </c:pt>
                <c:pt idx="4">
                  <c:v>1444.74</c:v>
                </c:pt>
                <c:pt idx="5">
                  <c:v>1454.44</c:v>
                </c:pt>
                <c:pt idx="6">
                  <c:v>1493.039</c:v>
                </c:pt>
                <c:pt idx="7">
                  <c:v>1671.4399999999998</c:v>
                </c:pt>
                <c:pt idx="8">
                  <c:v>1656.44</c:v>
                </c:pt>
                <c:pt idx="9">
                  <c:v>1539.14</c:v>
                </c:pt>
                <c:pt idx="10">
                  <c:v>1483.3400000000001</c:v>
                </c:pt>
                <c:pt idx="11">
                  <c:v>1560.84</c:v>
                </c:pt>
                <c:pt idx="12">
                  <c:v>1531.94</c:v>
                </c:pt>
                <c:pt idx="13">
                  <c:v>1586.0400000000002</c:v>
                </c:pt>
                <c:pt idx="14">
                  <c:v>1503.14</c:v>
                </c:pt>
                <c:pt idx="15">
                  <c:v>1600.54</c:v>
                </c:pt>
                <c:pt idx="16">
                  <c:v>1492.94</c:v>
                </c:pt>
                <c:pt idx="17">
                  <c:v>1433.8400000000001</c:v>
                </c:pt>
                <c:pt idx="18">
                  <c:v>1352.14</c:v>
                </c:pt>
                <c:pt idx="19">
                  <c:v>1465.33</c:v>
                </c:pt>
                <c:pt idx="20">
                  <c:v>1493.8400000000001</c:v>
                </c:pt>
                <c:pt idx="21">
                  <c:v>1471.34</c:v>
                </c:pt>
                <c:pt idx="22">
                  <c:v>1342.4399999999998</c:v>
                </c:pt>
                <c:pt idx="23">
                  <c:v>1306.8400000000001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D6D8-4202-81B1-0B2B4D0EF479}"/>
            </c:ext>
          </c:extLst>
        </c:ser>
        <c:ser>
          <c:idx val="8"/>
          <c:order val="8"/>
          <c:tx>
            <c:strRef>
              <c:f>'25'!$AL$24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'25'!$AM$15:$BJ$15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'25'!$AM$24:$BJ$24</c:f>
              <c:numCache>
                <c:formatCode>General</c:formatCode>
                <c:ptCount val="24"/>
                <c:pt idx="0">
                  <c:v>1515.44</c:v>
                </c:pt>
                <c:pt idx="1">
                  <c:v>1468.24</c:v>
                </c:pt>
                <c:pt idx="2">
                  <c:v>1441.84</c:v>
                </c:pt>
                <c:pt idx="3">
                  <c:v>1432.44</c:v>
                </c:pt>
                <c:pt idx="4">
                  <c:v>1444.74</c:v>
                </c:pt>
                <c:pt idx="5">
                  <c:v>1454.44</c:v>
                </c:pt>
                <c:pt idx="6">
                  <c:v>1493.039</c:v>
                </c:pt>
                <c:pt idx="7">
                  <c:v>1671.4399999999998</c:v>
                </c:pt>
                <c:pt idx="8">
                  <c:v>1656.44</c:v>
                </c:pt>
                <c:pt idx="9">
                  <c:v>1539.14</c:v>
                </c:pt>
                <c:pt idx="10">
                  <c:v>1483.3400000000001</c:v>
                </c:pt>
                <c:pt idx="11">
                  <c:v>1560.84</c:v>
                </c:pt>
                <c:pt idx="12">
                  <c:v>1530.94</c:v>
                </c:pt>
                <c:pt idx="13">
                  <c:v>1586.0400000000002</c:v>
                </c:pt>
                <c:pt idx="14">
                  <c:v>1503.14</c:v>
                </c:pt>
                <c:pt idx="15">
                  <c:v>1600.54</c:v>
                </c:pt>
                <c:pt idx="16">
                  <c:v>1492.94</c:v>
                </c:pt>
                <c:pt idx="17">
                  <c:v>1433.8400000000001</c:v>
                </c:pt>
                <c:pt idx="18">
                  <c:v>1352.14</c:v>
                </c:pt>
                <c:pt idx="19">
                  <c:v>1465.33</c:v>
                </c:pt>
                <c:pt idx="20">
                  <c:v>1493.8400000000001</c:v>
                </c:pt>
                <c:pt idx="21">
                  <c:v>1471.34</c:v>
                </c:pt>
                <c:pt idx="22">
                  <c:v>1342.4399999999998</c:v>
                </c:pt>
                <c:pt idx="23">
                  <c:v>1306.8400000000001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6D8-4202-81B1-0B2B4D0EF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91F-4B27-8832-D146BE3DDD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91F-4B27-8832-D146BE3DDD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91F-4B27-8832-D146BE3DDDE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91F-4B27-8832-D146BE3DDDE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91F-4B27-8832-D146BE3DDDE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291F-4B27-8832-D146BE3DDDE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'26'!$AL$16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'26'!$AM$16:$BJ$16</c:f>
              <c:numCache>
                <c:formatCode>General</c:formatCode>
                <c:ptCount val="24"/>
                <c:pt idx="0">
                  <c:v>515.20000000000005</c:v>
                </c:pt>
                <c:pt idx="1">
                  <c:v>515.20000000000005</c:v>
                </c:pt>
                <c:pt idx="2">
                  <c:v>515.20000000000005</c:v>
                </c:pt>
                <c:pt idx="3">
                  <c:v>508.40000000000003</c:v>
                </c:pt>
                <c:pt idx="4">
                  <c:v>508.40000000000003</c:v>
                </c:pt>
                <c:pt idx="5">
                  <c:v>508.40000000000003</c:v>
                </c:pt>
                <c:pt idx="6">
                  <c:v>516.79999999999995</c:v>
                </c:pt>
                <c:pt idx="7">
                  <c:v>516.79999999999995</c:v>
                </c:pt>
                <c:pt idx="8">
                  <c:v>507.80000000000007</c:v>
                </c:pt>
                <c:pt idx="9">
                  <c:v>507.80000000000007</c:v>
                </c:pt>
                <c:pt idx="10">
                  <c:v>507.80000000000007</c:v>
                </c:pt>
                <c:pt idx="11">
                  <c:v>507.80000000000007</c:v>
                </c:pt>
                <c:pt idx="12">
                  <c:v>506.80000000000007</c:v>
                </c:pt>
                <c:pt idx="13">
                  <c:v>506.80000000000007</c:v>
                </c:pt>
                <c:pt idx="14">
                  <c:v>506.80000000000007</c:v>
                </c:pt>
                <c:pt idx="15">
                  <c:v>506.80000000000007</c:v>
                </c:pt>
                <c:pt idx="16">
                  <c:v>506.80000000000007</c:v>
                </c:pt>
                <c:pt idx="17">
                  <c:v>506.80000000000007</c:v>
                </c:pt>
                <c:pt idx="18" formatCode="0.0">
                  <c:v>506.80000000000007</c:v>
                </c:pt>
                <c:pt idx="19" formatCode="0.0">
                  <c:v>506.80000000000007</c:v>
                </c:pt>
                <c:pt idx="20" formatCode="0.0">
                  <c:v>506.80000000000007</c:v>
                </c:pt>
                <c:pt idx="21" formatCode="0.0">
                  <c:v>506.80000000000007</c:v>
                </c:pt>
                <c:pt idx="22" formatCode="0.0">
                  <c:v>506.80000000000007</c:v>
                </c:pt>
                <c:pt idx="23" formatCode="0.0">
                  <c:v>506.80000000000007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4B-40CE-A498-7E488610B659}"/>
            </c:ext>
          </c:extLst>
        </c:ser>
        <c:ser>
          <c:idx val="2"/>
          <c:order val="1"/>
          <c:tx>
            <c:strRef>
              <c:f>'26'!$AL$17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'26'!$AM$17:$BJ$17</c:f>
              <c:numCache>
                <c:formatCode>General</c:formatCode>
                <c:ptCount val="24"/>
                <c:pt idx="0">
                  <c:v>226.2</c:v>
                </c:pt>
                <c:pt idx="1">
                  <c:v>145.19999999999999</c:v>
                </c:pt>
                <c:pt idx="2">
                  <c:v>145.19999999999999</c:v>
                </c:pt>
                <c:pt idx="3">
                  <c:v>190.29999999999998</c:v>
                </c:pt>
                <c:pt idx="4">
                  <c:v>190.29999999999998</c:v>
                </c:pt>
                <c:pt idx="5">
                  <c:v>192.5</c:v>
                </c:pt>
                <c:pt idx="6">
                  <c:v>259.3</c:v>
                </c:pt>
                <c:pt idx="7">
                  <c:v>39</c:v>
                </c:pt>
                <c:pt idx="8">
                  <c:v>54.599999999999994</c:v>
                </c:pt>
                <c:pt idx="9">
                  <c:v>54.400000000000006</c:v>
                </c:pt>
                <c:pt idx="10">
                  <c:v>88.4</c:v>
                </c:pt>
                <c:pt idx="11">
                  <c:v>53.5</c:v>
                </c:pt>
                <c:pt idx="12">
                  <c:v>53.400000000000006</c:v>
                </c:pt>
                <c:pt idx="13">
                  <c:v>75.2</c:v>
                </c:pt>
                <c:pt idx="14">
                  <c:v>75.2</c:v>
                </c:pt>
                <c:pt idx="15">
                  <c:v>76.5</c:v>
                </c:pt>
                <c:pt idx="16">
                  <c:v>51.5</c:v>
                </c:pt>
                <c:pt idx="17">
                  <c:v>22.3</c:v>
                </c:pt>
                <c:pt idx="18" formatCode="0.0">
                  <c:v>22.3</c:v>
                </c:pt>
                <c:pt idx="19" formatCode="0.0">
                  <c:v>422.3</c:v>
                </c:pt>
                <c:pt idx="20" formatCode="0.0">
                  <c:v>322.3</c:v>
                </c:pt>
                <c:pt idx="21" formatCode="0.0">
                  <c:v>282.3</c:v>
                </c:pt>
                <c:pt idx="22" formatCode="0.0">
                  <c:v>282.3</c:v>
                </c:pt>
                <c:pt idx="23" formatCode="0.0">
                  <c:v>202.3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4B-40CE-A498-7E488610B659}"/>
            </c:ext>
          </c:extLst>
        </c:ser>
        <c:ser>
          <c:idx val="3"/>
          <c:order val="2"/>
          <c:tx>
            <c:strRef>
              <c:f>'26'!$AL$18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'26'!$AM$18:$BJ$18</c:f>
              <c:numCache>
                <c:formatCode>General</c:formatCode>
                <c:ptCount val="24"/>
                <c:pt idx="0">
                  <c:v>257.94</c:v>
                </c:pt>
                <c:pt idx="1">
                  <c:v>237.94</c:v>
                </c:pt>
                <c:pt idx="2">
                  <c:v>237.94</c:v>
                </c:pt>
                <c:pt idx="3">
                  <c:v>197.14</c:v>
                </c:pt>
                <c:pt idx="4">
                  <c:v>210.54</c:v>
                </c:pt>
                <c:pt idx="5">
                  <c:v>250.84</c:v>
                </c:pt>
                <c:pt idx="6">
                  <c:v>359.23899999999998</c:v>
                </c:pt>
                <c:pt idx="7">
                  <c:v>284.53900000000004</c:v>
                </c:pt>
                <c:pt idx="8">
                  <c:v>297.74</c:v>
                </c:pt>
                <c:pt idx="9">
                  <c:v>303.64</c:v>
                </c:pt>
                <c:pt idx="10">
                  <c:v>309.74000000000007</c:v>
                </c:pt>
                <c:pt idx="11">
                  <c:v>314.64000000000004</c:v>
                </c:pt>
                <c:pt idx="12">
                  <c:v>279.94000000000005</c:v>
                </c:pt>
                <c:pt idx="13">
                  <c:v>240.84</c:v>
                </c:pt>
                <c:pt idx="14">
                  <c:v>242.14</c:v>
                </c:pt>
                <c:pt idx="15">
                  <c:v>246.43999999999997</c:v>
                </c:pt>
                <c:pt idx="16">
                  <c:v>243.73999999999995</c:v>
                </c:pt>
                <c:pt idx="17">
                  <c:v>228.53999999999996</c:v>
                </c:pt>
                <c:pt idx="18" formatCode="0.0">
                  <c:v>248.83999999999995</c:v>
                </c:pt>
                <c:pt idx="19" formatCode="0.0">
                  <c:v>369.2</c:v>
                </c:pt>
                <c:pt idx="20" formatCode="0.0">
                  <c:v>378.14</c:v>
                </c:pt>
                <c:pt idx="21" formatCode="0.0">
                  <c:v>362.53999999999996</c:v>
                </c:pt>
                <c:pt idx="22" formatCode="0.0">
                  <c:v>315.44</c:v>
                </c:pt>
                <c:pt idx="23" formatCode="0.0">
                  <c:v>333.04000000000008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4B-40CE-A498-7E488610B659}"/>
            </c:ext>
          </c:extLst>
        </c:ser>
        <c:ser>
          <c:idx val="0"/>
          <c:order val="3"/>
          <c:tx>
            <c:strRef>
              <c:f>'26'!$AL$19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'26'!$AM$19:$BJ$19</c:f>
              <c:numCache>
                <c:formatCode>General</c:formatCode>
                <c:ptCount val="24"/>
                <c:pt idx="0">
                  <c:v>96.9</c:v>
                </c:pt>
                <c:pt idx="1">
                  <c:v>94</c:v>
                </c:pt>
                <c:pt idx="2">
                  <c:v>101.6</c:v>
                </c:pt>
                <c:pt idx="3">
                  <c:v>69.3</c:v>
                </c:pt>
                <c:pt idx="4">
                  <c:v>66.7</c:v>
                </c:pt>
                <c:pt idx="5">
                  <c:v>99.699999999999989</c:v>
                </c:pt>
                <c:pt idx="6">
                  <c:v>112.1</c:v>
                </c:pt>
                <c:pt idx="7">
                  <c:v>627</c:v>
                </c:pt>
                <c:pt idx="8">
                  <c:v>640.1</c:v>
                </c:pt>
                <c:pt idx="9">
                  <c:v>658.5</c:v>
                </c:pt>
                <c:pt idx="10">
                  <c:v>672.2</c:v>
                </c:pt>
                <c:pt idx="11">
                  <c:v>697.9</c:v>
                </c:pt>
                <c:pt idx="12">
                  <c:v>684.9</c:v>
                </c:pt>
                <c:pt idx="13">
                  <c:v>712.9</c:v>
                </c:pt>
                <c:pt idx="14">
                  <c:v>731.59999999999991</c:v>
                </c:pt>
                <c:pt idx="15">
                  <c:v>734.19999999999993</c:v>
                </c:pt>
                <c:pt idx="16">
                  <c:v>744.90000000000009</c:v>
                </c:pt>
                <c:pt idx="17">
                  <c:v>663.9</c:v>
                </c:pt>
                <c:pt idx="18" formatCode="0.0">
                  <c:v>511.00000000000006</c:v>
                </c:pt>
                <c:pt idx="19" formatCode="0.0">
                  <c:v>149.30000000000001</c:v>
                </c:pt>
                <c:pt idx="20" formatCode="0.0">
                  <c:v>83.8</c:v>
                </c:pt>
                <c:pt idx="21" formatCode="0.0">
                  <c:v>77.099999999999994</c:v>
                </c:pt>
                <c:pt idx="22" formatCode="0.0">
                  <c:v>55.400000000000006</c:v>
                </c:pt>
                <c:pt idx="23" formatCode="0.0">
                  <c:v>63.300000000000004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4B-40CE-A498-7E488610B659}"/>
            </c:ext>
          </c:extLst>
        </c:ser>
        <c:ser>
          <c:idx val="4"/>
          <c:order val="4"/>
          <c:tx>
            <c:strRef>
              <c:f>'26'!$AL$20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43.9</c:v>
                </c:pt>
                <c:pt idx="21" formatCode="0.0">
                  <c:v>48.599999999999994</c:v>
                </c:pt>
                <c:pt idx="22" formatCode="0.0">
                  <c:v>48.599999999999994</c:v>
                </c:pt>
                <c:pt idx="23" formatCode="0.0">
                  <c:v>48.599999999999994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4B-40CE-A498-7E488610B659}"/>
            </c:ext>
          </c:extLst>
        </c:ser>
        <c:ser>
          <c:idx val="5"/>
          <c:order val="5"/>
          <c:tx>
            <c:strRef>
              <c:f>'26'!$AL$21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'26'!$AM$21:$BJ$21</c:f>
              <c:numCache>
                <c:formatCode>General</c:formatCode>
                <c:ptCount val="24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180</c:v>
                </c:pt>
                <c:pt idx="4">
                  <c:v>180</c:v>
                </c:pt>
                <c:pt idx="5">
                  <c:v>180</c:v>
                </c:pt>
                <c:pt idx="6">
                  <c:v>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100</c:v>
                </c:pt>
                <c:pt idx="19" formatCode="0.0">
                  <c:v>150</c:v>
                </c:pt>
                <c:pt idx="20" formatCode="0.0">
                  <c:v>180</c:v>
                </c:pt>
                <c:pt idx="21" formatCode="0.0">
                  <c:v>180</c:v>
                </c:pt>
                <c:pt idx="22" formatCode="0.0">
                  <c:v>180</c:v>
                </c:pt>
                <c:pt idx="23" formatCode="0.0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4B-40CE-A498-7E488610B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'26'!$AL$23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4B-40CE-A498-7E488610B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'26'!$AL$22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'26'!$AM$22:$BJ$22</c:f>
              <c:numCache>
                <c:formatCode>General</c:formatCode>
                <c:ptCount val="24"/>
                <c:pt idx="0">
                  <c:v>1296.2400000000002</c:v>
                </c:pt>
                <c:pt idx="1">
                  <c:v>1192.3400000000001</c:v>
                </c:pt>
                <c:pt idx="2">
                  <c:v>1199.94</c:v>
                </c:pt>
                <c:pt idx="3">
                  <c:v>1145.1399999999999</c:v>
                </c:pt>
                <c:pt idx="4">
                  <c:v>1155.94</c:v>
                </c:pt>
                <c:pt idx="5">
                  <c:v>1231.44</c:v>
                </c:pt>
                <c:pt idx="6">
                  <c:v>1297.4389999999999</c:v>
                </c:pt>
                <c:pt idx="7">
                  <c:v>1467.3389999999999</c:v>
                </c:pt>
                <c:pt idx="8">
                  <c:v>1500.2400000000002</c:v>
                </c:pt>
                <c:pt idx="9">
                  <c:v>1524.3400000000001</c:v>
                </c:pt>
                <c:pt idx="10">
                  <c:v>1578.14</c:v>
                </c:pt>
                <c:pt idx="11">
                  <c:v>1573.8400000000001</c:v>
                </c:pt>
                <c:pt idx="12">
                  <c:v>1525.04</c:v>
                </c:pt>
                <c:pt idx="13">
                  <c:v>1535.7400000000002</c:v>
                </c:pt>
                <c:pt idx="14">
                  <c:v>1555.74</c:v>
                </c:pt>
                <c:pt idx="15">
                  <c:v>1563.94</c:v>
                </c:pt>
                <c:pt idx="16">
                  <c:v>1546.94</c:v>
                </c:pt>
                <c:pt idx="17">
                  <c:v>1421.54</c:v>
                </c:pt>
                <c:pt idx="18">
                  <c:v>1388.94</c:v>
                </c:pt>
                <c:pt idx="19">
                  <c:v>1597.6000000000001</c:v>
                </c:pt>
                <c:pt idx="20">
                  <c:v>1514.9400000000003</c:v>
                </c:pt>
                <c:pt idx="21">
                  <c:v>1457.34</c:v>
                </c:pt>
                <c:pt idx="22">
                  <c:v>1388.5400000000002</c:v>
                </c:pt>
                <c:pt idx="23">
                  <c:v>1334.0400000000002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304B-40CE-A498-7E488610B659}"/>
            </c:ext>
          </c:extLst>
        </c:ser>
        <c:ser>
          <c:idx val="8"/>
          <c:order val="8"/>
          <c:tx>
            <c:strRef>
              <c:f>'26'!$AL$24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'26'!$AM$15:$BJ$15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'26'!$AM$24:$BJ$24</c:f>
              <c:numCache>
                <c:formatCode>General</c:formatCode>
                <c:ptCount val="24"/>
                <c:pt idx="0">
                  <c:v>1296.2400000000002</c:v>
                </c:pt>
                <c:pt idx="1">
                  <c:v>1192.3400000000001</c:v>
                </c:pt>
                <c:pt idx="2">
                  <c:v>1199.94</c:v>
                </c:pt>
                <c:pt idx="3">
                  <c:v>1145.1399999999999</c:v>
                </c:pt>
                <c:pt idx="4">
                  <c:v>1155.94</c:v>
                </c:pt>
                <c:pt idx="5">
                  <c:v>1231.44</c:v>
                </c:pt>
                <c:pt idx="6">
                  <c:v>1297.4389999999999</c:v>
                </c:pt>
                <c:pt idx="7">
                  <c:v>1467.3389999999999</c:v>
                </c:pt>
                <c:pt idx="8">
                  <c:v>1500.2400000000002</c:v>
                </c:pt>
                <c:pt idx="9">
                  <c:v>1524.3400000000001</c:v>
                </c:pt>
                <c:pt idx="10">
                  <c:v>1578.14</c:v>
                </c:pt>
                <c:pt idx="11">
                  <c:v>1573.8400000000001</c:v>
                </c:pt>
                <c:pt idx="12">
                  <c:v>1525.04</c:v>
                </c:pt>
                <c:pt idx="13">
                  <c:v>1535.7400000000002</c:v>
                </c:pt>
                <c:pt idx="14">
                  <c:v>1555.74</c:v>
                </c:pt>
                <c:pt idx="15">
                  <c:v>1563.94</c:v>
                </c:pt>
                <c:pt idx="16">
                  <c:v>1546.94</c:v>
                </c:pt>
                <c:pt idx="17">
                  <c:v>1421.54</c:v>
                </c:pt>
                <c:pt idx="18">
                  <c:v>1388.94</c:v>
                </c:pt>
                <c:pt idx="19">
                  <c:v>1597.6000000000001</c:v>
                </c:pt>
                <c:pt idx="20">
                  <c:v>1514.9400000000003</c:v>
                </c:pt>
                <c:pt idx="21">
                  <c:v>1457.34</c:v>
                </c:pt>
                <c:pt idx="22">
                  <c:v>1388.5400000000002</c:v>
                </c:pt>
                <c:pt idx="23">
                  <c:v>1334.0400000000002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04B-40CE-A498-7E488610B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DED-45F4-BC20-549E3DFF1D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DED-45F4-BC20-549E3DFF1D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DED-45F4-BC20-549E3DFF1D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DED-45F4-BC20-549E3DFF1D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DED-45F4-BC20-549E3DFF1D6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6DED-45F4-BC20-549E3DFF1D6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'27'!$AL$16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'27'!$AM$16:$BJ$16</c:f>
              <c:numCache>
                <c:formatCode>General</c:formatCode>
                <c:ptCount val="24"/>
                <c:pt idx="0">
                  <c:v>498.40000000000009</c:v>
                </c:pt>
                <c:pt idx="1">
                  <c:v>498.40000000000009</c:v>
                </c:pt>
                <c:pt idx="2">
                  <c:v>498.40000000000009</c:v>
                </c:pt>
                <c:pt idx="3">
                  <c:v>498.40000000000009</c:v>
                </c:pt>
                <c:pt idx="4">
                  <c:v>498.40000000000009</c:v>
                </c:pt>
                <c:pt idx="5">
                  <c:v>498.40000000000009</c:v>
                </c:pt>
                <c:pt idx="6">
                  <c:v>498.40000000000009</c:v>
                </c:pt>
                <c:pt idx="7">
                  <c:v>498.40000000000009</c:v>
                </c:pt>
                <c:pt idx="8">
                  <c:v>498.40000000000009</c:v>
                </c:pt>
                <c:pt idx="9">
                  <c:v>498.40000000000009</c:v>
                </c:pt>
                <c:pt idx="10">
                  <c:v>498.40000000000009</c:v>
                </c:pt>
                <c:pt idx="11">
                  <c:v>498.40000000000009</c:v>
                </c:pt>
                <c:pt idx="12">
                  <c:v>498.40000000000009</c:v>
                </c:pt>
                <c:pt idx="13">
                  <c:v>498.40000000000009</c:v>
                </c:pt>
                <c:pt idx="14">
                  <c:v>502.20000000000005</c:v>
                </c:pt>
                <c:pt idx="15">
                  <c:v>503.1</c:v>
                </c:pt>
                <c:pt idx="16">
                  <c:v>503.1</c:v>
                </c:pt>
                <c:pt idx="17">
                  <c:v>503.1</c:v>
                </c:pt>
                <c:pt idx="18" formatCode="0.0">
                  <c:v>503.1</c:v>
                </c:pt>
                <c:pt idx="19" formatCode="0.0">
                  <c:v>484.90000000000003</c:v>
                </c:pt>
                <c:pt idx="20" formatCode="0.0">
                  <c:v>483.5</c:v>
                </c:pt>
                <c:pt idx="21" formatCode="0.0">
                  <c:v>484.20000000000005</c:v>
                </c:pt>
                <c:pt idx="22" formatCode="0.0">
                  <c:v>481.5</c:v>
                </c:pt>
                <c:pt idx="23" formatCode="0.0">
                  <c:v>481.20000000000005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A-4139-91E2-2B4AB834C9D7}"/>
            </c:ext>
          </c:extLst>
        </c:ser>
        <c:ser>
          <c:idx val="2"/>
          <c:order val="1"/>
          <c:tx>
            <c:strRef>
              <c:f>'27'!$AL$17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'27'!$AM$17:$BJ$17</c:f>
              <c:numCache>
                <c:formatCode>General</c:formatCode>
                <c:ptCount val="24"/>
                <c:pt idx="0">
                  <c:v>162.30000000000001</c:v>
                </c:pt>
                <c:pt idx="1">
                  <c:v>162.30000000000001</c:v>
                </c:pt>
                <c:pt idx="2">
                  <c:v>123</c:v>
                </c:pt>
                <c:pt idx="3">
                  <c:v>123</c:v>
                </c:pt>
                <c:pt idx="4">
                  <c:v>123</c:v>
                </c:pt>
                <c:pt idx="5">
                  <c:v>123.2</c:v>
                </c:pt>
                <c:pt idx="6">
                  <c:v>177.5</c:v>
                </c:pt>
                <c:pt idx="7">
                  <c:v>22.8</c:v>
                </c:pt>
                <c:pt idx="8">
                  <c:v>24.6</c:v>
                </c:pt>
                <c:pt idx="9">
                  <c:v>24.6</c:v>
                </c:pt>
                <c:pt idx="10">
                  <c:v>24.6</c:v>
                </c:pt>
                <c:pt idx="11">
                  <c:v>24.6</c:v>
                </c:pt>
                <c:pt idx="12">
                  <c:v>24.6</c:v>
                </c:pt>
                <c:pt idx="13">
                  <c:v>24.6</c:v>
                </c:pt>
                <c:pt idx="14">
                  <c:v>24.6</c:v>
                </c:pt>
                <c:pt idx="15">
                  <c:v>21.1</c:v>
                </c:pt>
                <c:pt idx="16">
                  <c:v>25.2</c:v>
                </c:pt>
                <c:pt idx="17">
                  <c:v>21.5</c:v>
                </c:pt>
                <c:pt idx="18" formatCode="0.0">
                  <c:v>21.5</c:v>
                </c:pt>
                <c:pt idx="19" formatCode="0.0">
                  <c:v>442.6</c:v>
                </c:pt>
                <c:pt idx="20" formatCode="0.0">
                  <c:v>222.6</c:v>
                </c:pt>
                <c:pt idx="21" formatCode="0.0">
                  <c:v>173.70000000000002</c:v>
                </c:pt>
                <c:pt idx="22" formatCode="0.0">
                  <c:v>220.9</c:v>
                </c:pt>
                <c:pt idx="23" formatCode="0.0">
                  <c:v>170.9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4A-4139-91E2-2B4AB834C9D7}"/>
            </c:ext>
          </c:extLst>
        </c:ser>
        <c:ser>
          <c:idx val="3"/>
          <c:order val="2"/>
          <c:tx>
            <c:strRef>
              <c:f>'27'!$AL$18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'27'!$AM$18:$BJ$18</c:f>
              <c:numCache>
                <c:formatCode>General</c:formatCode>
                <c:ptCount val="24"/>
                <c:pt idx="0">
                  <c:v>313.14</c:v>
                </c:pt>
                <c:pt idx="1">
                  <c:v>297.24</c:v>
                </c:pt>
                <c:pt idx="2">
                  <c:v>262.74</c:v>
                </c:pt>
                <c:pt idx="3">
                  <c:v>214.94</c:v>
                </c:pt>
                <c:pt idx="4">
                  <c:v>187.64</c:v>
                </c:pt>
                <c:pt idx="5">
                  <c:v>186.64</c:v>
                </c:pt>
                <c:pt idx="6">
                  <c:v>249.64</c:v>
                </c:pt>
                <c:pt idx="7">
                  <c:v>218.83999999999997</c:v>
                </c:pt>
                <c:pt idx="8">
                  <c:v>257.64</c:v>
                </c:pt>
                <c:pt idx="9">
                  <c:v>254.93999999999997</c:v>
                </c:pt>
                <c:pt idx="10">
                  <c:v>261.04000000000002</c:v>
                </c:pt>
                <c:pt idx="11">
                  <c:v>270.83999999999997</c:v>
                </c:pt>
                <c:pt idx="12">
                  <c:v>254.53999999999996</c:v>
                </c:pt>
                <c:pt idx="13">
                  <c:v>265.54000000000002</c:v>
                </c:pt>
                <c:pt idx="14">
                  <c:v>271.83999999999997</c:v>
                </c:pt>
                <c:pt idx="15">
                  <c:v>265.94</c:v>
                </c:pt>
                <c:pt idx="16">
                  <c:v>221.23999999999998</c:v>
                </c:pt>
                <c:pt idx="17">
                  <c:v>220.73999999999998</c:v>
                </c:pt>
                <c:pt idx="18" formatCode="0.0">
                  <c:v>216.73999999999998</c:v>
                </c:pt>
                <c:pt idx="19" formatCode="0.0">
                  <c:v>346.4</c:v>
                </c:pt>
                <c:pt idx="20" formatCode="0.0">
                  <c:v>339.64000000000004</c:v>
                </c:pt>
                <c:pt idx="21" formatCode="0.0">
                  <c:v>313.84000000000003</c:v>
                </c:pt>
                <c:pt idx="22" formatCode="0.0">
                  <c:v>299.44</c:v>
                </c:pt>
                <c:pt idx="23" formatCode="0.0">
                  <c:v>296.03999999999996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4A-4139-91E2-2B4AB834C9D7}"/>
            </c:ext>
          </c:extLst>
        </c:ser>
        <c:ser>
          <c:idx val="0"/>
          <c:order val="3"/>
          <c:tx>
            <c:strRef>
              <c:f>'27'!$AL$19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'27'!$AM$19:$BJ$19</c:f>
              <c:numCache>
                <c:formatCode>General</c:formatCode>
                <c:ptCount val="24"/>
                <c:pt idx="0">
                  <c:v>58.7</c:v>
                </c:pt>
                <c:pt idx="1">
                  <c:v>58</c:v>
                </c:pt>
                <c:pt idx="2">
                  <c:v>135.4</c:v>
                </c:pt>
                <c:pt idx="3">
                  <c:v>170.70000000000002</c:v>
                </c:pt>
                <c:pt idx="4">
                  <c:v>201.39999999999998</c:v>
                </c:pt>
                <c:pt idx="5">
                  <c:v>225.8</c:v>
                </c:pt>
                <c:pt idx="6">
                  <c:v>322.10000000000002</c:v>
                </c:pt>
                <c:pt idx="7">
                  <c:v>771.7</c:v>
                </c:pt>
                <c:pt idx="8">
                  <c:v>794.2</c:v>
                </c:pt>
                <c:pt idx="9">
                  <c:v>793.3</c:v>
                </c:pt>
                <c:pt idx="10">
                  <c:v>832.1</c:v>
                </c:pt>
                <c:pt idx="11">
                  <c:v>801.00000000000011</c:v>
                </c:pt>
                <c:pt idx="12">
                  <c:v>799.1</c:v>
                </c:pt>
                <c:pt idx="13">
                  <c:v>790.8</c:v>
                </c:pt>
                <c:pt idx="14">
                  <c:v>778.8</c:v>
                </c:pt>
                <c:pt idx="15">
                  <c:v>752.3</c:v>
                </c:pt>
                <c:pt idx="16">
                  <c:v>790.6</c:v>
                </c:pt>
                <c:pt idx="17">
                  <c:v>744</c:v>
                </c:pt>
                <c:pt idx="18" formatCode="0.0">
                  <c:v>645</c:v>
                </c:pt>
                <c:pt idx="19" formatCode="0.0">
                  <c:v>164.2</c:v>
                </c:pt>
                <c:pt idx="20" formatCode="0.0">
                  <c:v>252</c:v>
                </c:pt>
                <c:pt idx="21" formatCode="0.0">
                  <c:v>261.5</c:v>
                </c:pt>
                <c:pt idx="22" formatCode="0.0">
                  <c:v>65.2</c:v>
                </c:pt>
                <c:pt idx="23" formatCode="0.0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4A-4139-91E2-2B4AB834C9D7}"/>
            </c:ext>
          </c:extLst>
        </c:ser>
        <c:ser>
          <c:idx val="4"/>
          <c:order val="4"/>
          <c:tx>
            <c:strRef>
              <c:f>'27'!$AL$20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'27'!$AM$20:$BJ$20</c:f>
              <c:numCache>
                <c:formatCode>General</c:formatCode>
                <c:ptCount val="24"/>
                <c:pt idx="0">
                  <c:v>49.099999999999994</c:v>
                </c:pt>
                <c:pt idx="1">
                  <c:v>49.099999999999994</c:v>
                </c:pt>
                <c:pt idx="2">
                  <c:v>49.099999999999994</c:v>
                </c:pt>
                <c:pt idx="3">
                  <c:v>48.300000000000004</c:v>
                </c:pt>
                <c:pt idx="4">
                  <c:v>48.2</c:v>
                </c:pt>
                <c:pt idx="5">
                  <c:v>48</c:v>
                </c:pt>
                <c:pt idx="6">
                  <c:v>48</c:v>
                </c:pt>
                <c:pt idx="7">
                  <c:v>47.8</c:v>
                </c:pt>
                <c:pt idx="8">
                  <c:v>57.1</c:v>
                </c:pt>
                <c:pt idx="9">
                  <c:v>20.100000000000001</c:v>
                </c:pt>
                <c:pt idx="10">
                  <c:v>20.100000000000001</c:v>
                </c:pt>
                <c:pt idx="11">
                  <c:v>20.100000000000001</c:v>
                </c:pt>
                <c:pt idx="12">
                  <c:v>20.100000000000001</c:v>
                </c:pt>
                <c:pt idx="13">
                  <c:v>0</c:v>
                </c:pt>
                <c:pt idx="14">
                  <c:v>18.96</c:v>
                </c:pt>
                <c:pt idx="15">
                  <c:v>49.3</c:v>
                </c:pt>
                <c:pt idx="16">
                  <c:v>49.9</c:v>
                </c:pt>
                <c:pt idx="17">
                  <c:v>97.100000000000009</c:v>
                </c:pt>
                <c:pt idx="18" formatCode="0.0">
                  <c:v>78.2</c:v>
                </c:pt>
                <c:pt idx="19" formatCode="0.0">
                  <c:v>63.1</c:v>
                </c:pt>
                <c:pt idx="20" formatCode="0.0">
                  <c:v>97.9</c:v>
                </c:pt>
                <c:pt idx="21" formatCode="0.0">
                  <c:v>95.3</c:v>
                </c:pt>
                <c:pt idx="22" formatCode="0.0">
                  <c:v>97.399999999999991</c:v>
                </c:pt>
                <c:pt idx="23" formatCode="0.0">
                  <c:v>97.9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4A-4139-91E2-2B4AB834C9D7}"/>
            </c:ext>
          </c:extLst>
        </c:ser>
        <c:ser>
          <c:idx val="5"/>
          <c:order val="5"/>
          <c:tx>
            <c:strRef>
              <c:f>'27'!$AL$21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'27'!$AM$21:$BJ$21</c:f>
              <c:numCache>
                <c:formatCode>General</c:formatCode>
                <c:ptCount val="24"/>
                <c:pt idx="0">
                  <c:v>180</c:v>
                </c:pt>
                <c:pt idx="1">
                  <c:v>180</c:v>
                </c:pt>
                <c:pt idx="2">
                  <c:v>180</c:v>
                </c:pt>
                <c:pt idx="3">
                  <c:v>180</c:v>
                </c:pt>
                <c:pt idx="4">
                  <c:v>180</c:v>
                </c:pt>
                <c:pt idx="5">
                  <c:v>180</c:v>
                </c:pt>
                <c:pt idx="6">
                  <c:v>150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250</c:v>
                </c:pt>
                <c:pt idx="20" formatCode="0.0">
                  <c:v>250</c:v>
                </c:pt>
                <c:pt idx="21" formatCode="0.0">
                  <c:v>200</c:v>
                </c:pt>
                <c:pt idx="22" formatCode="0.0">
                  <c:v>300</c:v>
                </c:pt>
                <c:pt idx="23" formatCode="0.0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4A-4139-91E2-2B4AB834C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'27'!$AL$23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4A-4139-91E2-2B4AB834C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'27'!$AL$22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'27'!$AM$22:$BJ$22</c:f>
              <c:numCache>
                <c:formatCode>General</c:formatCode>
                <c:ptCount val="24"/>
                <c:pt idx="0">
                  <c:v>1261.6399999999999</c:v>
                </c:pt>
                <c:pt idx="1">
                  <c:v>1245.04</c:v>
                </c:pt>
                <c:pt idx="2">
                  <c:v>1248.6400000000001</c:v>
                </c:pt>
                <c:pt idx="3">
                  <c:v>1235.3400000000001</c:v>
                </c:pt>
                <c:pt idx="4">
                  <c:v>1238.6400000000001</c:v>
                </c:pt>
                <c:pt idx="5">
                  <c:v>1262.0400000000002</c:v>
                </c:pt>
                <c:pt idx="6">
                  <c:v>1445.64</c:v>
                </c:pt>
                <c:pt idx="7">
                  <c:v>1559.54</c:v>
                </c:pt>
                <c:pt idx="8">
                  <c:v>1631.94</c:v>
                </c:pt>
                <c:pt idx="9">
                  <c:v>1591.34</c:v>
                </c:pt>
                <c:pt idx="10">
                  <c:v>1636.2400000000002</c:v>
                </c:pt>
                <c:pt idx="11">
                  <c:v>1614.94</c:v>
                </c:pt>
                <c:pt idx="12">
                  <c:v>1596.74</c:v>
                </c:pt>
                <c:pt idx="13">
                  <c:v>1579.3400000000001</c:v>
                </c:pt>
                <c:pt idx="14">
                  <c:v>1596.4</c:v>
                </c:pt>
                <c:pt idx="15">
                  <c:v>1591.74</c:v>
                </c:pt>
                <c:pt idx="16">
                  <c:v>1590.0400000000002</c:v>
                </c:pt>
                <c:pt idx="17">
                  <c:v>1586.44</c:v>
                </c:pt>
                <c:pt idx="18">
                  <c:v>1464.5400000000002</c:v>
                </c:pt>
                <c:pt idx="19">
                  <c:v>1751.2</c:v>
                </c:pt>
                <c:pt idx="20">
                  <c:v>1645.64</c:v>
                </c:pt>
                <c:pt idx="21">
                  <c:v>1528.5400000000002</c:v>
                </c:pt>
                <c:pt idx="22">
                  <c:v>1464.44</c:v>
                </c:pt>
                <c:pt idx="23">
                  <c:v>1407.04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654A-4139-91E2-2B4AB834C9D7}"/>
            </c:ext>
          </c:extLst>
        </c:ser>
        <c:ser>
          <c:idx val="8"/>
          <c:order val="8"/>
          <c:tx>
            <c:strRef>
              <c:f>'27'!$AL$24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'27'!$AM$15:$BJ$15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'27'!$AM$24:$BJ$24</c:f>
              <c:numCache>
                <c:formatCode>General</c:formatCode>
                <c:ptCount val="24"/>
                <c:pt idx="0">
                  <c:v>1261.6399999999999</c:v>
                </c:pt>
                <c:pt idx="1">
                  <c:v>1245.04</c:v>
                </c:pt>
                <c:pt idx="2">
                  <c:v>1248.6400000000001</c:v>
                </c:pt>
                <c:pt idx="3">
                  <c:v>1235.3400000000001</c:v>
                </c:pt>
                <c:pt idx="4">
                  <c:v>1238.6400000000001</c:v>
                </c:pt>
                <c:pt idx="5">
                  <c:v>1262.0400000000002</c:v>
                </c:pt>
                <c:pt idx="6">
                  <c:v>1445.64</c:v>
                </c:pt>
                <c:pt idx="7">
                  <c:v>1559.54</c:v>
                </c:pt>
                <c:pt idx="8">
                  <c:v>1631.94</c:v>
                </c:pt>
                <c:pt idx="9">
                  <c:v>1591.34</c:v>
                </c:pt>
                <c:pt idx="10">
                  <c:v>1636.2400000000002</c:v>
                </c:pt>
                <c:pt idx="11">
                  <c:v>1614.94</c:v>
                </c:pt>
                <c:pt idx="12">
                  <c:v>1596.74</c:v>
                </c:pt>
                <c:pt idx="13">
                  <c:v>1579.3400000000001</c:v>
                </c:pt>
                <c:pt idx="14">
                  <c:v>1596.4</c:v>
                </c:pt>
                <c:pt idx="15">
                  <c:v>1591.74</c:v>
                </c:pt>
                <c:pt idx="16">
                  <c:v>1590.0400000000002</c:v>
                </c:pt>
                <c:pt idx="17">
                  <c:v>1586.44</c:v>
                </c:pt>
                <c:pt idx="18">
                  <c:v>1464.5400000000002</c:v>
                </c:pt>
                <c:pt idx="19">
                  <c:v>1751.2</c:v>
                </c:pt>
                <c:pt idx="20">
                  <c:v>1645.64</c:v>
                </c:pt>
                <c:pt idx="21">
                  <c:v>1528.5400000000002</c:v>
                </c:pt>
                <c:pt idx="22">
                  <c:v>1464.44</c:v>
                </c:pt>
                <c:pt idx="23">
                  <c:v>1407.04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54A-4139-91E2-2B4AB834C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400-4610-9765-8EC86F6FB6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400-4610-9765-8EC86F6FB6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400-4610-9765-8EC86F6FB64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400-4610-9765-8EC86F6FB64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400-4610-9765-8EC86F6FB64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E400-4610-9765-8EC86F6FB64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'28'!$AL$16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'28'!$AM$16:$BJ$16</c:f>
              <c:numCache>
                <c:formatCode>General</c:formatCode>
                <c:ptCount val="24"/>
                <c:pt idx="0">
                  <c:v>456.00000000000006</c:v>
                </c:pt>
                <c:pt idx="1">
                  <c:v>482.40000000000009</c:v>
                </c:pt>
                <c:pt idx="2">
                  <c:v>486.10000000000008</c:v>
                </c:pt>
                <c:pt idx="3">
                  <c:v>486.10000000000008</c:v>
                </c:pt>
                <c:pt idx="4">
                  <c:v>486.70000000000005</c:v>
                </c:pt>
                <c:pt idx="5">
                  <c:v>486.70000000000005</c:v>
                </c:pt>
                <c:pt idx="6">
                  <c:v>486.70000000000005</c:v>
                </c:pt>
                <c:pt idx="7">
                  <c:v>486.70000000000005</c:v>
                </c:pt>
                <c:pt idx="8">
                  <c:v>478.70000000000005</c:v>
                </c:pt>
                <c:pt idx="9">
                  <c:v>478.70000000000005</c:v>
                </c:pt>
                <c:pt idx="10">
                  <c:v>478.70000000000005</c:v>
                </c:pt>
                <c:pt idx="11">
                  <c:v>490.00000000000006</c:v>
                </c:pt>
                <c:pt idx="12">
                  <c:v>490.00000000000006</c:v>
                </c:pt>
                <c:pt idx="13">
                  <c:v>490.00000000000006</c:v>
                </c:pt>
                <c:pt idx="14">
                  <c:v>492.40000000000009</c:v>
                </c:pt>
                <c:pt idx="15">
                  <c:v>486.90000000000009</c:v>
                </c:pt>
                <c:pt idx="16">
                  <c:v>489.10000000000008</c:v>
                </c:pt>
                <c:pt idx="17">
                  <c:v>487.00000000000011</c:v>
                </c:pt>
                <c:pt idx="18" formatCode="0.0">
                  <c:v>487.00000000000011</c:v>
                </c:pt>
                <c:pt idx="19" formatCode="0.0">
                  <c:v>485.00000000000011</c:v>
                </c:pt>
                <c:pt idx="20" formatCode="0.0">
                  <c:v>485.00000000000011</c:v>
                </c:pt>
                <c:pt idx="21" formatCode="0.0">
                  <c:v>485.00000000000011</c:v>
                </c:pt>
                <c:pt idx="22" formatCode="0.0">
                  <c:v>485.00000000000011</c:v>
                </c:pt>
                <c:pt idx="23" formatCode="0.0">
                  <c:v>485.00000000000011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31-4F2C-8A03-344EEDE40DC9}"/>
            </c:ext>
          </c:extLst>
        </c:ser>
        <c:ser>
          <c:idx val="2"/>
          <c:order val="1"/>
          <c:tx>
            <c:strRef>
              <c:f>'28'!$AL$17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'28'!$AM$17:$BJ$17</c:f>
              <c:numCache>
                <c:formatCode>General</c:formatCode>
                <c:ptCount val="24"/>
                <c:pt idx="0">
                  <c:v>170.9</c:v>
                </c:pt>
                <c:pt idx="1">
                  <c:v>180.9</c:v>
                </c:pt>
                <c:pt idx="2">
                  <c:v>204</c:v>
                </c:pt>
                <c:pt idx="3">
                  <c:v>158.6</c:v>
                </c:pt>
                <c:pt idx="4">
                  <c:v>145.19999999999999</c:v>
                </c:pt>
                <c:pt idx="5">
                  <c:v>164.3</c:v>
                </c:pt>
                <c:pt idx="6">
                  <c:v>143.4</c:v>
                </c:pt>
                <c:pt idx="7">
                  <c:v>31.1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24</c:v>
                </c:pt>
                <c:pt idx="14">
                  <c:v>29.3</c:v>
                </c:pt>
                <c:pt idx="15">
                  <c:v>27.8</c:v>
                </c:pt>
                <c:pt idx="16">
                  <c:v>49.3</c:v>
                </c:pt>
                <c:pt idx="17">
                  <c:v>48.5</c:v>
                </c:pt>
                <c:pt idx="18" formatCode="0.0">
                  <c:v>48.5</c:v>
                </c:pt>
                <c:pt idx="19" formatCode="0.0">
                  <c:v>336</c:v>
                </c:pt>
                <c:pt idx="20" formatCode="0.0">
                  <c:v>296</c:v>
                </c:pt>
                <c:pt idx="21" formatCode="0.0">
                  <c:v>256</c:v>
                </c:pt>
                <c:pt idx="22" formatCode="0.0">
                  <c:v>315</c:v>
                </c:pt>
                <c:pt idx="23" formatCode="0.0">
                  <c:v>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31-4F2C-8A03-344EEDE40DC9}"/>
            </c:ext>
          </c:extLst>
        </c:ser>
        <c:ser>
          <c:idx val="3"/>
          <c:order val="2"/>
          <c:tx>
            <c:strRef>
              <c:f>'28'!$AL$18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'28'!$AM$18:$BJ$18</c:f>
              <c:numCache>
                <c:formatCode>General</c:formatCode>
                <c:ptCount val="24"/>
                <c:pt idx="0">
                  <c:v>245.03999999999996</c:v>
                </c:pt>
                <c:pt idx="1">
                  <c:v>239.23999999999998</c:v>
                </c:pt>
                <c:pt idx="2">
                  <c:v>240.94</c:v>
                </c:pt>
                <c:pt idx="3">
                  <c:v>194.23999999999998</c:v>
                </c:pt>
                <c:pt idx="4">
                  <c:v>196.34</c:v>
                </c:pt>
                <c:pt idx="5">
                  <c:v>216.14</c:v>
                </c:pt>
                <c:pt idx="6">
                  <c:v>223.84</c:v>
                </c:pt>
                <c:pt idx="7">
                  <c:v>308.33999999999997</c:v>
                </c:pt>
                <c:pt idx="8">
                  <c:v>299.94000000000005</c:v>
                </c:pt>
                <c:pt idx="9">
                  <c:v>256.04000000000002</c:v>
                </c:pt>
                <c:pt idx="10">
                  <c:v>265.64000000000004</c:v>
                </c:pt>
                <c:pt idx="11">
                  <c:v>271.44</c:v>
                </c:pt>
                <c:pt idx="12">
                  <c:v>269.24</c:v>
                </c:pt>
                <c:pt idx="13">
                  <c:v>269.24</c:v>
                </c:pt>
                <c:pt idx="14">
                  <c:v>237.84</c:v>
                </c:pt>
                <c:pt idx="15">
                  <c:v>249.43999999999997</c:v>
                </c:pt>
                <c:pt idx="16">
                  <c:v>235.74</c:v>
                </c:pt>
                <c:pt idx="17">
                  <c:v>220.94</c:v>
                </c:pt>
                <c:pt idx="18" formatCode="0.0">
                  <c:v>203.73999999999998</c:v>
                </c:pt>
                <c:pt idx="19" formatCode="0.0">
                  <c:v>312.8</c:v>
                </c:pt>
                <c:pt idx="20" formatCode="0.0">
                  <c:v>326.84000000000003</c:v>
                </c:pt>
                <c:pt idx="21" formatCode="0.0">
                  <c:v>317.84000000000003</c:v>
                </c:pt>
                <c:pt idx="22" formatCode="0.0">
                  <c:v>331.54</c:v>
                </c:pt>
                <c:pt idx="23" formatCode="0.0">
                  <c:v>325.54000000000002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31-4F2C-8A03-344EEDE40DC9}"/>
            </c:ext>
          </c:extLst>
        </c:ser>
        <c:ser>
          <c:idx val="0"/>
          <c:order val="3"/>
          <c:tx>
            <c:strRef>
              <c:f>'28'!$AL$19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'28'!$AM$19:$BJ$19</c:f>
              <c:numCache>
                <c:formatCode>General</c:formatCode>
                <c:ptCount val="24"/>
                <c:pt idx="0">
                  <c:v>51.7</c:v>
                </c:pt>
                <c:pt idx="1">
                  <c:v>40.6</c:v>
                </c:pt>
                <c:pt idx="2">
                  <c:v>37.200000000000003</c:v>
                </c:pt>
                <c:pt idx="3">
                  <c:v>145.6</c:v>
                </c:pt>
                <c:pt idx="4">
                  <c:v>109.9</c:v>
                </c:pt>
                <c:pt idx="5">
                  <c:v>135.4</c:v>
                </c:pt>
                <c:pt idx="6">
                  <c:v>264.39999999999998</c:v>
                </c:pt>
                <c:pt idx="7">
                  <c:v>719.2</c:v>
                </c:pt>
                <c:pt idx="8">
                  <c:v>760.1</c:v>
                </c:pt>
                <c:pt idx="9">
                  <c:v>761</c:v>
                </c:pt>
                <c:pt idx="10">
                  <c:v>790</c:v>
                </c:pt>
                <c:pt idx="11">
                  <c:v>839</c:v>
                </c:pt>
                <c:pt idx="12">
                  <c:v>802.7</c:v>
                </c:pt>
                <c:pt idx="13">
                  <c:v>785</c:v>
                </c:pt>
                <c:pt idx="14">
                  <c:v>851.5</c:v>
                </c:pt>
                <c:pt idx="15">
                  <c:v>844.6</c:v>
                </c:pt>
                <c:pt idx="16">
                  <c:v>808.2</c:v>
                </c:pt>
                <c:pt idx="17">
                  <c:v>721.30000000000007</c:v>
                </c:pt>
                <c:pt idx="18" formatCode="0.0">
                  <c:v>658.8</c:v>
                </c:pt>
                <c:pt idx="19" formatCode="0.0">
                  <c:v>287.59999999999997</c:v>
                </c:pt>
                <c:pt idx="20" formatCode="0.0">
                  <c:v>251</c:v>
                </c:pt>
                <c:pt idx="21" formatCode="0.0">
                  <c:v>244</c:v>
                </c:pt>
                <c:pt idx="22" formatCode="0.0">
                  <c:v>112</c:v>
                </c:pt>
                <c:pt idx="23" formatCode="0.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31-4F2C-8A03-344EEDE40DC9}"/>
            </c:ext>
          </c:extLst>
        </c:ser>
        <c:ser>
          <c:idx val="4"/>
          <c:order val="4"/>
          <c:tx>
            <c:strRef>
              <c:f>'28'!$AL$20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'28'!$AM$20:$BJ$20</c:f>
              <c:numCache>
                <c:formatCode>General</c:formatCode>
                <c:ptCount val="24"/>
                <c:pt idx="0">
                  <c:v>58.9</c:v>
                </c:pt>
                <c:pt idx="1">
                  <c:v>52.900000000000006</c:v>
                </c:pt>
                <c:pt idx="2">
                  <c:v>53.300000000000004</c:v>
                </c:pt>
                <c:pt idx="3">
                  <c:v>38.900000000000006</c:v>
                </c:pt>
                <c:pt idx="4">
                  <c:v>48.900000000000006</c:v>
                </c:pt>
                <c:pt idx="5">
                  <c:v>14.399999999999999</c:v>
                </c:pt>
                <c:pt idx="6">
                  <c:v>48.5</c:v>
                </c:pt>
                <c:pt idx="7">
                  <c:v>0</c:v>
                </c:pt>
                <c:pt idx="8">
                  <c:v>25.9</c:v>
                </c:pt>
                <c:pt idx="9">
                  <c:v>21</c:v>
                </c:pt>
                <c:pt idx="10">
                  <c:v>31.700000000000003</c:v>
                </c:pt>
                <c:pt idx="11">
                  <c:v>61.400000000000006</c:v>
                </c:pt>
                <c:pt idx="12">
                  <c:v>48</c:v>
                </c:pt>
                <c:pt idx="13">
                  <c:v>80.099999999999994</c:v>
                </c:pt>
                <c:pt idx="14">
                  <c:v>97</c:v>
                </c:pt>
                <c:pt idx="15">
                  <c:v>97</c:v>
                </c:pt>
                <c:pt idx="16">
                  <c:v>97</c:v>
                </c:pt>
                <c:pt idx="17">
                  <c:v>97.8</c:v>
                </c:pt>
                <c:pt idx="18" formatCode="0.0">
                  <c:v>72.7</c:v>
                </c:pt>
                <c:pt idx="19" formatCode="0.0">
                  <c:v>98.300000000000011</c:v>
                </c:pt>
                <c:pt idx="20" formatCode="0.0">
                  <c:v>98.300000000000011</c:v>
                </c:pt>
                <c:pt idx="21" formatCode="0.0">
                  <c:v>98.300000000000011</c:v>
                </c:pt>
                <c:pt idx="22" formatCode="0.0">
                  <c:v>98.300000000000011</c:v>
                </c:pt>
                <c:pt idx="23" formatCode="0.0">
                  <c:v>98.300000000000011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31-4F2C-8A03-344EEDE40DC9}"/>
            </c:ext>
          </c:extLst>
        </c:ser>
        <c:ser>
          <c:idx val="5"/>
          <c:order val="5"/>
          <c:tx>
            <c:strRef>
              <c:f>'28'!$AL$21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'28'!$AM$21:$BJ$21</c:f>
              <c:numCache>
                <c:formatCode>General</c:formatCode>
                <c:ptCount val="24"/>
                <c:pt idx="0">
                  <c:v>300</c:v>
                </c:pt>
                <c:pt idx="1">
                  <c:v>300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50</c:v>
                </c:pt>
                <c:pt idx="19" formatCode="0.0">
                  <c:v>260</c:v>
                </c:pt>
                <c:pt idx="20" formatCode="0.0">
                  <c:v>250</c:v>
                </c:pt>
                <c:pt idx="21" formatCode="0.0">
                  <c:v>250</c:v>
                </c:pt>
                <c:pt idx="22" formatCode="0.0">
                  <c:v>251</c:v>
                </c:pt>
                <c:pt idx="23" formatCode="0.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31-4F2C-8A03-344EEDE40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'28'!$AL$23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-1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-1</c:v>
                </c:pt>
                <c:pt idx="21">
                  <c:v>0</c:v>
                </c:pt>
                <c:pt idx="22">
                  <c:v>-1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E31-4F2C-8A03-344EEDE40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'28'!$AL$22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'28'!$AM$22:$BJ$22</c:f>
              <c:numCache>
                <c:formatCode>General</c:formatCode>
                <c:ptCount val="24"/>
                <c:pt idx="0">
                  <c:v>1282.54</c:v>
                </c:pt>
                <c:pt idx="1">
                  <c:v>1296.04</c:v>
                </c:pt>
                <c:pt idx="2">
                  <c:v>1271.5400000000002</c:v>
                </c:pt>
                <c:pt idx="3">
                  <c:v>1273.44</c:v>
                </c:pt>
                <c:pt idx="4">
                  <c:v>1237.04</c:v>
                </c:pt>
                <c:pt idx="5">
                  <c:v>1266.94</c:v>
                </c:pt>
                <c:pt idx="6">
                  <c:v>1366.8400000000001</c:v>
                </c:pt>
                <c:pt idx="7">
                  <c:v>1545.3400000000001</c:v>
                </c:pt>
                <c:pt idx="8">
                  <c:v>1592.6400000000003</c:v>
                </c:pt>
                <c:pt idx="9">
                  <c:v>1544.74</c:v>
                </c:pt>
                <c:pt idx="10">
                  <c:v>1594.0400000000002</c:v>
                </c:pt>
                <c:pt idx="11">
                  <c:v>1689.8400000000001</c:v>
                </c:pt>
                <c:pt idx="12">
                  <c:v>1637.94</c:v>
                </c:pt>
                <c:pt idx="13">
                  <c:v>1648.34</c:v>
                </c:pt>
                <c:pt idx="14">
                  <c:v>1708.04</c:v>
                </c:pt>
                <c:pt idx="15">
                  <c:v>1705.74</c:v>
                </c:pt>
                <c:pt idx="16">
                  <c:v>1679.3400000000001</c:v>
                </c:pt>
                <c:pt idx="17">
                  <c:v>1575.5400000000002</c:v>
                </c:pt>
                <c:pt idx="18">
                  <c:v>1520.74</c:v>
                </c:pt>
                <c:pt idx="19">
                  <c:v>1779.7</c:v>
                </c:pt>
                <c:pt idx="20">
                  <c:v>1707.14</c:v>
                </c:pt>
                <c:pt idx="21">
                  <c:v>1651.14</c:v>
                </c:pt>
                <c:pt idx="22">
                  <c:v>1592.8400000000001</c:v>
                </c:pt>
                <c:pt idx="23">
                  <c:v>1623.8400000000001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5E31-4F2C-8A03-344EEDE40DC9}"/>
            </c:ext>
          </c:extLst>
        </c:ser>
        <c:ser>
          <c:idx val="8"/>
          <c:order val="8"/>
          <c:tx>
            <c:strRef>
              <c:f>'28'!$AL$24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'28'!$AM$15:$BJ$15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'28'!$AM$24:$BJ$24</c:f>
              <c:numCache>
                <c:formatCode>General</c:formatCode>
                <c:ptCount val="24"/>
                <c:pt idx="0">
                  <c:v>1282.54</c:v>
                </c:pt>
                <c:pt idx="1">
                  <c:v>1295.04</c:v>
                </c:pt>
                <c:pt idx="2">
                  <c:v>1271.5400000000002</c:v>
                </c:pt>
                <c:pt idx="3">
                  <c:v>1273.44</c:v>
                </c:pt>
                <c:pt idx="4">
                  <c:v>1237.04</c:v>
                </c:pt>
                <c:pt idx="5">
                  <c:v>1266.94</c:v>
                </c:pt>
                <c:pt idx="6">
                  <c:v>1366.8400000000001</c:v>
                </c:pt>
                <c:pt idx="7">
                  <c:v>1545.3400000000001</c:v>
                </c:pt>
                <c:pt idx="8">
                  <c:v>1592.6400000000003</c:v>
                </c:pt>
                <c:pt idx="9">
                  <c:v>1544.74</c:v>
                </c:pt>
                <c:pt idx="10">
                  <c:v>1594.0400000000002</c:v>
                </c:pt>
                <c:pt idx="11">
                  <c:v>1689.8400000000001</c:v>
                </c:pt>
                <c:pt idx="12">
                  <c:v>1637.94</c:v>
                </c:pt>
                <c:pt idx="13">
                  <c:v>1648.34</c:v>
                </c:pt>
                <c:pt idx="14">
                  <c:v>1708.04</c:v>
                </c:pt>
                <c:pt idx="15">
                  <c:v>1705.74</c:v>
                </c:pt>
                <c:pt idx="16">
                  <c:v>1679.3400000000001</c:v>
                </c:pt>
                <c:pt idx="17">
                  <c:v>1575.5400000000002</c:v>
                </c:pt>
                <c:pt idx="18">
                  <c:v>1520.74</c:v>
                </c:pt>
                <c:pt idx="19">
                  <c:v>1779.7</c:v>
                </c:pt>
                <c:pt idx="20">
                  <c:v>1706.14</c:v>
                </c:pt>
                <c:pt idx="21">
                  <c:v>1651.14</c:v>
                </c:pt>
                <c:pt idx="22">
                  <c:v>1591.8400000000001</c:v>
                </c:pt>
                <c:pt idx="23">
                  <c:v>1623.8400000000001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E31-4F2C-8A03-344EEDE40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7EA-4EA8-90B9-D6E2E5CDEF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7EA-4EA8-90B9-D6E2E5CDEF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7EA-4EA8-90B9-D6E2E5CDEF1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7EA-4EA8-90B9-D6E2E5CDEF1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7EA-4EA8-90B9-D6E2E5CDEF1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27EA-4EA8-90B9-D6E2E5CDEF1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'29'!$AL$16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'29'!$AM$16:$BJ$16</c:f>
              <c:numCache>
                <c:formatCode>General</c:formatCode>
                <c:ptCount val="24"/>
                <c:pt idx="0">
                  <c:v>485.00000000000011</c:v>
                </c:pt>
                <c:pt idx="1">
                  <c:v>485.00000000000011</c:v>
                </c:pt>
                <c:pt idx="2">
                  <c:v>485.00000000000011</c:v>
                </c:pt>
                <c:pt idx="3">
                  <c:v>485.00000000000011</c:v>
                </c:pt>
                <c:pt idx="4">
                  <c:v>485.00000000000011</c:v>
                </c:pt>
                <c:pt idx="5">
                  <c:v>485.00000000000011</c:v>
                </c:pt>
                <c:pt idx="6">
                  <c:v>485.00000000000011</c:v>
                </c:pt>
                <c:pt idx="7">
                  <c:v>485.00000000000011</c:v>
                </c:pt>
                <c:pt idx="8">
                  <c:v>485.00000000000011</c:v>
                </c:pt>
                <c:pt idx="9">
                  <c:v>485.00000000000011</c:v>
                </c:pt>
                <c:pt idx="10">
                  <c:v>485.00000000000011</c:v>
                </c:pt>
                <c:pt idx="11">
                  <c:v>484.40000000000009</c:v>
                </c:pt>
                <c:pt idx="12">
                  <c:v>484.40000000000009</c:v>
                </c:pt>
                <c:pt idx="13">
                  <c:v>484.40000000000009</c:v>
                </c:pt>
                <c:pt idx="14">
                  <c:v>473.40000000000009</c:v>
                </c:pt>
                <c:pt idx="15">
                  <c:v>476.80000000000013</c:v>
                </c:pt>
                <c:pt idx="16">
                  <c:v>476.80000000000013</c:v>
                </c:pt>
                <c:pt idx="17">
                  <c:v>476.2000000000001</c:v>
                </c:pt>
                <c:pt idx="18" formatCode="0.0">
                  <c:v>475.80000000000013</c:v>
                </c:pt>
                <c:pt idx="19" formatCode="0.0">
                  <c:v>499.90000000000003</c:v>
                </c:pt>
                <c:pt idx="20" formatCode="0.0">
                  <c:v>499.90000000000003</c:v>
                </c:pt>
                <c:pt idx="21" formatCode="0.0">
                  <c:v>499.90000000000003</c:v>
                </c:pt>
                <c:pt idx="22" formatCode="0.0">
                  <c:v>499.90000000000003</c:v>
                </c:pt>
                <c:pt idx="23" formatCode="0.0">
                  <c:v>499.90000000000003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5-4CB9-B79D-C45B74D8BA2D}"/>
            </c:ext>
          </c:extLst>
        </c:ser>
        <c:ser>
          <c:idx val="2"/>
          <c:order val="1"/>
          <c:tx>
            <c:strRef>
              <c:f>'29'!$AL$17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'29'!$AM$17:$BJ$17</c:f>
              <c:numCache>
                <c:formatCode>General</c:formatCode>
                <c:ptCount val="24"/>
                <c:pt idx="0">
                  <c:v>185</c:v>
                </c:pt>
                <c:pt idx="1">
                  <c:v>185</c:v>
                </c:pt>
                <c:pt idx="2">
                  <c:v>185</c:v>
                </c:pt>
                <c:pt idx="3">
                  <c:v>173.8</c:v>
                </c:pt>
                <c:pt idx="4">
                  <c:v>184.29999999999998</c:v>
                </c:pt>
                <c:pt idx="5">
                  <c:v>173.6</c:v>
                </c:pt>
                <c:pt idx="6">
                  <c:v>178.3</c:v>
                </c:pt>
                <c:pt idx="7">
                  <c:v>46.9</c:v>
                </c:pt>
                <c:pt idx="8">
                  <c:v>46.9</c:v>
                </c:pt>
                <c:pt idx="9">
                  <c:v>46.9</c:v>
                </c:pt>
                <c:pt idx="10">
                  <c:v>46.9</c:v>
                </c:pt>
                <c:pt idx="11">
                  <c:v>45.6</c:v>
                </c:pt>
                <c:pt idx="12">
                  <c:v>45.6</c:v>
                </c:pt>
                <c:pt idx="13">
                  <c:v>45.6</c:v>
                </c:pt>
                <c:pt idx="14">
                  <c:v>37.9</c:v>
                </c:pt>
                <c:pt idx="15">
                  <c:v>38.700000000000003</c:v>
                </c:pt>
                <c:pt idx="16">
                  <c:v>38.5</c:v>
                </c:pt>
                <c:pt idx="17">
                  <c:v>38.6</c:v>
                </c:pt>
                <c:pt idx="18" formatCode="0.0">
                  <c:v>39.599999999999994</c:v>
                </c:pt>
                <c:pt idx="19" formatCode="0.0">
                  <c:v>289.7</c:v>
                </c:pt>
                <c:pt idx="20" formatCode="0.0">
                  <c:v>384.2</c:v>
                </c:pt>
                <c:pt idx="21" formatCode="0.0">
                  <c:v>327.2</c:v>
                </c:pt>
                <c:pt idx="22" formatCode="0.0">
                  <c:v>327.2</c:v>
                </c:pt>
                <c:pt idx="23" formatCode="0.0">
                  <c:v>245.2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55-4CB9-B79D-C45B74D8BA2D}"/>
            </c:ext>
          </c:extLst>
        </c:ser>
        <c:ser>
          <c:idx val="3"/>
          <c:order val="2"/>
          <c:tx>
            <c:strRef>
              <c:f>'29'!$AL$18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'29'!$AM$18:$BJ$18</c:f>
              <c:numCache>
                <c:formatCode>General</c:formatCode>
                <c:ptCount val="24"/>
                <c:pt idx="0">
                  <c:v>325.54000000000002</c:v>
                </c:pt>
                <c:pt idx="1">
                  <c:v>282.54000000000002</c:v>
                </c:pt>
                <c:pt idx="2">
                  <c:v>270.54000000000002</c:v>
                </c:pt>
                <c:pt idx="3">
                  <c:v>266.94</c:v>
                </c:pt>
                <c:pt idx="4">
                  <c:v>254.93999999999997</c:v>
                </c:pt>
                <c:pt idx="5">
                  <c:v>256.94</c:v>
                </c:pt>
                <c:pt idx="6">
                  <c:v>256.94</c:v>
                </c:pt>
                <c:pt idx="7">
                  <c:v>220.84</c:v>
                </c:pt>
                <c:pt idx="8">
                  <c:v>252.84</c:v>
                </c:pt>
                <c:pt idx="9">
                  <c:v>252.84</c:v>
                </c:pt>
                <c:pt idx="10">
                  <c:v>207.64</c:v>
                </c:pt>
                <c:pt idx="11">
                  <c:v>219.64</c:v>
                </c:pt>
                <c:pt idx="12">
                  <c:v>211.83999999999997</c:v>
                </c:pt>
                <c:pt idx="13">
                  <c:v>201.83999999999997</c:v>
                </c:pt>
                <c:pt idx="14">
                  <c:v>203.93999999999997</c:v>
                </c:pt>
                <c:pt idx="15">
                  <c:v>227.54</c:v>
                </c:pt>
                <c:pt idx="16">
                  <c:v>218.14</c:v>
                </c:pt>
                <c:pt idx="17">
                  <c:v>188.93999999999997</c:v>
                </c:pt>
                <c:pt idx="18" formatCode="0.0">
                  <c:v>213.73999999999998</c:v>
                </c:pt>
                <c:pt idx="19" formatCode="0.0">
                  <c:v>323.19999999999993</c:v>
                </c:pt>
                <c:pt idx="20" formatCode="0.0">
                  <c:v>355.14</c:v>
                </c:pt>
                <c:pt idx="21" formatCode="0.0">
                  <c:v>326.14</c:v>
                </c:pt>
                <c:pt idx="22" formatCode="0.0">
                  <c:v>287.14</c:v>
                </c:pt>
                <c:pt idx="23" formatCode="0.0">
                  <c:v>271.14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55-4CB9-B79D-C45B74D8BA2D}"/>
            </c:ext>
          </c:extLst>
        </c:ser>
        <c:ser>
          <c:idx val="0"/>
          <c:order val="3"/>
          <c:tx>
            <c:strRef>
              <c:f>'29'!$AL$19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'29'!$AM$19:$BJ$19</c:f>
              <c:numCache>
                <c:formatCode>General</c:formatCode>
                <c:ptCount val="24"/>
                <c:pt idx="0">
                  <c:v>106</c:v>
                </c:pt>
                <c:pt idx="1">
                  <c:v>94</c:v>
                </c:pt>
                <c:pt idx="2">
                  <c:v>75</c:v>
                </c:pt>
                <c:pt idx="3">
                  <c:v>126.10000000000001</c:v>
                </c:pt>
                <c:pt idx="4">
                  <c:v>133.80000000000001</c:v>
                </c:pt>
                <c:pt idx="5">
                  <c:v>174.8</c:v>
                </c:pt>
                <c:pt idx="6">
                  <c:v>222.20000000000002</c:v>
                </c:pt>
                <c:pt idx="7">
                  <c:v>655.4</c:v>
                </c:pt>
                <c:pt idx="8">
                  <c:v>714.8</c:v>
                </c:pt>
                <c:pt idx="9">
                  <c:v>758.04</c:v>
                </c:pt>
                <c:pt idx="10">
                  <c:v>723.7</c:v>
                </c:pt>
                <c:pt idx="11">
                  <c:v>723.4</c:v>
                </c:pt>
                <c:pt idx="12">
                  <c:v>728.4</c:v>
                </c:pt>
                <c:pt idx="13">
                  <c:v>764</c:v>
                </c:pt>
                <c:pt idx="14">
                  <c:v>806.49999999999989</c:v>
                </c:pt>
                <c:pt idx="15">
                  <c:v>784.8</c:v>
                </c:pt>
                <c:pt idx="16">
                  <c:v>813.09999999999991</c:v>
                </c:pt>
                <c:pt idx="17">
                  <c:v>789.7</c:v>
                </c:pt>
                <c:pt idx="18" formatCode="0.0">
                  <c:v>616.79999999999995</c:v>
                </c:pt>
                <c:pt idx="19" formatCode="0.0">
                  <c:v>259.8</c:v>
                </c:pt>
                <c:pt idx="20" formatCode="0.0">
                  <c:v>228.3</c:v>
                </c:pt>
                <c:pt idx="21" formatCode="0.0">
                  <c:v>199</c:v>
                </c:pt>
                <c:pt idx="22" formatCode="0.0">
                  <c:v>214</c:v>
                </c:pt>
                <c:pt idx="23" formatCode="0.0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55-4CB9-B79D-C45B74D8BA2D}"/>
            </c:ext>
          </c:extLst>
        </c:ser>
        <c:ser>
          <c:idx val="4"/>
          <c:order val="4"/>
          <c:tx>
            <c:strRef>
              <c:f>'29'!$AL$20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'29'!$AM$20:$BJ$20</c:f>
              <c:numCache>
                <c:formatCode>General</c:formatCode>
                <c:ptCount val="24"/>
                <c:pt idx="0">
                  <c:v>98.300000000000011</c:v>
                </c:pt>
                <c:pt idx="1">
                  <c:v>98.300000000000011</c:v>
                </c:pt>
                <c:pt idx="2">
                  <c:v>98.300000000000011</c:v>
                </c:pt>
                <c:pt idx="3">
                  <c:v>82.300000000000011</c:v>
                </c:pt>
                <c:pt idx="4">
                  <c:v>82.300000000000011</c:v>
                </c:pt>
                <c:pt idx="5">
                  <c:v>90.5</c:v>
                </c:pt>
                <c:pt idx="6">
                  <c:v>98.5</c:v>
                </c:pt>
                <c:pt idx="7">
                  <c:v>19.8</c:v>
                </c:pt>
                <c:pt idx="8">
                  <c:v>20.100000000000001</c:v>
                </c:pt>
                <c:pt idx="9">
                  <c:v>20.100000000000001</c:v>
                </c:pt>
                <c:pt idx="10">
                  <c:v>20.100000000000001</c:v>
                </c:pt>
                <c:pt idx="11">
                  <c:v>27.299999999999997</c:v>
                </c:pt>
                <c:pt idx="12">
                  <c:v>45.5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67.8</c:v>
                </c:pt>
                <c:pt idx="20" formatCode="0.0">
                  <c:v>71.099999999999994</c:v>
                </c:pt>
                <c:pt idx="21" formatCode="0.0">
                  <c:v>71.099999999999994</c:v>
                </c:pt>
                <c:pt idx="22" formatCode="0.0">
                  <c:v>71.099999999999994</c:v>
                </c:pt>
                <c:pt idx="23" formatCode="0.0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55-4CB9-B79D-C45B74D8BA2D}"/>
            </c:ext>
          </c:extLst>
        </c:ser>
        <c:ser>
          <c:idx val="5"/>
          <c:order val="5"/>
          <c:tx>
            <c:strRef>
              <c:f>'29'!$AL$21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'29'!$AM$21:$BJ$21</c:f>
              <c:numCache>
                <c:formatCode>General</c:formatCode>
                <c:ptCount val="24"/>
                <c:pt idx="0">
                  <c:v>250</c:v>
                </c:pt>
                <c:pt idx="1">
                  <c:v>250</c:v>
                </c:pt>
                <c:pt idx="2">
                  <c:v>251</c:v>
                </c:pt>
                <c:pt idx="3">
                  <c:v>250</c:v>
                </c:pt>
                <c:pt idx="4">
                  <c:v>250</c:v>
                </c:pt>
                <c:pt idx="5">
                  <c:v>230</c:v>
                </c:pt>
                <c:pt idx="6">
                  <c:v>180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250</c:v>
                </c:pt>
                <c:pt idx="20" formatCode="0.0">
                  <c:v>250</c:v>
                </c:pt>
                <c:pt idx="21" formatCode="0.0">
                  <c:v>250</c:v>
                </c:pt>
                <c:pt idx="22" formatCode="0.0">
                  <c:v>250</c:v>
                </c:pt>
                <c:pt idx="23" formatCode="0.0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55-4CB9-B79D-C45B74D8B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'29'!$AL$23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-1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55-4CB9-B79D-C45B74D8B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'29'!$AL$22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'29'!$AM$22:$BJ$22</c:f>
              <c:numCache>
                <c:formatCode>General</c:formatCode>
                <c:ptCount val="24"/>
                <c:pt idx="0">
                  <c:v>1449.8400000000001</c:v>
                </c:pt>
                <c:pt idx="1">
                  <c:v>1394.8400000000001</c:v>
                </c:pt>
                <c:pt idx="2">
                  <c:v>1364.8400000000001</c:v>
                </c:pt>
                <c:pt idx="3">
                  <c:v>1384.14</c:v>
                </c:pt>
                <c:pt idx="4">
                  <c:v>1390.34</c:v>
                </c:pt>
                <c:pt idx="5">
                  <c:v>1410.8400000000001</c:v>
                </c:pt>
                <c:pt idx="6">
                  <c:v>1420.9400000000003</c:v>
                </c:pt>
                <c:pt idx="7">
                  <c:v>1427.94</c:v>
                </c:pt>
                <c:pt idx="8">
                  <c:v>1519.6399999999999</c:v>
                </c:pt>
                <c:pt idx="9">
                  <c:v>1562.88</c:v>
                </c:pt>
                <c:pt idx="10">
                  <c:v>1483.3400000000001</c:v>
                </c:pt>
                <c:pt idx="11">
                  <c:v>1500.34</c:v>
                </c:pt>
                <c:pt idx="12">
                  <c:v>1515.7400000000002</c:v>
                </c:pt>
                <c:pt idx="13">
                  <c:v>1495.8400000000001</c:v>
                </c:pt>
                <c:pt idx="14">
                  <c:v>1521.7399999999998</c:v>
                </c:pt>
                <c:pt idx="15">
                  <c:v>1527.8400000000001</c:v>
                </c:pt>
                <c:pt idx="16">
                  <c:v>1546.54</c:v>
                </c:pt>
                <c:pt idx="17">
                  <c:v>1493.44</c:v>
                </c:pt>
                <c:pt idx="18">
                  <c:v>1345.94</c:v>
                </c:pt>
                <c:pt idx="19">
                  <c:v>1690.3999999999999</c:v>
                </c:pt>
                <c:pt idx="20">
                  <c:v>1788.6399999999999</c:v>
                </c:pt>
                <c:pt idx="21">
                  <c:v>1673.34</c:v>
                </c:pt>
                <c:pt idx="22">
                  <c:v>1649.34</c:v>
                </c:pt>
                <c:pt idx="23">
                  <c:v>1477.24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F55-4CB9-B79D-C45B74D8BA2D}"/>
            </c:ext>
          </c:extLst>
        </c:ser>
        <c:ser>
          <c:idx val="8"/>
          <c:order val="8"/>
          <c:tx>
            <c:strRef>
              <c:f>'29'!$AL$24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'29'!$AM$15:$BJ$15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'29'!$AM$24:$BJ$24</c:f>
              <c:numCache>
                <c:formatCode>General</c:formatCode>
                <c:ptCount val="24"/>
                <c:pt idx="0">
                  <c:v>1449.8400000000001</c:v>
                </c:pt>
                <c:pt idx="1">
                  <c:v>1393.8400000000001</c:v>
                </c:pt>
                <c:pt idx="2">
                  <c:v>1364.8400000000001</c:v>
                </c:pt>
                <c:pt idx="3">
                  <c:v>1384.14</c:v>
                </c:pt>
                <c:pt idx="4">
                  <c:v>1390.34</c:v>
                </c:pt>
                <c:pt idx="5">
                  <c:v>1410.8400000000001</c:v>
                </c:pt>
                <c:pt idx="6">
                  <c:v>1420.9400000000003</c:v>
                </c:pt>
                <c:pt idx="7">
                  <c:v>1427.94</c:v>
                </c:pt>
                <c:pt idx="8">
                  <c:v>1519.6399999999999</c:v>
                </c:pt>
                <c:pt idx="9">
                  <c:v>1562.88</c:v>
                </c:pt>
                <c:pt idx="10">
                  <c:v>1483.3400000000001</c:v>
                </c:pt>
                <c:pt idx="11">
                  <c:v>1500.34</c:v>
                </c:pt>
                <c:pt idx="12">
                  <c:v>1515.7400000000002</c:v>
                </c:pt>
                <c:pt idx="13">
                  <c:v>1495.8400000000001</c:v>
                </c:pt>
                <c:pt idx="14">
                  <c:v>1521.7399999999998</c:v>
                </c:pt>
                <c:pt idx="15">
                  <c:v>1527.8400000000001</c:v>
                </c:pt>
                <c:pt idx="16">
                  <c:v>1546.54</c:v>
                </c:pt>
                <c:pt idx="17">
                  <c:v>1493.44</c:v>
                </c:pt>
                <c:pt idx="18">
                  <c:v>1345.94</c:v>
                </c:pt>
                <c:pt idx="19">
                  <c:v>1690.3999999999999</c:v>
                </c:pt>
                <c:pt idx="20">
                  <c:v>1788.6399999999999</c:v>
                </c:pt>
                <c:pt idx="21">
                  <c:v>1673.34</c:v>
                </c:pt>
                <c:pt idx="22">
                  <c:v>1649.34</c:v>
                </c:pt>
                <c:pt idx="23">
                  <c:v>1477.24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F55-4CB9-B79D-C45B74D8B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765-469C-9036-1457EED31C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765-469C-9036-1457EED31C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765-469C-9036-1457EED31C9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765-469C-9036-1457EED31C9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765-469C-9036-1457EED31C9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5765-469C-9036-1457EED31C9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'30'!$AL$16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'30'!$AM$16:$BJ$16</c:f>
              <c:numCache>
                <c:formatCode>General</c:formatCode>
                <c:ptCount val="24"/>
                <c:pt idx="0">
                  <c:v>499.90000000000003</c:v>
                </c:pt>
                <c:pt idx="1">
                  <c:v>499.90000000000003</c:v>
                </c:pt>
                <c:pt idx="2">
                  <c:v>505.9</c:v>
                </c:pt>
                <c:pt idx="3">
                  <c:v>439.8</c:v>
                </c:pt>
                <c:pt idx="4">
                  <c:v>501.9</c:v>
                </c:pt>
                <c:pt idx="5">
                  <c:v>502.2</c:v>
                </c:pt>
                <c:pt idx="6">
                  <c:v>471.60000000000008</c:v>
                </c:pt>
                <c:pt idx="7">
                  <c:v>516.1</c:v>
                </c:pt>
                <c:pt idx="8">
                  <c:v>509.10000000000008</c:v>
                </c:pt>
                <c:pt idx="9">
                  <c:v>514.5</c:v>
                </c:pt>
                <c:pt idx="10">
                  <c:v>507.60000000000008</c:v>
                </c:pt>
                <c:pt idx="11">
                  <c:v>515</c:v>
                </c:pt>
                <c:pt idx="12">
                  <c:v>518.5</c:v>
                </c:pt>
                <c:pt idx="13">
                  <c:v>528.6</c:v>
                </c:pt>
                <c:pt idx="14">
                  <c:v>527.40000000000009</c:v>
                </c:pt>
                <c:pt idx="15">
                  <c:v>531.20000000000005</c:v>
                </c:pt>
                <c:pt idx="16">
                  <c:v>540.90000000000009</c:v>
                </c:pt>
                <c:pt idx="17">
                  <c:v>524.40000000000009</c:v>
                </c:pt>
                <c:pt idx="18" formatCode="0.0">
                  <c:v>516.5</c:v>
                </c:pt>
                <c:pt idx="19" formatCode="0.0">
                  <c:v>539</c:v>
                </c:pt>
                <c:pt idx="20" formatCode="0.0">
                  <c:v>522</c:v>
                </c:pt>
                <c:pt idx="21" formatCode="0.0">
                  <c:v>522</c:v>
                </c:pt>
                <c:pt idx="22" formatCode="0.0">
                  <c:v>522</c:v>
                </c:pt>
                <c:pt idx="23" formatCode="0.0">
                  <c:v>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50-4DB6-8F5A-BF95651D1768}"/>
            </c:ext>
          </c:extLst>
        </c:ser>
        <c:ser>
          <c:idx val="2"/>
          <c:order val="1"/>
          <c:tx>
            <c:strRef>
              <c:f>'30'!$AL$17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'30'!$AM$17:$BJ$17</c:f>
              <c:numCache>
                <c:formatCode>General</c:formatCode>
                <c:ptCount val="24"/>
                <c:pt idx="0">
                  <c:v>242</c:v>
                </c:pt>
                <c:pt idx="1">
                  <c:v>161</c:v>
                </c:pt>
                <c:pt idx="2">
                  <c:v>142</c:v>
                </c:pt>
                <c:pt idx="3">
                  <c:v>112</c:v>
                </c:pt>
                <c:pt idx="4">
                  <c:v>76</c:v>
                </c:pt>
                <c:pt idx="5">
                  <c:v>103.2</c:v>
                </c:pt>
                <c:pt idx="6">
                  <c:v>147.30000000000001</c:v>
                </c:pt>
                <c:pt idx="7">
                  <c:v>56.7</c:v>
                </c:pt>
                <c:pt idx="8">
                  <c:v>49.1</c:v>
                </c:pt>
                <c:pt idx="9">
                  <c:v>47.2</c:v>
                </c:pt>
                <c:pt idx="10">
                  <c:v>47.2</c:v>
                </c:pt>
                <c:pt idx="11">
                  <c:v>49.400000000000006</c:v>
                </c:pt>
                <c:pt idx="12">
                  <c:v>49.5</c:v>
                </c:pt>
                <c:pt idx="13">
                  <c:v>44.1</c:v>
                </c:pt>
                <c:pt idx="14">
                  <c:v>54.9</c:v>
                </c:pt>
                <c:pt idx="15">
                  <c:v>56.7</c:v>
                </c:pt>
                <c:pt idx="16">
                  <c:v>61.300000000000004</c:v>
                </c:pt>
                <c:pt idx="17">
                  <c:v>54.7</c:v>
                </c:pt>
                <c:pt idx="18" formatCode="0.0">
                  <c:v>210.4</c:v>
                </c:pt>
                <c:pt idx="19" formatCode="0.0">
                  <c:v>285.89999999999998</c:v>
                </c:pt>
                <c:pt idx="20" formatCode="0.0">
                  <c:v>284.89999999999998</c:v>
                </c:pt>
                <c:pt idx="21" formatCode="0.0">
                  <c:v>354.9</c:v>
                </c:pt>
                <c:pt idx="22" formatCode="0.0">
                  <c:v>262.39999999999998</c:v>
                </c:pt>
                <c:pt idx="23" formatCode="0.0">
                  <c:v>195.4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50-4DB6-8F5A-BF95651D1768}"/>
            </c:ext>
          </c:extLst>
        </c:ser>
        <c:ser>
          <c:idx val="3"/>
          <c:order val="2"/>
          <c:tx>
            <c:strRef>
              <c:f>'30'!$AL$18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'30'!$AM$18:$BJ$18</c:f>
              <c:numCache>
                <c:formatCode>General</c:formatCode>
                <c:ptCount val="24"/>
                <c:pt idx="0">
                  <c:v>271.14</c:v>
                </c:pt>
                <c:pt idx="1">
                  <c:v>194.14</c:v>
                </c:pt>
                <c:pt idx="2">
                  <c:v>183.14</c:v>
                </c:pt>
                <c:pt idx="3">
                  <c:v>119.14000000000001</c:v>
                </c:pt>
                <c:pt idx="4">
                  <c:v>179.14</c:v>
                </c:pt>
                <c:pt idx="5">
                  <c:v>176.24</c:v>
                </c:pt>
                <c:pt idx="6">
                  <c:v>244.84</c:v>
                </c:pt>
                <c:pt idx="7">
                  <c:v>240.84</c:v>
                </c:pt>
                <c:pt idx="8">
                  <c:v>270.24</c:v>
                </c:pt>
                <c:pt idx="9">
                  <c:v>319.44</c:v>
                </c:pt>
                <c:pt idx="10">
                  <c:v>354.24000000000007</c:v>
                </c:pt>
                <c:pt idx="11">
                  <c:v>333.44</c:v>
                </c:pt>
                <c:pt idx="12">
                  <c:v>344.44</c:v>
                </c:pt>
                <c:pt idx="13">
                  <c:v>349.34</c:v>
                </c:pt>
                <c:pt idx="14">
                  <c:v>321.44000000000005</c:v>
                </c:pt>
                <c:pt idx="15">
                  <c:v>340.84000000000003</c:v>
                </c:pt>
                <c:pt idx="16">
                  <c:v>365.53999999999996</c:v>
                </c:pt>
                <c:pt idx="17">
                  <c:v>333.64</c:v>
                </c:pt>
                <c:pt idx="18" formatCode="0.0">
                  <c:v>331.94</c:v>
                </c:pt>
                <c:pt idx="19" formatCode="0.0">
                  <c:v>330.40000000000003</c:v>
                </c:pt>
                <c:pt idx="20" formatCode="0.0">
                  <c:v>343.54000000000008</c:v>
                </c:pt>
                <c:pt idx="21" formatCode="0.0">
                  <c:v>345.54</c:v>
                </c:pt>
                <c:pt idx="22" formatCode="0.0">
                  <c:v>354.44000000000005</c:v>
                </c:pt>
                <c:pt idx="23" formatCode="0.0">
                  <c:v>288.54000000000008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50-4DB6-8F5A-BF95651D1768}"/>
            </c:ext>
          </c:extLst>
        </c:ser>
        <c:ser>
          <c:idx val="0"/>
          <c:order val="3"/>
          <c:tx>
            <c:strRef>
              <c:f>'30'!$AL$19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'30'!$AM$19:$BJ$19</c:f>
              <c:numCache>
                <c:formatCode>General</c:formatCode>
                <c:ptCount val="24"/>
                <c:pt idx="0">
                  <c:v>199</c:v>
                </c:pt>
                <c:pt idx="1">
                  <c:v>144</c:v>
                </c:pt>
                <c:pt idx="2">
                  <c:v>146</c:v>
                </c:pt>
                <c:pt idx="3">
                  <c:v>205</c:v>
                </c:pt>
                <c:pt idx="4">
                  <c:v>119.79999999999998</c:v>
                </c:pt>
                <c:pt idx="5">
                  <c:v>120.8</c:v>
                </c:pt>
                <c:pt idx="6">
                  <c:v>142</c:v>
                </c:pt>
                <c:pt idx="7">
                  <c:v>519.90000000000009</c:v>
                </c:pt>
                <c:pt idx="8">
                  <c:v>587.6</c:v>
                </c:pt>
                <c:pt idx="9">
                  <c:v>550.5</c:v>
                </c:pt>
                <c:pt idx="10">
                  <c:v>540.4</c:v>
                </c:pt>
                <c:pt idx="11">
                  <c:v>488.4</c:v>
                </c:pt>
                <c:pt idx="12">
                  <c:v>502.20000000000005</c:v>
                </c:pt>
                <c:pt idx="13">
                  <c:v>510.2</c:v>
                </c:pt>
                <c:pt idx="14">
                  <c:v>558.80000000000007</c:v>
                </c:pt>
                <c:pt idx="15">
                  <c:v>514.70000000000005</c:v>
                </c:pt>
                <c:pt idx="16">
                  <c:v>507.30000000000007</c:v>
                </c:pt>
                <c:pt idx="17">
                  <c:v>441.1</c:v>
                </c:pt>
                <c:pt idx="18" formatCode="0.0">
                  <c:v>441.1</c:v>
                </c:pt>
                <c:pt idx="19" formatCode="0.0">
                  <c:v>119.19999999999999</c:v>
                </c:pt>
                <c:pt idx="20" formatCode="0.0">
                  <c:v>70.8</c:v>
                </c:pt>
                <c:pt idx="21" formatCode="0.0">
                  <c:v>41.3</c:v>
                </c:pt>
                <c:pt idx="22" formatCode="0.0">
                  <c:v>59.9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50-4DB6-8F5A-BF95651D1768}"/>
            </c:ext>
          </c:extLst>
        </c:ser>
        <c:ser>
          <c:idx val="4"/>
          <c:order val="4"/>
          <c:tx>
            <c:strRef>
              <c:f>'30'!$AL$20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'30'!$AM$20:$BJ$20</c:f>
              <c:numCache>
                <c:formatCode>General</c:formatCode>
                <c:ptCount val="24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65.3</c:v>
                </c:pt>
                <c:pt idx="20" formatCode="0.0">
                  <c:v>98.2</c:v>
                </c:pt>
                <c:pt idx="21" formatCode="0.0">
                  <c:v>22.5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50-4DB6-8F5A-BF95651D1768}"/>
            </c:ext>
          </c:extLst>
        </c:ser>
        <c:ser>
          <c:idx val="5"/>
          <c:order val="5"/>
          <c:tx>
            <c:strRef>
              <c:f>'30'!$AL$21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'30'!$AM$21:$BJ$21</c:f>
              <c:numCache>
                <c:formatCode>General</c:formatCode>
                <c:ptCount val="24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250</c:v>
                </c:pt>
                <c:pt idx="20" formatCode="0.0">
                  <c:v>250</c:v>
                </c:pt>
                <c:pt idx="21" formatCode="0.0">
                  <c:v>230</c:v>
                </c:pt>
                <c:pt idx="22" formatCode="0.0">
                  <c:v>230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50-4DB6-8F5A-BF95651D1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'30'!$AL$23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50-4DB6-8F5A-BF95651D1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'30'!$AL$22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'30'!$AM$22:$BJ$22</c:f>
              <c:numCache>
                <c:formatCode>General</c:formatCode>
                <c:ptCount val="24"/>
                <c:pt idx="0">
                  <c:v>1423.04</c:v>
                </c:pt>
                <c:pt idx="1">
                  <c:v>1199.04</c:v>
                </c:pt>
                <c:pt idx="2">
                  <c:v>1177.04</c:v>
                </c:pt>
                <c:pt idx="3">
                  <c:v>1075.94</c:v>
                </c:pt>
                <c:pt idx="4">
                  <c:v>1076.8399999999999</c:v>
                </c:pt>
                <c:pt idx="5">
                  <c:v>1102.44</c:v>
                </c:pt>
                <c:pt idx="6">
                  <c:v>1205.7400000000002</c:v>
                </c:pt>
                <c:pt idx="7">
                  <c:v>1333.5400000000002</c:v>
                </c:pt>
                <c:pt idx="8">
                  <c:v>1416.04</c:v>
                </c:pt>
                <c:pt idx="9">
                  <c:v>1431.64</c:v>
                </c:pt>
                <c:pt idx="10">
                  <c:v>1449.44</c:v>
                </c:pt>
                <c:pt idx="11">
                  <c:v>1386.2399999999998</c:v>
                </c:pt>
                <c:pt idx="12">
                  <c:v>1414.64</c:v>
                </c:pt>
                <c:pt idx="13">
                  <c:v>1432.24</c:v>
                </c:pt>
                <c:pt idx="14">
                  <c:v>1462.5400000000002</c:v>
                </c:pt>
                <c:pt idx="15">
                  <c:v>1443.44</c:v>
                </c:pt>
                <c:pt idx="16">
                  <c:v>1475.04</c:v>
                </c:pt>
                <c:pt idx="17">
                  <c:v>1353.8400000000001</c:v>
                </c:pt>
                <c:pt idx="18">
                  <c:v>1499.94</c:v>
                </c:pt>
                <c:pt idx="19">
                  <c:v>1589.8</c:v>
                </c:pt>
                <c:pt idx="20">
                  <c:v>1569.44</c:v>
                </c:pt>
                <c:pt idx="21">
                  <c:v>1516.24</c:v>
                </c:pt>
                <c:pt idx="22">
                  <c:v>1428.7400000000002</c:v>
                </c:pt>
                <c:pt idx="23">
                  <c:v>1005.94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D150-4DB6-8F5A-BF95651D1768}"/>
            </c:ext>
          </c:extLst>
        </c:ser>
        <c:ser>
          <c:idx val="8"/>
          <c:order val="8"/>
          <c:tx>
            <c:strRef>
              <c:f>'30'!$AL$24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'30'!$AM$15:$BJ$15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'30'!$AM$24:$BJ$24</c:f>
              <c:numCache>
                <c:formatCode>General</c:formatCode>
                <c:ptCount val="24"/>
                <c:pt idx="0">
                  <c:v>1423.04</c:v>
                </c:pt>
                <c:pt idx="1">
                  <c:v>1199.04</c:v>
                </c:pt>
                <c:pt idx="2">
                  <c:v>1177.04</c:v>
                </c:pt>
                <c:pt idx="3">
                  <c:v>1075.94</c:v>
                </c:pt>
                <c:pt idx="4">
                  <c:v>1076.8399999999999</c:v>
                </c:pt>
                <c:pt idx="5">
                  <c:v>1102.44</c:v>
                </c:pt>
                <c:pt idx="6">
                  <c:v>1205.7400000000002</c:v>
                </c:pt>
                <c:pt idx="7">
                  <c:v>1333.5400000000002</c:v>
                </c:pt>
                <c:pt idx="8">
                  <c:v>1416.04</c:v>
                </c:pt>
                <c:pt idx="9">
                  <c:v>1431.64</c:v>
                </c:pt>
                <c:pt idx="10">
                  <c:v>1449.44</c:v>
                </c:pt>
                <c:pt idx="11">
                  <c:v>1386.2399999999998</c:v>
                </c:pt>
                <c:pt idx="12">
                  <c:v>1414.64</c:v>
                </c:pt>
                <c:pt idx="13">
                  <c:v>1432.24</c:v>
                </c:pt>
                <c:pt idx="14">
                  <c:v>1462.5400000000002</c:v>
                </c:pt>
                <c:pt idx="15">
                  <c:v>1443.44</c:v>
                </c:pt>
                <c:pt idx="16">
                  <c:v>1475.04</c:v>
                </c:pt>
                <c:pt idx="17">
                  <c:v>1353.8400000000001</c:v>
                </c:pt>
                <c:pt idx="18">
                  <c:v>1498.94</c:v>
                </c:pt>
                <c:pt idx="19">
                  <c:v>1589.8</c:v>
                </c:pt>
                <c:pt idx="20">
                  <c:v>1569.44</c:v>
                </c:pt>
                <c:pt idx="21">
                  <c:v>1516.24</c:v>
                </c:pt>
                <c:pt idx="22">
                  <c:v>1428.7400000000002</c:v>
                </c:pt>
                <c:pt idx="23">
                  <c:v>1005.94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150-4DB6-8F5A-BF95651D1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128-4DE0-896E-0B5B71B71D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128-4DE0-896E-0B5B71B71D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128-4DE0-896E-0B5B71B71D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128-4DE0-896E-0B5B71B71DA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128-4DE0-896E-0B5B71B71DA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2128-4DE0-896E-0B5B71B71DA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'31'!$AL$16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'31'!$AM$16:$BJ$16</c:f>
              <c:numCache>
                <c:formatCode>General</c:formatCode>
                <c:ptCount val="24"/>
                <c:pt idx="0">
                  <c:v>572</c:v>
                </c:pt>
                <c:pt idx="1">
                  <c:v>568</c:v>
                </c:pt>
                <c:pt idx="2">
                  <c:v>568</c:v>
                </c:pt>
                <c:pt idx="3">
                  <c:v>588</c:v>
                </c:pt>
                <c:pt idx="4">
                  <c:v>588</c:v>
                </c:pt>
                <c:pt idx="5">
                  <c:v>591.40000000000009</c:v>
                </c:pt>
                <c:pt idx="6">
                  <c:v>588.80000000000007</c:v>
                </c:pt>
                <c:pt idx="7">
                  <c:v>588.80000000000007</c:v>
                </c:pt>
                <c:pt idx="8">
                  <c:v>578.60000000000014</c:v>
                </c:pt>
                <c:pt idx="9">
                  <c:v>581.70000000000016</c:v>
                </c:pt>
                <c:pt idx="10">
                  <c:v>578.60000000000014</c:v>
                </c:pt>
                <c:pt idx="11">
                  <c:v>578.60000000000014</c:v>
                </c:pt>
                <c:pt idx="12">
                  <c:v>578.60000000000014</c:v>
                </c:pt>
                <c:pt idx="13">
                  <c:v>566.20000000000005</c:v>
                </c:pt>
                <c:pt idx="14">
                  <c:v>568.30000000000007</c:v>
                </c:pt>
                <c:pt idx="15">
                  <c:v>569.5</c:v>
                </c:pt>
                <c:pt idx="16">
                  <c:v>566.20000000000005</c:v>
                </c:pt>
                <c:pt idx="17">
                  <c:v>568.60000000000014</c:v>
                </c:pt>
                <c:pt idx="18" formatCode="0.0">
                  <c:v>568.60000000000014</c:v>
                </c:pt>
                <c:pt idx="19" formatCode="0.0">
                  <c:v>573.40000000000009</c:v>
                </c:pt>
                <c:pt idx="20" formatCode="0.0">
                  <c:v>573.40000000000009</c:v>
                </c:pt>
                <c:pt idx="21" formatCode="0.0">
                  <c:v>590.5</c:v>
                </c:pt>
                <c:pt idx="22" formatCode="0.0">
                  <c:v>590.90000000000009</c:v>
                </c:pt>
                <c:pt idx="23" formatCode="0.0">
                  <c:v>592.90000000000009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1F-4244-B2CC-A8CBBD9F1719}"/>
            </c:ext>
          </c:extLst>
        </c:ser>
        <c:ser>
          <c:idx val="2"/>
          <c:order val="1"/>
          <c:tx>
            <c:strRef>
              <c:f>'31'!$AL$17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'31'!$AM$17:$BJ$17</c:f>
              <c:numCache>
                <c:formatCode>General</c:formatCode>
                <c:ptCount val="24"/>
                <c:pt idx="0">
                  <c:v>178.5</c:v>
                </c:pt>
                <c:pt idx="1">
                  <c:v>158.5</c:v>
                </c:pt>
                <c:pt idx="2">
                  <c:v>158.5</c:v>
                </c:pt>
                <c:pt idx="3">
                  <c:v>181.6</c:v>
                </c:pt>
                <c:pt idx="4">
                  <c:v>161.30000000000001</c:v>
                </c:pt>
                <c:pt idx="5">
                  <c:v>161.4</c:v>
                </c:pt>
                <c:pt idx="6">
                  <c:v>199.5</c:v>
                </c:pt>
                <c:pt idx="7">
                  <c:v>46.8</c:v>
                </c:pt>
                <c:pt idx="8">
                  <c:v>46.8</c:v>
                </c:pt>
                <c:pt idx="9">
                  <c:v>46.4</c:v>
                </c:pt>
                <c:pt idx="10">
                  <c:v>46.4</c:v>
                </c:pt>
                <c:pt idx="11">
                  <c:v>46.4</c:v>
                </c:pt>
                <c:pt idx="12">
                  <c:v>46.3</c:v>
                </c:pt>
                <c:pt idx="13">
                  <c:v>120.5</c:v>
                </c:pt>
                <c:pt idx="14">
                  <c:v>120.10000000000001</c:v>
                </c:pt>
                <c:pt idx="15">
                  <c:v>138.20000000000002</c:v>
                </c:pt>
                <c:pt idx="16">
                  <c:v>139.30000000000001</c:v>
                </c:pt>
                <c:pt idx="17">
                  <c:v>112.49999999999999</c:v>
                </c:pt>
                <c:pt idx="18" formatCode="0.0">
                  <c:v>72.2</c:v>
                </c:pt>
                <c:pt idx="19" formatCode="0.0">
                  <c:v>466.09999999999997</c:v>
                </c:pt>
                <c:pt idx="20" formatCode="0.0">
                  <c:v>468</c:v>
                </c:pt>
                <c:pt idx="21" formatCode="0.0">
                  <c:v>408.5</c:v>
                </c:pt>
                <c:pt idx="22" formatCode="0.0">
                  <c:v>307.40000000000003</c:v>
                </c:pt>
                <c:pt idx="23" formatCode="0.0">
                  <c:v>214.5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1F-4244-B2CC-A8CBBD9F1719}"/>
            </c:ext>
          </c:extLst>
        </c:ser>
        <c:ser>
          <c:idx val="3"/>
          <c:order val="2"/>
          <c:tx>
            <c:strRef>
              <c:f>'31'!$AL$18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'31'!$AM$18:$BJ$18</c:f>
              <c:numCache>
                <c:formatCode>General</c:formatCode>
                <c:ptCount val="24"/>
                <c:pt idx="0">
                  <c:v>289.04000000000008</c:v>
                </c:pt>
                <c:pt idx="1">
                  <c:v>249.04</c:v>
                </c:pt>
                <c:pt idx="2">
                  <c:v>249.04</c:v>
                </c:pt>
                <c:pt idx="3">
                  <c:v>197.38</c:v>
                </c:pt>
                <c:pt idx="4">
                  <c:v>204.34</c:v>
                </c:pt>
                <c:pt idx="5">
                  <c:v>210.14</c:v>
                </c:pt>
                <c:pt idx="6">
                  <c:v>317.74000000000007</c:v>
                </c:pt>
                <c:pt idx="7">
                  <c:v>281.64000000000004</c:v>
                </c:pt>
                <c:pt idx="8">
                  <c:v>319.64</c:v>
                </c:pt>
                <c:pt idx="9">
                  <c:v>339.44000000000005</c:v>
                </c:pt>
                <c:pt idx="10">
                  <c:v>379.24</c:v>
                </c:pt>
                <c:pt idx="11">
                  <c:v>326.34000000000009</c:v>
                </c:pt>
                <c:pt idx="12">
                  <c:v>350.74</c:v>
                </c:pt>
                <c:pt idx="13">
                  <c:v>296.54000000000002</c:v>
                </c:pt>
                <c:pt idx="14">
                  <c:v>287.04000000000002</c:v>
                </c:pt>
                <c:pt idx="15">
                  <c:v>266.24000000000007</c:v>
                </c:pt>
                <c:pt idx="16">
                  <c:v>262.24000000000007</c:v>
                </c:pt>
                <c:pt idx="17">
                  <c:v>280.94</c:v>
                </c:pt>
                <c:pt idx="18" formatCode="0.0">
                  <c:v>249.83999999999995</c:v>
                </c:pt>
                <c:pt idx="19" formatCode="0.0">
                  <c:v>361.30999999999995</c:v>
                </c:pt>
                <c:pt idx="20" formatCode="0.0">
                  <c:v>377.84</c:v>
                </c:pt>
                <c:pt idx="21" formatCode="0.0">
                  <c:v>370.34000000000003</c:v>
                </c:pt>
                <c:pt idx="22" formatCode="0.0">
                  <c:v>372.64000000000004</c:v>
                </c:pt>
                <c:pt idx="23" formatCode="0.0">
                  <c:v>327.94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1F-4244-B2CC-A8CBBD9F1719}"/>
            </c:ext>
          </c:extLst>
        </c:ser>
        <c:ser>
          <c:idx val="0"/>
          <c:order val="3"/>
          <c:tx>
            <c:strRef>
              <c:f>'31'!$AL$19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'31'!$AM$19:$BJ$19</c:f>
              <c:numCache>
                <c:formatCode>General</c:formatCode>
                <c:ptCount val="24"/>
                <c:pt idx="0">
                  <c:v>92.4</c:v>
                </c:pt>
                <c:pt idx="1">
                  <c:v>142.9</c:v>
                </c:pt>
                <c:pt idx="2">
                  <c:v>111.1</c:v>
                </c:pt>
                <c:pt idx="3">
                  <c:v>155.89999999999998</c:v>
                </c:pt>
                <c:pt idx="4">
                  <c:v>177.3</c:v>
                </c:pt>
                <c:pt idx="5">
                  <c:v>201.7</c:v>
                </c:pt>
                <c:pt idx="6">
                  <c:v>182.39999999999998</c:v>
                </c:pt>
                <c:pt idx="7">
                  <c:v>583.19999999999993</c:v>
                </c:pt>
                <c:pt idx="8">
                  <c:v>574.9</c:v>
                </c:pt>
                <c:pt idx="9">
                  <c:v>598.19999999999993</c:v>
                </c:pt>
                <c:pt idx="10">
                  <c:v>577.4</c:v>
                </c:pt>
                <c:pt idx="11">
                  <c:v>635</c:v>
                </c:pt>
                <c:pt idx="12">
                  <c:v>558.6</c:v>
                </c:pt>
                <c:pt idx="13">
                  <c:v>579.69999999999993</c:v>
                </c:pt>
                <c:pt idx="14">
                  <c:v>612.29999999999995</c:v>
                </c:pt>
                <c:pt idx="15">
                  <c:v>652.20000000000005</c:v>
                </c:pt>
                <c:pt idx="16">
                  <c:v>691.59999999999991</c:v>
                </c:pt>
                <c:pt idx="17">
                  <c:v>618.1</c:v>
                </c:pt>
                <c:pt idx="18" formatCode="0.0">
                  <c:v>576.40000000000009</c:v>
                </c:pt>
                <c:pt idx="19" formatCode="0.0">
                  <c:v>113.30000000000001</c:v>
                </c:pt>
                <c:pt idx="20" formatCode="0.0">
                  <c:v>145.19999999999999</c:v>
                </c:pt>
                <c:pt idx="21" formatCode="0.0">
                  <c:v>96.7</c:v>
                </c:pt>
                <c:pt idx="22" formatCode="0.0">
                  <c:v>78.599999999999994</c:v>
                </c:pt>
                <c:pt idx="23" formatCode="0.0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1F-4244-B2CC-A8CBBD9F1719}"/>
            </c:ext>
          </c:extLst>
        </c:ser>
        <c:ser>
          <c:idx val="4"/>
          <c:order val="4"/>
          <c:tx>
            <c:strRef>
              <c:f>'31'!$AL$20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'31'!$AM$20:$BJ$20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48.3</c:v>
                </c:pt>
                <c:pt idx="9">
                  <c:v>50.2</c:v>
                </c:pt>
                <c:pt idx="10">
                  <c:v>49</c:v>
                </c:pt>
                <c:pt idx="11">
                  <c:v>31.599999999999998</c:v>
                </c:pt>
                <c:pt idx="12">
                  <c:v>33.700000000000003</c:v>
                </c:pt>
                <c:pt idx="13">
                  <c:v>48.6</c:v>
                </c:pt>
                <c:pt idx="14">
                  <c:v>99.1</c:v>
                </c:pt>
                <c:pt idx="15">
                  <c:v>87.8</c:v>
                </c:pt>
                <c:pt idx="16">
                  <c:v>87.8</c:v>
                </c:pt>
                <c:pt idx="17">
                  <c:v>78.600000000000009</c:v>
                </c:pt>
                <c:pt idx="18" formatCode="0.0">
                  <c:v>78.600000000000009</c:v>
                </c:pt>
                <c:pt idx="19" formatCode="0.0">
                  <c:v>82.800000000000011</c:v>
                </c:pt>
                <c:pt idx="20" formatCode="0.0">
                  <c:v>98.7</c:v>
                </c:pt>
                <c:pt idx="21" formatCode="0.0">
                  <c:v>99</c:v>
                </c:pt>
                <c:pt idx="22" formatCode="0.0">
                  <c:v>99</c:v>
                </c:pt>
                <c:pt idx="23" formatCode="0.0">
                  <c:v>89.9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1F-4244-B2CC-A8CBBD9F1719}"/>
            </c:ext>
          </c:extLst>
        </c:ser>
        <c:ser>
          <c:idx val="5"/>
          <c:order val="5"/>
          <c:tx>
            <c:strRef>
              <c:f>'31'!$AL$21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'31'!$AM$21:$BJ$21</c:f>
              <c:numCache>
                <c:formatCode>General</c:formatCode>
                <c:ptCount val="24"/>
                <c:pt idx="0">
                  <c:v>230</c:v>
                </c:pt>
                <c:pt idx="1">
                  <c:v>230</c:v>
                </c:pt>
                <c:pt idx="2">
                  <c:v>230</c:v>
                </c:pt>
                <c:pt idx="3">
                  <c:v>230</c:v>
                </c:pt>
                <c:pt idx="4">
                  <c:v>230</c:v>
                </c:pt>
                <c:pt idx="5">
                  <c:v>230</c:v>
                </c:pt>
                <c:pt idx="6">
                  <c:v>230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175</c:v>
                </c:pt>
                <c:pt idx="21" formatCode="0.0">
                  <c:v>175</c:v>
                </c:pt>
                <c:pt idx="22" formatCode="0.0">
                  <c:v>175</c:v>
                </c:pt>
                <c:pt idx="23" formatCode="0.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1F-4244-B2CC-A8CBBD9F1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'31'!$AL$23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'31'!$AM$23:$BJ$23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1F-4244-B2CC-A8CBBD9F1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'31'!$AL$22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'31'!$AM$22:$BJ$22</c:f>
              <c:numCache>
                <c:formatCode>General</c:formatCode>
                <c:ptCount val="24"/>
                <c:pt idx="0">
                  <c:v>1361.94</c:v>
                </c:pt>
                <c:pt idx="1">
                  <c:v>1348.44</c:v>
                </c:pt>
                <c:pt idx="2">
                  <c:v>1316.6399999999999</c:v>
                </c:pt>
                <c:pt idx="3">
                  <c:v>1352.88</c:v>
                </c:pt>
                <c:pt idx="4">
                  <c:v>1360.94</c:v>
                </c:pt>
                <c:pt idx="5">
                  <c:v>1394.64</c:v>
                </c:pt>
                <c:pt idx="6">
                  <c:v>1518.44</c:v>
                </c:pt>
                <c:pt idx="7">
                  <c:v>1500.44</c:v>
                </c:pt>
                <c:pt idx="8">
                  <c:v>1568.24</c:v>
                </c:pt>
                <c:pt idx="9">
                  <c:v>1615.9400000000003</c:v>
                </c:pt>
                <c:pt idx="10">
                  <c:v>1630.64</c:v>
                </c:pt>
                <c:pt idx="11">
                  <c:v>1617.94</c:v>
                </c:pt>
                <c:pt idx="12">
                  <c:v>1567.9400000000003</c:v>
                </c:pt>
                <c:pt idx="13">
                  <c:v>1611.54</c:v>
                </c:pt>
                <c:pt idx="14">
                  <c:v>1686.84</c:v>
                </c:pt>
                <c:pt idx="15">
                  <c:v>1713.94</c:v>
                </c:pt>
                <c:pt idx="16">
                  <c:v>1747.1399999999999</c:v>
                </c:pt>
                <c:pt idx="17">
                  <c:v>1658.7400000000002</c:v>
                </c:pt>
                <c:pt idx="18">
                  <c:v>1545.64</c:v>
                </c:pt>
                <c:pt idx="19">
                  <c:v>1596.9099999999999</c:v>
                </c:pt>
                <c:pt idx="20">
                  <c:v>1838.14</c:v>
                </c:pt>
                <c:pt idx="21">
                  <c:v>1740.0400000000002</c:v>
                </c:pt>
                <c:pt idx="22">
                  <c:v>1623.5400000000002</c:v>
                </c:pt>
                <c:pt idx="23">
                  <c:v>1484.2400000000002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031F-4244-B2CC-A8CBBD9F1719}"/>
            </c:ext>
          </c:extLst>
        </c:ser>
        <c:ser>
          <c:idx val="8"/>
          <c:order val="8"/>
          <c:tx>
            <c:strRef>
              <c:f>'31'!$AL$24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'31'!$AM$15:$BJ$15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'31'!$AM$24:$BJ$24</c:f>
              <c:numCache>
                <c:formatCode>General</c:formatCode>
                <c:ptCount val="24"/>
                <c:pt idx="0">
                  <c:v>1361.94</c:v>
                </c:pt>
                <c:pt idx="1">
                  <c:v>1348.44</c:v>
                </c:pt>
                <c:pt idx="2">
                  <c:v>1316.6399999999999</c:v>
                </c:pt>
                <c:pt idx="3">
                  <c:v>1352.88</c:v>
                </c:pt>
                <c:pt idx="4">
                  <c:v>1360.94</c:v>
                </c:pt>
                <c:pt idx="5">
                  <c:v>1394.64</c:v>
                </c:pt>
                <c:pt idx="6">
                  <c:v>1518.44</c:v>
                </c:pt>
                <c:pt idx="7">
                  <c:v>1500.44</c:v>
                </c:pt>
                <c:pt idx="8">
                  <c:v>1568.24</c:v>
                </c:pt>
                <c:pt idx="9">
                  <c:v>1615.9400000000003</c:v>
                </c:pt>
                <c:pt idx="10">
                  <c:v>1630.64</c:v>
                </c:pt>
                <c:pt idx="11">
                  <c:v>1617.94</c:v>
                </c:pt>
                <c:pt idx="12">
                  <c:v>1567.9400000000003</c:v>
                </c:pt>
                <c:pt idx="13">
                  <c:v>1611.54</c:v>
                </c:pt>
                <c:pt idx="14">
                  <c:v>1686.84</c:v>
                </c:pt>
                <c:pt idx="15">
                  <c:v>1713.94</c:v>
                </c:pt>
                <c:pt idx="16">
                  <c:v>1747.1399999999999</c:v>
                </c:pt>
                <c:pt idx="17">
                  <c:v>1658.7400000000002</c:v>
                </c:pt>
                <c:pt idx="18">
                  <c:v>1545.64</c:v>
                </c:pt>
                <c:pt idx="19">
                  <c:v>1596.9099999999999</c:v>
                </c:pt>
                <c:pt idx="20">
                  <c:v>1838.14</c:v>
                </c:pt>
                <c:pt idx="21">
                  <c:v>1740.0400000000002</c:v>
                </c:pt>
                <c:pt idx="22">
                  <c:v>1623.5400000000002</c:v>
                </c:pt>
                <c:pt idx="23">
                  <c:v>1484.2400000000002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31F-4244-B2CC-A8CBBD9F1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6D1-4C64-9189-8C24382E5D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6D1-4C64-9189-8C24382E5D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6D1-4C64-9189-8C24382E5DF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6D1-4C64-9189-8C24382E5DF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6D1-4C64-9189-8C24382E5DF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'[1]4'!$B$240:$B$244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46D1-4C64-9189-8C24382E5DF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tx1"/>
                </a:solidFill>
              </a:rPr>
              <a:t>Daily Load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NSample!$AL$16</c:f>
              <c:strCache>
                <c:ptCount val="1"/>
                <c:pt idx="0">
                  <c:v>IPP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cat>
            <c:numRef>
              <c:f>NSample!$AM$15:$BJ$15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NSample!$AM$16:$BJ$16</c:f>
              <c:numCache>
                <c:formatCode>General</c:formatCode>
                <c:ptCount val="24"/>
                <c:pt idx="0">
                  <c:v>150</c:v>
                </c:pt>
                <c:pt idx="1">
                  <c:v>150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  <c:pt idx="16">
                  <c:v>150</c:v>
                </c:pt>
                <c:pt idx="17">
                  <c:v>150</c:v>
                </c:pt>
                <c:pt idx="18" formatCode="0.0">
                  <c:v>150</c:v>
                </c:pt>
                <c:pt idx="19" formatCode="0.0">
                  <c:v>150</c:v>
                </c:pt>
                <c:pt idx="20" formatCode="0.0">
                  <c:v>150</c:v>
                </c:pt>
                <c:pt idx="21" formatCode="0.0">
                  <c:v>150</c:v>
                </c:pt>
                <c:pt idx="22" formatCode="0.0">
                  <c:v>150</c:v>
                </c:pt>
                <c:pt idx="23" formatCode="0.0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2-4E92-8AE2-92BD805355F9}"/>
            </c:ext>
          </c:extLst>
        </c:ser>
        <c:ser>
          <c:idx val="2"/>
          <c:order val="1"/>
          <c:tx>
            <c:strRef>
              <c:f>NSample!$AL$17</c:f>
              <c:strCache>
                <c:ptCount val="1"/>
                <c:pt idx="0">
                  <c:v>NEA SUB</c:v>
                </c:pt>
              </c:strCache>
            </c:strRef>
          </c:tx>
          <c:spPr>
            <a:solidFill>
              <a:srgbClr val="E51BAB"/>
            </a:solidFill>
            <a:ln>
              <a:noFill/>
            </a:ln>
            <a:effectLst/>
          </c:spPr>
          <c:cat>
            <c:numRef>
              <c:f>NSample!$AM$15:$BJ$15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NSample!$AM$17:$BJ$17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E2-4E92-8AE2-92BD805355F9}"/>
            </c:ext>
          </c:extLst>
        </c:ser>
        <c:ser>
          <c:idx val="3"/>
          <c:order val="2"/>
          <c:tx>
            <c:strRef>
              <c:f>NSample!$AL$18</c:f>
              <c:strCache>
                <c:ptCount val="1"/>
                <c:pt idx="0">
                  <c:v>NEA ROR PROR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NSample!$AM$15:$BJ$15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NSample!$AM$18:$BJ$18</c:f>
              <c:numCache>
                <c:formatCode>General</c:formatCode>
                <c:ptCount val="24"/>
                <c:pt idx="0">
                  <c:v>3.54</c:v>
                </c:pt>
                <c:pt idx="1">
                  <c:v>3.54</c:v>
                </c:pt>
                <c:pt idx="2">
                  <c:v>3.54</c:v>
                </c:pt>
                <c:pt idx="3">
                  <c:v>3.54</c:v>
                </c:pt>
                <c:pt idx="4">
                  <c:v>3.54</c:v>
                </c:pt>
                <c:pt idx="5">
                  <c:v>3.54</c:v>
                </c:pt>
                <c:pt idx="6">
                  <c:v>3.54</c:v>
                </c:pt>
                <c:pt idx="7">
                  <c:v>3.54</c:v>
                </c:pt>
                <c:pt idx="8">
                  <c:v>3.54</c:v>
                </c:pt>
                <c:pt idx="9">
                  <c:v>3.54</c:v>
                </c:pt>
                <c:pt idx="10">
                  <c:v>3.54</c:v>
                </c:pt>
                <c:pt idx="11">
                  <c:v>3.54</c:v>
                </c:pt>
                <c:pt idx="12">
                  <c:v>3.54</c:v>
                </c:pt>
                <c:pt idx="13">
                  <c:v>3.54</c:v>
                </c:pt>
                <c:pt idx="14">
                  <c:v>3.54</c:v>
                </c:pt>
                <c:pt idx="15">
                  <c:v>3.54</c:v>
                </c:pt>
                <c:pt idx="16">
                  <c:v>3.54</c:v>
                </c:pt>
                <c:pt idx="17">
                  <c:v>3.54</c:v>
                </c:pt>
                <c:pt idx="18" formatCode="0.0">
                  <c:v>3.54</c:v>
                </c:pt>
                <c:pt idx="19" formatCode="0.0">
                  <c:v>5.5</c:v>
                </c:pt>
                <c:pt idx="20" formatCode="0.0">
                  <c:v>3.54</c:v>
                </c:pt>
                <c:pt idx="21" formatCode="0.0">
                  <c:v>3.54</c:v>
                </c:pt>
                <c:pt idx="22" formatCode="0.0">
                  <c:v>3.54</c:v>
                </c:pt>
                <c:pt idx="23" formatCode="0.0">
                  <c:v>3.54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E2-4E92-8AE2-92BD805355F9}"/>
            </c:ext>
          </c:extLst>
        </c:ser>
        <c:ser>
          <c:idx val="0"/>
          <c:order val="3"/>
          <c:tx>
            <c:strRef>
              <c:f>NSample!$AL$19</c:f>
              <c:strCache>
                <c:ptCount val="1"/>
                <c:pt idx="0">
                  <c:v>IMPORT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numRef>
              <c:f>NSample!$AM$15:$BJ$15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NSample!$AM$19:$BJ$19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E2-4E92-8AE2-92BD805355F9}"/>
            </c:ext>
          </c:extLst>
        </c:ser>
        <c:ser>
          <c:idx val="4"/>
          <c:order val="4"/>
          <c:tx>
            <c:strRef>
              <c:f>NSample!$AL$20</c:f>
              <c:strCache>
                <c:ptCount val="1"/>
                <c:pt idx="0">
                  <c:v>NEA STORAGE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NSample!$AM$15:$BJ$15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NSample!$AM$20:$BJ$20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E2-4E92-8AE2-92BD805355F9}"/>
            </c:ext>
          </c:extLst>
        </c:ser>
        <c:ser>
          <c:idx val="5"/>
          <c:order val="5"/>
          <c:tx>
            <c:strRef>
              <c:f>NSample!$AL$21</c:f>
              <c:strCache>
                <c:ptCount val="1"/>
                <c:pt idx="0">
                  <c:v>INTERRUPTION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NSample!$AM$15:$BJ$15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NSample!$AM$21:$BJ$21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E2-4E92-8AE2-92BD80535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498560"/>
        <c:axId val="194500480"/>
        <c:extLst/>
      </c:areaChart>
      <c:areaChart>
        <c:grouping val="stacked"/>
        <c:varyColors val="0"/>
        <c:ser>
          <c:idx val="7"/>
          <c:order val="7"/>
          <c:tx>
            <c:strRef>
              <c:f>NSample!$AL$23</c:f>
              <c:strCache>
                <c:ptCount val="1"/>
                <c:pt idx="0">
                  <c:v>Export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NSample!$AM$15:$BJ$15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NSample!$AM$23:$BJ$23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E2-4E92-8AE2-92BD80535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166543"/>
        <c:axId val="2091660255"/>
      </c:areaChart>
      <c:lineChart>
        <c:grouping val="standard"/>
        <c:varyColors val="0"/>
        <c:ser>
          <c:idx val="6"/>
          <c:order val="6"/>
          <c:tx>
            <c:strRef>
              <c:f>NSample!$AL$22</c:f>
              <c:strCache>
                <c:ptCount val="1"/>
                <c:pt idx="0">
                  <c:v>System_Load</c:v>
                </c:pt>
              </c:strCache>
            </c:strRef>
          </c:tx>
          <c:spPr>
            <a:ln w="38100" cap="rnd">
              <a:solidFill>
                <a:srgbClr val="0066FF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0066FF"/>
              </a:solidFill>
              <a:ln>
                <a:solidFill>
                  <a:srgbClr val="0066FF"/>
                </a:solidFill>
              </a:ln>
              <a:effectLst/>
            </c:spPr>
          </c:marker>
          <c:cat>
            <c:numRef>
              <c:f>NSample!$AM$15:$BJ$15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NSample!$AM$22:$BJ$22</c:f>
              <c:numCache>
                <c:formatCode>General</c:formatCode>
                <c:ptCount val="24"/>
                <c:pt idx="0">
                  <c:v>153.54</c:v>
                </c:pt>
                <c:pt idx="1">
                  <c:v>153.54</c:v>
                </c:pt>
                <c:pt idx="2">
                  <c:v>153.54</c:v>
                </c:pt>
                <c:pt idx="3">
                  <c:v>153.54</c:v>
                </c:pt>
                <c:pt idx="4">
                  <c:v>153.54</c:v>
                </c:pt>
                <c:pt idx="5">
                  <c:v>153.54</c:v>
                </c:pt>
                <c:pt idx="6">
                  <c:v>153.54</c:v>
                </c:pt>
                <c:pt idx="7">
                  <c:v>153.54</c:v>
                </c:pt>
                <c:pt idx="8">
                  <c:v>153.54</c:v>
                </c:pt>
                <c:pt idx="9">
                  <c:v>153.54</c:v>
                </c:pt>
                <c:pt idx="10">
                  <c:v>153.54</c:v>
                </c:pt>
                <c:pt idx="11">
                  <c:v>153.54</c:v>
                </c:pt>
                <c:pt idx="12">
                  <c:v>153.54</c:v>
                </c:pt>
                <c:pt idx="13">
                  <c:v>153.54</c:v>
                </c:pt>
                <c:pt idx="14">
                  <c:v>153.54</c:v>
                </c:pt>
                <c:pt idx="15">
                  <c:v>153.54</c:v>
                </c:pt>
                <c:pt idx="16">
                  <c:v>153.54</c:v>
                </c:pt>
                <c:pt idx="17">
                  <c:v>153.54</c:v>
                </c:pt>
                <c:pt idx="18">
                  <c:v>153.54</c:v>
                </c:pt>
                <c:pt idx="19">
                  <c:v>155.5</c:v>
                </c:pt>
                <c:pt idx="20">
                  <c:v>153.54</c:v>
                </c:pt>
                <c:pt idx="21">
                  <c:v>153.54</c:v>
                </c:pt>
                <c:pt idx="22">
                  <c:v>153.54</c:v>
                </c:pt>
                <c:pt idx="23">
                  <c:v>153.54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C0E2-4E92-8AE2-92BD805355F9}"/>
            </c:ext>
          </c:extLst>
        </c:ser>
        <c:ser>
          <c:idx val="8"/>
          <c:order val="8"/>
          <c:tx>
            <c:strRef>
              <c:f>NSample!$AL$24</c:f>
              <c:strCache>
                <c:ptCount val="1"/>
                <c:pt idx="0">
                  <c:v>National_Load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FFFF00"/>
              </a:solidFill>
              <a:ln>
                <a:noFill/>
              </a:ln>
              <a:effectLst/>
            </c:spPr>
          </c:marker>
          <c:cat>
            <c:numRef>
              <c:f>NSample!$AM$15:$BJ$15</c:f>
              <c:numCache>
                <c:formatCode>[hh]:mm</c:formatCode>
                <c:ptCount val="24"/>
                <c:pt idx="0" formatCode="h:mm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0.54166666666666596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0.66666666666666596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0.79166666666666596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0.91666666666666596</c:v>
                </c:pt>
                <c:pt idx="23">
                  <c:v>0.95833333333333304</c:v>
                </c:pt>
              </c:numCache>
            </c:numRef>
          </c:cat>
          <c:val>
            <c:numRef>
              <c:f>NSample!$AM$24:$BJ$24</c:f>
              <c:numCache>
                <c:formatCode>General</c:formatCode>
                <c:ptCount val="24"/>
                <c:pt idx="0">
                  <c:v>153.54</c:v>
                </c:pt>
                <c:pt idx="1">
                  <c:v>153.54</c:v>
                </c:pt>
                <c:pt idx="2">
                  <c:v>153.54</c:v>
                </c:pt>
                <c:pt idx="3">
                  <c:v>153.54</c:v>
                </c:pt>
                <c:pt idx="4">
                  <c:v>153.54</c:v>
                </c:pt>
                <c:pt idx="5">
                  <c:v>153.54</c:v>
                </c:pt>
                <c:pt idx="6">
                  <c:v>153.54</c:v>
                </c:pt>
                <c:pt idx="7">
                  <c:v>153.54</c:v>
                </c:pt>
                <c:pt idx="8">
                  <c:v>153.54</c:v>
                </c:pt>
                <c:pt idx="9">
                  <c:v>153.54</c:v>
                </c:pt>
                <c:pt idx="10">
                  <c:v>153.54</c:v>
                </c:pt>
                <c:pt idx="11">
                  <c:v>153.54</c:v>
                </c:pt>
                <c:pt idx="12">
                  <c:v>153.54</c:v>
                </c:pt>
                <c:pt idx="13">
                  <c:v>153.54</c:v>
                </c:pt>
                <c:pt idx="14">
                  <c:v>153.54</c:v>
                </c:pt>
                <c:pt idx="15">
                  <c:v>153.54</c:v>
                </c:pt>
                <c:pt idx="16">
                  <c:v>153.54</c:v>
                </c:pt>
                <c:pt idx="17">
                  <c:v>153.54</c:v>
                </c:pt>
                <c:pt idx="18">
                  <c:v>153.54</c:v>
                </c:pt>
                <c:pt idx="19">
                  <c:v>155.5</c:v>
                </c:pt>
                <c:pt idx="20">
                  <c:v>153.54</c:v>
                </c:pt>
                <c:pt idx="21">
                  <c:v>153.54</c:v>
                </c:pt>
                <c:pt idx="22">
                  <c:v>153.54</c:v>
                </c:pt>
                <c:pt idx="23">
                  <c:v>153.54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0E2-4E92-8AE2-92BD80535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498560"/>
        <c:axId val="194500480"/>
      </c:lineChart>
      <c:catAx>
        <c:axId val="194498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Time(Hrs.)</a:t>
                </a:r>
              </a:p>
            </c:rich>
          </c:tx>
          <c:layout>
            <c:manualLayout>
              <c:xMode val="edge"/>
              <c:yMode val="edge"/>
              <c:x val="0.47709383839626124"/>
              <c:y val="0.93426051876687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in"/>
        <c:minorTickMark val="none"/>
        <c:tickLblPos val="low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88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00480"/>
        <c:crosses val="autoZero"/>
        <c:auto val="1"/>
        <c:lblAlgn val="ctr"/>
        <c:lblOffset val="100"/>
        <c:noMultiLvlLbl val="0"/>
      </c:catAx>
      <c:valAx>
        <c:axId val="194500480"/>
        <c:scaling>
          <c:orientation val="minMax"/>
          <c:max val="2000"/>
          <c:min val="-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accent4">
              <a:lumMod val="20000"/>
              <a:lumOff val="80000"/>
            </a:schemeClr>
          </a:solidFill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8560"/>
        <c:crosses val="autoZero"/>
        <c:crossBetween val="between"/>
      </c:valAx>
      <c:valAx>
        <c:axId val="2091660255"/>
        <c:scaling>
          <c:orientation val="minMax"/>
          <c:max val="2000"/>
          <c:min val="-250"/>
        </c:scaling>
        <c:delete val="1"/>
        <c:axPos val="r"/>
        <c:numFmt formatCode="General" sourceLinked="1"/>
        <c:majorTickMark val="out"/>
        <c:minorTickMark val="none"/>
        <c:tickLblPos val="nextTo"/>
        <c:crossAx val="904166543"/>
        <c:crosses val="max"/>
        <c:crossBetween val="between"/>
      </c:valAx>
      <c:catAx>
        <c:axId val="90416654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20916602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6.xml"/><Relationship Id="rId1" Type="http://schemas.openxmlformats.org/officeDocument/2006/relationships/chart" Target="../charts/chart6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C81B67-CB69-41BC-9E6E-E821E9191F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360155-2C35-4637-8BCD-66FB2F1A5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0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1901.64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0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1901.64 MW</a:t>
          </a:fld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6F5D64-53AE-4906-9276-7EC9D111F1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B526E2-5065-435F-8AD6-52A720D7EC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1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1573.04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1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1573.04 MW</a:t>
          </a:fld>
          <a:endParaRPr lang="en-US" sz="11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4DB3A0-AA91-4208-A41C-085C06E989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D1E74C-CB1E-448F-923D-4385D660A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2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1869.9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2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1869.9 MW</a:t>
          </a:fld>
          <a:endParaRPr lang="en-US" sz="110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233E67-4750-49FA-A8D1-E2DAF3A81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359192-0D60-42DE-85F2-B37CD1A5E1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3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1836.8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3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1836.8 MW</a:t>
          </a:fld>
          <a:endParaRPr lang="en-US" sz="1100"/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33AEA1-F4F6-4181-BCED-D75D14CB6F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842658-3280-42F3-8C53-147720D396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4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1696.44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4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1696.44 MW</a:t>
          </a:fld>
          <a:endParaRPr lang="en-US" sz="1100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4A4D90-ADA6-4707-983F-9BADEAC0AA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8A7486-9516-4825-A282-9E5373DEAA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5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1807.76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5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1807.76 MW</a:t>
          </a:fld>
          <a:endParaRPr lang="en-US" sz="1100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2A297F-0EFF-407C-A5BC-DDDE3A42AC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7DF296-931B-418F-B00A-394A72FC7A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6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1832.4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6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1832.4 MW</a:t>
          </a:fld>
          <a:endParaRPr lang="en-US" sz="1100"/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F465A7-3FF7-4A6A-BDE5-AB53EB99DB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3C4959-2A7E-48C4-807B-566311CD19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7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1797.2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7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1797.2 MW</a:t>
          </a:fld>
          <a:endParaRPr lang="en-US" sz="1100"/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77AAD3-60B7-4645-B90C-3CE3A06349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D34B11-01AA-4F80-A144-C839DA118C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8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1734.14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8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1734.14 MW</a:t>
          </a:fld>
          <a:endParaRPr lang="en-US" sz="1100"/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3841C4-F804-4A48-87C4-3EC4EBE11D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C7CBA3-9261-4152-A007-54874810E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09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1916.84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09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1916.84 MW</a:t>
          </a:fld>
          <a:endParaRPr lang="en-US" sz="1100"/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8C457-D701-4095-8C54-2C5C049274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35469F-F9FA-4DA9-8324-9E990A4990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0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1984.04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0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1984.04 MW</a:t>
          </a:fld>
          <a:endParaRPr lang="en-US" sz="1100"/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D0A6B4-D849-4896-869B-351327812C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446BAC-FAC8-4DB7-A7D0-73F64A965B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1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1963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1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1963 MW</a:t>
          </a:fld>
          <a:endParaRPr lang="en-US" sz="1100"/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9A04B3-A9FC-4DD5-8C6F-06A2669206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88DD26-06F9-40BF-B2FF-36681BC10C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2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1977.2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2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1977.2 MW</a:t>
          </a:fld>
          <a:endParaRPr lang="en-US" sz="1100"/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04A8CD-2B0A-494E-8036-747EE96ABC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77A986-F02C-4D23-97D3-35C9C9937E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3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1971.91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3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1971.91 MW</a:t>
          </a:fld>
          <a:endParaRPr lang="en-US" sz="1100"/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4B199D-D2F7-4DA7-9BAA-D6A84ABAF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0071B5-BD54-40BB-BF9D-F3D8F6F32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4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2011.03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4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2011.03 MW</a:t>
          </a:fld>
          <a:endParaRPr lang="en-US" sz="1100"/>
        </a:p>
      </cdr:txBody>
    </cdr:sp>
  </cdr:relSizeAnchor>
</c:userShapes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D470B8-1221-497B-B807-BD40E05985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80EAD5-650B-43A1-A5F9-3ABE8659E9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5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1885.39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5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1885.39 MW</a:t>
          </a:fld>
          <a:endParaRPr lang="en-US" sz="1100"/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260BCE-335A-426B-B482-DDAF9BBF9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4B1616-5079-4AEB-8B60-B77C9C6907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6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1927.25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6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1927.25 MW</a:t>
          </a:fld>
          <a:endParaRPr lang="en-US" sz="1100"/>
        </a:p>
      </cdr:txBody>
    </cdr: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D7382A-1E5A-4C2D-B669-34F048D268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BBB440-5493-4E10-99CD-2CE2BE960C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7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1967.89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7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1967.89 MW</a:t>
          </a:fld>
          <a:endParaRPr lang="en-US" sz="1100"/>
        </a:p>
      </cdr:txBody>
    </cdr:sp>
  </cdr:relSizeAnchor>
</c:userShapes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B05350-07FF-4BDA-AF2F-713D99A2A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11BB39-6702-4B9A-9C7D-53B8E0B013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8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1901.94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8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1901.94 MW</a:t>
          </a:fld>
          <a:endParaRPr lang="en-US" sz="1100"/>
        </a:p>
      </cdr:txBody>
    </cdr:sp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BB9ADB-C43C-48EA-B33B-EFE41FC10D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9DFE62-00F0-4C1F-80A2-B6D19C53C7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19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1915.24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19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1915.24 MW</a:t>
          </a:fld>
          <a:endParaRPr lang="en-US" sz="1100"/>
        </a:p>
      </cdr:txBody>
    </cdr:sp>
  </cdr:relSizeAnchor>
</c:userShapes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B9A009-FD2A-44D9-BA60-F442D9D40F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E46EEC-0763-4B33-A19E-5600C680E7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0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1918.64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0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1918.64 MW</a:t>
          </a:fld>
          <a:endParaRPr lang="en-US" sz="1100"/>
        </a:p>
      </cdr:txBody>
    </cdr:sp>
  </cdr:relSizeAnchor>
</c:userShapes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8DBA59-CFC2-4181-A562-49E666ACEC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3A6EE5-6820-4B42-8C86-BBAC92829D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1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1863.64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1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1863.64 MW</a:t>
          </a:fld>
          <a:endParaRPr lang="en-US" sz="1100"/>
        </a:p>
      </cdr:txBody>
    </cdr:sp>
  </cdr:relSizeAnchor>
</c:userShapes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61F36C-C51E-4F64-A560-B16F746366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FC9794-AEF9-46F9-8EF1-E8B27D19ED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6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2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1888.1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2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1888.1 MW</a:t>
          </a:fld>
          <a:endParaRPr lang="en-US" sz="1100"/>
        </a:p>
      </cdr:txBody>
    </cdr:sp>
  </cdr:relSizeAnchor>
</c:userShapes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F7E739-872F-4ABE-B2D5-668FEF22BC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0D99BD-4123-4C2D-8494-DF550BE550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8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3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1900.54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3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1900.54 MW</a:t>
          </a:fld>
          <a:endParaRPr lang="en-US" sz="1100"/>
        </a:p>
      </cdr:txBody>
    </cdr:sp>
  </cdr:relSizeAnchor>
</c:userShapes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FF7831-C84F-4062-BE39-06B2371B00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08714B-1F84-487E-8710-821A19F054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0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4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1815.64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4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1815.64 MW</a:t>
          </a:fld>
          <a:endParaRPr lang="en-US" sz="1100"/>
        </a:p>
      </cdr:txBody>
    </cdr:sp>
  </cdr:relSizeAnchor>
</c:userShapes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8CD3B9-4D0B-4519-9AC4-8964BD75E6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53452A-43DF-4AA8-BC8C-E3C1DB4013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2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5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1671.44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5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1671.44 MW</a:t>
          </a:fld>
          <a:endParaRPr lang="en-US" sz="1100"/>
        </a:p>
      </cdr:txBody>
    </cdr:sp>
  </cdr:relSizeAnchor>
</c:userShapes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A3D27E-CEAF-4559-B97B-EB9FAA5E6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9CA2CA-D20C-466D-8370-E442EF18D0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4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6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1597.6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6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1597.6 MW</a:t>
          </a:fld>
          <a:endParaRPr lang="en-US" sz="1100"/>
        </a:p>
      </cdr:txBody>
    </cdr:sp>
  </cdr:relSizeAnchor>
</c:userShapes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C6BD37-D373-4259-9DA9-171FAFDC92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3BCC4A-7D57-4DEA-A005-284AE892D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6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7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1751.2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7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1751.2 MW</a:t>
          </a:fld>
          <a:endParaRPr lang="en-US" sz="1100"/>
        </a:p>
      </cdr:txBody>
    </cdr:sp>
  </cdr:relSizeAnchor>
</c:userShapes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6E0BB1-0EF4-4F5C-AE7A-D00712B642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F7FA23-BFD9-463E-8970-62BA268AE1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8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8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1779.7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8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1779.7 MW</a:t>
          </a:fld>
          <a:endParaRPr lang="en-US" sz="1100"/>
        </a:p>
      </cdr:txBody>
    </cdr:sp>
  </cdr:relSizeAnchor>
</c:userShapes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7242D0-9CEE-4C21-AE6F-CD6379E1F2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D65142-2E9F-472C-9FA4-206C860527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0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29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1788.64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29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1788.64 MW</a:t>
          </a:fld>
          <a:endParaRPr lang="en-US" sz="1100"/>
        </a:p>
      </cdr:txBody>
    </cdr:sp>
  </cdr:relSizeAnchor>
</c:userShapes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C74F6A-9B39-4B96-8E8C-ADF465A374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B39808-E310-4131-A020-04C05C93DB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2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30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1589.8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30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1589.8 MW</a:t>
          </a:fld>
          <a:endParaRPr lang="en-US" sz="1100"/>
        </a:p>
      </cdr:txBody>
    </cdr:sp>
  </cdr:relSizeAnchor>
</c:userShapes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38A9D1-6D38-4210-8C4B-5CCBB6D01F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9E68DE-89CC-4B58-937F-E327EB2DA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4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'31'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1838.14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'31'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1838.14 MW</a:t>
          </a:fld>
          <a:endParaRPr lang="en-US" sz="1100"/>
        </a:p>
      </cdr:txBody>
    </cdr:sp>
  </cdr:relSizeAnchor>
</c:userShapes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258</xdr:row>
      <xdr:rowOff>57156</xdr:rowOff>
    </xdr:from>
    <xdr:to>
      <xdr:col>15</xdr:col>
      <xdr:colOff>219074</xdr:colOff>
      <xdr:row>280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64B5A8-E54B-4BE9-AA78-7F50AF4DA8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359433</xdr:colOff>
      <xdr:row>27</xdr:row>
      <xdr:rowOff>161744</xdr:rowOff>
    </xdr:from>
    <xdr:to>
      <xdr:col>63</xdr:col>
      <xdr:colOff>332476</xdr:colOff>
      <xdr:row>49</xdr:row>
      <xdr:rowOff>179716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717EDE-62CD-4659-A9C5-DD64C6132F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6.xml><?xml version="1.0" encoding="utf-8"?>
<c:userShapes xmlns:c="http://schemas.openxmlformats.org/drawingml/2006/chart">
  <cdr:relSizeAnchor xmlns:cdr="http://schemas.openxmlformats.org/drawingml/2006/chartDrawing">
    <cdr:from>
      <cdr:x>0.7799</cdr:x>
      <cdr:y>0.02672</cdr:y>
    </cdr:from>
    <cdr:to>
      <cdr:x>0.91221</cdr:x>
      <cdr:y>0.07443</cdr:y>
    </cdr:to>
    <cdr:sp macro="" textlink="NSample!$AT$9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3FA1C7B-368E-A93D-BE8B-644CBBE5CA4B}"/>
            </a:ext>
          </a:extLst>
        </cdr:cNvPr>
        <cdr:cNvSpPr txBox="1"/>
      </cdr:nvSpPr>
      <cdr:spPr>
        <a:xfrm xmlns:a="http://schemas.openxmlformats.org/drawingml/2006/main">
          <a:off x="11016651" y="125803"/>
          <a:ext cx="1869058" cy="22464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fld id="{2FDC50C3-A845-44D9-A501-71B8A68BEA2E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NATIONAL PEAK : 155.5 MW</a:t>
          </a:fld>
          <a:endParaRPr lang="en-US" sz="1100"/>
        </a:p>
      </cdr:txBody>
    </cdr:sp>
  </cdr:relSizeAnchor>
  <cdr:relSizeAnchor xmlns:cdr="http://schemas.openxmlformats.org/drawingml/2006/chartDrawing">
    <cdr:from>
      <cdr:x>0.60156</cdr:x>
      <cdr:y>0.02415</cdr:y>
    </cdr:from>
    <cdr:to>
      <cdr:x>0.72519</cdr:x>
      <cdr:y>0.07252</cdr:y>
    </cdr:to>
    <cdr:sp macro="" textlink="NSample!$AT$8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4905F915-08AF-3D5C-9D55-1B164C380613}"/>
            </a:ext>
          </a:extLst>
        </cdr:cNvPr>
        <cdr:cNvSpPr txBox="1"/>
      </cdr:nvSpPr>
      <cdr:spPr>
        <a:xfrm xmlns:a="http://schemas.openxmlformats.org/drawingml/2006/main">
          <a:off x="8497499" y="113702"/>
          <a:ext cx="1746370" cy="22776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3">
            <a:lumMod val="40000"/>
            <a:lumOff val="60000"/>
          </a:schemeClr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053D66EF-78D1-439C-95E3-F4DCDB1C168A}" type="TxLink">
            <a:rPr lang="en-US" sz="900" b="1" i="0" u="none" strike="noStrike">
              <a:solidFill>
                <a:srgbClr val="7030A0"/>
              </a:solidFill>
              <a:latin typeface="Aptos Narrow"/>
              <a:cs typeface="Calibri"/>
            </a:rPr>
            <a:pPr/>
            <a:t>DAILY SYSTEM PEAK : 155.5 MW</a:t>
          </a:fld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\0%20Data_Collection%2075\Daily_Log_Sheets\Log%20Sheet%202079\Daily-Logsheet-2079-09-Poush.xlsx" TargetMode="External"/><Relationship Id="rId1" Type="http://schemas.openxmlformats.org/officeDocument/2006/relationships/externalLinkPath" Target="/DATA/0%20Data_Collection%2075/Daily_Log_Sheets/Log%20Sheet%202079/Daily-Logsheet-2079-09-Pous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magh1"/>
      <sheetName val="sample"/>
      <sheetName val="Feedback"/>
    </sheetNames>
    <sheetDataSet>
      <sheetData sheetId="0"/>
      <sheetData sheetId="1"/>
      <sheetData sheetId="2"/>
      <sheetData sheetId="3">
        <row r="240">
          <cell r="A240" t="str">
            <v>IPP</v>
          </cell>
          <cell r="B240"/>
        </row>
        <row r="241">
          <cell r="A241" t="str">
            <v>NEA(RoR+PRoR)</v>
          </cell>
          <cell r="B241"/>
        </row>
        <row r="242">
          <cell r="A242" t="str">
            <v>KL1+KL2+KL3</v>
          </cell>
          <cell r="B242"/>
        </row>
        <row r="243">
          <cell r="A243" t="str">
            <v>Import</v>
          </cell>
          <cell r="B243"/>
        </row>
        <row r="244">
          <cell r="A244" t="str">
            <v>Export</v>
          </cell>
          <cell r="B244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1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2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2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25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27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29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3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35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3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3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4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4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45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drawing" Target="../drawings/drawing47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49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drawing" Target="../drawings/drawing51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drawing" Target="../drawings/drawing55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drawing" Target="../drawings/drawing57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drawing" Target="../drawings/drawing59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drawing" Target="../drawings/drawing6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drawing" Target="../drawings/drawing63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drawing" Target="../drawings/drawing6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BE77B-D241-4B06-A357-D6984A10224D}">
  <sheetPr codeName="Sheet1"/>
  <dimension ref="A1:CJ294"/>
  <sheetViews>
    <sheetView zoomScale="106" workbookViewId="0">
      <pane xSplit="1" ySplit="10" topLeftCell="B59" activePane="bottomRight" state="frozen"/>
      <selection activeCell="Z63" sqref="Z63"/>
      <selection pane="topRight" activeCell="Z63" sqref="Z63"/>
      <selection pane="bottomLeft" activeCell="Z63" sqref="Z63"/>
      <selection pane="bottomRight" activeCell="F125" sqref="F125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20.25" hidden="1" x14ac:dyDescent="0.2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9.5" hidden="1" thickBot="1" x14ac:dyDescent="0.3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3">
      <c r="A4" s="162" t="s">
        <v>273</v>
      </c>
      <c r="B4" s="205" t="str">
        <f ca="1">"2080/"&amp;"10/"&amp;INT(MID(CELL("filename",D6),FIND("]",CELL("filename",D6))+1,200))</f>
        <v>2080/10/0</v>
      </c>
      <c r="C4" s="205"/>
      <c r="D4" s="205"/>
      <c r="E4" s="206" t="str">
        <f ca="1">"2080/"&amp;"10/"&amp;INT(MID(CELL("filename",G6),FIND("]",CELL("filename",G6))+1,200))</f>
        <v>2080/10/0</v>
      </c>
      <c r="F4" s="206"/>
      <c r="G4" s="206"/>
      <c r="H4" s="206" t="str">
        <f ca="1">TEXT(E4,"dddd")</f>
        <v>2080/10/0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3">
      <c r="A5" s="158"/>
      <c r="B5" s="161">
        <f>C92</f>
        <v>274.89999999999998</v>
      </c>
      <c r="C5" s="161">
        <f t="shared" ref="C5:AE5" si="0">D92</f>
        <v>342.90000000000003</v>
      </c>
      <c r="D5" s="161">
        <f t="shared" si="0"/>
        <v>401.8</v>
      </c>
      <c r="E5" s="161">
        <f t="shared" si="0"/>
        <v>375.6</v>
      </c>
      <c r="F5" s="161">
        <f t="shared" si="0"/>
        <v>397.8</v>
      </c>
      <c r="G5" s="161">
        <f t="shared" si="0"/>
        <v>411.5</v>
      </c>
      <c r="H5" s="161">
        <f t="shared" si="0"/>
        <v>434</v>
      </c>
      <c r="I5" s="161">
        <f t="shared" si="0"/>
        <v>728.6</v>
      </c>
      <c r="J5" s="161">
        <f t="shared" si="0"/>
        <v>785.1</v>
      </c>
      <c r="K5" s="161">
        <f t="shared" si="0"/>
        <v>797.8</v>
      </c>
      <c r="L5" s="161">
        <f t="shared" si="0"/>
        <v>819.59999999999991</v>
      </c>
      <c r="M5" s="161">
        <f t="shared" si="0"/>
        <v>813.4</v>
      </c>
      <c r="N5" s="161">
        <f t="shared" si="0"/>
        <v>814.5</v>
      </c>
      <c r="O5" s="161">
        <f t="shared" si="0"/>
        <v>801.9</v>
      </c>
      <c r="P5" s="161">
        <f t="shared" si="0"/>
        <v>820.59999999999991</v>
      </c>
      <c r="Q5" s="161">
        <f t="shared" si="0"/>
        <v>837.19999999999993</v>
      </c>
      <c r="R5" s="161">
        <f t="shared" si="0"/>
        <v>837.3</v>
      </c>
      <c r="S5" s="161">
        <f t="shared" si="0"/>
        <v>809.8</v>
      </c>
      <c r="T5" s="161">
        <f t="shared" si="0"/>
        <v>789.09999999999991</v>
      </c>
      <c r="U5" s="161">
        <f t="shared" si="0"/>
        <v>752.16000000000008</v>
      </c>
      <c r="V5" s="161">
        <f t="shared" si="0"/>
        <v>743.74</v>
      </c>
      <c r="W5" s="161">
        <f t="shared" si="0"/>
        <v>578.69999999999993</v>
      </c>
      <c r="X5" s="161">
        <f t="shared" si="0"/>
        <v>152.9</v>
      </c>
      <c r="Y5" s="161">
        <f t="shared" si="0"/>
        <v>123.3</v>
      </c>
      <c r="Z5" s="161">
        <f t="shared" si="0"/>
        <v>68.900000000000006</v>
      </c>
      <c r="AA5" s="161">
        <f t="shared" si="0"/>
        <v>132</v>
      </c>
      <c r="AB5" s="161">
        <f t="shared" si="0"/>
        <v>130.30000000000001</v>
      </c>
      <c r="AC5" s="161">
        <f t="shared" si="0"/>
        <v>173.39999999999998</v>
      </c>
      <c r="AD5" s="161">
        <f t="shared" si="0"/>
        <v>148.5</v>
      </c>
      <c r="AE5" s="161">
        <f t="shared" si="0"/>
        <v>203</v>
      </c>
      <c r="AF5" s="161">
        <f>B92</f>
        <v>288.39999999999998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3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1669MW at 8:00hr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5" thickBot="1" x14ac:dyDescent="0.3">
      <c r="A7" s="151" t="str">
        <f>"Base Load="&amp;ROUND(MIN($B$7:$AF$7),0)</f>
        <v>Base Load=1225</v>
      </c>
      <c r="B7" s="150">
        <f>B100</f>
        <v>1237.54</v>
      </c>
      <c r="C7" s="150">
        <f t="shared" ref="C7:AF7" si="1">C100</f>
        <v>1226.8399999999997</v>
      </c>
      <c r="D7" s="150">
        <f t="shared" si="1"/>
        <v>1224.94</v>
      </c>
      <c r="E7" s="150">
        <f t="shared" si="1"/>
        <v>1256.24</v>
      </c>
      <c r="F7" s="150">
        <f t="shared" si="1"/>
        <v>1257.04</v>
      </c>
      <c r="G7" s="150">
        <f t="shared" si="1"/>
        <v>1332.04</v>
      </c>
      <c r="H7" s="150">
        <f t="shared" si="1"/>
        <v>1434.74</v>
      </c>
      <c r="I7" s="150">
        <f t="shared" si="1"/>
        <v>1475.4399999999998</v>
      </c>
      <c r="J7" s="150">
        <f t="shared" si="1"/>
        <v>1538.24</v>
      </c>
      <c r="K7" s="150">
        <f t="shared" si="1"/>
        <v>1576.6399999999999</v>
      </c>
      <c r="L7" s="150">
        <f t="shared" si="1"/>
        <v>1599.04</v>
      </c>
      <c r="M7" s="150">
        <f t="shared" si="1"/>
        <v>1669.44</v>
      </c>
      <c r="N7" s="150">
        <f t="shared" si="1"/>
        <v>1640.6399999999999</v>
      </c>
      <c r="O7" s="150">
        <f t="shared" si="1"/>
        <v>1659.1399999999999</v>
      </c>
      <c r="P7" s="150">
        <f t="shared" si="1"/>
        <v>1652.3400000000001</v>
      </c>
      <c r="Q7" s="150">
        <f t="shared" si="1"/>
        <v>1682.84</v>
      </c>
      <c r="R7" s="150">
        <f t="shared" si="1"/>
        <v>1621.04</v>
      </c>
      <c r="S7" s="150">
        <f t="shared" si="1"/>
        <v>1684.64</v>
      </c>
      <c r="T7" s="150">
        <f t="shared" si="1"/>
        <v>1718.7399999999998</v>
      </c>
      <c r="U7" s="150">
        <f t="shared" si="1"/>
        <v>1711.2399999999998</v>
      </c>
      <c r="V7" s="150">
        <f t="shared" si="1"/>
        <v>1645.3000000000002</v>
      </c>
      <c r="W7" s="150">
        <f t="shared" si="1"/>
        <v>1632.3799999999999</v>
      </c>
      <c r="X7" s="150">
        <f t="shared" si="1"/>
        <v>1437.94</v>
      </c>
      <c r="Y7" s="150">
        <f t="shared" si="1"/>
        <v>1871.7400000000002</v>
      </c>
      <c r="Z7" s="150">
        <f t="shared" si="1"/>
        <v>1901.64</v>
      </c>
      <c r="AA7" s="150">
        <f t="shared" si="1"/>
        <v>1819.2400000000002</v>
      </c>
      <c r="AB7" s="150">
        <f t="shared" si="1"/>
        <v>1707.24</v>
      </c>
      <c r="AC7" s="150">
        <f t="shared" si="1"/>
        <v>1676.4399999999998</v>
      </c>
      <c r="AD7" s="150">
        <f t="shared" si="1"/>
        <v>1610.1399999999999</v>
      </c>
      <c r="AE7" s="150">
        <f t="shared" si="1"/>
        <v>1461.1399999999999</v>
      </c>
      <c r="AF7" s="150">
        <f t="shared" si="1"/>
        <v>1335.6399999999999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7.25" thickTop="1" thickBot="1" x14ac:dyDescent="0.3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1901.64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2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1901.64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.75" thickBot="1" x14ac:dyDescent="0.3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25">
      <c r="A11" s="89" t="s">
        <v>264</v>
      </c>
      <c r="B11" s="102">
        <v>30.4</v>
      </c>
      <c r="C11" s="102">
        <v>30.4</v>
      </c>
      <c r="D11" s="102">
        <v>30.4</v>
      </c>
      <c r="E11" s="102">
        <v>28.5</v>
      </c>
      <c r="F11" s="102">
        <v>28.5</v>
      </c>
      <c r="G11" s="102">
        <v>28.5</v>
      </c>
      <c r="H11" s="102">
        <v>28.5</v>
      </c>
      <c r="I11" s="102">
        <v>28.5</v>
      </c>
      <c r="J11" s="102">
        <v>28.5</v>
      </c>
      <c r="K11" s="102">
        <v>28.5</v>
      </c>
      <c r="L11" s="102">
        <v>28.5</v>
      </c>
      <c r="M11" s="102">
        <v>26.8</v>
      </c>
      <c r="N11" s="102">
        <v>23.7</v>
      </c>
      <c r="O11" s="102">
        <v>25.2</v>
      </c>
      <c r="P11" s="102">
        <v>21.6</v>
      </c>
      <c r="Q11" s="102">
        <v>27.3</v>
      </c>
      <c r="R11" s="102">
        <v>25.2</v>
      </c>
      <c r="S11" s="102">
        <v>25.2</v>
      </c>
      <c r="T11" s="102">
        <v>25.2</v>
      </c>
      <c r="U11" s="102">
        <v>25.2</v>
      </c>
      <c r="V11" s="102">
        <v>25.2</v>
      </c>
      <c r="W11" s="102">
        <v>25.2</v>
      </c>
      <c r="X11" s="102">
        <v>25.2</v>
      </c>
      <c r="Y11" s="102">
        <v>25.2</v>
      </c>
      <c r="Z11" s="102">
        <v>25.2</v>
      </c>
      <c r="AA11" s="102">
        <v>25.2</v>
      </c>
      <c r="AB11" s="102">
        <v>25.2</v>
      </c>
      <c r="AC11" s="102">
        <v>25.2</v>
      </c>
      <c r="AD11" s="102">
        <v>25.2</v>
      </c>
      <c r="AE11" s="102">
        <v>25.2</v>
      </c>
      <c r="AF11" s="102">
        <v>25.2</v>
      </c>
      <c r="AG11" s="140">
        <v>86</v>
      </c>
      <c r="AH11" s="12">
        <f t="shared" ref="AH11:AH16" si="2">MAX(B11:AF11)</f>
        <v>30.4</v>
      </c>
      <c r="AI11" s="11">
        <f t="shared" ref="AI11:AI16" si="3">MIN(B11:AF11)</f>
        <v>21.6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25">
      <c r="A12" s="89" t="s">
        <v>263</v>
      </c>
      <c r="B12" s="102">
        <v>10</v>
      </c>
      <c r="C12" s="102">
        <v>10</v>
      </c>
      <c r="D12" s="102">
        <v>10</v>
      </c>
      <c r="E12" s="102">
        <v>10</v>
      </c>
      <c r="F12" s="102">
        <v>10</v>
      </c>
      <c r="G12" s="102">
        <v>10</v>
      </c>
      <c r="H12" s="102">
        <v>10</v>
      </c>
      <c r="I12" s="102">
        <v>10</v>
      </c>
      <c r="J12" s="102">
        <v>10</v>
      </c>
      <c r="K12" s="102">
        <v>10</v>
      </c>
      <c r="L12" s="102">
        <v>10</v>
      </c>
      <c r="M12" s="102">
        <v>10</v>
      </c>
      <c r="N12" s="102">
        <v>10</v>
      </c>
      <c r="O12" s="102">
        <v>10</v>
      </c>
      <c r="P12" s="102">
        <v>10</v>
      </c>
      <c r="Q12" s="102">
        <v>10</v>
      </c>
      <c r="R12" s="102">
        <v>10</v>
      </c>
      <c r="S12" s="102">
        <v>10</v>
      </c>
      <c r="T12" s="102">
        <v>10</v>
      </c>
      <c r="U12" s="102">
        <v>10</v>
      </c>
      <c r="V12" s="102">
        <v>10</v>
      </c>
      <c r="W12" s="102">
        <v>10</v>
      </c>
      <c r="X12" s="102">
        <v>10</v>
      </c>
      <c r="Y12" s="102">
        <v>10</v>
      </c>
      <c r="Z12" s="102">
        <v>10</v>
      </c>
      <c r="AA12" s="102">
        <v>10</v>
      </c>
      <c r="AB12" s="102">
        <v>10</v>
      </c>
      <c r="AC12" s="102">
        <v>10</v>
      </c>
      <c r="AD12" s="102">
        <v>10</v>
      </c>
      <c r="AE12" s="102">
        <v>10</v>
      </c>
      <c r="AF12" s="102">
        <v>10</v>
      </c>
      <c r="AG12" s="130">
        <v>54</v>
      </c>
      <c r="AH12" s="12">
        <f t="shared" si="2"/>
        <v>10</v>
      </c>
      <c r="AI12" s="11">
        <f t="shared" si="3"/>
        <v>10</v>
      </c>
      <c r="AK12" s="19"/>
      <c r="AL12" s="6" t="str">
        <f ca="1">MID(CELL("filename",C7),FIND("]",CELL("filename",C7))+1,600)</f>
        <v>00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25">
      <c r="A13" s="89" t="s">
        <v>262</v>
      </c>
      <c r="B13" s="102">
        <v>12</v>
      </c>
      <c r="C13" s="102">
        <v>12</v>
      </c>
      <c r="D13" s="102">
        <v>12</v>
      </c>
      <c r="E13" s="102">
        <v>12</v>
      </c>
      <c r="F13" s="102">
        <v>12</v>
      </c>
      <c r="G13" s="102">
        <v>12</v>
      </c>
      <c r="H13" s="102">
        <v>12</v>
      </c>
      <c r="I13" s="102">
        <v>12</v>
      </c>
      <c r="J13" s="102">
        <v>12</v>
      </c>
      <c r="K13" s="102">
        <v>12</v>
      </c>
      <c r="L13" s="102">
        <v>12</v>
      </c>
      <c r="M13" s="102">
        <v>12</v>
      </c>
      <c r="N13" s="102">
        <v>12</v>
      </c>
      <c r="O13" s="102">
        <v>12</v>
      </c>
      <c r="P13" s="102">
        <v>12</v>
      </c>
      <c r="Q13" s="102">
        <v>12</v>
      </c>
      <c r="R13" s="102">
        <v>12</v>
      </c>
      <c r="S13" s="102">
        <v>12</v>
      </c>
      <c r="T13" s="102">
        <v>12</v>
      </c>
      <c r="U13" s="102">
        <v>12</v>
      </c>
      <c r="V13" s="102">
        <v>12</v>
      </c>
      <c r="W13" s="102">
        <v>12</v>
      </c>
      <c r="X13" s="102">
        <v>12</v>
      </c>
      <c r="Y13" s="102">
        <v>12</v>
      </c>
      <c r="Z13" s="102">
        <v>12</v>
      </c>
      <c r="AA13" s="102">
        <v>12</v>
      </c>
      <c r="AB13" s="102">
        <v>12</v>
      </c>
      <c r="AC13" s="102">
        <v>12</v>
      </c>
      <c r="AD13" s="102">
        <v>12</v>
      </c>
      <c r="AE13" s="102">
        <v>12</v>
      </c>
      <c r="AF13" s="102">
        <v>12</v>
      </c>
      <c r="AG13" s="130">
        <v>54</v>
      </c>
      <c r="AH13" s="12">
        <f t="shared" si="2"/>
        <v>12</v>
      </c>
      <c r="AI13" s="11">
        <f t="shared" si="3"/>
        <v>12</v>
      </c>
      <c r="AK13" s="19"/>
      <c r="AL13" s="6" t="str">
        <f ca="1">"Daily Load Curve(Excluding of Export) of Nepal ("&amp;A4&amp;" "&amp;B4&amp;")"</f>
        <v>Daily Load Curve(Excluding of Export) of Nepal (Nepali Date: 2080/10/0)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.75" thickBot="1" x14ac:dyDescent="0.3">
      <c r="A14" s="89" t="s">
        <v>261</v>
      </c>
      <c r="B14" s="102">
        <v>12.2</v>
      </c>
      <c r="C14" s="102">
        <v>12.2</v>
      </c>
      <c r="D14" s="102">
        <v>12.2</v>
      </c>
      <c r="E14" s="102">
        <v>12.2</v>
      </c>
      <c r="F14" s="102">
        <v>12.2</v>
      </c>
      <c r="G14" s="102">
        <v>12.2</v>
      </c>
      <c r="H14" s="102">
        <v>12.2</v>
      </c>
      <c r="I14" s="102">
        <v>12.2</v>
      </c>
      <c r="J14" s="102">
        <v>12.2</v>
      </c>
      <c r="K14" s="102">
        <v>12.2</v>
      </c>
      <c r="L14" s="102">
        <v>12.2</v>
      </c>
      <c r="M14" s="102">
        <v>12.2</v>
      </c>
      <c r="N14" s="102">
        <v>12.2</v>
      </c>
      <c r="O14" s="102">
        <v>12.2</v>
      </c>
      <c r="P14" s="102">
        <v>12.2</v>
      </c>
      <c r="Q14" s="102">
        <v>12.2</v>
      </c>
      <c r="R14" s="102">
        <v>12.2</v>
      </c>
      <c r="S14" s="102">
        <v>12.2</v>
      </c>
      <c r="T14" s="102">
        <v>12.2</v>
      </c>
      <c r="U14" s="102">
        <v>12.2</v>
      </c>
      <c r="V14" s="102">
        <v>12.2</v>
      </c>
      <c r="W14" s="102">
        <v>12.2</v>
      </c>
      <c r="X14" s="102">
        <v>12.2</v>
      </c>
      <c r="Y14" s="102">
        <v>12.2</v>
      </c>
      <c r="Z14" s="102">
        <v>12.2</v>
      </c>
      <c r="AA14" s="102">
        <v>12.2</v>
      </c>
      <c r="AB14" s="102">
        <v>12.2</v>
      </c>
      <c r="AC14" s="102">
        <v>12.2</v>
      </c>
      <c r="AD14" s="102">
        <v>12.2</v>
      </c>
      <c r="AE14" s="102">
        <v>12.2</v>
      </c>
      <c r="AF14" s="102">
        <v>12.2</v>
      </c>
      <c r="AG14" s="140">
        <v>52.4</v>
      </c>
      <c r="AH14" s="12">
        <f t="shared" si="2"/>
        <v>12.2</v>
      </c>
      <c r="AI14" s="11">
        <f t="shared" si="3"/>
        <v>12.2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.75" thickTop="1" x14ac:dyDescent="0.25">
      <c r="A15" s="89" t="s">
        <v>260</v>
      </c>
      <c r="B15" s="102">
        <v>31.9</v>
      </c>
      <c r="C15" s="102">
        <v>31.9</v>
      </c>
      <c r="D15" s="102">
        <v>31.9</v>
      </c>
      <c r="E15" s="102">
        <v>31.9</v>
      </c>
      <c r="F15" s="102">
        <v>31.9</v>
      </c>
      <c r="G15" s="102">
        <v>31.9</v>
      </c>
      <c r="H15" s="102">
        <v>31.9</v>
      </c>
      <c r="I15" s="102">
        <v>31.9</v>
      </c>
      <c r="J15" s="102">
        <v>31.9</v>
      </c>
      <c r="K15" s="102">
        <v>31.9</v>
      </c>
      <c r="L15" s="102">
        <v>31.9</v>
      </c>
      <c r="M15" s="102">
        <v>31.9</v>
      </c>
      <c r="N15" s="102">
        <v>31.9</v>
      </c>
      <c r="O15" s="102">
        <v>31.9</v>
      </c>
      <c r="P15" s="102">
        <v>31.9</v>
      </c>
      <c r="Q15" s="102">
        <v>31.9</v>
      </c>
      <c r="R15" s="102">
        <v>31.9</v>
      </c>
      <c r="S15" s="102">
        <v>31.9</v>
      </c>
      <c r="T15" s="102">
        <v>31.9</v>
      </c>
      <c r="U15" s="102">
        <v>31.9</v>
      </c>
      <c r="V15" s="102">
        <v>31.9</v>
      </c>
      <c r="W15" s="102">
        <v>31.9</v>
      </c>
      <c r="X15" s="102">
        <v>31.9</v>
      </c>
      <c r="Y15" s="102">
        <v>31.9</v>
      </c>
      <c r="Z15" s="123">
        <v>31.9</v>
      </c>
      <c r="AA15" s="123">
        <v>31.9</v>
      </c>
      <c r="AB15" s="123">
        <v>31.9</v>
      </c>
      <c r="AC15" s="123">
        <v>31.9</v>
      </c>
      <c r="AD15" s="123">
        <v>31.9</v>
      </c>
      <c r="AE15" s="123">
        <v>31.9</v>
      </c>
      <c r="AF15" s="123">
        <v>31.9</v>
      </c>
      <c r="AG15" s="130">
        <v>50</v>
      </c>
      <c r="AH15" s="12">
        <f t="shared" si="2"/>
        <v>31.9</v>
      </c>
      <c r="AI15" s="11">
        <f t="shared" si="3"/>
        <v>31.9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25">
      <c r="A16" s="89" t="s">
        <v>258</v>
      </c>
      <c r="B16" s="102">
        <v>15</v>
      </c>
      <c r="C16" s="102">
        <v>15</v>
      </c>
      <c r="D16" s="102">
        <v>15</v>
      </c>
      <c r="E16" s="102">
        <v>15</v>
      </c>
      <c r="F16" s="102">
        <v>15</v>
      </c>
      <c r="G16" s="102">
        <v>15</v>
      </c>
      <c r="H16" s="102">
        <v>15</v>
      </c>
      <c r="I16" s="102">
        <v>15</v>
      </c>
      <c r="J16" s="102">
        <v>15</v>
      </c>
      <c r="K16" s="102">
        <v>15</v>
      </c>
      <c r="L16" s="102">
        <v>15</v>
      </c>
      <c r="M16" s="102">
        <v>15</v>
      </c>
      <c r="N16" s="102">
        <v>15</v>
      </c>
      <c r="O16" s="102">
        <v>15</v>
      </c>
      <c r="P16" s="102">
        <v>15</v>
      </c>
      <c r="Q16" s="102">
        <v>15</v>
      </c>
      <c r="R16" s="102">
        <v>15</v>
      </c>
      <c r="S16" s="102">
        <v>15</v>
      </c>
      <c r="T16" s="102">
        <v>15</v>
      </c>
      <c r="U16" s="102">
        <v>15</v>
      </c>
      <c r="V16" s="102">
        <v>15</v>
      </c>
      <c r="W16" s="102">
        <v>15</v>
      </c>
      <c r="X16" s="102">
        <v>15</v>
      </c>
      <c r="Y16" s="102">
        <v>15</v>
      </c>
      <c r="Z16" s="102">
        <v>15</v>
      </c>
      <c r="AA16" s="102">
        <v>15</v>
      </c>
      <c r="AB16" s="102">
        <v>15</v>
      </c>
      <c r="AC16" s="102">
        <v>15</v>
      </c>
      <c r="AD16" s="102">
        <v>15</v>
      </c>
      <c r="AE16" s="102">
        <v>15</v>
      </c>
      <c r="AF16" s="102">
        <v>15</v>
      </c>
      <c r="AG16" s="130">
        <v>45</v>
      </c>
      <c r="AH16" s="12">
        <f t="shared" si="2"/>
        <v>15</v>
      </c>
      <c r="AI16" s="11">
        <f t="shared" si="3"/>
        <v>15</v>
      </c>
      <c r="AK16" s="19"/>
      <c r="AL16" s="135" t="s">
        <v>7</v>
      </c>
      <c r="AM16" s="134">
        <f>B58</f>
        <v>472.09999999999997</v>
      </c>
      <c r="AN16" s="134">
        <f t="shared" ref="AN16:AR16" si="4">C58</f>
        <v>472.09999999999997</v>
      </c>
      <c r="AO16" s="134">
        <f t="shared" si="4"/>
        <v>472.09999999999997</v>
      </c>
      <c r="AP16" s="134">
        <f t="shared" si="4"/>
        <v>470.2</v>
      </c>
      <c r="AQ16" s="134">
        <f t="shared" si="4"/>
        <v>470.2</v>
      </c>
      <c r="AR16" s="134">
        <f t="shared" si="4"/>
        <v>470.2</v>
      </c>
      <c r="AS16" s="134">
        <f>I58</f>
        <v>470.2</v>
      </c>
      <c r="AT16" s="134">
        <f>K58</f>
        <v>470.2</v>
      </c>
      <c r="AU16" s="134">
        <f t="shared" ref="AU16:BD16" si="5">M58</f>
        <v>468.5</v>
      </c>
      <c r="AV16" s="134">
        <f t="shared" si="5"/>
        <v>465.4</v>
      </c>
      <c r="AW16" s="134">
        <f t="shared" si="5"/>
        <v>466.9</v>
      </c>
      <c r="AX16" s="134">
        <f t="shared" si="5"/>
        <v>463.29999999999995</v>
      </c>
      <c r="AY16" s="134">
        <f t="shared" si="5"/>
        <v>469</v>
      </c>
      <c r="AZ16" s="134">
        <f t="shared" si="5"/>
        <v>466.9</v>
      </c>
      <c r="BA16" s="134">
        <f t="shared" si="5"/>
        <v>466.9</v>
      </c>
      <c r="BB16" s="134">
        <f t="shared" si="5"/>
        <v>466.9</v>
      </c>
      <c r="BC16" s="134">
        <f t="shared" si="5"/>
        <v>466.9</v>
      </c>
      <c r="BD16" s="134">
        <f t="shared" si="5"/>
        <v>466.9</v>
      </c>
      <c r="BE16" s="133">
        <f>X58</f>
        <v>466.9</v>
      </c>
      <c r="BF16" s="133">
        <f>Z58</f>
        <v>486.5</v>
      </c>
      <c r="BG16" s="133">
        <f>AB58</f>
        <v>466.9</v>
      </c>
      <c r="BH16" s="133">
        <f>AD58</f>
        <v>466.9</v>
      </c>
      <c r="BI16" s="133">
        <f t="shared" ref="BI16:BJ16" si="6">AE58</f>
        <v>466.9</v>
      </c>
      <c r="BJ16" s="133">
        <f t="shared" si="6"/>
        <v>466.9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25">
      <c r="A17" s="89" t="s">
        <v>257</v>
      </c>
      <c r="B17" s="102">
        <v>12</v>
      </c>
      <c r="C17" s="102">
        <v>12</v>
      </c>
      <c r="D17" s="102">
        <v>12</v>
      </c>
      <c r="E17" s="102">
        <v>12</v>
      </c>
      <c r="F17" s="102">
        <v>12</v>
      </c>
      <c r="G17" s="102">
        <v>12</v>
      </c>
      <c r="H17" s="102">
        <v>12</v>
      </c>
      <c r="I17" s="102">
        <v>12</v>
      </c>
      <c r="J17" s="102">
        <v>12</v>
      </c>
      <c r="K17" s="102">
        <v>12</v>
      </c>
      <c r="L17" s="102">
        <v>12</v>
      </c>
      <c r="M17" s="102">
        <v>12</v>
      </c>
      <c r="N17" s="102">
        <v>12</v>
      </c>
      <c r="O17" s="102">
        <v>12</v>
      </c>
      <c r="P17" s="102">
        <v>12</v>
      </c>
      <c r="Q17" s="102">
        <v>12</v>
      </c>
      <c r="R17" s="102">
        <v>12</v>
      </c>
      <c r="S17" s="102">
        <v>12</v>
      </c>
      <c r="T17" s="102">
        <v>12</v>
      </c>
      <c r="U17" s="102">
        <v>12</v>
      </c>
      <c r="V17" s="102">
        <v>12</v>
      </c>
      <c r="W17" s="102">
        <v>12</v>
      </c>
      <c r="X17" s="102">
        <v>12</v>
      </c>
      <c r="Y17" s="102">
        <v>12</v>
      </c>
      <c r="Z17" s="102">
        <v>12</v>
      </c>
      <c r="AA17" s="102">
        <v>12</v>
      </c>
      <c r="AB17" s="102">
        <v>12</v>
      </c>
      <c r="AC17" s="102">
        <v>12</v>
      </c>
      <c r="AD17" s="102">
        <v>12</v>
      </c>
      <c r="AE17" s="102">
        <v>12</v>
      </c>
      <c r="AF17" s="102">
        <v>12</v>
      </c>
      <c r="AG17" s="130">
        <v>44</v>
      </c>
      <c r="AH17" s="12">
        <f>MAX(B17:AG17)</f>
        <v>44</v>
      </c>
      <c r="AI17" s="11">
        <f>MIN(B17:AG17)</f>
        <v>12</v>
      </c>
      <c r="AK17" s="19"/>
      <c r="AL17" s="135" t="s">
        <v>256</v>
      </c>
      <c r="AM17" s="134">
        <f>B62</f>
        <v>32.099999999999994</v>
      </c>
      <c r="AN17" s="134">
        <f t="shared" ref="AN17:AR17" si="7">C62</f>
        <v>33.599999999999994</v>
      </c>
      <c r="AO17" s="134">
        <f t="shared" si="7"/>
        <v>38.6</v>
      </c>
      <c r="AP17" s="134">
        <f t="shared" si="7"/>
        <v>38.6</v>
      </c>
      <c r="AQ17" s="134">
        <f t="shared" si="7"/>
        <v>38.6</v>
      </c>
      <c r="AR17" s="134">
        <f t="shared" si="7"/>
        <v>88.6</v>
      </c>
      <c r="AS17" s="134">
        <f>I62</f>
        <v>191.39999999999998</v>
      </c>
      <c r="AT17" s="134">
        <f>K62</f>
        <v>38.200000000000003</v>
      </c>
      <c r="AU17" s="134">
        <f t="shared" ref="AU17:BD17" si="8">M62</f>
        <v>38.1</v>
      </c>
      <c r="AV17" s="134">
        <f t="shared" si="8"/>
        <v>38.1</v>
      </c>
      <c r="AW17" s="134">
        <f t="shared" si="8"/>
        <v>38.1</v>
      </c>
      <c r="AX17" s="134">
        <f t="shared" si="8"/>
        <v>38.1</v>
      </c>
      <c r="AY17" s="134">
        <f t="shared" si="8"/>
        <v>38.1</v>
      </c>
      <c r="AZ17" s="134">
        <f t="shared" si="8"/>
        <v>38.1</v>
      </c>
      <c r="BA17" s="134">
        <f t="shared" si="8"/>
        <v>107.7</v>
      </c>
      <c r="BB17" s="134">
        <f t="shared" si="8"/>
        <v>107.8</v>
      </c>
      <c r="BC17" s="134">
        <f t="shared" si="8"/>
        <v>106.39999999999999</v>
      </c>
      <c r="BD17" s="134">
        <f t="shared" si="8"/>
        <v>95.399999999999991</v>
      </c>
      <c r="BE17" s="133">
        <f>X62</f>
        <v>85.399999999999991</v>
      </c>
      <c r="BF17" s="133">
        <f>Z62</f>
        <v>450.40000000000003</v>
      </c>
      <c r="BG17" s="133">
        <f>AB62</f>
        <v>390.40000000000003</v>
      </c>
      <c r="BH17" s="133">
        <f>AD62</f>
        <v>360.40000000000003</v>
      </c>
      <c r="BI17" s="133">
        <f t="shared" ref="BI17:BJ17" si="9">AE62</f>
        <v>360.40000000000003</v>
      </c>
      <c r="BJ17" s="133">
        <f t="shared" si="9"/>
        <v>130.4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25">
      <c r="A18" s="89" t="s">
        <v>255</v>
      </c>
      <c r="B18" s="102">
        <v>7.5</v>
      </c>
      <c r="C18" s="102">
        <v>7.5</v>
      </c>
      <c r="D18" s="102">
        <v>7.5</v>
      </c>
      <c r="E18" s="102">
        <v>7.5</v>
      </c>
      <c r="F18" s="102">
        <v>7.5</v>
      </c>
      <c r="G18" s="102">
        <v>7.5</v>
      </c>
      <c r="H18" s="102">
        <v>7.5</v>
      </c>
      <c r="I18" s="102">
        <v>7.5</v>
      </c>
      <c r="J18" s="102">
        <v>7.5</v>
      </c>
      <c r="K18" s="102">
        <v>7.5</v>
      </c>
      <c r="L18" s="102">
        <v>7.5</v>
      </c>
      <c r="M18" s="102">
        <v>7.5</v>
      </c>
      <c r="N18" s="102">
        <v>7.5</v>
      </c>
      <c r="O18" s="102">
        <v>7.5</v>
      </c>
      <c r="P18" s="102">
        <v>7.5</v>
      </c>
      <c r="Q18" s="102">
        <v>7.5</v>
      </c>
      <c r="R18" s="102">
        <v>7.5</v>
      </c>
      <c r="S18" s="102">
        <v>7.5</v>
      </c>
      <c r="T18" s="102">
        <v>7.5</v>
      </c>
      <c r="U18" s="102">
        <v>7.5</v>
      </c>
      <c r="V18" s="102">
        <v>7.5</v>
      </c>
      <c r="W18" s="102">
        <v>7.5</v>
      </c>
      <c r="X18" s="102">
        <v>7.5</v>
      </c>
      <c r="Y18" s="102">
        <v>7.5</v>
      </c>
      <c r="Z18" s="102">
        <v>7.5</v>
      </c>
      <c r="AA18" s="102">
        <v>7.5</v>
      </c>
      <c r="AB18" s="102">
        <v>7.5</v>
      </c>
      <c r="AC18" s="102">
        <v>7.5</v>
      </c>
      <c r="AD18" s="102">
        <v>7.5</v>
      </c>
      <c r="AE18" s="102">
        <v>7.5</v>
      </c>
      <c r="AF18" s="102">
        <v>7.5</v>
      </c>
      <c r="AG18" s="130">
        <v>42</v>
      </c>
      <c r="AH18" s="12">
        <f t="shared" ref="AH18:AH81" si="10">MAX(B18:AF18)</f>
        <v>7.5</v>
      </c>
      <c r="AI18" s="11">
        <f t="shared" ref="AI18:AI81" si="11">MIN(B18:AF18)</f>
        <v>7.5</v>
      </c>
      <c r="AK18" s="19"/>
      <c r="AL18" s="135" t="s">
        <v>254</v>
      </c>
      <c r="AM18" s="134">
        <f>B76</f>
        <v>148.84</v>
      </c>
      <c r="AN18" s="134">
        <f t="shared" ref="AN18:AR18" si="12">C76</f>
        <v>148.94</v>
      </c>
      <c r="AO18" s="134">
        <f t="shared" si="12"/>
        <v>73.84</v>
      </c>
      <c r="AP18" s="134">
        <f t="shared" si="12"/>
        <v>73.84</v>
      </c>
      <c r="AQ18" s="134">
        <f t="shared" si="12"/>
        <v>73.84</v>
      </c>
      <c r="AR18" s="134">
        <f t="shared" si="12"/>
        <v>76.64</v>
      </c>
      <c r="AS18" s="134">
        <f>I76</f>
        <v>159.54</v>
      </c>
      <c r="AT18" s="134">
        <f>K76</f>
        <v>233.04</v>
      </c>
      <c r="AU18" s="134">
        <f t="shared" ref="AU18:BD18" si="13">M76</f>
        <v>283.74</v>
      </c>
      <c r="AV18" s="134">
        <f t="shared" si="13"/>
        <v>264.94000000000011</v>
      </c>
      <c r="AW18" s="134">
        <f t="shared" si="13"/>
        <v>248.74000000000004</v>
      </c>
      <c r="AX18" s="134">
        <f t="shared" si="13"/>
        <v>249.84000000000003</v>
      </c>
      <c r="AY18" s="134">
        <f t="shared" si="13"/>
        <v>248.14000000000004</v>
      </c>
      <c r="AZ18" s="134">
        <f t="shared" si="13"/>
        <v>188.94000000000003</v>
      </c>
      <c r="BA18" s="134">
        <f t="shared" si="13"/>
        <v>192.54000000000002</v>
      </c>
      <c r="BB18" s="134">
        <f t="shared" si="13"/>
        <v>214.94</v>
      </c>
      <c r="BC18" s="134">
        <f t="shared" si="13"/>
        <v>203.84</v>
      </c>
      <c r="BD18" s="134">
        <f t="shared" si="13"/>
        <v>201.64000000000001</v>
      </c>
      <c r="BE18" s="133">
        <f>X76</f>
        <v>224.24000000000004</v>
      </c>
      <c r="BF18" s="133">
        <f>Z76</f>
        <v>365.94000000000005</v>
      </c>
      <c r="BG18" s="133">
        <f>AB76</f>
        <v>322.44000000000005</v>
      </c>
      <c r="BH18" s="133">
        <f>AD76</f>
        <v>263.94000000000005</v>
      </c>
      <c r="BI18" s="133">
        <f t="shared" ref="BI18:BJ18" si="14">AE76</f>
        <v>189.84</v>
      </c>
      <c r="BJ18" s="133">
        <f t="shared" si="14"/>
        <v>189.84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25">
      <c r="A19" s="89" t="s">
        <v>253</v>
      </c>
      <c r="B19" s="102">
        <v>13</v>
      </c>
      <c r="C19" s="102">
        <v>13</v>
      </c>
      <c r="D19" s="102">
        <v>13</v>
      </c>
      <c r="E19" s="102">
        <v>13</v>
      </c>
      <c r="F19" s="102">
        <v>13</v>
      </c>
      <c r="G19" s="102">
        <v>13</v>
      </c>
      <c r="H19" s="102">
        <v>13</v>
      </c>
      <c r="I19" s="102">
        <v>13</v>
      </c>
      <c r="J19" s="102">
        <v>13</v>
      </c>
      <c r="K19" s="102">
        <v>13</v>
      </c>
      <c r="L19" s="102">
        <v>13</v>
      </c>
      <c r="M19" s="102">
        <v>13</v>
      </c>
      <c r="N19" s="102">
        <v>13</v>
      </c>
      <c r="O19" s="102">
        <v>13</v>
      </c>
      <c r="P19" s="102">
        <v>13</v>
      </c>
      <c r="Q19" s="102">
        <v>13</v>
      </c>
      <c r="R19" s="102">
        <v>13</v>
      </c>
      <c r="S19" s="102">
        <v>13</v>
      </c>
      <c r="T19" s="102">
        <v>13</v>
      </c>
      <c r="U19" s="102">
        <v>13</v>
      </c>
      <c r="V19" s="102">
        <v>13</v>
      </c>
      <c r="W19" s="102">
        <v>13</v>
      </c>
      <c r="X19" s="102">
        <v>13</v>
      </c>
      <c r="Y19" s="102">
        <v>13</v>
      </c>
      <c r="Z19" s="102">
        <v>13</v>
      </c>
      <c r="AA19" s="102">
        <v>13</v>
      </c>
      <c r="AB19" s="102">
        <v>13</v>
      </c>
      <c r="AC19" s="102">
        <v>13</v>
      </c>
      <c r="AD19" s="102">
        <v>13</v>
      </c>
      <c r="AE19" s="102">
        <v>13</v>
      </c>
      <c r="AF19" s="102">
        <v>13</v>
      </c>
      <c r="AG19" s="130">
        <v>38.46</v>
      </c>
      <c r="AH19" s="12">
        <f t="shared" si="10"/>
        <v>13</v>
      </c>
      <c r="AI19" s="11">
        <f t="shared" si="11"/>
        <v>13</v>
      </c>
      <c r="AK19" s="19"/>
      <c r="AL19" s="135" t="s">
        <v>252</v>
      </c>
      <c r="AM19" s="134">
        <f>B92</f>
        <v>288.39999999999998</v>
      </c>
      <c r="AN19" s="134">
        <f t="shared" ref="AN19:AR19" si="15">C92</f>
        <v>274.89999999999998</v>
      </c>
      <c r="AO19" s="134">
        <f t="shared" si="15"/>
        <v>342.90000000000003</v>
      </c>
      <c r="AP19" s="134">
        <f t="shared" si="15"/>
        <v>401.8</v>
      </c>
      <c r="AQ19" s="134">
        <f t="shared" si="15"/>
        <v>375.6</v>
      </c>
      <c r="AR19" s="134">
        <f t="shared" si="15"/>
        <v>397.8</v>
      </c>
      <c r="AS19" s="134">
        <f>I92</f>
        <v>434</v>
      </c>
      <c r="AT19" s="134">
        <f>K92</f>
        <v>785.1</v>
      </c>
      <c r="AU19" s="134">
        <f t="shared" ref="AU19:BD19" si="16">M92</f>
        <v>819.59999999999991</v>
      </c>
      <c r="AV19" s="134">
        <f t="shared" si="16"/>
        <v>813.4</v>
      </c>
      <c r="AW19" s="134">
        <f t="shared" si="16"/>
        <v>814.5</v>
      </c>
      <c r="AX19" s="134">
        <f t="shared" si="16"/>
        <v>801.9</v>
      </c>
      <c r="AY19" s="134">
        <f t="shared" si="16"/>
        <v>820.59999999999991</v>
      </c>
      <c r="AZ19" s="134">
        <f t="shared" si="16"/>
        <v>837.19999999999993</v>
      </c>
      <c r="BA19" s="134">
        <f t="shared" si="16"/>
        <v>837.3</v>
      </c>
      <c r="BB19" s="134">
        <f t="shared" si="16"/>
        <v>809.8</v>
      </c>
      <c r="BC19" s="134">
        <f t="shared" si="16"/>
        <v>789.09999999999991</v>
      </c>
      <c r="BD19" s="134">
        <f t="shared" si="16"/>
        <v>752.16000000000008</v>
      </c>
      <c r="BE19" s="133">
        <f>X92</f>
        <v>578.69999999999993</v>
      </c>
      <c r="BF19" s="133">
        <f>Z92</f>
        <v>123.3</v>
      </c>
      <c r="BG19" s="133">
        <f>AB92</f>
        <v>132</v>
      </c>
      <c r="BH19" s="133">
        <f>AD92</f>
        <v>173.39999999999998</v>
      </c>
      <c r="BI19" s="133">
        <f t="shared" ref="BI19:BJ19" si="17">AE92</f>
        <v>148.5</v>
      </c>
      <c r="BJ19" s="133">
        <f t="shared" si="17"/>
        <v>203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25">
      <c r="A20" s="89" t="s">
        <v>251</v>
      </c>
      <c r="B20" s="102">
        <v>11.8</v>
      </c>
      <c r="C20" s="102">
        <v>11.8</v>
      </c>
      <c r="D20" s="102">
        <v>11.8</v>
      </c>
      <c r="E20" s="102">
        <v>11.8</v>
      </c>
      <c r="F20" s="102">
        <v>11.8</v>
      </c>
      <c r="G20" s="102">
        <v>11.8</v>
      </c>
      <c r="H20" s="102">
        <v>11.8</v>
      </c>
      <c r="I20" s="102">
        <v>11.8</v>
      </c>
      <c r="J20" s="102">
        <v>11.8</v>
      </c>
      <c r="K20" s="102">
        <v>11.8</v>
      </c>
      <c r="L20" s="102">
        <v>11.8</v>
      </c>
      <c r="M20" s="102">
        <v>11.8</v>
      </c>
      <c r="N20" s="102">
        <v>11.8</v>
      </c>
      <c r="O20" s="102">
        <v>11.8</v>
      </c>
      <c r="P20" s="102">
        <v>11.8</v>
      </c>
      <c r="Q20" s="102">
        <v>11.8</v>
      </c>
      <c r="R20" s="102">
        <v>11.8</v>
      </c>
      <c r="S20" s="102">
        <v>11.8</v>
      </c>
      <c r="T20" s="102">
        <v>11.8</v>
      </c>
      <c r="U20" s="102">
        <v>11.8</v>
      </c>
      <c r="V20" s="102">
        <v>11.8</v>
      </c>
      <c r="W20" s="102">
        <v>11.8</v>
      </c>
      <c r="X20" s="102">
        <v>11.8</v>
      </c>
      <c r="Y20" s="102">
        <v>11.8</v>
      </c>
      <c r="Z20" s="102">
        <v>11.8</v>
      </c>
      <c r="AA20" s="102">
        <v>11.8</v>
      </c>
      <c r="AB20" s="102">
        <v>11.8</v>
      </c>
      <c r="AC20" s="102">
        <v>11.8</v>
      </c>
      <c r="AD20" s="102">
        <v>11.8</v>
      </c>
      <c r="AE20" s="102">
        <v>11.8</v>
      </c>
      <c r="AF20" s="102">
        <v>11.8</v>
      </c>
      <c r="AG20" s="130">
        <v>38.46</v>
      </c>
      <c r="AH20" s="12">
        <f t="shared" si="10"/>
        <v>11.8</v>
      </c>
      <c r="AI20" s="11">
        <f t="shared" si="11"/>
        <v>11.8</v>
      </c>
      <c r="AK20" s="19"/>
      <c r="AL20" s="135" t="s">
        <v>250</v>
      </c>
      <c r="AM20" s="134">
        <f>B80</f>
        <v>96.100000000000009</v>
      </c>
      <c r="AN20" s="134">
        <f t="shared" ref="AN20:AR20" si="18">C80</f>
        <v>97.3</v>
      </c>
      <c r="AO20" s="134">
        <f t="shared" si="18"/>
        <v>97.5</v>
      </c>
      <c r="AP20" s="134">
        <f t="shared" si="18"/>
        <v>71.8</v>
      </c>
      <c r="AQ20" s="134">
        <f t="shared" si="18"/>
        <v>98.8</v>
      </c>
      <c r="AR20" s="134">
        <f t="shared" si="18"/>
        <v>98.8</v>
      </c>
      <c r="AS20" s="134">
        <f>I80</f>
        <v>70.3</v>
      </c>
      <c r="AT20" s="134">
        <f>K80</f>
        <v>20.099999999999998</v>
      </c>
      <c r="AU20" s="134">
        <f t="shared" ref="AU20:BD20" si="19">M80</f>
        <v>49.5</v>
      </c>
      <c r="AV20" s="134">
        <f t="shared" si="19"/>
        <v>38.799999999999997</v>
      </c>
      <c r="AW20" s="134">
        <f t="shared" si="19"/>
        <v>70.900000000000006</v>
      </c>
      <c r="AX20" s="134">
        <f t="shared" si="19"/>
        <v>79.2</v>
      </c>
      <c r="AY20" s="134">
        <f t="shared" si="19"/>
        <v>97</v>
      </c>
      <c r="AZ20" s="134">
        <f t="shared" si="19"/>
        <v>69.899999999999991</v>
      </c>
      <c r="BA20" s="134">
        <f t="shared" si="19"/>
        <v>60.2</v>
      </c>
      <c r="BB20" s="134">
        <f t="shared" si="19"/>
        <v>69.3</v>
      </c>
      <c r="BC20" s="134">
        <f t="shared" si="19"/>
        <v>95</v>
      </c>
      <c r="BD20" s="134">
        <f t="shared" si="19"/>
        <v>79.199999999999989</v>
      </c>
      <c r="BE20" s="133">
        <f>X80</f>
        <v>32.700000000000003</v>
      </c>
      <c r="BF20" s="133">
        <f>Z80</f>
        <v>95.5</v>
      </c>
      <c r="BG20" s="133">
        <f>AB80</f>
        <v>95.5</v>
      </c>
      <c r="BH20" s="133">
        <f>AD80</f>
        <v>95.5</v>
      </c>
      <c r="BI20" s="133">
        <f t="shared" ref="BI20:BJ20" si="20">AE80</f>
        <v>95.5</v>
      </c>
      <c r="BJ20" s="133">
        <f t="shared" si="20"/>
        <v>95.5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25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>
        <v>11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>
        <v>11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11</v>
      </c>
      <c r="AG21" s="130">
        <v>36</v>
      </c>
      <c r="AH21" s="12">
        <f t="shared" si="10"/>
        <v>11</v>
      </c>
      <c r="AI21" s="11">
        <f t="shared" si="11"/>
        <v>11</v>
      </c>
      <c r="AK21" s="19"/>
      <c r="AL21" s="135" t="s">
        <v>248</v>
      </c>
      <c r="AM21" s="134">
        <f>B98</f>
        <v>200</v>
      </c>
      <c r="AN21" s="134">
        <f t="shared" ref="AN21:AR21" si="21">C98</f>
        <v>200</v>
      </c>
      <c r="AO21" s="134">
        <f t="shared" si="21"/>
        <v>200</v>
      </c>
      <c r="AP21" s="134">
        <f t="shared" si="21"/>
        <v>200</v>
      </c>
      <c r="AQ21" s="134">
        <f t="shared" si="21"/>
        <v>200</v>
      </c>
      <c r="AR21" s="134">
        <f t="shared" si="21"/>
        <v>200</v>
      </c>
      <c r="AS21" s="134">
        <f>I98</f>
        <v>150</v>
      </c>
      <c r="AT21" s="134">
        <f>K98</f>
        <v>30</v>
      </c>
      <c r="AU21" s="134">
        <f t="shared" ref="AU21:BD21" si="22">M98</f>
        <v>10</v>
      </c>
      <c r="AV21" s="134">
        <f t="shared" si="22"/>
        <v>20</v>
      </c>
      <c r="AW21" s="134">
        <f t="shared" si="22"/>
        <v>20</v>
      </c>
      <c r="AX21" s="134">
        <f t="shared" si="22"/>
        <v>20</v>
      </c>
      <c r="AY21" s="134">
        <f t="shared" si="22"/>
        <v>10</v>
      </c>
      <c r="AZ21" s="134">
        <f t="shared" si="22"/>
        <v>20</v>
      </c>
      <c r="BA21" s="134">
        <f t="shared" si="22"/>
        <v>20</v>
      </c>
      <c r="BB21" s="134">
        <f t="shared" si="22"/>
        <v>50</v>
      </c>
      <c r="BC21" s="134">
        <f t="shared" si="22"/>
        <v>50</v>
      </c>
      <c r="BD21" s="134">
        <f t="shared" si="22"/>
        <v>50</v>
      </c>
      <c r="BE21" s="133">
        <f>X98</f>
        <v>50</v>
      </c>
      <c r="BF21" s="133">
        <f>Z98</f>
        <v>380</v>
      </c>
      <c r="BG21" s="133">
        <f>AB98</f>
        <v>300</v>
      </c>
      <c r="BH21" s="133">
        <f>AD98</f>
        <v>250</v>
      </c>
      <c r="BI21" s="133">
        <f t="shared" ref="BI21:BJ21" si="23">AE98</f>
        <v>200</v>
      </c>
      <c r="BJ21" s="133">
        <f t="shared" si="23"/>
        <v>250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25">
      <c r="A22" s="89" t="s">
        <v>247</v>
      </c>
      <c r="B22" s="102">
        <v>6.7</v>
      </c>
      <c r="C22" s="102">
        <v>6.7</v>
      </c>
      <c r="D22" s="102">
        <v>6.7</v>
      </c>
      <c r="E22" s="102">
        <v>6.7</v>
      </c>
      <c r="F22" s="102">
        <v>6.7</v>
      </c>
      <c r="G22" s="102">
        <v>6.7</v>
      </c>
      <c r="H22" s="102">
        <v>6.7</v>
      </c>
      <c r="I22" s="102">
        <v>6.7</v>
      </c>
      <c r="J22" s="102">
        <v>6.7</v>
      </c>
      <c r="K22" s="102">
        <v>6.7</v>
      </c>
      <c r="L22" s="102">
        <v>6.7</v>
      </c>
      <c r="M22" s="102">
        <v>6.7</v>
      </c>
      <c r="N22" s="102">
        <v>6.7</v>
      </c>
      <c r="O22" s="102">
        <v>6.7</v>
      </c>
      <c r="P22" s="102">
        <v>6.7</v>
      </c>
      <c r="Q22" s="102">
        <v>6.7</v>
      </c>
      <c r="R22" s="102">
        <v>6.7</v>
      </c>
      <c r="S22" s="102">
        <v>6.7</v>
      </c>
      <c r="T22" s="102">
        <v>6.7</v>
      </c>
      <c r="U22" s="102">
        <v>6.7</v>
      </c>
      <c r="V22" s="102">
        <v>6.7</v>
      </c>
      <c r="W22" s="102">
        <v>6.7</v>
      </c>
      <c r="X22" s="102">
        <v>6.7</v>
      </c>
      <c r="Y22" s="102">
        <v>6.7</v>
      </c>
      <c r="Z22" s="102">
        <v>6.7</v>
      </c>
      <c r="AA22" s="102">
        <v>6.7</v>
      </c>
      <c r="AB22" s="102">
        <v>6.7</v>
      </c>
      <c r="AC22" s="102">
        <v>6.7</v>
      </c>
      <c r="AD22" s="102">
        <v>6.7</v>
      </c>
      <c r="AE22" s="102">
        <v>6.7</v>
      </c>
      <c r="AF22" s="102">
        <v>6.7</v>
      </c>
      <c r="AG22" s="88">
        <v>30</v>
      </c>
      <c r="AH22" s="12">
        <f t="shared" si="10"/>
        <v>6.7</v>
      </c>
      <c r="AI22" s="11">
        <f t="shared" si="11"/>
        <v>6.7</v>
      </c>
      <c r="AK22" s="19"/>
      <c r="AL22" s="132" t="s">
        <v>246</v>
      </c>
      <c r="AM22" s="131">
        <f>SUM(AM16:AM21)</f>
        <v>1237.54</v>
      </c>
      <c r="AN22" s="131">
        <f t="shared" ref="AN22:BJ22" si="24">SUM(AN16:AN21)</f>
        <v>1226.8399999999999</v>
      </c>
      <c r="AO22" s="131">
        <f t="shared" si="24"/>
        <v>1224.94</v>
      </c>
      <c r="AP22" s="131">
        <f t="shared" si="24"/>
        <v>1256.24</v>
      </c>
      <c r="AQ22" s="131">
        <f t="shared" si="24"/>
        <v>1257.04</v>
      </c>
      <c r="AR22" s="131">
        <f t="shared" si="24"/>
        <v>1332.04</v>
      </c>
      <c r="AS22" s="131">
        <f t="shared" si="24"/>
        <v>1475.4399999999998</v>
      </c>
      <c r="AT22" s="131">
        <f t="shared" si="24"/>
        <v>1576.6399999999999</v>
      </c>
      <c r="AU22" s="131">
        <f t="shared" si="24"/>
        <v>1669.44</v>
      </c>
      <c r="AV22" s="131">
        <f t="shared" si="24"/>
        <v>1640.64</v>
      </c>
      <c r="AW22" s="131">
        <f t="shared" si="24"/>
        <v>1659.14</v>
      </c>
      <c r="AX22" s="131">
        <f t="shared" si="24"/>
        <v>1652.34</v>
      </c>
      <c r="AY22" s="131">
        <f t="shared" si="24"/>
        <v>1682.84</v>
      </c>
      <c r="AZ22" s="131">
        <f t="shared" si="24"/>
        <v>1621.04</v>
      </c>
      <c r="BA22" s="131">
        <f t="shared" si="24"/>
        <v>1684.64</v>
      </c>
      <c r="BB22" s="131">
        <f t="shared" si="24"/>
        <v>1718.7399999999998</v>
      </c>
      <c r="BC22" s="131">
        <f t="shared" si="24"/>
        <v>1711.2399999999998</v>
      </c>
      <c r="BD22" s="131">
        <f t="shared" si="24"/>
        <v>1645.3</v>
      </c>
      <c r="BE22" s="131">
        <f t="shared" si="24"/>
        <v>1437.9399999999998</v>
      </c>
      <c r="BF22" s="131">
        <f t="shared" si="24"/>
        <v>1901.64</v>
      </c>
      <c r="BG22" s="131">
        <f t="shared" si="24"/>
        <v>1707.24</v>
      </c>
      <c r="BH22" s="131">
        <f t="shared" si="24"/>
        <v>1610.1399999999999</v>
      </c>
      <c r="BI22" s="131">
        <f t="shared" si="24"/>
        <v>1461.1399999999999</v>
      </c>
      <c r="BJ22" s="131">
        <f t="shared" si="24"/>
        <v>1335.6399999999999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25">
      <c r="A23" s="89" t="s">
        <v>245</v>
      </c>
      <c r="B23" s="102">
        <v>4.5</v>
      </c>
      <c r="C23" s="102">
        <v>4.5</v>
      </c>
      <c r="D23" s="102">
        <v>4.5</v>
      </c>
      <c r="E23" s="102">
        <v>4.5</v>
      </c>
      <c r="F23" s="102">
        <v>4.5</v>
      </c>
      <c r="G23" s="102">
        <v>4.5</v>
      </c>
      <c r="H23" s="102">
        <v>4.5</v>
      </c>
      <c r="I23" s="102">
        <v>4.5</v>
      </c>
      <c r="J23" s="102">
        <v>4.5</v>
      </c>
      <c r="K23" s="102">
        <v>4.5</v>
      </c>
      <c r="L23" s="102">
        <v>4.5</v>
      </c>
      <c r="M23" s="102">
        <v>4.5</v>
      </c>
      <c r="N23" s="102">
        <v>4.5</v>
      </c>
      <c r="O23" s="102">
        <v>4.5</v>
      </c>
      <c r="P23" s="102">
        <v>4.5</v>
      </c>
      <c r="Q23" s="102">
        <v>4.5</v>
      </c>
      <c r="R23" s="102">
        <v>4.5</v>
      </c>
      <c r="S23" s="102">
        <v>4.5</v>
      </c>
      <c r="T23" s="102">
        <v>4.5</v>
      </c>
      <c r="U23" s="102">
        <v>4.5</v>
      </c>
      <c r="V23" s="102">
        <v>4.5</v>
      </c>
      <c r="W23" s="102">
        <v>4.5</v>
      </c>
      <c r="X23" s="102">
        <v>4.5</v>
      </c>
      <c r="Y23" s="102">
        <v>4.5</v>
      </c>
      <c r="Z23" s="102">
        <v>4.5</v>
      </c>
      <c r="AA23" s="102">
        <v>4.5</v>
      </c>
      <c r="AB23" s="102">
        <v>4.5</v>
      </c>
      <c r="AC23" s="102">
        <v>4.5</v>
      </c>
      <c r="AD23" s="102">
        <v>4.5</v>
      </c>
      <c r="AE23" s="102">
        <v>4.5</v>
      </c>
      <c r="AF23" s="102">
        <v>4.5</v>
      </c>
      <c r="AG23" s="130">
        <v>24.2</v>
      </c>
      <c r="AH23" s="12">
        <f t="shared" si="10"/>
        <v>4.5</v>
      </c>
      <c r="AI23" s="11">
        <f t="shared" si="11"/>
        <v>4.5</v>
      </c>
      <c r="AK23" s="19"/>
      <c r="AL23" s="132" t="s">
        <v>3</v>
      </c>
      <c r="AM23" s="131">
        <f>B107*-1</f>
        <v>0</v>
      </c>
      <c r="AN23" s="131">
        <f t="shared" ref="AN23:AR23" si="25">C107*-1</f>
        <v>0</v>
      </c>
      <c r="AO23" s="131">
        <f t="shared" si="25"/>
        <v>0</v>
      </c>
      <c r="AP23" s="131">
        <f t="shared" si="25"/>
        <v>0</v>
      </c>
      <c r="AQ23" s="131">
        <f t="shared" si="25"/>
        <v>0</v>
      </c>
      <c r="AR23" s="131">
        <f t="shared" si="25"/>
        <v>0</v>
      </c>
      <c r="AS23" s="131">
        <f>I107*-1</f>
        <v>0</v>
      </c>
      <c r="AT23" s="131">
        <f>K107*-1</f>
        <v>0</v>
      </c>
      <c r="AU23" s="131">
        <f t="shared" ref="AU23:BD23" si="26">M107*-1</f>
        <v>0</v>
      </c>
      <c r="AV23" s="131">
        <f t="shared" si="26"/>
        <v>0</v>
      </c>
      <c r="AW23" s="131">
        <f t="shared" si="26"/>
        <v>0</v>
      </c>
      <c r="AX23" s="131">
        <f t="shared" si="26"/>
        <v>0</v>
      </c>
      <c r="AY23" s="131">
        <f t="shared" si="26"/>
        <v>0</v>
      </c>
      <c r="AZ23" s="131">
        <f t="shared" si="26"/>
        <v>0</v>
      </c>
      <c r="BA23" s="131">
        <f t="shared" si="26"/>
        <v>0</v>
      </c>
      <c r="BB23" s="131">
        <f t="shared" si="26"/>
        <v>0</v>
      </c>
      <c r="BC23" s="131">
        <f t="shared" si="26"/>
        <v>0</v>
      </c>
      <c r="BD23" s="131">
        <f t="shared" si="26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 t="shared" ref="BI23:BJ23" si="27">AE107*-1</f>
        <v>0</v>
      </c>
      <c r="BJ23" s="131">
        <f t="shared" si="27"/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25">
      <c r="A24" s="89" t="s">
        <v>244</v>
      </c>
      <c r="B24" s="102">
        <v>5.6</v>
      </c>
      <c r="C24" s="102">
        <v>5.6</v>
      </c>
      <c r="D24" s="102">
        <v>5.6</v>
      </c>
      <c r="E24" s="102">
        <v>5.6</v>
      </c>
      <c r="F24" s="102">
        <v>5.6</v>
      </c>
      <c r="G24" s="102">
        <v>5.6</v>
      </c>
      <c r="H24" s="102">
        <v>5.6</v>
      </c>
      <c r="I24" s="102">
        <v>5.6</v>
      </c>
      <c r="J24" s="102">
        <v>5.6</v>
      </c>
      <c r="K24" s="102">
        <v>5.6</v>
      </c>
      <c r="L24" s="102">
        <v>5.6</v>
      </c>
      <c r="M24" s="102">
        <v>5.6</v>
      </c>
      <c r="N24" s="102">
        <v>5.6</v>
      </c>
      <c r="O24" s="102">
        <v>5.6</v>
      </c>
      <c r="P24" s="102">
        <v>5.6</v>
      </c>
      <c r="Q24" s="102">
        <v>5.6</v>
      </c>
      <c r="R24" s="102">
        <v>5.6</v>
      </c>
      <c r="S24" s="102">
        <v>5.6</v>
      </c>
      <c r="T24" s="102">
        <v>5.6</v>
      </c>
      <c r="U24" s="102">
        <v>5.6</v>
      </c>
      <c r="V24" s="102">
        <v>5.6</v>
      </c>
      <c r="W24" s="102">
        <v>5.6</v>
      </c>
      <c r="X24" s="102">
        <v>5.6</v>
      </c>
      <c r="Y24" s="102">
        <v>5.6</v>
      </c>
      <c r="Z24" s="102">
        <v>5.6</v>
      </c>
      <c r="AA24" s="102">
        <v>5.6</v>
      </c>
      <c r="AB24" s="102">
        <v>5.6</v>
      </c>
      <c r="AC24" s="102">
        <v>5.6</v>
      </c>
      <c r="AD24" s="102">
        <v>5.6</v>
      </c>
      <c r="AE24" s="102">
        <v>5.6</v>
      </c>
      <c r="AF24" s="102">
        <v>5.6</v>
      </c>
      <c r="AG24" s="130">
        <v>28</v>
      </c>
      <c r="AH24" s="12">
        <f t="shared" si="10"/>
        <v>5.6</v>
      </c>
      <c r="AI24" s="11">
        <f t="shared" si="11"/>
        <v>5.6</v>
      </c>
      <c r="AK24" s="19"/>
      <c r="AL24" s="132" t="s">
        <v>243</v>
      </c>
      <c r="AM24" s="131">
        <f>AM22+AM23</f>
        <v>1237.54</v>
      </c>
      <c r="AN24" s="131">
        <f t="shared" ref="AN24:BJ24" si="28">AN22+AN23</f>
        <v>1226.8399999999999</v>
      </c>
      <c r="AO24" s="131">
        <f t="shared" si="28"/>
        <v>1224.94</v>
      </c>
      <c r="AP24" s="131">
        <f t="shared" si="28"/>
        <v>1256.24</v>
      </c>
      <c r="AQ24" s="131">
        <f t="shared" si="28"/>
        <v>1257.04</v>
      </c>
      <c r="AR24" s="131">
        <f t="shared" si="28"/>
        <v>1332.04</v>
      </c>
      <c r="AS24" s="131">
        <f t="shared" si="28"/>
        <v>1475.4399999999998</v>
      </c>
      <c r="AT24" s="131">
        <f t="shared" si="28"/>
        <v>1576.6399999999999</v>
      </c>
      <c r="AU24" s="131">
        <f t="shared" si="28"/>
        <v>1669.44</v>
      </c>
      <c r="AV24" s="131">
        <f t="shared" si="28"/>
        <v>1640.64</v>
      </c>
      <c r="AW24" s="131">
        <f t="shared" si="28"/>
        <v>1659.14</v>
      </c>
      <c r="AX24" s="131">
        <f t="shared" si="28"/>
        <v>1652.34</v>
      </c>
      <c r="AY24" s="131">
        <f t="shared" si="28"/>
        <v>1682.84</v>
      </c>
      <c r="AZ24" s="131">
        <f t="shared" si="28"/>
        <v>1621.04</v>
      </c>
      <c r="BA24" s="131">
        <f t="shared" si="28"/>
        <v>1684.64</v>
      </c>
      <c r="BB24" s="131">
        <f t="shared" si="28"/>
        <v>1718.7399999999998</v>
      </c>
      <c r="BC24" s="131">
        <f t="shared" si="28"/>
        <v>1711.2399999999998</v>
      </c>
      <c r="BD24" s="131">
        <f t="shared" si="28"/>
        <v>1645.3</v>
      </c>
      <c r="BE24" s="131">
        <f t="shared" si="28"/>
        <v>1437.9399999999998</v>
      </c>
      <c r="BF24" s="131">
        <f t="shared" si="28"/>
        <v>1901.64</v>
      </c>
      <c r="BG24" s="131">
        <f t="shared" si="28"/>
        <v>1707.24</v>
      </c>
      <c r="BH24" s="131">
        <f t="shared" si="28"/>
        <v>1610.1399999999999</v>
      </c>
      <c r="BI24" s="131">
        <f t="shared" si="28"/>
        <v>1461.1399999999999</v>
      </c>
      <c r="BJ24" s="131">
        <f t="shared" si="28"/>
        <v>1335.6399999999999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25">
      <c r="A25" s="89" t="s">
        <v>242</v>
      </c>
      <c r="B25" s="102">
        <v>5.3</v>
      </c>
      <c r="C25" s="102">
        <v>5.3</v>
      </c>
      <c r="D25" s="102">
        <v>5.3</v>
      </c>
      <c r="E25" s="102">
        <v>5.3</v>
      </c>
      <c r="F25" s="102">
        <v>5.3</v>
      </c>
      <c r="G25" s="102">
        <v>5.3</v>
      </c>
      <c r="H25" s="102">
        <v>5.3</v>
      </c>
      <c r="I25" s="102">
        <v>5.3</v>
      </c>
      <c r="J25" s="102">
        <v>5.3</v>
      </c>
      <c r="K25" s="102">
        <v>5.3</v>
      </c>
      <c r="L25" s="102">
        <v>5.3</v>
      </c>
      <c r="M25" s="102">
        <v>5.3</v>
      </c>
      <c r="N25" s="102">
        <v>5.3</v>
      </c>
      <c r="O25" s="102">
        <v>5.3</v>
      </c>
      <c r="P25" s="102">
        <v>5.3</v>
      </c>
      <c r="Q25" s="102">
        <v>5.3</v>
      </c>
      <c r="R25" s="102">
        <v>5.3</v>
      </c>
      <c r="S25" s="102">
        <v>5.3</v>
      </c>
      <c r="T25" s="102">
        <v>5.3</v>
      </c>
      <c r="U25" s="102">
        <v>5.3</v>
      </c>
      <c r="V25" s="102">
        <v>5.3</v>
      </c>
      <c r="W25" s="102">
        <v>5.3</v>
      </c>
      <c r="X25" s="102">
        <v>5.3</v>
      </c>
      <c r="Y25" s="102">
        <v>5.3</v>
      </c>
      <c r="Z25" s="102">
        <v>5.3</v>
      </c>
      <c r="AA25" s="102">
        <v>5.3</v>
      </c>
      <c r="AB25" s="102">
        <v>5.3</v>
      </c>
      <c r="AC25" s="102">
        <v>5.3</v>
      </c>
      <c r="AD25" s="102">
        <v>5.3</v>
      </c>
      <c r="AE25" s="102">
        <v>5.3</v>
      </c>
      <c r="AF25" s="102">
        <v>5.3</v>
      </c>
      <c r="AG25" s="88">
        <v>30</v>
      </c>
      <c r="AH25" s="12">
        <f t="shared" si="10"/>
        <v>5.3</v>
      </c>
      <c r="AI25" s="11">
        <f t="shared" si="11"/>
        <v>5.3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25">
      <c r="A26" s="89" t="s">
        <v>241</v>
      </c>
      <c r="B26" s="102">
        <v>8.4</v>
      </c>
      <c r="C26" s="102">
        <v>8.4</v>
      </c>
      <c r="D26" s="102">
        <v>8.4</v>
      </c>
      <c r="E26" s="102">
        <v>8.4</v>
      </c>
      <c r="F26" s="102">
        <v>8.4</v>
      </c>
      <c r="G26" s="102">
        <v>8.4</v>
      </c>
      <c r="H26" s="102">
        <v>8.4</v>
      </c>
      <c r="I26" s="102">
        <v>8.4</v>
      </c>
      <c r="J26" s="102">
        <v>8.4</v>
      </c>
      <c r="K26" s="102">
        <v>8.4</v>
      </c>
      <c r="L26" s="102">
        <v>8.4</v>
      </c>
      <c r="M26" s="102">
        <v>8.4</v>
      </c>
      <c r="N26" s="102">
        <v>8.4</v>
      </c>
      <c r="O26" s="102">
        <v>8.4</v>
      </c>
      <c r="P26" s="102">
        <v>8.4</v>
      </c>
      <c r="Q26" s="102">
        <v>8.4</v>
      </c>
      <c r="R26" s="102">
        <v>8.4</v>
      </c>
      <c r="S26" s="102">
        <v>8.4</v>
      </c>
      <c r="T26" s="102">
        <v>8.4</v>
      </c>
      <c r="U26" s="102">
        <v>8.4</v>
      </c>
      <c r="V26" s="102">
        <v>8.4</v>
      </c>
      <c r="W26" s="102">
        <v>8.4</v>
      </c>
      <c r="X26" s="102">
        <v>8.4</v>
      </c>
      <c r="Y26" s="102">
        <v>8.4</v>
      </c>
      <c r="Z26" s="102">
        <v>8.4</v>
      </c>
      <c r="AA26" s="102">
        <v>8.4</v>
      </c>
      <c r="AB26" s="102">
        <v>8.4</v>
      </c>
      <c r="AC26" s="102">
        <v>8.4</v>
      </c>
      <c r="AD26" s="102">
        <v>8.4</v>
      </c>
      <c r="AE26" s="102">
        <v>8.4</v>
      </c>
      <c r="AF26" s="102">
        <v>8.4</v>
      </c>
      <c r="AG26" s="130">
        <v>25</v>
      </c>
      <c r="AH26" s="12">
        <f t="shared" si="10"/>
        <v>8.4</v>
      </c>
      <c r="AI26" s="11">
        <f t="shared" si="11"/>
        <v>8.4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25">
      <c r="A27" s="89" t="s">
        <v>240</v>
      </c>
      <c r="B27" s="102">
        <v>5</v>
      </c>
      <c r="C27" s="102">
        <v>5</v>
      </c>
      <c r="D27" s="102">
        <v>5</v>
      </c>
      <c r="E27" s="102">
        <v>5</v>
      </c>
      <c r="F27" s="102">
        <v>5</v>
      </c>
      <c r="G27" s="102">
        <v>5</v>
      </c>
      <c r="H27" s="102">
        <v>5</v>
      </c>
      <c r="I27" s="102">
        <v>5</v>
      </c>
      <c r="J27" s="102">
        <v>5</v>
      </c>
      <c r="K27" s="102">
        <v>5</v>
      </c>
      <c r="L27" s="102">
        <v>5</v>
      </c>
      <c r="M27" s="102">
        <v>5</v>
      </c>
      <c r="N27" s="102">
        <v>5</v>
      </c>
      <c r="O27" s="102">
        <v>5</v>
      </c>
      <c r="P27" s="102">
        <v>5</v>
      </c>
      <c r="Q27" s="102">
        <v>5</v>
      </c>
      <c r="R27" s="102">
        <v>5</v>
      </c>
      <c r="S27" s="102">
        <v>5</v>
      </c>
      <c r="T27" s="102">
        <v>5</v>
      </c>
      <c r="U27" s="102">
        <v>5</v>
      </c>
      <c r="V27" s="102">
        <v>5</v>
      </c>
      <c r="W27" s="102">
        <v>5</v>
      </c>
      <c r="X27" s="102">
        <v>5</v>
      </c>
      <c r="Y27" s="102">
        <v>5</v>
      </c>
      <c r="Z27" s="102">
        <v>5</v>
      </c>
      <c r="AA27" s="102">
        <v>5</v>
      </c>
      <c r="AB27" s="102">
        <v>5</v>
      </c>
      <c r="AC27" s="102">
        <v>5</v>
      </c>
      <c r="AD27" s="102">
        <v>5</v>
      </c>
      <c r="AE27" s="102">
        <v>5</v>
      </c>
      <c r="AF27" s="102">
        <v>5</v>
      </c>
      <c r="AG27" s="130">
        <v>25</v>
      </c>
      <c r="AH27" s="12">
        <f t="shared" si="10"/>
        <v>5</v>
      </c>
      <c r="AI27" s="11">
        <f t="shared" si="11"/>
        <v>5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25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10"/>
        <v>6</v>
      </c>
      <c r="AI28" s="11">
        <f t="shared" si="11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25">
      <c r="A29" s="89" t="s">
        <v>238</v>
      </c>
      <c r="B29" s="102">
        <v>7.2</v>
      </c>
      <c r="C29" s="102">
        <v>7.2</v>
      </c>
      <c r="D29" s="102">
        <v>7.2</v>
      </c>
      <c r="E29" s="102">
        <v>7.2</v>
      </c>
      <c r="F29" s="102">
        <v>7.2</v>
      </c>
      <c r="G29" s="102">
        <v>7.2</v>
      </c>
      <c r="H29" s="102">
        <v>7.2</v>
      </c>
      <c r="I29" s="102">
        <v>7.2</v>
      </c>
      <c r="J29" s="102">
        <v>7.2</v>
      </c>
      <c r="K29" s="102">
        <v>7.2</v>
      </c>
      <c r="L29" s="102">
        <v>7.2</v>
      </c>
      <c r="M29" s="102">
        <v>7.2</v>
      </c>
      <c r="N29" s="102">
        <v>7.2</v>
      </c>
      <c r="O29" s="102">
        <v>7.2</v>
      </c>
      <c r="P29" s="102">
        <v>7.2</v>
      </c>
      <c r="Q29" s="102">
        <v>7.2</v>
      </c>
      <c r="R29" s="102">
        <v>7.2</v>
      </c>
      <c r="S29" s="102">
        <v>7.2</v>
      </c>
      <c r="T29" s="102">
        <v>7.2</v>
      </c>
      <c r="U29" s="102">
        <v>7.2</v>
      </c>
      <c r="V29" s="102">
        <v>7.2</v>
      </c>
      <c r="W29" s="102">
        <v>7.2</v>
      </c>
      <c r="X29" s="102">
        <v>7.2</v>
      </c>
      <c r="Y29" s="102">
        <v>7.2</v>
      </c>
      <c r="Z29" s="102">
        <v>7.2</v>
      </c>
      <c r="AA29" s="102">
        <v>7.2</v>
      </c>
      <c r="AB29" s="102">
        <v>7.2</v>
      </c>
      <c r="AC29" s="102">
        <v>7.2</v>
      </c>
      <c r="AD29" s="102">
        <v>7.2</v>
      </c>
      <c r="AE29" s="102">
        <v>7.2</v>
      </c>
      <c r="AF29" s="102">
        <v>7.2</v>
      </c>
      <c r="AG29" s="130">
        <v>25</v>
      </c>
      <c r="AH29" s="12">
        <f t="shared" si="10"/>
        <v>7.2</v>
      </c>
      <c r="AI29" s="11">
        <f t="shared" si="11"/>
        <v>7.2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25">
      <c r="A30" s="89" t="s">
        <v>237</v>
      </c>
      <c r="B30" s="102">
        <v>6.5</v>
      </c>
      <c r="C30" s="102">
        <v>6.5</v>
      </c>
      <c r="D30" s="102">
        <v>6.5</v>
      </c>
      <c r="E30" s="102">
        <v>6.5</v>
      </c>
      <c r="F30" s="102">
        <v>6.5</v>
      </c>
      <c r="G30" s="102">
        <v>6.5</v>
      </c>
      <c r="H30" s="102">
        <v>6.5</v>
      </c>
      <c r="I30" s="102">
        <v>6.5</v>
      </c>
      <c r="J30" s="102">
        <v>6.5</v>
      </c>
      <c r="K30" s="102">
        <v>6.5</v>
      </c>
      <c r="L30" s="102">
        <v>6.5</v>
      </c>
      <c r="M30" s="102">
        <v>6.5</v>
      </c>
      <c r="N30" s="102">
        <v>6.5</v>
      </c>
      <c r="O30" s="102">
        <v>6.5</v>
      </c>
      <c r="P30" s="102">
        <v>6.5</v>
      </c>
      <c r="Q30" s="102">
        <v>6.5</v>
      </c>
      <c r="R30" s="102">
        <v>6.5</v>
      </c>
      <c r="S30" s="102">
        <v>6.5</v>
      </c>
      <c r="T30" s="102">
        <v>6.5</v>
      </c>
      <c r="U30" s="102">
        <v>6.5</v>
      </c>
      <c r="V30" s="102">
        <v>6.5</v>
      </c>
      <c r="W30" s="102">
        <v>6.5</v>
      </c>
      <c r="X30" s="102">
        <v>6.5</v>
      </c>
      <c r="Y30" s="102">
        <v>6.5</v>
      </c>
      <c r="Z30" s="102">
        <v>6.5</v>
      </c>
      <c r="AA30" s="102">
        <v>6.5</v>
      </c>
      <c r="AB30" s="102">
        <v>6.5</v>
      </c>
      <c r="AC30" s="102">
        <v>6.5</v>
      </c>
      <c r="AD30" s="102">
        <v>6.5</v>
      </c>
      <c r="AE30" s="102">
        <v>6.5</v>
      </c>
      <c r="AF30" s="102">
        <v>6.5</v>
      </c>
      <c r="AG30" s="130">
        <v>23.5</v>
      </c>
      <c r="AH30" s="12">
        <f t="shared" si="10"/>
        <v>6.5</v>
      </c>
      <c r="AI30" s="11">
        <f t="shared" si="11"/>
        <v>6.5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25">
      <c r="A31" s="89" t="s">
        <v>236</v>
      </c>
      <c r="B31" s="102">
        <v>3</v>
      </c>
      <c r="C31" s="102">
        <v>3</v>
      </c>
      <c r="D31" s="102">
        <v>3</v>
      </c>
      <c r="E31" s="102">
        <v>3</v>
      </c>
      <c r="F31" s="102">
        <v>3</v>
      </c>
      <c r="G31" s="102">
        <v>3</v>
      </c>
      <c r="H31" s="102">
        <v>3</v>
      </c>
      <c r="I31" s="102">
        <v>3</v>
      </c>
      <c r="J31" s="102">
        <v>3</v>
      </c>
      <c r="K31" s="102">
        <v>3</v>
      </c>
      <c r="L31" s="102">
        <v>3</v>
      </c>
      <c r="M31" s="102">
        <v>3</v>
      </c>
      <c r="N31" s="102">
        <v>3</v>
      </c>
      <c r="O31" s="102">
        <v>3</v>
      </c>
      <c r="P31" s="102">
        <v>3</v>
      </c>
      <c r="Q31" s="102">
        <v>3</v>
      </c>
      <c r="R31" s="102">
        <v>3</v>
      </c>
      <c r="S31" s="102">
        <v>3</v>
      </c>
      <c r="T31" s="102">
        <v>3</v>
      </c>
      <c r="U31" s="102">
        <v>3</v>
      </c>
      <c r="V31" s="102">
        <v>3</v>
      </c>
      <c r="W31" s="102">
        <v>3</v>
      </c>
      <c r="X31" s="102">
        <v>3</v>
      </c>
      <c r="Y31" s="102">
        <v>3</v>
      </c>
      <c r="Z31" s="102">
        <v>3</v>
      </c>
      <c r="AA31" s="102">
        <v>3</v>
      </c>
      <c r="AB31" s="102">
        <v>3</v>
      </c>
      <c r="AC31" s="102">
        <v>3</v>
      </c>
      <c r="AD31" s="102">
        <v>3</v>
      </c>
      <c r="AE31" s="102">
        <v>3</v>
      </c>
      <c r="AF31" s="102">
        <v>3</v>
      </c>
      <c r="AG31" s="130">
        <v>22.2</v>
      </c>
      <c r="AH31" s="12">
        <f t="shared" si="10"/>
        <v>3</v>
      </c>
      <c r="AI31" s="11">
        <f t="shared" si="11"/>
        <v>3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25">
      <c r="A32" s="89" t="s">
        <v>235</v>
      </c>
      <c r="B32" s="102">
        <v>5.5</v>
      </c>
      <c r="C32" s="102">
        <v>5.5</v>
      </c>
      <c r="D32" s="102">
        <v>5.5</v>
      </c>
      <c r="E32" s="102">
        <v>5.5</v>
      </c>
      <c r="F32" s="102">
        <v>5.5</v>
      </c>
      <c r="G32" s="102">
        <v>5.5</v>
      </c>
      <c r="H32" s="102">
        <v>5.5</v>
      </c>
      <c r="I32" s="102">
        <v>5.5</v>
      </c>
      <c r="J32" s="102">
        <v>5.5</v>
      </c>
      <c r="K32" s="102">
        <v>5.5</v>
      </c>
      <c r="L32" s="102">
        <v>5.5</v>
      </c>
      <c r="M32" s="102">
        <v>5.5</v>
      </c>
      <c r="N32" s="102">
        <v>5.5</v>
      </c>
      <c r="O32" s="102">
        <v>5.5</v>
      </c>
      <c r="P32" s="102">
        <v>5.5</v>
      </c>
      <c r="Q32" s="102">
        <v>5.5</v>
      </c>
      <c r="R32" s="102">
        <v>5.5</v>
      </c>
      <c r="S32" s="102">
        <v>5.5</v>
      </c>
      <c r="T32" s="102">
        <v>5.5</v>
      </c>
      <c r="U32" s="102">
        <v>5.5</v>
      </c>
      <c r="V32" s="102">
        <v>5.5</v>
      </c>
      <c r="W32" s="102">
        <v>5.5</v>
      </c>
      <c r="X32" s="102">
        <v>5.5</v>
      </c>
      <c r="Y32" s="102">
        <v>5.5</v>
      </c>
      <c r="Z32" s="102">
        <v>5.5</v>
      </c>
      <c r="AA32" s="102">
        <v>5.5</v>
      </c>
      <c r="AB32" s="102">
        <v>5.5</v>
      </c>
      <c r="AC32" s="102">
        <v>5.5</v>
      </c>
      <c r="AD32" s="102">
        <v>5.5</v>
      </c>
      <c r="AE32" s="102">
        <v>5.5</v>
      </c>
      <c r="AF32" s="102">
        <v>5.5</v>
      </c>
      <c r="AG32" s="130">
        <v>22.1</v>
      </c>
      <c r="AH32" s="12">
        <f t="shared" si="10"/>
        <v>5.5</v>
      </c>
      <c r="AI32" s="11">
        <f t="shared" si="11"/>
        <v>5.5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25">
      <c r="A33" s="89" t="s">
        <v>234</v>
      </c>
      <c r="B33" s="102">
        <v>5</v>
      </c>
      <c r="C33" s="102">
        <v>5</v>
      </c>
      <c r="D33" s="102">
        <v>5</v>
      </c>
      <c r="E33" s="102">
        <v>5</v>
      </c>
      <c r="F33" s="102">
        <v>5</v>
      </c>
      <c r="G33" s="102">
        <v>5</v>
      </c>
      <c r="H33" s="102">
        <v>5</v>
      </c>
      <c r="I33" s="102">
        <v>5</v>
      </c>
      <c r="J33" s="102">
        <v>5</v>
      </c>
      <c r="K33" s="102">
        <v>5</v>
      </c>
      <c r="L33" s="102">
        <v>5</v>
      </c>
      <c r="M33" s="102">
        <v>5</v>
      </c>
      <c r="N33" s="102">
        <v>5</v>
      </c>
      <c r="O33" s="102">
        <v>5</v>
      </c>
      <c r="P33" s="102">
        <v>5</v>
      </c>
      <c r="Q33" s="102">
        <v>5</v>
      </c>
      <c r="R33" s="102">
        <v>5</v>
      </c>
      <c r="S33" s="102">
        <v>5</v>
      </c>
      <c r="T33" s="102">
        <v>5</v>
      </c>
      <c r="U33" s="102">
        <v>5</v>
      </c>
      <c r="V33" s="102">
        <v>5</v>
      </c>
      <c r="W33" s="102">
        <v>5</v>
      </c>
      <c r="X33" s="102">
        <v>5</v>
      </c>
      <c r="Y33" s="102">
        <v>5</v>
      </c>
      <c r="Z33" s="102">
        <v>5</v>
      </c>
      <c r="AA33" s="102">
        <v>5</v>
      </c>
      <c r="AB33" s="102">
        <v>5</v>
      </c>
      <c r="AC33" s="102">
        <v>5</v>
      </c>
      <c r="AD33" s="102">
        <v>5</v>
      </c>
      <c r="AE33" s="102">
        <v>5</v>
      </c>
      <c r="AF33" s="102">
        <v>5</v>
      </c>
      <c r="AG33" s="130">
        <v>22</v>
      </c>
      <c r="AH33" s="12">
        <f t="shared" si="10"/>
        <v>5</v>
      </c>
      <c r="AI33" s="11">
        <f t="shared" si="11"/>
        <v>5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25">
      <c r="A34" s="89" t="s">
        <v>233</v>
      </c>
      <c r="B34" s="102">
        <v>4.2</v>
      </c>
      <c r="C34" s="102">
        <v>4.2</v>
      </c>
      <c r="D34" s="102">
        <v>4.2</v>
      </c>
      <c r="E34" s="102">
        <v>4.2</v>
      </c>
      <c r="F34" s="102">
        <v>4.2</v>
      </c>
      <c r="G34" s="102">
        <v>4.2</v>
      </c>
      <c r="H34" s="102">
        <v>4.2</v>
      </c>
      <c r="I34" s="102">
        <v>4.2</v>
      </c>
      <c r="J34" s="102">
        <v>4.2</v>
      </c>
      <c r="K34" s="102">
        <v>4.2</v>
      </c>
      <c r="L34" s="102">
        <v>4.2</v>
      </c>
      <c r="M34" s="102">
        <v>4.2</v>
      </c>
      <c r="N34" s="102">
        <v>4.2</v>
      </c>
      <c r="O34" s="102">
        <v>4.2</v>
      </c>
      <c r="P34" s="102">
        <v>4.2</v>
      </c>
      <c r="Q34" s="102">
        <v>4.2</v>
      </c>
      <c r="R34" s="102">
        <v>4.2</v>
      </c>
      <c r="S34" s="102">
        <v>4.2</v>
      </c>
      <c r="T34" s="102">
        <v>4.2</v>
      </c>
      <c r="U34" s="102">
        <v>4.2</v>
      </c>
      <c r="V34" s="102">
        <v>4.2</v>
      </c>
      <c r="W34" s="102">
        <v>4.2</v>
      </c>
      <c r="X34" s="102">
        <v>4.2</v>
      </c>
      <c r="Y34" s="102">
        <v>4.2</v>
      </c>
      <c r="Z34" s="102">
        <v>4.2</v>
      </c>
      <c r="AA34" s="102">
        <v>4.2</v>
      </c>
      <c r="AB34" s="102">
        <v>4.2</v>
      </c>
      <c r="AC34" s="102">
        <v>4.2</v>
      </c>
      <c r="AD34" s="102">
        <v>4.2</v>
      </c>
      <c r="AE34" s="102">
        <v>4.2</v>
      </c>
      <c r="AF34" s="102">
        <v>4.2</v>
      </c>
      <c r="AG34" s="130">
        <v>22</v>
      </c>
      <c r="AH34" s="12">
        <f t="shared" si="10"/>
        <v>4.2</v>
      </c>
      <c r="AI34" s="11">
        <f t="shared" si="11"/>
        <v>4.2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25">
      <c r="A35" s="89" t="s">
        <v>232</v>
      </c>
      <c r="B35" s="102">
        <v>4</v>
      </c>
      <c r="C35" s="102">
        <v>4</v>
      </c>
      <c r="D35" s="102">
        <v>4</v>
      </c>
      <c r="E35" s="102">
        <v>4</v>
      </c>
      <c r="F35" s="102">
        <v>4</v>
      </c>
      <c r="G35" s="102">
        <v>4</v>
      </c>
      <c r="H35" s="102">
        <v>4</v>
      </c>
      <c r="I35" s="102">
        <v>4</v>
      </c>
      <c r="J35" s="102">
        <v>4</v>
      </c>
      <c r="K35" s="102">
        <v>4</v>
      </c>
      <c r="L35" s="102">
        <v>4</v>
      </c>
      <c r="M35" s="102">
        <v>4</v>
      </c>
      <c r="N35" s="102">
        <v>4</v>
      </c>
      <c r="O35" s="102">
        <v>4</v>
      </c>
      <c r="P35" s="102">
        <v>4</v>
      </c>
      <c r="Q35" s="102">
        <v>4</v>
      </c>
      <c r="R35" s="102">
        <v>4</v>
      </c>
      <c r="S35" s="102">
        <v>4</v>
      </c>
      <c r="T35" s="102">
        <v>4</v>
      </c>
      <c r="U35" s="102">
        <v>4</v>
      </c>
      <c r="V35" s="102">
        <v>4</v>
      </c>
      <c r="W35" s="102">
        <v>4</v>
      </c>
      <c r="X35" s="102">
        <v>4</v>
      </c>
      <c r="Y35" s="102">
        <v>4</v>
      </c>
      <c r="Z35" s="102">
        <v>4</v>
      </c>
      <c r="AA35" s="102">
        <v>4</v>
      </c>
      <c r="AB35" s="102">
        <v>4</v>
      </c>
      <c r="AC35" s="102">
        <v>4</v>
      </c>
      <c r="AD35" s="102">
        <v>4</v>
      </c>
      <c r="AE35" s="102">
        <v>4</v>
      </c>
      <c r="AF35" s="102">
        <v>4</v>
      </c>
      <c r="AG35" s="130">
        <v>20</v>
      </c>
      <c r="AH35" s="12">
        <f t="shared" si="10"/>
        <v>4</v>
      </c>
      <c r="AI35" s="11">
        <f t="shared" si="11"/>
        <v>4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25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10"/>
        <v>4</v>
      </c>
      <c r="AI36" s="11">
        <f t="shared" si="11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25">
      <c r="A37" s="89" t="s">
        <v>230</v>
      </c>
      <c r="B37" s="102">
        <v>5.7</v>
      </c>
      <c r="C37" s="102">
        <v>5.7</v>
      </c>
      <c r="D37" s="102">
        <v>5.7</v>
      </c>
      <c r="E37" s="102">
        <v>5.7</v>
      </c>
      <c r="F37" s="102">
        <v>5.7</v>
      </c>
      <c r="G37" s="102">
        <v>5.7</v>
      </c>
      <c r="H37" s="102">
        <v>5.7</v>
      </c>
      <c r="I37" s="102">
        <v>5.7</v>
      </c>
      <c r="J37" s="102">
        <v>5.7</v>
      </c>
      <c r="K37" s="102">
        <v>5.7</v>
      </c>
      <c r="L37" s="102">
        <v>5.7</v>
      </c>
      <c r="M37" s="102">
        <v>5.7</v>
      </c>
      <c r="N37" s="102">
        <v>5.7</v>
      </c>
      <c r="O37" s="102">
        <v>5.7</v>
      </c>
      <c r="P37" s="102">
        <v>5.7</v>
      </c>
      <c r="Q37" s="102">
        <v>5.7</v>
      </c>
      <c r="R37" s="102">
        <v>5.7</v>
      </c>
      <c r="S37" s="102">
        <v>5.7</v>
      </c>
      <c r="T37" s="102">
        <v>5.7</v>
      </c>
      <c r="U37" s="102">
        <v>5.7</v>
      </c>
      <c r="V37" s="102">
        <v>5.7</v>
      </c>
      <c r="W37" s="102">
        <v>5.7</v>
      </c>
      <c r="X37" s="102">
        <v>5.7</v>
      </c>
      <c r="Y37" s="102">
        <v>5.7</v>
      </c>
      <c r="Z37" s="102">
        <v>5.7</v>
      </c>
      <c r="AA37" s="102">
        <v>5.7</v>
      </c>
      <c r="AB37" s="102">
        <v>5.7</v>
      </c>
      <c r="AC37" s="102">
        <v>5.7</v>
      </c>
      <c r="AD37" s="102">
        <v>5.7</v>
      </c>
      <c r="AE37" s="102">
        <v>5.7</v>
      </c>
      <c r="AF37" s="102">
        <v>5.7</v>
      </c>
      <c r="AG37" s="130">
        <v>18</v>
      </c>
      <c r="AH37" s="12">
        <f t="shared" si="10"/>
        <v>5.7</v>
      </c>
      <c r="AI37" s="11">
        <f t="shared" si="11"/>
        <v>5.7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25">
      <c r="A38" s="89" t="s">
        <v>229</v>
      </c>
      <c r="B38" s="102">
        <v>7.2</v>
      </c>
      <c r="C38" s="102">
        <v>7.2</v>
      </c>
      <c r="D38" s="102">
        <v>7.2</v>
      </c>
      <c r="E38" s="102">
        <v>7.2</v>
      </c>
      <c r="F38" s="102">
        <v>7.2</v>
      </c>
      <c r="G38" s="102">
        <v>7.2</v>
      </c>
      <c r="H38" s="102">
        <v>7.2</v>
      </c>
      <c r="I38" s="102">
        <v>7.2</v>
      </c>
      <c r="J38" s="102">
        <v>7.2</v>
      </c>
      <c r="K38" s="102">
        <v>7.2</v>
      </c>
      <c r="L38" s="102">
        <v>7.2</v>
      </c>
      <c r="M38" s="102">
        <v>7.2</v>
      </c>
      <c r="N38" s="102">
        <v>7.2</v>
      </c>
      <c r="O38" s="102">
        <v>7.2</v>
      </c>
      <c r="P38" s="102">
        <v>7.2</v>
      </c>
      <c r="Q38" s="102">
        <v>7.2</v>
      </c>
      <c r="R38" s="102">
        <v>7.2</v>
      </c>
      <c r="S38" s="102">
        <v>7.2</v>
      </c>
      <c r="T38" s="102">
        <v>7.2</v>
      </c>
      <c r="U38" s="102">
        <v>7.2</v>
      </c>
      <c r="V38" s="102">
        <v>7.2</v>
      </c>
      <c r="W38" s="102">
        <v>7.2</v>
      </c>
      <c r="X38" s="102">
        <v>7.2</v>
      </c>
      <c r="Y38" s="102">
        <v>7.2</v>
      </c>
      <c r="Z38" s="102">
        <v>7.2</v>
      </c>
      <c r="AA38" s="102">
        <v>7.2</v>
      </c>
      <c r="AB38" s="102">
        <v>7.2</v>
      </c>
      <c r="AC38" s="102">
        <v>7.2</v>
      </c>
      <c r="AD38" s="102">
        <v>7.2</v>
      </c>
      <c r="AE38" s="102">
        <v>7.2</v>
      </c>
      <c r="AF38" s="102">
        <v>7.2</v>
      </c>
      <c r="AG38" s="130">
        <v>14.9</v>
      </c>
      <c r="AH38" s="12">
        <f t="shared" si="10"/>
        <v>7.2</v>
      </c>
      <c r="AI38" s="11">
        <f t="shared" si="11"/>
        <v>7.2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25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10"/>
        <v>0</v>
      </c>
      <c r="AI39" s="11">
        <f t="shared" si="11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25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10"/>
        <v>8</v>
      </c>
      <c r="AI40" s="11">
        <f t="shared" si="11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25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10"/>
        <v>4</v>
      </c>
      <c r="AI41" s="11">
        <f t="shared" si="11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25">
      <c r="A42" s="89" t="s">
        <v>225</v>
      </c>
      <c r="B42" s="102">
        <v>1.8</v>
      </c>
      <c r="C42" s="102">
        <v>1.8</v>
      </c>
      <c r="D42" s="102">
        <v>1.8</v>
      </c>
      <c r="E42" s="102">
        <v>1.8</v>
      </c>
      <c r="F42" s="102">
        <v>1.8</v>
      </c>
      <c r="G42" s="102">
        <v>1.8</v>
      </c>
      <c r="H42" s="102">
        <v>1.8</v>
      </c>
      <c r="I42" s="102">
        <v>1.8</v>
      </c>
      <c r="J42" s="102">
        <v>1.8</v>
      </c>
      <c r="K42" s="102">
        <v>1.8</v>
      </c>
      <c r="L42" s="102">
        <v>1.8</v>
      </c>
      <c r="M42" s="102">
        <v>1.8</v>
      </c>
      <c r="N42" s="102">
        <v>1.8</v>
      </c>
      <c r="O42" s="102">
        <v>1.8</v>
      </c>
      <c r="P42" s="102">
        <v>1.8</v>
      </c>
      <c r="Q42" s="102">
        <v>1.8</v>
      </c>
      <c r="R42" s="102">
        <v>1.8</v>
      </c>
      <c r="S42" s="102">
        <v>1.8</v>
      </c>
      <c r="T42" s="102">
        <v>1.8</v>
      </c>
      <c r="U42" s="102">
        <v>1.8</v>
      </c>
      <c r="V42" s="102">
        <v>1.8</v>
      </c>
      <c r="W42" s="102">
        <v>1.8</v>
      </c>
      <c r="X42" s="102">
        <v>1.8</v>
      </c>
      <c r="Y42" s="102">
        <v>1.8</v>
      </c>
      <c r="Z42" s="102">
        <v>1.8</v>
      </c>
      <c r="AA42" s="102">
        <v>1.8</v>
      </c>
      <c r="AB42" s="102">
        <v>1.8</v>
      </c>
      <c r="AC42" s="102">
        <v>1.8</v>
      </c>
      <c r="AD42" s="102">
        <v>1.8</v>
      </c>
      <c r="AE42" s="102">
        <v>1.8</v>
      </c>
      <c r="AF42" s="102">
        <v>1.8</v>
      </c>
      <c r="AG42" s="130">
        <v>13.6</v>
      </c>
      <c r="AH42" s="12">
        <f t="shared" si="10"/>
        <v>1.8</v>
      </c>
      <c r="AI42" s="11">
        <f t="shared" si="11"/>
        <v>1.8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25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10"/>
        <v>3.8</v>
      </c>
      <c r="AI43" s="11">
        <f t="shared" si="11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25">
      <c r="A44" s="89" t="s">
        <v>223</v>
      </c>
      <c r="B44" s="102">
        <v>6.4</v>
      </c>
      <c r="C44" s="102">
        <v>6.4</v>
      </c>
      <c r="D44" s="102">
        <v>6.4</v>
      </c>
      <c r="E44" s="102">
        <v>6.4</v>
      </c>
      <c r="F44" s="102">
        <v>6.4</v>
      </c>
      <c r="G44" s="102">
        <v>6.4</v>
      </c>
      <c r="H44" s="102">
        <v>6.4</v>
      </c>
      <c r="I44" s="102">
        <v>6.4</v>
      </c>
      <c r="J44" s="102">
        <v>6.4</v>
      </c>
      <c r="K44" s="102">
        <v>6.4</v>
      </c>
      <c r="L44" s="102">
        <v>6.4</v>
      </c>
      <c r="M44" s="102">
        <v>6.4</v>
      </c>
      <c r="N44" s="102">
        <v>6.4</v>
      </c>
      <c r="O44" s="102">
        <v>6.4</v>
      </c>
      <c r="P44" s="102">
        <v>6.4</v>
      </c>
      <c r="Q44" s="102">
        <v>6.4</v>
      </c>
      <c r="R44" s="102">
        <v>6.4</v>
      </c>
      <c r="S44" s="102">
        <v>6.4</v>
      </c>
      <c r="T44" s="102">
        <v>6.4</v>
      </c>
      <c r="U44" s="102">
        <v>6.4</v>
      </c>
      <c r="V44" s="102">
        <v>6.4</v>
      </c>
      <c r="W44" s="102">
        <v>6.4</v>
      </c>
      <c r="X44" s="102">
        <v>6.4</v>
      </c>
      <c r="Y44" s="102">
        <v>6.4</v>
      </c>
      <c r="Z44" s="102">
        <v>6.4</v>
      </c>
      <c r="AA44" s="102">
        <v>6.4</v>
      </c>
      <c r="AB44" s="102">
        <v>6.4</v>
      </c>
      <c r="AC44" s="102">
        <v>6.4</v>
      </c>
      <c r="AD44" s="102">
        <v>6.4</v>
      </c>
      <c r="AE44" s="102">
        <v>6.4</v>
      </c>
      <c r="AF44" s="102">
        <v>6.4</v>
      </c>
      <c r="AG44" s="130">
        <v>12</v>
      </c>
      <c r="AH44" s="12">
        <f t="shared" si="10"/>
        <v>6.4</v>
      </c>
      <c r="AI44" s="11">
        <f t="shared" si="11"/>
        <v>6.4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25">
      <c r="A45" s="89" t="s">
        <v>222</v>
      </c>
      <c r="B45" s="102">
        <v>9</v>
      </c>
      <c r="C45" s="102">
        <v>9</v>
      </c>
      <c r="D45" s="102">
        <v>9</v>
      </c>
      <c r="E45" s="102">
        <v>9</v>
      </c>
      <c r="F45" s="102">
        <v>9</v>
      </c>
      <c r="G45" s="102">
        <v>9</v>
      </c>
      <c r="H45" s="102">
        <v>9</v>
      </c>
      <c r="I45" s="102">
        <v>9</v>
      </c>
      <c r="J45" s="102">
        <v>9</v>
      </c>
      <c r="K45" s="102">
        <v>9</v>
      </c>
      <c r="L45" s="102">
        <v>9</v>
      </c>
      <c r="M45" s="102">
        <v>9</v>
      </c>
      <c r="N45" s="102">
        <v>9</v>
      </c>
      <c r="O45" s="102">
        <v>9</v>
      </c>
      <c r="P45" s="102">
        <v>9</v>
      </c>
      <c r="Q45" s="102">
        <v>9</v>
      </c>
      <c r="R45" s="102">
        <v>9</v>
      </c>
      <c r="S45" s="102">
        <v>9</v>
      </c>
      <c r="T45" s="102">
        <v>9</v>
      </c>
      <c r="U45" s="102">
        <v>9</v>
      </c>
      <c r="V45" s="102">
        <v>9</v>
      </c>
      <c r="W45" s="102">
        <v>9</v>
      </c>
      <c r="X45" s="102">
        <v>9</v>
      </c>
      <c r="Y45" s="102">
        <v>9</v>
      </c>
      <c r="Z45" s="102">
        <v>9</v>
      </c>
      <c r="AA45" s="102">
        <v>9</v>
      </c>
      <c r="AB45" s="102">
        <v>9</v>
      </c>
      <c r="AC45" s="102">
        <v>9</v>
      </c>
      <c r="AD45" s="102">
        <v>9</v>
      </c>
      <c r="AE45" s="102">
        <v>9</v>
      </c>
      <c r="AF45" s="102">
        <v>9</v>
      </c>
      <c r="AG45" s="130">
        <v>12</v>
      </c>
      <c r="AH45" s="12">
        <f t="shared" si="10"/>
        <v>9</v>
      </c>
      <c r="AI45" s="11">
        <f t="shared" si="11"/>
        <v>9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25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10"/>
        <v>3</v>
      </c>
      <c r="AI46" s="11">
        <f t="shared" si="11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25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10"/>
        <v>3.5</v>
      </c>
      <c r="AI47" s="11">
        <f t="shared" si="11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25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10"/>
        <v>5</v>
      </c>
      <c r="AI48" s="11">
        <f t="shared" si="11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25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10"/>
        <v>3</v>
      </c>
      <c r="AI49" s="11">
        <f t="shared" si="11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25">
      <c r="A50" s="87" t="s">
        <v>217</v>
      </c>
      <c r="B50" s="102">
        <v>2.5</v>
      </c>
      <c r="C50" s="102">
        <v>2.5</v>
      </c>
      <c r="D50" s="102">
        <v>2.5</v>
      </c>
      <c r="E50" s="102">
        <v>2.5</v>
      </c>
      <c r="F50" s="102">
        <v>2.5</v>
      </c>
      <c r="G50" s="102">
        <v>2.5</v>
      </c>
      <c r="H50" s="102">
        <v>2.5</v>
      </c>
      <c r="I50" s="102">
        <v>2.5</v>
      </c>
      <c r="J50" s="102">
        <v>2.5</v>
      </c>
      <c r="K50" s="102">
        <v>2.5</v>
      </c>
      <c r="L50" s="102">
        <v>2.5</v>
      </c>
      <c r="M50" s="102">
        <v>2.5</v>
      </c>
      <c r="N50" s="102">
        <v>2.5</v>
      </c>
      <c r="O50" s="102">
        <v>2.5</v>
      </c>
      <c r="P50" s="102">
        <v>2.5</v>
      </c>
      <c r="Q50" s="102">
        <v>2.5</v>
      </c>
      <c r="R50" s="102">
        <v>2.5</v>
      </c>
      <c r="S50" s="102">
        <v>2.5</v>
      </c>
      <c r="T50" s="102">
        <v>2.5</v>
      </c>
      <c r="U50" s="102">
        <v>2.5</v>
      </c>
      <c r="V50" s="102">
        <v>2.5</v>
      </c>
      <c r="W50" s="102">
        <v>2.5</v>
      </c>
      <c r="X50" s="102">
        <v>2.5</v>
      </c>
      <c r="Y50" s="102">
        <v>2.5</v>
      </c>
      <c r="Z50" s="102">
        <v>2.5</v>
      </c>
      <c r="AA50" s="102">
        <v>2.5</v>
      </c>
      <c r="AB50" s="102">
        <v>2.5</v>
      </c>
      <c r="AC50" s="102">
        <v>2.5</v>
      </c>
      <c r="AD50" s="102">
        <v>2.5</v>
      </c>
      <c r="AE50" s="102">
        <v>2.5</v>
      </c>
      <c r="AF50" s="102">
        <v>2.5</v>
      </c>
      <c r="AG50" s="86">
        <v>11</v>
      </c>
      <c r="AH50" s="12">
        <f t="shared" si="10"/>
        <v>2.5</v>
      </c>
      <c r="AI50" s="11">
        <f t="shared" si="11"/>
        <v>2.5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25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10"/>
        <v>3</v>
      </c>
      <c r="AI51" s="11">
        <f t="shared" si="11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25">
      <c r="A52" s="87" t="s">
        <v>215</v>
      </c>
      <c r="B52" s="102">
        <v>4</v>
      </c>
      <c r="C52" s="102">
        <v>4</v>
      </c>
      <c r="D52" s="102">
        <v>4</v>
      </c>
      <c r="E52" s="102">
        <v>4</v>
      </c>
      <c r="F52" s="102">
        <v>4</v>
      </c>
      <c r="G52" s="102">
        <v>4</v>
      </c>
      <c r="H52" s="102">
        <v>4</v>
      </c>
      <c r="I52" s="102">
        <v>4</v>
      </c>
      <c r="J52" s="102">
        <v>4</v>
      </c>
      <c r="K52" s="102">
        <v>4</v>
      </c>
      <c r="L52" s="102">
        <v>4</v>
      </c>
      <c r="M52" s="102">
        <v>4</v>
      </c>
      <c r="N52" s="102">
        <v>4</v>
      </c>
      <c r="O52" s="102">
        <v>4</v>
      </c>
      <c r="P52" s="102">
        <v>4</v>
      </c>
      <c r="Q52" s="102">
        <v>4</v>
      </c>
      <c r="R52" s="102">
        <v>4</v>
      </c>
      <c r="S52" s="102">
        <v>4</v>
      </c>
      <c r="T52" s="102">
        <v>4</v>
      </c>
      <c r="U52" s="102">
        <v>4</v>
      </c>
      <c r="V52" s="102">
        <v>4</v>
      </c>
      <c r="W52" s="102">
        <v>4</v>
      </c>
      <c r="X52" s="102">
        <v>4</v>
      </c>
      <c r="Y52" s="102">
        <v>4</v>
      </c>
      <c r="Z52" s="102">
        <v>4</v>
      </c>
      <c r="AA52" s="102">
        <v>4</v>
      </c>
      <c r="AB52" s="102">
        <v>4</v>
      </c>
      <c r="AC52" s="102">
        <v>4</v>
      </c>
      <c r="AD52" s="102">
        <v>4</v>
      </c>
      <c r="AE52" s="102">
        <v>4</v>
      </c>
      <c r="AF52" s="102">
        <v>4</v>
      </c>
      <c r="AG52" s="86">
        <v>10</v>
      </c>
      <c r="AH52" s="12">
        <f t="shared" si="10"/>
        <v>4</v>
      </c>
      <c r="AI52" s="11">
        <f t="shared" si="11"/>
        <v>4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25">
      <c r="A53" s="87" t="s">
        <v>214</v>
      </c>
      <c r="B53" s="102">
        <v>4.5</v>
      </c>
      <c r="C53" s="102">
        <v>4.5</v>
      </c>
      <c r="D53" s="102">
        <v>4.5</v>
      </c>
      <c r="E53" s="102">
        <v>4.5</v>
      </c>
      <c r="F53" s="102">
        <v>4.5</v>
      </c>
      <c r="G53" s="102">
        <v>4.5</v>
      </c>
      <c r="H53" s="102">
        <v>4.5</v>
      </c>
      <c r="I53" s="102">
        <v>4.5</v>
      </c>
      <c r="J53" s="102">
        <v>4.5</v>
      </c>
      <c r="K53" s="102">
        <v>4.5</v>
      </c>
      <c r="L53" s="102">
        <v>4.5</v>
      </c>
      <c r="M53" s="102">
        <v>4.5</v>
      </c>
      <c r="N53" s="102">
        <v>4.5</v>
      </c>
      <c r="O53" s="102">
        <v>4.5</v>
      </c>
      <c r="P53" s="102">
        <v>4.5</v>
      </c>
      <c r="Q53" s="102">
        <v>4.5</v>
      </c>
      <c r="R53" s="102">
        <v>4.5</v>
      </c>
      <c r="S53" s="102">
        <v>4.5</v>
      </c>
      <c r="T53" s="102">
        <v>4.5</v>
      </c>
      <c r="U53" s="102">
        <v>4.5</v>
      </c>
      <c r="V53" s="102">
        <v>4.5</v>
      </c>
      <c r="W53" s="102">
        <v>4.5</v>
      </c>
      <c r="X53" s="102">
        <v>4.5</v>
      </c>
      <c r="Y53" s="102">
        <v>4.5</v>
      </c>
      <c r="Z53" s="102">
        <v>4.5</v>
      </c>
      <c r="AA53" s="102">
        <v>4.5</v>
      </c>
      <c r="AB53" s="102">
        <v>4.5</v>
      </c>
      <c r="AC53" s="102">
        <v>4.5</v>
      </c>
      <c r="AD53" s="102">
        <v>4.5</v>
      </c>
      <c r="AE53" s="102">
        <v>4.5</v>
      </c>
      <c r="AF53" s="102">
        <v>4.5</v>
      </c>
      <c r="AG53" s="86">
        <v>10</v>
      </c>
      <c r="AH53" s="12">
        <f t="shared" si="10"/>
        <v>4.5</v>
      </c>
      <c r="AI53" s="11">
        <f t="shared" si="11"/>
        <v>4.5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25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10"/>
        <v>0</v>
      </c>
      <c r="AI54" s="11">
        <f t="shared" si="11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25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10"/>
        <v>0</v>
      </c>
      <c r="AI55" s="11">
        <f t="shared" si="11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25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10"/>
        <v>150</v>
      </c>
      <c r="AI56" s="11">
        <f t="shared" si="11"/>
        <v>150</v>
      </c>
      <c r="AK56" s="19"/>
    </row>
    <row r="57" spans="1:88" ht="15.75" thickBot="1" x14ac:dyDescent="0.3">
      <c r="A57" s="124" t="s">
        <v>210</v>
      </c>
      <c r="B57" s="122">
        <v>28</v>
      </c>
      <c r="C57" s="122">
        <v>28</v>
      </c>
      <c r="D57" s="122">
        <v>31.8</v>
      </c>
      <c r="E57" s="122">
        <v>31.8</v>
      </c>
      <c r="F57" s="122">
        <v>31.8</v>
      </c>
      <c r="G57" s="122">
        <v>31.8</v>
      </c>
      <c r="H57" s="122">
        <v>31.8</v>
      </c>
      <c r="I57" s="122">
        <v>31.8</v>
      </c>
      <c r="J57" s="122">
        <v>31.8</v>
      </c>
      <c r="K57" s="122">
        <v>31.8</v>
      </c>
      <c r="L57" s="122">
        <v>29</v>
      </c>
      <c r="M57" s="123">
        <f>14.5+10.2</f>
        <v>24.7</v>
      </c>
      <c r="N57" s="123">
        <f>15.7+10.9</f>
        <v>26.6</v>
      </c>
      <c r="O57" s="123">
        <v>27.7</v>
      </c>
      <c r="P57" s="123">
        <f>17.8+11.5</f>
        <v>29.3</v>
      </c>
      <c r="Q57" s="123">
        <f>16.7+10.5</f>
        <v>27.2</v>
      </c>
      <c r="R57" s="123">
        <f>17.6+11</f>
        <v>28.6</v>
      </c>
      <c r="S57" s="123">
        <f>10.4+16.9</f>
        <v>27.299999999999997</v>
      </c>
      <c r="T57" s="123">
        <f>10.4+16.9</f>
        <v>27.299999999999997</v>
      </c>
      <c r="U57" s="123">
        <f>8.8+15.9</f>
        <v>24.700000000000003</v>
      </c>
      <c r="V57" s="123">
        <f>8.8+15.9</f>
        <v>24.700000000000003</v>
      </c>
      <c r="W57" s="123">
        <v>27.1</v>
      </c>
      <c r="X57" s="123">
        <v>27.1</v>
      </c>
      <c r="Y57" s="123">
        <v>23.1</v>
      </c>
      <c r="Z57" s="122">
        <v>19.600000000000001</v>
      </c>
      <c r="AA57" s="122">
        <v>19.600000000000001</v>
      </c>
      <c r="AB57" s="122">
        <v>19.600000000000001</v>
      </c>
      <c r="AC57" s="122">
        <v>19.600000000000001</v>
      </c>
      <c r="AD57" s="122">
        <v>19.600000000000001</v>
      </c>
      <c r="AE57" s="122">
        <v>19.600000000000001</v>
      </c>
      <c r="AF57" s="122">
        <v>19.600000000000001</v>
      </c>
      <c r="AG57" s="86">
        <v>240</v>
      </c>
      <c r="AH57" s="12">
        <f t="shared" si="10"/>
        <v>31.8</v>
      </c>
      <c r="AI57" s="11">
        <f t="shared" si="11"/>
        <v>19.600000000000001</v>
      </c>
      <c r="AK57" s="19"/>
    </row>
    <row r="58" spans="1:88" ht="15.75" thickBot="1" x14ac:dyDescent="0.3">
      <c r="A58" s="121" t="s">
        <v>209</v>
      </c>
      <c r="B58" s="76">
        <f t="shared" ref="B58:AF58" si="29">SUM(B11:B56)</f>
        <v>472.09999999999997</v>
      </c>
      <c r="C58" s="76">
        <f t="shared" si="29"/>
        <v>472.09999999999997</v>
      </c>
      <c r="D58" s="76">
        <f t="shared" si="29"/>
        <v>472.09999999999997</v>
      </c>
      <c r="E58" s="76">
        <f t="shared" si="29"/>
        <v>470.2</v>
      </c>
      <c r="F58" s="76">
        <f t="shared" si="29"/>
        <v>470.2</v>
      </c>
      <c r="G58" s="76">
        <f t="shared" si="29"/>
        <v>470.2</v>
      </c>
      <c r="H58" s="76">
        <f t="shared" si="29"/>
        <v>470.2</v>
      </c>
      <c r="I58" s="76">
        <f t="shared" si="29"/>
        <v>470.2</v>
      </c>
      <c r="J58" s="76">
        <f t="shared" si="29"/>
        <v>470.2</v>
      </c>
      <c r="K58" s="76">
        <f t="shared" si="29"/>
        <v>470.2</v>
      </c>
      <c r="L58" s="76">
        <f t="shared" si="29"/>
        <v>470.2</v>
      </c>
      <c r="M58" s="76">
        <f t="shared" si="29"/>
        <v>468.5</v>
      </c>
      <c r="N58" s="76">
        <f t="shared" si="29"/>
        <v>465.4</v>
      </c>
      <c r="O58" s="76">
        <f t="shared" si="29"/>
        <v>466.9</v>
      </c>
      <c r="P58" s="76">
        <f t="shared" si="29"/>
        <v>463.29999999999995</v>
      </c>
      <c r="Q58" s="76">
        <f t="shared" si="29"/>
        <v>469</v>
      </c>
      <c r="R58" s="76">
        <f t="shared" si="29"/>
        <v>466.9</v>
      </c>
      <c r="S58" s="76">
        <f t="shared" si="29"/>
        <v>466.9</v>
      </c>
      <c r="T58" s="76">
        <f t="shared" si="29"/>
        <v>466.9</v>
      </c>
      <c r="U58" s="76">
        <f t="shared" si="29"/>
        <v>466.9</v>
      </c>
      <c r="V58" s="76">
        <f t="shared" si="29"/>
        <v>466.9</v>
      </c>
      <c r="W58" s="76">
        <f t="shared" si="29"/>
        <v>466.9</v>
      </c>
      <c r="X58" s="76">
        <f t="shared" si="29"/>
        <v>466.9</v>
      </c>
      <c r="Y58" s="76">
        <f t="shared" si="29"/>
        <v>466.9</v>
      </c>
      <c r="Z58" s="76">
        <f t="shared" ref="Z58:AA58" si="30">SUM(Z11:Z57)</f>
        <v>486.5</v>
      </c>
      <c r="AA58" s="76">
        <f t="shared" si="30"/>
        <v>486.5</v>
      </c>
      <c r="AB58" s="76">
        <f t="shared" si="29"/>
        <v>466.9</v>
      </c>
      <c r="AC58" s="76">
        <f t="shared" si="29"/>
        <v>466.9</v>
      </c>
      <c r="AD58" s="76">
        <f t="shared" si="29"/>
        <v>466.9</v>
      </c>
      <c r="AE58" s="76">
        <f t="shared" si="29"/>
        <v>466.9</v>
      </c>
      <c r="AF58" s="76">
        <f t="shared" si="29"/>
        <v>466.9</v>
      </c>
      <c r="AG58" s="93">
        <f>SUM(AG14:AG56)</f>
        <v>1042.4000000000001</v>
      </c>
      <c r="AH58" s="12">
        <f t="shared" si="10"/>
        <v>486.5</v>
      </c>
      <c r="AI58" s="11">
        <f t="shared" si="11"/>
        <v>463.29999999999995</v>
      </c>
      <c r="AK58" s="19"/>
    </row>
    <row r="59" spans="1:88" x14ac:dyDescent="0.25">
      <c r="A59" s="120" t="s">
        <v>208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50</v>
      </c>
      <c r="H59" s="102">
        <v>90.6</v>
      </c>
      <c r="I59" s="102">
        <v>152.69999999999999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19">
        <v>0</v>
      </c>
      <c r="P59" s="119">
        <v>0</v>
      </c>
      <c r="Q59" s="119">
        <v>0</v>
      </c>
      <c r="R59" s="119">
        <v>0</v>
      </c>
      <c r="S59" s="119">
        <v>76</v>
      </c>
      <c r="T59" s="119">
        <v>76.400000000000006</v>
      </c>
      <c r="U59" s="119">
        <v>76</v>
      </c>
      <c r="V59" s="119">
        <v>65</v>
      </c>
      <c r="W59" s="119">
        <v>55</v>
      </c>
      <c r="X59" s="119">
        <v>55</v>
      </c>
      <c r="Y59" s="119">
        <v>456</v>
      </c>
      <c r="Z59" s="102">
        <v>420</v>
      </c>
      <c r="AA59" s="102">
        <v>410</v>
      </c>
      <c r="AB59" s="102">
        <v>360</v>
      </c>
      <c r="AC59" s="102">
        <v>360</v>
      </c>
      <c r="AD59" s="102">
        <v>330</v>
      </c>
      <c r="AE59" s="102">
        <v>330</v>
      </c>
      <c r="AF59" s="102">
        <v>100</v>
      </c>
      <c r="AG59" s="88">
        <v>456</v>
      </c>
      <c r="AH59" s="12">
        <f t="shared" si="10"/>
        <v>456</v>
      </c>
      <c r="AI59" s="11">
        <f t="shared" si="11"/>
        <v>0</v>
      </c>
      <c r="AK59" s="19"/>
    </row>
    <row r="60" spans="1:88" x14ac:dyDescent="0.25">
      <c r="A60" s="118" t="s">
        <v>207</v>
      </c>
      <c r="B60" s="70">
        <v>21.4</v>
      </c>
      <c r="C60" s="70">
        <v>22.9</v>
      </c>
      <c r="D60" s="70">
        <v>28</v>
      </c>
      <c r="E60" s="70">
        <v>28</v>
      </c>
      <c r="F60" s="70">
        <v>28</v>
      </c>
      <c r="G60" s="70">
        <v>28</v>
      </c>
      <c r="H60" s="70">
        <v>28</v>
      </c>
      <c r="I60" s="70">
        <v>28</v>
      </c>
      <c r="J60" s="70">
        <v>28</v>
      </c>
      <c r="K60" s="70">
        <v>28</v>
      </c>
      <c r="L60" s="70">
        <v>28</v>
      </c>
      <c r="M60" s="70">
        <v>28</v>
      </c>
      <c r="N60" s="70">
        <v>28</v>
      </c>
      <c r="O60" s="70">
        <v>28</v>
      </c>
      <c r="P60" s="70">
        <v>28</v>
      </c>
      <c r="Q60" s="70">
        <v>28</v>
      </c>
      <c r="R60" s="70">
        <v>28</v>
      </c>
      <c r="S60" s="70">
        <v>22.9</v>
      </c>
      <c r="T60" s="70">
        <v>22.6</v>
      </c>
      <c r="U60" s="70">
        <v>21.6</v>
      </c>
      <c r="V60" s="70">
        <v>21.6</v>
      </c>
      <c r="W60" s="70">
        <v>21.6</v>
      </c>
      <c r="X60" s="70">
        <v>21.6</v>
      </c>
      <c r="Y60" s="70">
        <v>21.6</v>
      </c>
      <c r="Z60" s="70">
        <v>21.6</v>
      </c>
      <c r="AA60" s="70">
        <v>21.6</v>
      </c>
      <c r="AB60" s="70">
        <v>21.6</v>
      </c>
      <c r="AC60" s="70">
        <v>21.6</v>
      </c>
      <c r="AD60" s="70">
        <v>21.6</v>
      </c>
      <c r="AE60" s="70">
        <v>21.6</v>
      </c>
      <c r="AF60" s="70">
        <v>21.6</v>
      </c>
      <c r="AG60" s="86">
        <v>60</v>
      </c>
      <c r="AH60" s="12">
        <f t="shared" si="10"/>
        <v>28</v>
      </c>
      <c r="AI60" s="11">
        <f t="shared" si="11"/>
        <v>21.4</v>
      </c>
      <c r="AK60" s="19"/>
    </row>
    <row r="61" spans="1:88" ht="15.75" thickBot="1" x14ac:dyDescent="0.3">
      <c r="A61" s="117" t="s">
        <v>206</v>
      </c>
      <c r="B61" s="110">
        <v>10.7</v>
      </c>
      <c r="C61" s="110">
        <v>10.7</v>
      </c>
      <c r="D61" s="110">
        <v>10.6</v>
      </c>
      <c r="E61" s="110">
        <v>10.6</v>
      </c>
      <c r="F61" s="110">
        <v>10.6</v>
      </c>
      <c r="G61" s="110">
        <v>10.6</v>
      </c>
      <c r="H61" s="110">
        <v>10.6</v>
      </c>
      <c r="I61" s="110">
        <v>10.7</v>
      </c>
      <c r="J61" s="110">
        <v>10.199999999999999</v>
      </c>
      <c r="K61" s="110">
        <v>10.199999999999999</v>
      </c>
      <c r="L61" s="110">
        <v>10.199999999999999</v>
      </c>
      <c r="M61" s="110">
        <v>10.1</v>
      </c>
      <c r="N61" s="110">
        <v>10.1</v>
      </c>
      <c r="O61" s="110">
        <v>10.1</v>
      </c>
      <c r="P61" s="110">
        <v>10.1</v>
      </c>
      <c r="Q61" s="110">
        <v>10.1</v>
      </c>
      <c r="R61" s="110">
        <v>10.1</v>
      </c>
      <c r="S61" s="110">
        <v>8.8000000000000007</v>
      </c>
      <c r="T61" s="110">
        <v>8.8000000000000007</v>
      </c>
      <c r="U61" s="110">
        <v>8.8000000000000007</v>
      </c>
      <c r="V61" s="110">
        <v>8.8000000000000007</v>
      </c>
      <c r="W61" s="110">
        <v>8.8000000000000007</v>
      </c>
      <c r="X61" s="110">
        <v>8.8000000000000007</v>
      </c>
      <c r="Y61" s="110">
        <v>8.8000000000000007</v>
      </c>
      <c r="Z61" s="110">
        <v>8.8000000000000007</v>
      </c>
      <c r="AA61" s="110">
        <v>8.8000000000000007</v>
      </c>
      <c r="AB61" s="110">
        <v>8.8000000000000007</v>
      </c>
      <c r="AC61" s="110">
        <v>8.8000000000000007</v>
      </c>
      <c r="AD61" s="110">
        <v>8.8000000000000007</v>
      </c>
      <c r="AE61" s="110">
        <v>8.8000000000000007</v>
      </c>
      <c r="AF61" s="110">
        <v>8.8000000000000007</v>
      </c>
      <c r="AG61" s="109">
        <v>22.1</v>
      </c>
      <c r="AH61" s="12">
        <f t="shared" si="10"/>
        <v>10.7</v>
      </c>
      <c r="AI61" s="11">
        <f t="shared" si="11"/>
        <v>8.8000000000000007</v>
      </c>
      <c r="AK61" s="19"/>
    </row>
    <row r="62" spans="1:88" ht="15.75" thickBot="1" x14ac:dyDescent="0.3">
      <c r="A62" s="116" t="s">
        <v>205</v>
      </c>
      <c r="B62" s="76">
        <f t="shared" ref="B62:AG62" si="31">SUM(B59:B61)</f>
        <v>32.099999999999994</v>
      </c>
      <c r="C62" s="76">
        <f t="shared" si="31"/>
        <v>33.599999999999994</v>
      </c>
      <c r="D62" s="76">
        <f t="shared" si="31"/>
        <v>38.6</v>
      </c>
      <c r="E62" s="76">
        <f t="shared" si="31"/>
        <v>38.6</v>
      </c>
      <c r="F62" s="76">
        <f t="shared" si="31"/>
        <v>38.6</v>
      </c>
      <c r="G62" s="76">
        <f t="shared" si="31"/>
        <v>88.6</v>
      </c>
      <c r="H62" s="76">
        <f t="shared" si="31"/>
        <v>129.19999999999999</v>
      </c>
      <c r="I62" s="76">
        <f t="shared" si="31"/>
        <v>191.39999999999998</v>
      </c>
      <c r="J62" s="76">
        <f t="shared" si="31"/>
        <v>38.200000000000003</v>
      </c>
      <c r="K62" s="76">
        <f t="shared" si="31"/>
        <v>38.200000000000003</v>
      </c>
      <c r="L62" s="76">
        <f t="shared" si="31"/>
        <v>38.200000000000003</v>
      </c>
      <c r="M62" s="76">
        <f t="shared" si="31"/>
        <v>38.1</v>
      </c>
      <c r="N62" s="76">
        <f t="shared" si="31"/>
        <v>38.1</v>
      </c>
      <c r="O62" s="76">
        <f t="shared" si="31"/>
        <v>38.1</v>
      </c>
      <c r="P62" s="76">
        <f t="shared" si="31"/>
        <v>38.1</v>
      </c>
      <c r="Q62" s="76">
        <f t="shared" si="31"/>
        <v>38.1</v>
      </c>
      <c r="R62" s="76">
        <f t="shared" si="31"/>
        <v>38.1</v>
      </c>
      <c r="S62" s="76">
        <f t="shared" si="31"/>
        <v>107.7</v>
      </c>
      <c r="T62" s="76">
        <f t="shared" si="31"/>
        <v>107.8</v>
      </c>
      <c r="U62" s="76">
        <f t="shared" si="31"/>
        <v>106.39999999999999</v>
      </c>
      <c r="V62" s="76">
        <f t="shared" si="31"/>
        <v>95.399999999999991</v>
      </c>
      <c r="W62" s="76">
        <f t="shared" si="31"/>
        <v>85.399999999999991</v>
      </c>
      <c r="X62" s="76">
        <f t="shared" si="31"/>
        <v>85.399999999999991</v>
      </c>
      <c r="Y62" s="76">
        <f t="shared" si="31"/>
        <v>486.40000000000003</v>
      </c>
      <c r="Z62" s="76">
        <f t="shared" si="31"/>
        <v>450.40000000000003</v>
      </c>
      <c r="AA62" s="76">
        <f t="shared" si="31"/>
        <v>440.40000000000003</v>
      </c>
      <c r="AB62" s="76">
        <f t="shared" si="31"/>
        <v>390.40000000000003</v>
      </c>
      <c r="AC62" s="76">
        <f t="shared" si="31"/>
        <v>390.40000000000003</v>
      </c>
      <c r="AD62" s="76">
        <f t="shared" si="31"/>
        <v>360.40000000000003</v>
      </c>
      <c r="AE62" s="76">
        <f t="shared" si="31"/>
        <v>360.40000000000003</v>
      </c>
      <c r="AF62" s="76">
        <f t="shared" si="31"/>
        <v>130.4</v>
      </c>
      <c r="AG62" s="93">
        <f t="shared" si="31"/>
        <v>538.1</v>
      </c>
      <c r="AH62" s="12">
        <f t="shared" si="10"/>
        <v>486.40000000000003</v>
      </c>
      <c r="AI62" s="11">
        <f t="shared" si="11"/>
        <v>32.099999999999994</v>
      </c>
      <c r="AK62" s="19"/>
    </row>
    <row r="63" spans="1:88" x14ac:dyDescent="0.25">
      <c r="A63" s="89" t="s">
        <v>204</v>
      </c>
      <c r="B63" s="102">
        <v>30</v>
      </c>
      <c r="C63" s="102">
        <v>30.3</v>
      </c>
      <c r="D63" s="102">
        <v>0</v>
      </c>
      <c r="E63" s="102">
        <v>0</v>
      </c>
      <c r="F63" s="102">
        <v>0</v>
      </c>
      <c r="G63" s="102">
        <v>0</v>
      </c>
      <c r="H63" s="102">
        <v>30.3</v>
      </c>
      <c r="I63" s="102">
        <v>46.8</v>
      </c>
      <c r="J63" s="102">
        <v>48.4</v>
      </c>
      <c r="K63" s="102">
        <v>61.7</v>
      </c>
      <c r="L63" s="102">
        <v>69.7</v>
      </c>
      <c r="M63" s="102">
        <v>81.3</v>
      </c>
      <c r="N63" s="102">
        <v>62.3</v>
      </c>
      <c r="O63" s="102">
        <v>60.8</v>
      </c>
      <c r="P63" s="102">
        <v>61.1</v>
      </c>
      <c r="Q63" s="102">
        <v>61.1</v>
      </c>
      <c r="R63" s="102">
        <v>30.8</v>
      </c>
      <c r="S63" s="102">
        <v>30.1</v>
      </c>
      <c r="T63" s="102">
        <v>49.2</v>
      </c>
      <c r="U63" s="102">
        <v>48.6</v>
      </c>
      <c r="V63" s="102">
        <v>61.2</v>
      </c>
      <c r="W63" s="102">
        <v>60.9</v>
      </c>
      <c r="X63" s="102">
        <v>62.5</v>
      </c>
      <c r="Y63" s="102">
        <v>144.9</v>
      </c>
      <c r="Z63" s="102">
        <v>139.6</v>
      </c>
      <c r="AA63" s="102">
        <v>121.6</v>
      </c>
      <c r="AB63" s="102">
        <v>97.5</v>
      </c>
      <c r="AC63" s="102">
        <v>97.5</v>
      </c>
      <c r="AD63" s="102">
        <v>80.099999999999994</v>
      </c>
      <c r="AE63" s="102">
        <v>48</v>
      </c>
      <c r="AF63" s="102">
        <v>48</v>
      </c>
      <c r="AG63" s="88">
        <v>144</v>
      </c>
      <c r="AH63" s="12">
        <f t="shared" si="10"/>
        <v>144.9</v>
      </c>
      <c r="AI63" s="11">
        <f t="shared" si="11"/>
        <v>0</v>
      </c>
      <c r="AK63" s="19"/>
    </row>
    <row r="64" spans="1:88" x14ac:dyDescent="0.25">
      <c r="A64" s="87" t="s">
        <v>203</v>
      </c>
      <c r="B64" s="70">
        <v>25.3</v>
      </c>
      <c r="C64" s="70">
        <v>25.4</v>
      </c>
      <c r="D64" s="70">
        <v>0</v>
      </c>
      <c r="E64" s="70">
        <v>0</v>
      </c>
      <c r="F64" s="70">
        <v>0</v>
      </c>
      <c r="G64" s="70">
        <v>0</v>
      </c>
      <c r="H64" s="70">
        <v>34.799999999999997</v>
      </c>
      <c r="I64" s="70">
        <v>35.299999999999997</v>
      </c>
      <c r="J64" s="70">
        <v>37</v>
      </c>
      <c r="K64" s="70">
        <v>34.799999999999997</v>
      </c>
      <c r="L64" s="70">
        <v>34.9</v>
      </c>
      <c r="M64" s="70">
        <v>61.4</v>
      </c>
      <c r="N64" s="70">
        <v>60.6</v>
      </c>
      <c r="O64" s="70">
        <v>50.5</v>
      </c>
      <c r="P64" s="70">
        <v>49.8</v>
      </c>
      <c r="Q64" s="70">
        <v>49.8</v>
      </c>
      <c r="R64" s="70">
        <v>25</v>
      </c>
      <c r="S64" s="70">
        <v>24.8</v>
      </c>
      <c r="T64" s="70">
        <v>26.4</v>
      </c>
      <c r="U64" s="70">
        <v>25.2</v>
      </c>
      <c r="V64" s="70">
        <v>22.1</v>
      </c>
      <c r="W64" s="70">
        <v>23.4</v>
      </c>
      <c r="X64" s="70">
        <v>23.5</v>
      </c>
      <c r="Y64" s="70">
        <v>59.4</v>
      </c>
      <c r="Z64" s="102">
        <v>60.6</v>
      </c>
      <c r="AA64" s="102">
        <v>60.6</v>
      </c>
      <c r="AB64" s="102">
        <v>59.7</v>
      </c>
      <c r="AC64" s="102">
        <v>59.7</v>
      </c>
      <c r="AD64" s="102">
        <v>50</v>
      </c>
      <c r="AE64" s="102">
        <v>24</v>
      </c>
      <c r="AF64" s="102">
        <v>24</v>
      </c>
      <c r="AG64" s="86">
        <v>70</v>
      </c>
      <c r="AH64" s="12">
        <f t="shared" si="10"/>
        <v>61.4</v>
      </c>
      <c r="AI64" s="11">
        <f t="shared" si="11"/>
        <v>0</v>
      </c>
      <c r="AK64" s="19"/>
    </row>
    <row r="65" spans="1:75" x14ac:dyDescent="0.25">
      <c r="A65" s="87" t="s">
        <v>202</v>
      </c>
      <c r="B65" s="70">
        <v>15.6</v>
      </c>
      <c r="C65" s="70">
        <v>15.6</v>
      </c>
      <c r="D65" s="70">
        <v>0</v>
      </c>
      <c r="E65" s="70">
        <v>0</v>
      </c>
      <c r="F65" s="70">
        <v>0</v>
      </c>
      <c r="G65" s="70">
        <v>0</v>
      </c>
      <c r="H65" s="70">
        <v>0</v>
      </c>
      <c r="I65" s="70">
        <v>0</v>
      </c>
      <c r="J65" s="70">
        <v>22.6</v>
      </c>
      <c r="K65" s="70">
        <v>46.9</v>
      </c>
      <c r="L65" s="70">
        <v>45.8</v>
      </c>
      <c r="M65" s="70">
        <v>45.6</v>
      </c>
      <c r="N65" s="70">
        <v>46.2</v>
      </c>
      <c r="O65" s="70">
        <v>39.799999999999997</v>
      </c>
      <c r="P65" s="70">
        <v>39.9</v>
      </c>
      <c r="Q65" s="70">
        <v>39.9</v>
      </c>
      <c r="R65" s="70">
        <v>34</v>
      </c>
      <c r="S65" s="70">
        <v>34</v>
      </c>
      <c r="T65" s="70">
        <v>40.299999999999997</v>
      </c>
      <c r="U65" s="70">
        <v>33.4</v>
      </c>
      <c r="V65" s="70">
        <v>33</v>
      </c>
      <c r="W65" s="70">
        <v>32.6</v>
      </c>
      <c r="X65" s="70">
        <v>40.9</v>
      </c>
      <c r="Y65" s="70">
        <v>68.8</v>
      </c>
      <c r="Z65" s="102">
        <v>68.8</v>
      </c>
      <c r="AA65" s="102">
        <v>68.8</v>
      </c>
      <c r="AB65" s="102">
        <v>68.3</v>
      </c>
      <c r="AC65" s="102">
        <v>68.3</v>
      </c>
      <c r="AD65" s="102">
        <v>50</v>
      </c>
      <c r="AE65" s="102">
        <v>34</v>
      </c>
      <c r="AF65" s="102">
        <v>34</v>
      </c>
      <c r="AG65" s="86">
        <v>69</v>
      </c>
      <c r="AH65" s="12">
        <f t="shared" si="10"/>
        <v>68.8</v>
      </c>
      <c r="AI65" s="11">
        <f t="shared" si="11"/>
        <v>0</v>
      </c>
      <c r="AK65" s="19"/>
    </row>
    <row r="66" spans="1:75" x14ac:dyDescent="0.25">
      <c r="A66" s="87" t="s">
        <v>201</v>
      </c>
      <c r="B66" s="70">
        <v>36.299999999999997</v>
      </c>
      <c r="C66" s="70">
        <v>36</v>
      </c>
      <c r="D66" s="70">
        <v>32.200000000000003</v>
      </c>
      <c r="E66" s="70">
        <v>32.200000000000003</v>
      </c>
      <c r="F66" s="70">
        <v>32.200000000000003</v>
      </c>
      <c r="G66" s="70">
        <v>35</v>
      </c>
      <c r="H66" s="70">
        <v>36</v>
      </c>
      <c r="I66" s="70">
        <v>35.799999999999997</v>
      </c>
      <c r="J66" s="70">
        <v>36</v>
      </c>
      <c r="K66" s="122">
        <v>35.799999999999997</v>
      </c>
      <c r="L66" s="122">
        <v>36</v>
      </c>
      <c r="M66" s="70">
        <v>35</v>
      </c>
      <c r="N66" s="70">
        <v>34.799999999999997</v>
      </c>
      <c r="O66" s="70">
        <v>33.200000000000003</v>
      </c>
      <c r="P66" s="70">
        <v>33</v>
      </c>
      <c r="Q66" s="70">
        <v>33</v>
      </c>
      <c r="R66" s="70">
        <v>34.299999999999997</v>
      </c>
      <c r="S66" s="70">
        <v>34.299999999999997</v>
      </c>
      <c r="T66" s="70">
        <v>34.299999999999997</v>
      </c>
      <c r="U66" s="70">
        <v>35</v>
      </c>
      <c r="V66" s="70">
        <v>32</v>
      </c>
      <c r="W66" s="70">
        <v>32</v>
      </c>
      <c r="X66" s="70">
        <v>32</v>
      </c>
      <c r="Y66" s="70">
        <v>32.200000000000003</v>
      </c>
      <c r="Z66" s="102">
        <v>32.200000000000003</v>
      </c>
      <c r="AA66" s="102">
        <v>32.200000000000003</v>
      </c>
      <c r="AB66" s="102">
        <v>32.200000000000003</v>
      </c>
      <c r="AC66" s="102">
        <v>32.200000000000003</v>
      </c>
      <c r="AD66" s="102">
        <v>32.200000000000003</v>
      </c>
      <c r="AE66" s="102">
        <v>32.200000000000003</v>
      </c>
      <c r="AF66" s="102">
        <v>32.200000000000003</v>
      </c>
      <c r="AG66" s="86">
        <v>60</v>
      </c>
      <c r="AH66" s="12">
        <f t="shared" si="10"/>
        <v>36.299999999999997</v>
      </c>
      <c r="AI66" s="11">
        <f t="shared" si="11"/>
        <v>32</v>
      </c>
      <c r="AK66" s="19"/>
    </row>
    <row r="67" spans="1:75" x14ac:dyDescent="0.25">
      <c r="A67" s="87" t="s">
        <v>200</v>
      </c>
      <c r="B67" s="102">
        <v>0</v>
      </c>
      <c r="C67" s="102">
        <v>0</v>
      </c>
      <c r="D67" s="102">
        <v>0</v>
      </c>
      <c r="E67" s="102">
        <v>0</v>
      </c>
      <c r="F67" s="102">
        <v>0</v>
      </c>
      <c r="G67" s="102">
        <v>0</v>
      </c>
      <c r="H67" s="102">
        <v>0</v>
      </c>
      <c r="I67" s="102">
        <v>0</v>
      </c>
      <c r="J67" s="70">
        <v>10.8</v>
      </c>
      <c r="K67" s="70">
        <v>10.5</v>
      </c>
      <c r="L67" s="122">
        <v>15</v>
      </c>
      <c r="M67" s="70">
        <v>12.2</v>
      </c>
      <c r="N67" s="70">
        <v>10.6</v>
      </c>
      <c r="O67" s="70">
        <v>10.3</v>
      </c>
      <c r="P67" s="70">
        <v>10.3</v>
      </c>
      <c r="Q67" s="70">
        <v>10.3</v>
      </c>
      <c r="R67" s="70">
        <v>10.4</v>
      </c>
      <c r="S67" s="70">
        <v>14.9</v>
      </c>
      <c r="T67" s="70">
        <v>14.9</v>
      </c>
      <c r="U67" s="70">
        <v>14.8</v>
      </c>
      <c r="V67" s="70">
        <v>10.1</v>
      </c>
      <c r="W67" s="70">
        <v>10.1</v>
      </c>
      <c r="X67" s="70">
        <v>23.4</v>
      </c>
      <c r="Y67" s="70">
        <v>23.1</v>
      </c>
      <c r="Z67" s="102">
        <v>23.1</v>
      </c>
      <c r="AA67" s="102">
        <v>23.1</v>
      </c>
      <c r="AB67" s="102">
        <v>23.1</v>
      </c>
      <c r="AC67" s="102">
        <v>14</v>
      </c>
      <c r="AD67" s="102">
        <v>10</v>
      </c>
      <c r="AE67" s="102">
        <v>10</v>
      </c>
      <c r="AF67" s="102">
        <v>10</v>
      </c>
      <c r="AG67" s="86">
        <v>30</v>
      </c>
      <c r="AH67" s="12">
        <f t="shared" si="10"/>
        <v>23.4</v>
      </c>
      <c r="AI67" s="11">
        <f t="shared" si="11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25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0.8</v>
      </c>
      <c r="K68" s="102">
        <v>1.7</v>
      </c>
      <c r="L68" s="70">
        <v>3.4</v>
      </c>
      <c r="M68" s="70">
        <v>6.6</v>
      </c>
      <c r="N68" s="70">
        <v>8.8000000000000007</v>
      </c>
      <c r="O68" s="70">
        <v>12.5</v>
      </c>
      <c r="P68" s="70">
        <v>14.1</v>
      </c>
      <c r="Q68" s="70">
        <v>12.4</v>
      </c>
      <c r="R68" s="70">
        <v>12.8</v>
      </c>
      <c r="S68" s="70">
        <v>12.8</v>
      </c>
      <c r="T68" s="70">
        <v>8.1999999999999993</v>
      </c>
      <c r="U68" s="70">
        <v>5.2</v>
      </c>
      <c r="V68" s="70">
        <v>1.6</v>
      </c>
      <c r="W68" s="70">
        <v>0.9</v>
      </c>
      <c r="X68" s="70">
        <v>0.3</v>
      </c>
      <c r="Y68" s="70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10"/>
        <v>14.1</v>
      </c>
      <c r="AI68" s="11">
        <f t="shared" si="11"/>
        <v>0</v>
      </c>
      <c r="AK68" s="19"/>
      <c r="AY68" s="1" t="s">
        <v>198</v>
      </c>
      <c r="AZ68" s="78">
        <f>ROUND(C81,0)</f>
        <v>26</v>
      </c>
      <c r="BA68" s="83">
        <f t="shared" ref="BA68:BD72" si="32">D81</f>
        <v>24.9</v>
      </c>
      <c r="BB68" s="83">
        <f t="shared" si="32"/>
        <v>24.7</v>
      </c>
      <c r="BC68" s="83">
        <f t="shared" si="32"/>
        <v>20.5</v>
      </c>
      <c r="BD68" s="83">
        <f t="shared" si="32"/>
        <v>22.4</v>
      </c>
      <c r="BE68" s="78">
        <f>I81</f>
        <v>23.9</v>
      </c>
      <c r="BF68" s="78">
        <f>K81</f>
        <v>72</v>
      </c>
      <c r="BG68" s="78">
        <f t="shared" ref="BG68:BP72" si="33">M81</f>
        <v>70.5</v>
      </c>
      <c r="BH68" s="78">
        <f t="shared" si="33"/>
        <v>50.4</v>
      </c>
      <c r="BI68" s="78">
        <f t="shared" si="33"/>
        <v>62</v>
      </c>
      <c r="BJ68" s="78">
        <f t="shared" si="33"/>
        <v>58</v>
      </c>
      <c r="BK68" s="78">
        <f t="shared" si="33"/>
        <v>62.4</v>
      </c>
      <c r="BL68" s="78">
        <f t="shared" si="33"/>
        <v>61.6</v>
      </c>
      <c r="BM68" s="78">
        <f t="shared" si="33"/>
        <v>73.7</v>
      </c>
      <c r="BN68" s="78">
        <f t="shared" si="33"/>
        <v>61.1</v>
      </c>
      <c r="BO68" s="78">
        <f t="shared" si="33"/>
        <v>60.8</v>
      </c>
      <c r="BP68" s="78">
        <f t="shared" si="33"/>
        <v>66.7</v>
      </c>
      <c r="BQ68" s="78">
        <f>X81</f>
        <v>61.7</v>
      </c>
      <c r="BR68" s="78">
        <f>Z81</f>
        <v>32.200000000000003</v>
      </c>
      <c r="BS68" s="83">
        <f>AB81</f>
        <v>31</v>
      </c>
      <c r="BT68" s="83">
        <f>AD81</f>
        <v>41.8</v>
      </c>
      <c r="BU68" s="83">
        <f>AE81</f>
        <v>35</v>
      </c>
      <c r="BV68" s="83">
        <f>AF81</f>
        <v>39</v>
      </c>
      <c r="BW68" s="83">
        <f>B81</f>
        <v>29.3</v>
      </c>
    </row>
    <row r="69" spans="1:75" x14ac:dyDescent="0.25">
      <c r="A69" s="87" t="s">
        <v>197</v>
      </c>
      <c r="B69" s="70">
        <v>15</v>
      </c>
      <c r="C69" s="70">
        <v>15</v>
      </c>
      <c r="D69" s="70">
        <v>15</v>
      </c>
      <c r="E69" s="70">
        <v>15</v>
      </c>
      <c r="F69" s="70">
        <v>15</v>
      </c>
      <c r="G69" s="70">
        <v>15</v>
      </c>
      <c r="H69" s="70">
        <v>15</v>
      </c>
      <c r="I69" s="70">
        <v>15</v>
      </c>
      <c r="J69" s="70">
        <v>15</v>
      </c>
      <c r="K69" s="70">
        <v>15</v>
      </c>
      <c r="L69" s="70">
        <v>15</v>
      </c>
      <c r="M69" s="70">
        <v>15</v>
      </c>
      <c r="N69" s="70">
        <v>15</v>
      </c>
      <c r="O69" s="70">
        <v>15</v>
      </c>
      <c r="P69" s="70">
        <v>15</v>
      </c>
      <c r="Q69" s="70">
        <v>15</v>
      </c>
      <c r="R69" s="70">
        <v>15</v>
      </c>
      <c r="S69" s="70">
        <v>15</v>
      </c>
      <c r="T69" s="70">
        <v>15</v>
      </c>
      <c r="U69" s="70">
        <v>15</v>
      </c>
      <c r="V69" s="70">
        <v>15</v>
      </c>
      <c r="W69" s="70">
        <v>15</v>
      </c>
      <c r="X69" s="70">
        <v>15</v>
      </c>
      <c r="Y69" s="70">
        <v>15</v>
      </c>
      <c r="Z69" s="70">
        <v>15</v>
      </c>
      <c r="AA69" s="70">
        <v>15</v>
      </c>
      <c r="AB69" s="70">
        <v>15</v>
      </c>
      <c r="AC69" s="70">
        <v>15</v>
      </c>
      <c r="AD69" s="70">
        <v>15</v>
      </c>
      <c r="AE69" s="70">
        <v>15</v>
      </c>
      <c r="AF69" s="70">
        <v>15</v>
      </c>
      <c r="AG69" s="86">
        <v>24</v>
      </c>
      <c r="AH69" s="12">
        <f t="shared" si="10"/>
        <v>15</v>
      </c>
      <c r="AI69" s="11">
        <f t="shared" si="11"/>
        <v>15</v>
      </c>
      <c r="AK69" s="19"/>
      <c r="AY69" s="1" t="s">
        <v>196</v>
      </c>
      <c r="AZ69" s="78">
        <f>ROUND(C82,0)</f>
        <v>0</v>
      </c>
      <c r="BA69" s="83">
        <f t="shared" si="32"/>
        <v>37</v>
      </c>
      <c r="BB69" s="83">
        <f t="shared" si="32"/>
        <v>47.5</v>
      </c>
      <c r="BC69" s="83">
        <f t="shared" si="32"/>
        <v>48</v>
      </c>
      <c r="BD69" s="83">
        <f t="shared" si="32"/>
        <v>58.4</v>
      </c>
      <c r="BE69" s="78">
        <f t="shared" ref="BE69:BE72" si="34">I82</f>
        <v>95.5</v>
      </c>
      <c r="BF69" s="78">
        <f t="shared" ref="BF69:BF72" si="35">K82</f>
        <v>0</v>
      </c>
      <c r="BG69" s="78">
        <f t="shared" si="33"/>
        <v>0</v>
      </c>
      <c r="BH69" s="78">
        <f t="shared" si="33"/>
        <v>89</v>
      </c>
      <c r="BI69" s="78">
        <f t="shared" si="33"/>
        <v>80.7</v>
      </c>
      <c r="BJ69" s="78">
        <f t="shared" si="33"/>
        <v>60</v>
      </c>
      <c r="BK69" s="78">
        <f t="shared" si="33"/>
        <v>76.400000000000006</v>
      </c>
      <c r="BL69" s="78">
        <f t="shared" si="33"/>
        <v>79.2</v>
      </c>
      <c r="BM69" s="78">
        <f t="shared" si="33"/>
        <v>85.7</v>
      </c>
      <c r="BN69" s="78">
        <f t="shared" si="33"/>
        <v>68.2</v>
      </c>
      <c r="BO69" s="78">
        <f t="shared" si="33"/>
        <v>0</v>
      </c>
      <c r="BP69" s="78">
        <f t="shared" si="33"/>
        <v>0</v>
      </c>
      <c r="BQ69" s="78">
        <f t="shared" ref="BQ69:BQ72" si="36">X82</f>
        <v>0</v>
      </c>
      <c r="BR69" s="78">
        <f t="shared" ref="BR69:BR72" si="37">Z82</f>
        <v>0</v>
      </c>
      <c r="BS69" s="83">
        <f t="shared" ref="BS69:BS72" si="38">AB82</f>
        <v>0</v>
      </c>
      <c r="BT69" s="83">
        <f t="shared" ref="BT69:BV72" si="39">AD82</f>
        <v>0</v>
      </c>
      <c r="BU69" s="83">
        <f t="shared" si="39"/>
        <v>0</v>
      </c>
      <c r="BV69" s="83">
        <f t="shared" si="39"/>
        <v>0</v>
      </c>
      <c r="BW69" s="83">
        <f t="shared" ref="BW69:BW72" si="40">B82</f>
        <v>0</v>
      </c>
    </row>
    <row r="70" spans="1:75" x14ac:dyDescent="0.25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10"/>
        <v>0</v>
      </c>
      <c r="AI70" s="11">
        <f t="shared" si="11"/>
        <v>0</v>
      </c>
      <c r="AK70" s="19"/>
      <c r="AL70" s="115"/>
      <c r="AO70" s="115"/>
      <c r="AY70" s="1" t="s">
        <v>194</v>
      </c>
      <c r="AZ70" s="78">
        <f>ROUND(C83,0)</f>
        <v>44</v>
      </c>
      <c r="BA70" s="83">
        <f t="shared" si="32"/>
        <v>61.8</v>
      </c>
      <c r="BB70" s="83">
        <f t="shared" si="32"/>
        <v>105.7</v>
      </c>
      <c r="BC70" s="83">
        <f t="shared" si="32"/>
        <v>87.9</v>
      </c>
      <c r="BD70" s="83">
        <f t="shared" si="32"/>
        <v>86.4</v>
      </c>
      <c r="BE70" s="78">
        <f t="shared" si="34"/>
        <v>84.9</v>
      </c>
      <c r="BF70" s="78">
        <f t="shared" si="35"/>
        <v>473</v>
      </c>
      <c r="BG70" s="78">
        <f t="shared" si="33"/>
        <v>519.29999999999995</v>
      </c>
      <c r="BH70" s="78">
        <f t="shared" si="33"/>
        <v>456.9</v>
      </c>
      <c r="BI70" s="78">
        <f t="shared" si="33"/>
        <v>480</v>
      </c>
      <c r="BJ70" s="78">
        <f t="shared" si="33"/>
        <v>492</v>
      </c>
      <c r="BK70" s="78">
        <f t="shared" si="33"/>
        <v>470</v>
      </c>
      <c r="BL70" s="78">
        <f t="shared" si="33"/>
        <v>469</v>
      </c>
      <c r="BM70" s="78">
        <f t="shared" si="33"/>
        <v>436</v>
      </c>
      <c r="BN70" s="78">
        <f t="shared" si="33"/>
        <v>440</v>
      </c>
      <c r="BO70" s="78">
        <f t="shared" si="33"/>
        <v>492.4</v>
      </c>
      <c r="BP70" s="78">
        <f t="shared" si="33"/>
        <v>474.1</v>
      </c>
      <c r="BQ70" s="78">
        <f t="shared" si="36"/>
        <v>425.7</v>
      </c>
      <c r="BR70" s="78">
        <f t="shared" si="37"/>
        <v>47.9</v>
      </c>
      <c r="BS70" s="83">
        <f t="shared" si="38"/>
        <v>60</v>
      </c>
      <c r="BT70" s="83">
        <f t="shared" si="39"/>
        <v>86.1</v>
      </c>
      <c r="BU70" s="83">
        <f t="shared" si="39"/>
        <v>68</v>
      </c>
      <c r="BV70" s="83">
        <f t="shared" si="39"/>
        <v>114</v>
      </c>
      <c r="BW70" s="83">
        <f t="shared" si="40"/>
        <v>40.799999999999997</v>
      </c>
    </row>
    <row r="71" spans="1:75" s="115" customFormat="1" x14ac:dyDescent="0.25">
      <c r="A71" s="87" t="s">
        <v>193</v>
      </c>
      <c r="B71" s="70">
        <v>11.8</v>
      </c>
      <c r="C71" s="70">
        <v>11.8</v>
      </c>
      <c r="D71" s="70">
        <v>11.8</v>
      </c>
      <c r="E71" s="70">
        <v>11.8</v>
      </c>
      <c r="F71" s="70">
        <v>11.8</v>
      </c>
      <c r="G71" s="70">
        <v>11.8</v>
      </c>
      <c r="H71" s="70">
        <v>11.8</v>
      </c>
      <c r="I71" s="70">
        <v>11.8</v>
      </c>
      <c r="J71" s="70">
        <v>11.8</v>
      </c>
      <c r="K71" s="70">
        <v>11.8</v>
      </c>
      <c r="L71" s="70">
        <v>11.8</v>
      </c>
      <c r="M71" s="70">
        <v>11.8</v>
      </c>
      <c r="N71" s="70">
        <v>11.8</v>
      </c>
      <c r="O71" s="70">
        <v>11.8</v>
      </c>
      <c r="P71" s="70">
        <v>11.8</v>
      </c>
      <c r="Q71" s="70">
        <v>11.8</v>
      </c>
      <c r="R71" s="70">
        <v>11.8</v>
      </c>
      <c r="S71" s="70">
        <v>11.8</v>
      </c>
      <c r="T71" s="70">
        <v>11.8</v>
      </c>
      <c r="U71" s="70">
        <v>11.8</v>
      </c>
      <c r="V71" s="70">
        <v>11.8</v>
      </c>
      <c r="W71" s="70">
        <v>11.8</v>
      </c>
      <c r="X71" s="70">
        <v>11.8</v>
      </c>
      <c r="Y71" s="70">
        <v>11.8</v>
      </c>
      <c r="Z71" s="70">
        <v>11.8</v>
      </c>
      <c r="AA71" s="70">
        <v>11.8</v>
      </c>
      <c r="AB71" s="70">
        <v>11.8</v>
      </c>
      <c r="AC71" s="70">
        <v>11.8</v>
      </c>
      <c r="AD71" s="70">
        <v>11.8</v>
      </c>
      <c r="AE71" s="70">
        <v>11.8</v>
      </c>
      <c r="AF71" s="70">
        <v>11.8</v>
      </c>
      <c r="AG71" s="86">
        <v>14.1</v>
      </c>
      <c r="AH71" s="12">
        <f t="shared" si="10"/>
        <v>11.8</v>
      </c>
      <c r="AI71" s="11">
        <f t="shared" si="11"/>
        <v>11.8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39</v>
      </c>
      <c r="BA71" s="83">
        <f t="shared" si="32"/>
        <v>51.8</v>
      </c>
      <c r="BB71" s="83">
        <f t="shared" si="32"/>
        <v>50.6</v>
      </c>
      <c r="BC71" s="83">
        <f t="shared" si="32"/>
        <v>39.700000000000003</v>
      </c>
      <c r="BD71" s="83">
        <f t="shared" si="32"/>
        <v>50.4</v>
      </c>
      <c r="BE71" s="78">
        <f t="shared" si="34"/>
        <v>55.2</v>
      </c>
      <c r="BF71" s="78">
        <f t="shared" si="35"/>
        <v>50.7</v>
      </c>
      <c r="BG71" s="78">
        <f t="shared" si="33"/>
        <v>47.5</v>
      </c>
      <c r="BH71" s="78">
        <f t="shared" si="33"/>
        <v>48</v>
      </c>
      <c r="BI71" s="78">
        <f t="shared" si="33"/>
        <v>0</v>
      </c>
      <c r="BJ71" s="78">
        <f t="shared" si="33"/>
        <v>0</v>
      </c>
      <c r="BK71" s="78">
        <f t="shared" si="33"/>
        <v>51.5</v>
      </c>
      <c r="BL71" s="78">
        <f t="shared" si="33"/>
        <v>53.5</v>
      </c>
      <c r="BM71" s="78">
        <f t="shared" si="33"/>
        <v>53.2</v>
      </c>
      <c r="BN71" s="78">
        <f t="shared" si="33"/>
        <v>54.7</v>
      </c>
      <c r="BO71" s="78">
        <f t="shared" si="33"/>
        <v>57</v>
      </c>
      <c r="BP71" s="78">
        <f t="shared" si="33"/>
        <v>49.96</v>
      </c>
      <c r="BQ71" s="78">
        <f t="shared" si="36"/>
        <v>42.8</v>
      </c>
      <c r="BR71" s="78">
        <f t="shared" si="37"/>
        <v>0</v>
      </c>
      <c r="BS71" s="83">
        <f t="shared" si="38"/>
        <v>0</v>
      </c>
      <c r="BT71" s="83">
        <f t="shared" si="39"/>
        <v>0</v>
      </c>
      <c r="BU71" s="83">
        <f t="shared" si="39"/>
        <v>0</v>
      </c>
      <c r="BV71" s="83">
        <f t="shared" si="39"/>
        <v>0</v>
      </c>
      <c r="BW71" s="83">
        <f t="shared" si="40"/>
        <v>44.1</v>
      </c>
    </row>
    <row r="72" spans="1:75" x14ac:dyDescent="0.25">
      <c r="A72" s="111" t="s">
        <v>191</v>
      </c>
      <c r="B72" s="70">
        <v>5.3</v>
      </c>
      <c r="C72" s="70">
        <v>5.3</v>
      </c>
      <c r="D72" s="70">
        <v>5.3</v>
      </c>
      <c r="E72" s="70">
        <v>5.3</v>
      </c>
      <c r="F72" s="70">
        <v>5.3</v>
      </c>
      <c r="G72" s="70">
        <v>5.3</v>
      </c>
      <c r="H72" s="70">
        <v>5.3</v>
      </c>
      <c r="I72" s="70">
        <v>5.3</v>
      </c>
      <c r="J72" s="70">
        <v>5.3</v>
      </c>
      <c r="K72" s="70">
        <v>5.3</v>
      </c>
      <c r="L72" s="70">
        <v>5.3</v>
      </c>
      <c r="M72" s="70">
        <v>5.3</v>
      </c>
      <c r="N72" s="70">
        <v>5.3</v>
      </c>
      <c r="O72" s="70">
        <v>5.3</v>
      </c>
      <c r="P72" s="70">
        <v>5.3</v>
      </c>
      <c r="Q72" s="70">
        <v>5.3</v>
      </c>
      <c r="R72" s="70">
        <v>5.3</v>
      </c>
      <c r="S72" s="70">
        <v>5.3</v>
      </c>
      <c r="T72" s="70">
        <v>5.3</v>
      </c>
      <c r="U72" s="70">
        <v>5.3</v>
      </c>
      <c r="V72" s="70">
        <v>5.3</v>
      </c>
      <c r="W72" s="70">
        <v>5.3</v>
      </c>
      <c r="X72" s="70">
        <v>5.3</v>
      </c>
      <c r="Y72" s="70">
        <v>5.3</v>
      </c>
      <c r="Z72" s="70">
        <v>5.3</v>
      </c>
      <c r="AA72" s="70">
        <v>5.3</v>
      </c>
      <c r="AB72" s="70">
        <v>5.3</v>
      </c>
      <c r="AC72" s="70">
        <v>5.3</v>
      </c>
      <c r="AD72" s="70">
        <v>5.3</v>
      </c>
      <c r="AE72" s="70">
        <v>5.3</v>
      </c>
      <c r="AF72" s="70">
        <v>5.3</v>
      </c>
      <c r="AG72" s="86">
        <v>14</v>
      </c>
      <c r="AH72" s="12">
        <f t="shared" si="10"/>
        <v>5.3</v>
      </c>
      <c r="AI72" s="11">
        <f t="shared" si="11"/>
        <v>5.3</v>
      </c>
      <c r="AK72" s="19"/>
      <c r="AY72" s="1" t="s">
        <v>190</v>
      </c>
      <c r="AZ72" s="78">
        <f>ROUND(C85,0)</f>
        <v>122</v>
      </c>
      <c r="BA72" s="83">
        <f t="shared" si="32"/>
        <v>122.1</v>
      </c>
      <c r="BB72" s="83">
        <f t="shared" si="32"/>
        <v>117.8</v>
      </c>
      <c r="BC72" s="83">
        <f t="shared" si="32"/>
        <v>124</v>
      </c>
      <c r="BD72" s="83">
        <f t="shared" si="32"/>
        <v>124.7</v>
      </c>
      <c r="BE72" s="78">
        <f t="shared" si="34"/>
        <v>119</v>
      </c>
      <c r="BF72" s="78">
        <f t="shared" si="35"/>
        <v>133.9</v>
      </c>
      <c r="BG72" s="78">
        <f t="shared" si="33"/>
        <v>126.8</v>
      </c>
      <c r="BH72" s="78">
        <f t="shared" si="33"/>
        <v>114.1</v>
      </c>
      <c r="BI72" s="78">
        <f t="shared" si="33"/>
        <v>136.30000000000001</v>
      </c>
      <c r="BJ72" s="78">
        <f t="shared" si="33"/>
        <v>136.4</v>
      </c>
      <c r="BK72" s="78">
        <f t="shared" si="33"/>
        <v>105.3</v>
      </c>
      <c r="BL72" s="78">
        <f t="shared" si="33"/>
        <v>118.9</v>
      </c>
      <c r="BM72" s="78">
        <f t="shared" si="33"/>
        <v>133.19999999999999</v>
      </c>
      <c r="BN72" s="78">
        <f t="shared" si="33"/>
        <v>130.30000000000001</v>
      </c>
      <c r="BO72" s="78">
        <f t="shared" si="33"/>
        <v>127.1</v>
      </c>
      <c r="BP72" s="78">
        <f t="shared" si="33"/>
        <v>111.8</v>
      </c>
      <c r="BQ72" s="78">
        <f t="shared" si="36"/>
        <v>0</v>
      </c>
      <c r="BR72" s="78">
        <f t="shared" si="37"/>
        <v>0</v>
      </c>
      <c r="BS72" s="83">
        <f t="shared" si="38"/>
        <v>0</v>
      </c>
      <c r="BT72" s="83">
        <f t="shared" si="39"/>
        <v>0</v>
      </c>
      <c r="BU72" s="83">
        <f t="shared" si="39"/>
        <v>0</v>
      </c>
      <c r="BV72" s="83">
        <f t="shared" si="39"/>
        <v>0</v>
      </c>
      <c r="BW72" s="83">
        <f t="shared" si="40"/>
        <v>128.30000000000001</v>
      </c>
    </row>
    <row r="73" spans="1:75" x14ac:dyDescent="0.25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10"/>
        <v>4</v>
      </c>
      <c r="AI73" s="11">
        <f t="shared" si="11"/>
        <v>4</v>
      </c>
      <c r="AK73" s="19"/>
      <c r="AY73" s="1" t="s">
        <v>188</v>
      </c>
      <c r="AZ73" s="78">
        <f>ROUND(C91,0)</f>
        <v>43</v>
      </c>
      <c r="BA73" s="78">
        <f>D91</f>
        <v>45.3</v>
      </c>
      <c r="BB73" s="78">
        <f>E91</f>
        <v>55.5</v>
      </c>
      <c r="BC73" s="78">
        <f>F91</f>
        <v>55.5</v>
      </c>
      <c r="BD73" s="78">
        <f>G91</f>
        <v>55.5</v>
      </c>
      <c r="BE73" s="78">
        <f>I91</f>
        <v>55.5</v>
      </c>
      <c r="BF73" s="78">
        <f>K91</f>
        <v>55.5</v>
      </c>
      <c r="BG73" s="78">
        <f t="shared" ref="BG73:BP73" si="41">M91</f>
        <v>55.5</v>
      </c>
      <c r="BH73" s="78">
        <f t="shared" si="41"/>
        <v>55</v>
      </c>
      <c r="BI73" s="78">
        <f t="shared" si="41"/>
        <v>55.5</v>
      </c>
      <c r="BJ73" s="78">
        <f t="shared" si="41"/>
        <v>55.5</v>
      </c>
      <c r="BK73" s="78">
        <f t="shared" si="41"/>
        <v>55</v>
      </c>
      <c r="BL73" s="78">
        <f t="shared" si="41"/>
        <v>55</v>
      </c>
      <c r="BM73" s="78">
        <f t="shared" si="41"/>
        <v>55.5</v>
      </c>
      <c r="BN73" s="78">
        <f t="shared" si="41"/>
        <v>55.5</v>
      </c>
      <c r="BO73" s="78">
        <f t="shared" si="41"/>
        <v>51.8</v>
      </c>
      <c r="BP73" s="78">
        <f t="shared" si="41"/>
        <v>49.6</v>
      </c>
      <c r="BQ73" s="78">
        <f>X91</f>
        <v>48.5</v>
      </c>
      <c r="BR73" s="78">
        <f>Z91</f>
        <v>43.2</v>
      </c>
      <c r="BS73" s="78">
        <f>AB91</f>
        <v>41</v>
      </c>
      <c r="BT73" s="78">
        <f>AD91</f>
        <v>45.5</v>
      </c>
      <c r="BU73" s="78">
        <f>AE91</f>
        <v>45.5</v>
      </c>
      <c r="BV73" s="78">
        <f>AF91</f>
        <v>50</v>
      </c>
      <c r="BW73" s="78">
        <f>B91</f>
        <v>45.9</v>
      </c>
    </row>
    <row r="74" spans="1:75" x14ac:dyDescent="0.25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10"/>
        <v>2</v>
      </c>
      <c r="AI74" s="11">
        <f t="shared" si="11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.75" thickBot="1" x14ac:dyDescent="0.3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3.54</v>
      </c>
      <c r="Z75" s="113">
        <v>3.54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10"/>
        <v>3.54</v>
      </c>
      <c r="AI75" s="11">
        <f t="shared" si="11"/>
        <v>3.54</v>
      </c>
      <c r="AK75" s="19"/>
      <c r="AZ75" s="78">
        <f>VALUE(AZ68)</f>
        <v>26</v>
      </c>
      <c r="BA75" s="78">
        <f t="shared" ref="BA75:BW75" si="42">VALUE(BA68)</f>
        <v>24.9</v>
      </c>
      <c r="BB75" s="78">
        <f t="shared" si="42"/>
        <v>24.7</v>
      </c>
      <c r="BC75" s="78">
        <f t="shared" si="42"/>
        <v>20.5</v>
      </c>
      <c r="BD75" s="78">
        <f t="shared" si="42"/>
        <v>22.4</v>
      </c>
      <c r="BE75" s="78">
        <f t="shared" si="42"/>
        <v>23.9</v>
      </c>
      <c r="BF75" s="78">
        <f t="shared" si="42"/>
        <v>72</v>
      </c>
      <c r="BG75" s="78">
        <f t="shared" si="42"/>
        <v>70.5</v>
      </c>
      <c r="BH75" s="78">
        <f t="shared" si="42"/>
        <v>50.4</v>
      </c>
      <c r="BI75" s="78">
        <f t="shared" si="42"/>
        <v>62</v>
      </c>
      <c r="BJ75" s="78">
        <f t="shared" si="42"/>
        <v>58</v>
      </c>
      <c r="BK75" s="78">
        <f t="shared" si="42"/>
        <v>62.4</v>
      </c>
      <c r="BL75" s="78">
        <f t="shared" si="42"/>
        <v>61.6</v>
      </c>
      <c r="BM75" s="78">
        <f t="shared" si="42"/>
        <v>73.7</v>
      </c>
      <c r="BN75" s="78">
        <f t="shared" si="42"/>
        <v>61.1</v>
      </c>
      <c r="BO75" s="78">
        <f t="shared" si="42"/>
        <v>60.8</v>
      </c>
      <c r="BP75" s="78">
        <f t="shared" si="42"/>
        <v>66.7</v>
      </c>
      <c r="BQ75" s="78">
        <f t="shared" si="42"/>
        <v>61.7</v>
      </c>
      <c r="BR75" s="78">
        <f t="shared" si="42"/>
        <v>32.200000000000003</v>
      </c>
      <c r="BS75" s="78">
        <f t="shared" si="42"/>
        <v>31</v>
      </c>
      <c r="BT75" s="78">
        <f t="shared" si="42"/>
        <v>41.8</v>
      </c>
      <c r="BU75" s="78">
        <f t="shared" si="42"/>
        <v>35</v>
      </c>
      <c r="BV75" s="78">
        <f t="shared" si="42"/>
        <v>39</v>
      </c>
      <c r="BW75" s="78">
        <f t="shared" si="42"/>
        <v>29.3</v>
      </c>
    </row>
    <row r="76" spans="1:75" ht="15.75" thickBot="1" x14ac:dyDescent="0.3">
      <c r="A76" s="77" t="s">
        <v>186</v>
      </c>
      <c r="B76" s="76">
        <f t="shared" ref="B76:AG76" si="43">SUM(B63:B75)</f>
        <v>148.84</v>
      </c>
      <c r="C76" s="76">
        <f t="shared" si="43"/>
        <v>148.94</v>
      </c>
      <c r="D76" s="76">
        <f t="shared" si="43"/>
        <v>73.84</v>
      </c>
      <c r="E76" s="76">
        <f t="shared" si="43"/>
        <v>73.84</v>
      </c>
      <c r="F76" s="76">
        <f t="shared" si="43"/>
        <v>73.84</v>
      </c>
      <c r="G76" s="76">
        <f t="shared" si="43"/>
        <v>76.64</v>
      </c>
      <c r="H76" s="76">
        <f t="shared" si="43"/>
        <v>142.73999999999998</v>
      </c>
      <c r="I76" s="76">
        <f t="shared" si="43"/>
        <v>159.54</v>
      </c>
      <c r="J76" s="76">
        <f t="shared" si="43"/>
        <v>197.24000000000004</v>
      </c>
      <c r="K76" s="76">
        <f t="shared" si="43"/>
        <v>233.04</v>
      </c>
      <c r="L76" s="76">
        <f t="shared" si="43"/>
        <v>246.44</v>
      </c>
      <c r="M76" s="76">
        <f t="shared" si="43"/>
        <v>283.74</v>
      </c>
      <c r="N76" s="76">
        <f t="shared" si="43"/>
        <v>264.94000000000011</v>
      </c>
      <c r="O76" s="76">
        <f t="shared" si="43"/>
        <v>248.74000000000004</v>
      </c>
      <c r="P76" s="76">
        <f t="shared" si="43"/>
        <v>249.84000000000003</v>
      </c>
      <c r="Q76" s="76">
        <f t="shared" si="43"/>
        <v>248.14000000000004</v>
      </c>
      <c r="R76" s="76">
        <f t="shared" si="43"/>
        <v>188.94000000000003</v>
      </c>
      <c r="S76" s="76">
        <f t="shared" si="43"/>
        <v>192.54000000000002</v>
      </c>
      <c r="T76" s="76">
        <f t="shared" si="43"/>
        <v>214.94</v>
      </c>
      <c r="U76" s="76">
        <f t="shared" si="43"/>
        <v>203.84</v>
      </c>
      <c r="V76" s="76">
        <f t="shared" si="43"/>
        <v>201.64000000000001</v>
      </c>
      <c r="W76" s="76">
        <f t="shared" si="43"/>
        <v>201.54000000000002</v>
      </c>
      <c r="X76" s="76">
        <f t="shared" si="43"/>
        <v>224.24000000000004</v>
      </c>
      <c r="Y76" s="76">
        <f t="shared" si="43"/>
        <v>370.04000000000008</v>
      </c>
      <c r="Z76" s="76">
        <f t="shared" si="43"/>
        <v>365.94000000000005</v>
      </c>
      <c r="AA76" s="76">
        <f t="shared" si="43"/>
        <v>347.94000000000005</v>
      </c>
      <c r="AB76" s="76">
        <f t="shared" si="43"/>
        <v>322.44000000000005</v>
      </c>
      <c r="AC76" s="76">
        <f t="shared" si="43"/>
        <v>313.34000000000003</v>
      </c>
      <c r="AD76" s="76">
        <f t="shared" si="43"/>
        <v>263.94000000000005</v>
      </c>
      <c r="AE76" s="76">
        <f t="shared" si="43"/>
        <v>189.84</v>
      </c>
      <c r="AF76" s="76">
        <f t="shared" si="43"/>
        <v>189.84</v>
      </c>
      <c r="AG76" s="93">
        <f t="shared" si="43"/>
        <v>489.91</v>
      </c>
      <c r="AH76" s="12">
        <f t="shared" si="10"/>
        <v>370.04000000000008</v>
      </c>
      <c r="AI76" s="11">
        <f t="shared" si="11"/>
        <v>73.84</v>
      </c>
      <c r="AK76" s="19"/>
      <c r="AZ76" s="78">
        <f t="shared" ref="AZ76:BW80" si="44">VALUE(AZ69)</f>
        <v>0</v>
      </c>
      <c r="BA76" s="78">
        <f t="shared" si="44"/>
        <v>37</v>
      </c>
      <c r="BB76" s="78">
        <f t="shared" si="44"/>
        <v>47.5</v>
      </c>
      <c r="BC76" s="78">
        <f t="shared" si="44"/>
        <v>48</v>
      </c>
      <c r="BD76" s="78">
        <f t="shared" si="44"/>
        <v>58.4</v>
      </c>
      <c r="BE76" s="78">
        <f t="shared" si="44"/>
        <v>95.5</v>
      </c>
      <c r="BF76" s="78">
        <f t="shared" si="44"/>
        <v>0</v>
      </c>
      <c r="BG76" s="78">
        <f t="shared" si="44"/>
        <v>0</v>
      </c>
      <c r="BH76" s="78">
        <f t="shared" si="44"/>
        <v>89</v>
      </c>
      <c r="BI76" s="78">
        <f t="shared" si="44"/>
        <v>80.7</v>
      </c>
      <c r="BJ76" s="78">
        <f t="shared" si="44"/>
        <v>60</v>
      </c>
      <c r="BK76" s="78">
        <f t="shared" si="44"/>
        <v>76.400000000000006</v>
      </c>
      <c r="BL76" s="78">
        <f t="shared" si="44"/>
        <v>79.2</v>
      </c>
      <c r="BM76" s="78">
        <f t="shared" si="44"/>
        <v>85.7</v>
      </c>
      <c r="BN76" s="78">
        <f t="shared" si="44"/>
        <v>68.2</v>
      </c>
      <c r="BO76" s="78">
        <f t="shared" si="44"/>
        <v>0</v>
      </c>
      <c r="BP76" s="78">
        <f t="shared" si="44"/>
        <v>0</v>
      </c>
      <c r="BQ76" s="78">
        <f t="shared" si="44"/>
        <v>0</v>
      </c>
      <c r="BR76" s="78">
        <f t="shared" si="44"/>
        <v>0</v>
      </c>
      <c r="BS76" s="78">
        <f t="shared" si="44"/>
        <v>0</v>
      </c>
      <c r="BT76" s="78">
        <f t="shared" si="44"/>
        <v>0</v>
      </c>
      <c r="BU76" s="78">
        <f t="shared" si="44"/>
        <v>0</v>
      </c>
      <c r="BV76" s="78">
        <f t="shared" si="44"/>
        <v>0</v>
      </c>
      <c r="BW76" s="78">
        <f t="shared" si="44"/>
        <v>0</v>
      </c>
    </row>
    <row r="77" spans="1:75" x14ac:dyDescent="0.25">
      <c r="A77" s="89" t="s">
        <v>185</v>
      </c>
      <c r="B77" s="102">
        <v>59.9</v>
      </c>
      <c r="C77" s="102">
        <v>59.9</v>
      </c>
      <c r="D77" s="102">
        <v>60</v>
      </c>
      <c r="E77" s="102">
        <v>44.9</v>
      </c>
      <c r="F77" s="102">
        <v>60</v>
      </c>
      <c r="G77" s="102">
        <v>60</v>
      </c>
      <c r="H77" s="102">
        <v>43.5</v>
      </c>
      <c r="I77" s="102">
        <v>44.8</v>
      </c>
      <c r="J77" s="102">
        <v>14</v>
      </c>
      <c r="K77" s="102">
        <v>13.8</v>
      </c>
      <c r="L77" s="102">
        <v>30.2</v>
      </c>
      <c r="M77" s="102">
        <v>30.1</v>
      </c>
      <c r="N77" s="102">
        <v>29.7</v>
      </c>
      <c r="O77" s="102">
        <v>41</v>
      </c>
      <c r="P77" s="102">
        <v>50</v>
      </c>
      <c r="Q77" s="102">
        <v>59.4</v>
      </c>
      <c r="R77" s="102">
        <v>39.6</v>
      </c>
      <c r="S77" s="102">
        <v>39.700000000000003</v>
      </c>
      <c r="T77" s="102">
        <v>45.1</v>
      </c>
      <c r="U77" s="102">
        <v>59.6</v>
      </c>
      <c r="V77" s="102">
        <v>49.3</v>
      </c>
      <c r="W77" s="102">
        <v>54.8</v>
      </c>
      <c r="X77" s="102">
        <v>19.899999999999999</v>
      </c>
      <c r="Y77" s="102">
        <v>59.6</v>
      </c>
      <c r="Z77" s="102">
        <v>59.6</v>
      </c>
      <c r="AA77" s="102">
        <v>59.6</v>
      </c>
      <c r="AB77" s="102">
        <v>59.6</v>
      </c>
      <c r="AC77" s="102">
        <v>59.6</v>
      </c>
      <c r="AD77" s="102">
        <v>59.6</v>
      </c>
      <c r="AE77" s="102">
        <v>59.6</v>
      </c>
      <c r="AF77" s="102">
        <v>59.6</v>
      </c>
      <c r="AG77" s="88">
        <v>60</v>
      </c>
      <c r="AH77" s="12">
        <f t="shared" si="10"/>
        <v>60</v>
      </c>
      <c r="AI77" s="11">
        <f t="shared" si="11"/>
        <v>13.8</v>
      </c>
      <c r="AK77" s="19"/>
      <c r="AZ77" s="78">
        <f t="shared" si="44"/>
        <v>44</v>
      </c>
      <c r="BA77" s="78">
        <f t="shared" si="44"/>
        <v>61.8</v>
      </c>
      <c r="BB77" s="78">
        <f t="shared" si="44"/>
        <v>105.7</v>
      </c>
      <c r="BC77" s="78">
        <f t="shared" si="44"/>
        <v>87.9</v>
      </c>
      <c r="BD77" s="78">
        <f t="shared" si="44"/>
        <v>86.4</v>
      </c>
      <c r="BE77" s="78">
        <f t="shared" si="44"/>
        <v>84.9</v>
      </c>
      <c r="BF77" s="78">
        <f t="shared" si="44"/>
        <v>473</v>
      </c>
      <c r="BG77" s="78">
        <f t="shared" si="44"/>
        <v>519.29999999999995</v>
      </c>
      <c r="BH77" s="78">
        <f t="shared" si="44"/>
        <v>456.9</v>
      </c>
      <c r="BI77" s="78">
        <f t="shared" si="44"/>
        <v>480</v>
      </c>
      <c r="BJ77" s="78">
        <f t="shared" si="44"/>
        <v>492</v>
      </c>
      <c r="BK77" s="78">
        <f t="shared" si="44"/>
        <v>470</v>
      </c>
      <c r="BL77" s="78">
        <f t="shared" si="44"/>
        <v>469</v>
      </c>
      <c r="BM77" s="78">
        <f t="shared" si="44"/>
        <v>436</v>
      </c>
      <c r="BN77" s="78">
        <f t="shared" si="44"/>
        <v>440</v>
      </c>
      <c r="BO77" s="78">
        <f t="shared" si="44"/>
        <v>492.4</v>
      </c>
      <c r="BP77" s="78">
        <f t="shared" si="44"/>
        <v>474.1</v>
      </c>
      <c r="BQ77" s="78">
        <f t="shared" si="44"/>
        <v>425.7</v>
      </c>
      <c r="BR77" s="78">
        <f t="shared" si="44"/>
        <v>47.9</v>
      </c>
      <c r="BS77" s="78">
        <f t="shared" si="44"/>
        <v>60</v>
      </c>
      <c r="BT77" s="78">
        <f t="shared" si="44"/>
        <v>86.1</v>
      </c>
      <c r="BU77" s="78">
        <f t="shared" si="44"/>
        <v>68</v>
      </c>
      <c r="BV77" s="78">
        <f t="shared" si="44"/>
        <v>114</v>
      </c>
      <c r="BW77" s="78">
        <f t="shared" si="44"/>
        <v>40.799999999999997</v>
      </c>
    </row>
    <row r="78" spans="1:75" x14ac:dyDescent="0.25">
      <c r="A78" s="87" t="s">
        <v>184</v>
      </c>
      <c r="B78" s="70">
        <v>26.5</v>
      </c>
      <c r="C78" s="70">
        <v>27.4</v>
      </c>
      <c r="D78" s="70">
        <v>27.5</v>
      </c>
      <c r="E78" s="70">
        <v>18.899999999999999</v>
      </c>
      <c r="F78" s="70">
        <v>27.8</v>
      </c>
      <c r="G78" s="70">
        <v>27.8</v>
      </c>
      <c r="H78" s="70">
        <v>27.6</v>
      </c>
      <c r="I78" s="70">
        <v>18.7</v>
      </c>
      <c r="J78" s="70">
        <v>7.3</v>
      </c>
      <c r="K78" s="70">
        <v>4.5999999999999996</v>
      </c>
      <c r="L78" s="70">
        <v>11.9</v>
      </c>
      <c r="M78" s="70">
        <v>14.2</v>
      </c>
      <c r="N78" s="70">
        <v>6.7</v>
      </c>
      <c r="O78" s="70">
        <v>21.9</v>
      </c>
      <c r="P78" s="70">
        <v>21.4</v>
      </c>
      <c r="Q78" s="70">
        <v>27.5</v>
      </c>
      <c r="R78" s="70">
        <v>22.2</v>
      </c>
      <c r="S78" s="70">
        <v>15</v>
      </c>
      <c r="T78" s="70">
        <v>17.7</v>
      </c>
      <c r="U78" s="70">
        <v>25.8</v>
      </c>
      <c r="V78" s="70">
        <v>21.9</v>
      </c>
      <c r="W78" s="70">
        <v>22</v>
      </c>
      <c r="X78" s="70">
        <v>9.3000000000000007</v>
      </c>
      <c r="Y78" s="70">
        <v>26.3</v>
      </c>
      <c r="Z78" s="70">
        <v>26.3</v>
      </c>
      <c r="AA78" s="70">
        <v>26.3</v>
      </c>
      <c r="AB78" s="70">
        <v>26.3</v>
      </c>
      <c r="AC78" s="70">
        <v>26.3</v>
      </c>
      <c r="AD78" s="70">
        <v>26.3</v>
      </c>
      <c r="AE78" s="70">
        <v>26.3</v>
      </c>
      <c r="AF78" s="70">
        <v>26.3</v>
      </c>
      <c r="AG78" s="86">
        <v>32</v>
      </c>
      <c r="AH78" s="12">
        <f t="shared" si="10"/>
        <v>27.8</v>
      </c>
      <c r="AI78" s="11">
        <f t="shared" si="11"/>
        <v>4.5999999999999996</v>
      </c>
      <c r="AK78" s="19"/>
      <c r="AZ78" s="78">
        <f t="shared" si="44"/>
        <v>39</v>
      </c>
      <c r="BA78" s="78">
        <f t="shared" si="44"/>
        <v>51.8</v>
      </c>
      <c r="BB78" s="78">
        <f t="shared" si="44"/>
        <v>50.6</v>
      </c>
      <c r="BC78" s="78">
        <f t="shared" si="44"/>
        <v>39.700000000000003</v>
      </c>
      <c r="BD78" s="78">
        <f t="shared" si="44"/>
        <v>50.4</v>
      </c>
      <c r="BE78" s="78">
        <f t="shared" si="44"/>
        <v>55.2</v>
      </c>
      <c r="BF78" s="78">
        <f t="shared" si="44"/>
        <v>50.7</v>
      </c>
      <c r="BG78" s="78">
        <f t="shared" si="44"/>
        <v>47.5</v>
      </c>
      <c r="BH78" s="78">
        <f t="shared" si="44"/>
        <v>48</v>
      </c>
      <c r="BI78" s="78">
        <f t="shared" si="44"/>
        <v>0</v>
      </c>
      <c r="BJ78" s="78">
        <f t="shared" si="44"/>
        <v>0</v>
      </c>
      <c r="BK78" s="78">
        <f t="shared" si="44"/>
        <v>51.5</v>
      </c>
      <c r="BL78" s="78">
        <f t="shared" si="44"/>
        <v>53.5</v>
      </c>
      <c r="BM78" s="78">
        <f t="shared" si="44"/>
        <v>53.2</v>
      </c>
      <c r="BN78" s="78">
        <f t="shared" si="44"/>
        <v>54.7</v>
      </c>
      <c r="BO78" s="78">
        <f t="shared" si="44"/>
        <v>57</v>
      </c>
      <c r="BP78" s="78">
        <f t="shared" si="44"/>
        <v>49.96</v>
      </c>
      <c r="BQ78" s="78">
        <f t="shared" si="44"/>
        <v>42.8</v>
      </c>
      <c r="BR78" s="78">
        <f t="shared" si="44"/>
        <v>0</v>
      </c>
      <c r="BS78" s="78">
        <f t="shared" si="44"/>
        <v>0</v>
      </c>
      <c r="BT78" s="78">
        <f t="shared" si="44"/>
        <v>0</v>
      </c>
      <c r="BU78" s="78">
        <f t="shared" si="44"/>
        <v>0</v>
      </c>
      <c r="BV78" s="78">
        <f t="shared" si="44"/>
        <v>0</v>
      </c>
      <c r="BW78" s="78">
        <f t="shared" si="44"/>
        <v>44.1</v>
      </c>
    </row>
    <row r="79" spans="1:75" ht="15.75" thickBot="1" x14ac:dyDescent="0.3">
      <c r="A79" s="111" t="s">
        <v>183</v>
      </c>
      <c r="B79" s="110">
        <v>9.6999999999999993</v>
      </c>
      <c r="C79" s="110">
        <v>10</v>
      </c>
      <c r="D79" s="110">
        <v>10</v>
      </c>
      <c r="E79" s="110">
        <v>8</v>
      </c>
      <c r="F79" s="110">
        <v>11</v>
      </c>
      <c r="G79" s="110">
        <v>11</v>
      </c>
      <c r="H79" s="110">
        <v>10</v>
      </c>
      <c r="I79" s="110">
        <v>6.8</v>
      </c>
      <c r="J79" s="110">
        <v>2.7</v>
      </c>
      <c r="K79" s="110">
        <v>1.7</v>
      </c>
      <c r="L79" s="110">
        <v>4.3</v>
      </c>
      <c r="M79" s="110">
        <v>5.2</v>
      </c>
      <c r="N79" s="110">
        <v>2.4</v>
      </c>
      <c r="O79" s="110">
        <v>8</v>
      </c>
      <c r="P79" s="110">
        <v>7.8</v>
      </c>
      <c r="Q79" s="110">
        <v>10.1</v>
      </c>
      <c r="R79" s="110">
        <v>8.1</v>
      </c>
      <c r="S79" s="110">
        <v>5.5</v>
      </c>
      <c r="T79" s="110">
        <v>6.5</v>
      </c>
      <c r="U79" s="110">
        <v>9.6</v>
      </c>
      <c r="V79" s="110">
        <v>8</v>
      </c>
      <c r="W79" s="110">
        <v>8</v>
      </c>
      <c r="X79" s="110">
        <v>3.5</v>
      </c>
      <c r="Y79" s="110">
        <v>9.6</v>
      </c>
      <c r="Z79" s="110">
        <v>9.6</v>
      </c>
      <c r="AA79" s="110">
        <v>9.6</v>
      </c>
      <c r="AB79" s="110">
        <v>9.6</v>
      </c>
      <c r="AC79" s="110">
        <v>9.6</v>
      </c>
      <c r="AD79" s="110">
        <v>9.6</v>
      </c>
      <c r="AE79" s="110">
        <v>9.6</v>
      </c>
      <c r="AF79" s="110">
        <v>9.6</v>
      </c>
      <c r="AG79" s="109">
        <v>14</v>
      </c>
      <c r="AH79" s="12">
        <f t="shared" si="10"/>
        <v>11</v>
      </c>
      <c r="AI79" s="11">
        <f t="shared" si="11"/>
        <v>1.7</v>
      </c>
      <c r="AK79" s="19"/>
      <c r="AZ79" s="78">
        <f t="shared" si="44"/>
        <v>122</v>
      </c>
      <c r="BA79" s="78">
        <f t="shared" si="44"/>
        <v>122.1</v>
      </c>
      <c r="BB79" s="78">
        <f t="shared" si="44"/>
        <v>117.8</v>
      </c>
      <c r="BC79" s="78">
        <f t="shared" si="44"/>
        <v>124</v>
      </c>
      <c r="BD79" s="78">
        <f t="shared" si="44"/>
        <v>124.7</v>
      </c>
      <c r="BE79" s="78">
        <f t="shared" si="44"/>
        <v>119</v>
      </c>
      <c r="BF79" s="78">
        <f t="shared" si="44"/>
        <v>133.9</v>
      </c>
      <c r="BG79" s="78">
        <f t="shared" si="44"/>
        <v>126.8</v>
      </c>
      <c r="BH79" s="78">
        <f t="shared" si="44"/>
        <v>114.1</v>
      </c>
      <c r="BI79" s="78">
        <f t="shared" si="44"/>
        <v>136.30000000000001</v>
      </c>
      <c r="BJ79" s="78">
        <f t="shared" si="44"/>
        <v>136.4</v>
      </c>
      <c r="BK79" s="78">
        <f t="shared" si="44"/>
        <v>105.3</v>
      </c>
      <c r="BL79" s="78">
        <f t="shared" si="44"/>
        <v>118.9</v>
      </c>
      <c r="BM79" s="78">
        <f t="shared" si="44"/>
        <v>133.19999999999999</v>
      </c>
      <c r="BN79" s="78">
        <f t="shared" si="44"/>
        <v>130.30000000000001</v>
      </c>
      <c r="BO79" s="78">
        <f t="shared" si="44"/>
        <v>127.1</v>
      </c>
      <c r="BP79" s="78">
        <f t="shared" si="44"/>
        <v>111.8</v>
      </c>
      <c r="BQ79" s="78">
        <f t="shared" si="44"/>
        <v>0</v>
      </c>
      <c r="BR79" s="78">
        <f t="shared" si="44"/>
        <v>0</v>
      </c>
      <c r="BS79" s="78">
        <f t="shared" si="44"/>
        <v>0</v>
      </c>
      <c r="BT79" s="78">
        <f t="shared" si="44"/>
        <v>0</v>
      </c>
      <c r="BU79" s="78">
        <f t="shared" si="44"/>
        <v>0</v>
      </c>
      <c r="BV79" s="78">
        <f t="shared" si="44"/>
        <v>0</v>
      </c>
      <c r="BW79" s="78">
        <f t="shared" si="44"/>
        <v>128.30000000000001</v>
      </c>
    </row>
    <row r="80" spans="1:75" ht="15.75" thickBot="1" x14ac:dyDescent="0.3">
      <c r="A80" s="77" t="s">
        <v>182</v>
      </c>
      <c r="B80" s="76">
        <f t="shared" ref="B80:AF80" si="45">B77+B78+B79</f>
        <v>96.100000000000009</v>
      </c>
      <c r="C80" s="76">
        <f t="shared" si="45"/>
        <v>97.3</v>
      </c>
      <c r="D80" s="76">
        <f t="shared" si="45"/>
        <v>97.5</v>
      </c>
      <c r="E80" s="76">
        <f t="shared" si="45"/>
        <v>71.8</v>
      </c>
      <c r="F80" s="76">
        <f t="shared" si="45"/>
        <v>98.8</v>
      </c>
      <c r="G80" s="76">
        <f t="shared" si="45"/>
        <v>98.8</v>
      </c>
      <c r="H80" s="76">
        <f t="shared" si="45"/>
        <v>81.099999999999994</v>
      </c>
      <c r="I80" s="76">
        <f t="shared" si="45"/>
        <v>70.3</v>
      </c>
      <c r="J80" s="76">
        <f t="shared" si="45"/>
        <v>24</v>
      </c>
      <c r="K80" s="76">
        <f t="shared" si="45"/>
        <v>20.099999999999998</v>
      </c>
      <c r="L80" s="76">
        <f t="shared" si="45"/>
        <v>46.4</v>
      </c>
      <c r="M80" s="76">
        <f t="shared" si="45"/>
        <v>49.5</v>
      </c>
      <c r="N80" s="76">
        <f t="shared" si="45"/>
        <v>38.799999999999997</v>
      </c>
      <c r="O80" s="76">
        <f t="shared" si="45"/>
        <v>70.900000000000006</v>
      </c>
      <c r="P80" s="76">
        <f t="shared" si="45"/>
        <v>79.2</v>
      </c>
      <c r="Q80" s="76">
        <f t="shared" si="45"/>
        <v>97</v>
      </c>
      <c r="R80" s="76">
        <f t="shared" si="45"/>
        <v>69.899999999999991</v>
      </c>
      <c r="S80" s="76">
        <f t="shared" si="45"/>
        <v>60.2</v>
      </c>
      <c r="T80" s="76">
        <f t="shared" si="45"/>
        <v>69.3</v>
      </c>
      <c r="U80" s="76">
        <f t="shared" si="45"/>
        <v>95</v>
      </c>
      <c r="V80" s="76">
        <f t="shared" si="45"/>
        <v>79.199999999999989</v>
      </c>
      <c r="W80" s="76">
        <f t="shared" si="45"/>
        <v>84.8</v>
      </c>
      <c r="X80" s="76">
        <f t="shared" si="45"/>
        <v>32.700000000000003</v>
      </c>
      <c r="Y80" s="76">
        <f t="shared" si="45"/>
        <v>95.5</v>
      </c>
      <c r="Z80" s="76">
        <f t="shared" si="45"/>
        <v>95.5</v>
      </c>
      <c r="AA80" s="76">
        <f t="shared" si="45"/>
        <v>95.5</v>
      </c>
      <c r="AB80" s="76">
        <f t="shared" si="45"/>
        <v>95.5</v>
      </c>
      <c r="AC80" s="76">
        <f t="shared" si="45"/>
        <v>95.5</v>
      </c>
      <c r="AD80" s="76">
        <f t="shared" si="45"/>
        <v>95.5</v>
      </c>
      <c r="AE80" s="76">
        <f t="shared" si="45"/>
        <v>95.5</v>
      </c>
      <c r="AF80" s="76">
        <f t="shared" si="45"/>
        <v>95.5</v>
      </c>
      <c r="AG80" s="93">
        <f>SUM(AG77:AG79)</f>
        <v>106</v>
      </c>
      <c r="AH80" s="12">
        <f t="shared" si="10"/>
        <v>98.8</v>
      </c>
      <c r="AI80" s="11">
        <f t="shared" si="11"/>
        <v>20.099999999999998</v>
      </c>
      <c r="AK80" s="19"/>
      <c r="AZ80" s="78">
        <f t="shared" si="44"/>
        <v>43</v>
      </c>
      <c r="BA80" s="78">
        <f t="shared" si="44"/>
        <v>45.3</v>
      </c>
      <c r="BB80" s="78">
        <f t="shared" si="44"/>
        <v>55.5</v>
      </c>
      <c r="BC80" s="78">
        <f t="shared" si="44"/>
        <v>55.5</v>
      </c>
      <c r="BD80" s="78">
        <f t="shared" si="44"/>
        <v>55.5</v>
      </c>
      <c r="BE80" s="78">
        <f t="shared" si="44"/>
        <v>55.5</v>
      </c>
      <c r="BF80" s="78">
        <f t="shared" si="44"/>
        <v>55.5</v>
      </c>
      <c r="BG80" s="78">
        <f t="shared" si="44"/>
        <v>55.5</v>
      </c>
      <c r="BH80" s="78">
        <f t="shared" si="44"/>
        <v>55</v>
      </c>
      <c r="BI80" s="78">
        <f t="shared" si="44"/>
        <v>55.5</v>
      </c>
      <c r="BJ80" s="78">
        <f t="shared" si="44"/>
        <v>55.5</v>
      </c>
      <c r="BK80" s="78">
        <f t="shared" si="44"/>
        <v>55</v>
      </c>
      <c r="BL80" s="78">
        <f t="shared" si="44"/>
        <v>55</v>
      </c>
      <c r="BM80" s="78">
        <f t="shared" si="44"/>
        <v>55.5</v>
      </c>
      <c r="BN80" s="78">
        <f t="shared" si="44"/>
        <v>55.5</v>
      </c>
      <c r="BO80" s="78">
        <f t="shared" si="44"/>
        <v>51.8</v>
      </c>
      <c r="BP80" s="78">
        <f t="shared" si="44"/>
        <v>49.6</v>
      </c>
      <c r="BQ80" s="78">
        <f t="shared" si="44"/>
        <v>48.5</v>
      </c>
      <c r="BR80" s="78">
        <f t="shared" si="44"/>
        <v>43.2</v>
      </c>
      <c r="BS80" s="78">
        <f t="shared" si="44"/>
        <v>41</v>
      </c>
      <c r="BT80" s="78">
        <f t="shared" si="44"/>
        <v>45.5</v>
      </c>
      <c r="BU80" s="78">
        <f t="shared" si="44"/>
        <v>45.5</v>
      </c>
      <c r="BV80" s="78">
        <f t="shared" si="44"/>
        <v>50</v>
      </c>
      <c r="BW80" s="78">
        <f t="shared" si="44"/>
        <v>45.9</v>
      </c>
    </row>
    <row r="81" spans="1:64" x14ac:dyDescent="0.25">
      <c r="A81" s="89" t="s">
        <v>157</v>
      </c>
      <c r="B81" s="102">
        <v>29.3</v>
      </c>
      <c r="C81" s="102">
        <v>26.3</v>
      </c>
      <c r="D81" s="102">
        <v>24.9</v>
      </c>
      <c r="E81" s="102">
        <v>24.7</v>
      </c>
      <c r="F81" s="102">
        <v>20.5</v>
      </c>
      <c r="G81" s="102">
        <v>22.4</v>
      </c>
      <c r="H81" s="102">
        <v>24.7</v>
      </c>
      <c r="I81" s="102">
        <v>23.9</v>
      </c>
      <c r="J81" s="102">
        <v>63.6</v>
      </c>
      <c r="K81" s="102">
        <v>72</v>
      </c>
      <c r="L81" s="102">
        <v>67.599999999999994</v>
      </c>
      <c r="M81" s="102">
        <v>70.5</v>
      </c>
      <c r="N81" s="102">
        <v>50.4</v>
      </c>
      <c r="O81" s="102">
        <v>62</v>
      </c>
      <c r="P81" s="102">
        <v>58</v>
      </c>
      <c r="Q81" s="102">
        <v>62.4</v>
      </c>
      <c r="R81" s="102">
        <v>61.6</v>
      </c>
      <c r="S81" s="102">
        <v>73.7</v>
      </c>
      <c r="T81" s="102">
        <v>61.1</v>
      </c>
      <c r="U81" s="102">
        <v>60.8</v>
      </c>
      <c r="V81" s="102">
        <v>66.7</v>
      </c>
      <c r="W81" s="102">
        <v>69.739999999999995</v>
      </c>
      <c r="X81" s="102">
        <v>61.7</v>
      </c>
      <c r="Y81" s="102">
        <v>27.4</v>
      </c>
      <c r="Z81" s="102">
        <v>32.200000000000003</v>
      </c>
      <c r="AA81" s="102">
        <v>19.2</v>
      </c>
      <c r="AB81" s="102">
        <v>31</v>
      </c>
      <c r="AC81" s="102">
        <v>41.6</v>
      </c>
      <c r="AD81" s="102">
        <v>41.8</v>
      </c>
      <c r="AE81" s="102">
        <v>35</v>
      </c>
      <c r="AF81" s="102">
        <v>39</v>
      </c>
      <c r="AG81" s="88"/>
      <c r="AH81" s="12">
        <f t="shared" si="10"/>
        <v>73.7</v>
      </c>
      <c r="AI81" s="11">
        <f t="shared" si="11"/>
        <v>19.2</v>
      </c>
      <c r="AK81" s="19"/>
      <c r="AY81" s="78"/>
    </row>
    <row r="82" spans="1:64" x14ac:dyDescent="0.25">
      <c r="A82" s="87" t="s">
        <v>160</v>
      </c>
      <c r="B82" s="70">
        <v>0</v>
      </c>
      <c r="C82" s="70">
        <v>0</v>
      </c>
      <c r="D82" s="70">
        <v>37</v>
      </c>
      <c r="E82" s="70">
        <v>47.5</v>
      </c>
      <c r="F82" s="70">
        <v>48</v>
      </c>
      <c r="G82" s="70">
        <v>58.4</v>
      </c>
      <c r="H82" s="70">
        <v>71</v>
      </c>
      <c r="I82" s="70">
        <v>95.5</v>
      </c>
      <c r="J82" s="70">
        <v>0</v>
      </c>
      <c r="K82" s="70">
        <v>0</v>
      </c>
      <c r="L82" s="70">
        <v>0</v>
      </c>
      <c r="M82" s="70">
        <v>0</v>
      </c>
      <c r="N82" s="70">
        <v>89</v>
      </c>
      <c r="O82" s="70">
        <v>80.7</v>
      </c>
      <c r="P82" s="70">
        <v>60</v>
      </c>
      <c r="Q82" s="70">
        <v>76.400000000000006</v>
      </c>
      <c r="R82" s="70">
        <v>79.2</v>
      </c>
      <c r="S82" s="70">
        <v>85.7</v>
      </c>
      <c r="T82" s="70">
        <v>68.2</v>
      </c>
      <c r="U82" s="70">
        <v>0</v>
      </c>
      <c r="V82" s="70">
        <v>0</v>
      </c>
      <c r="W82" s="70">
        <v>0</v>
      </c>
      <c r="X82" s="70">
        <v>0</v>
      </c>
      <c r="Y82" s="70">
        <v>0</v>
      </c>
      <c r="Z82" s="70">
        <v>0</v>
      </c>
      <c r="AA82" s="70">
        <v>0</v>
      </c>
      <c r="AB82" s="70">
        <v>0</v>
      </c>
      <c r="AC82" s="70">
        <v>0</v>
      </c>
      <c r="AD82" s="70">
        <v>0</v>
      </c>
      <c r="AE82" s="70">
        <v>0</v>
      </c>
      <c r="AF82" s="70"/>
      <c r="AG82" s="86"/>
      <c r="AH82" s="12">
        <f t="shared" ref="AH82:AH125" si="46">MAX(B82:AF82)</f>
        <v>95.5</v>
      </c>
      <c r="AI82" s="11">
        <f t="shared" ref="AI82:AI125" si="47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25">
      <c r="A83" s="87" t="s">
        <v>181</v>
      </c>
      <c r="B83" s="70">
        <v>40.799999999999997</v>
      </c>
      <c r="C83" s="70">
        <v>44</v>
      </c>
      <c r="D83" s="70">
        <v>61.8</v>
      </c>
      <c r="E83" s="70">
        <v>105.7</v>
      </c>
      <c r="F83" s="70">
        <v>87.9</v>
      </c>
      <c r="G83" s="70">
        <v>86.4</v>
      </c>
      <c r="H83" s="70">
        <v>65.8</v>
      </c>
      <c r="I83" s="70">
        <v>84.9</v>
      </c>
      <c r="J83" s="70">
        <v>430.7</v>
      </c>
      <c r="K83" s="70">
        <v>473</v>
      </c>
      <c r="L83" s="70">
        <v>497</v>
      </c>
      <c r="M83" s="70">
        <v>519.29999999999995</v>
      </c>
      <c r="N83" s="70">
        <v>456.9</v>
      </c>
      <c r="O83" s="70">
        <v>480</v>
      </c>
      <c r="P83" s="70">
        <v>492</v>
      </c>
      <c r="Q83" s="70">
        <v>470</v>
      </c>
      <c r="R83" s="70">
        <v>469</v>
      </c>
      <c r="S83" s="70">
        <v>436</v>
      </c>
      <c r="T83" s="70">
        <v>440</v>
      </c>
      <c r="U83" s="70">
        <v>492.4</v>
      </c>
      <c r="V83" s="70">
        <v>474.1</v>
      </c>
      <c r="W83" s="70">
        <v>467.3</v>
      </c>
      <c r="X83" s="70">
        <v>425.7</v>
      </c>
      <c r="Y83" s="70">
        <v>83.1</v>
      </c>
      <c r="Z83" s="70">
        <v>47.9</v>
      </c>
      <c r="AA83" s="70">
        <v>4.7</v>
      </c>
      <c r="AB83" s="70">
        <v>60</v>
      </c>
      <c r="AC83" s="70">
        <v>55</v>
      </c>
      <c r="AD83" s="70">
        <v>86.1</v>
      </c>
      <c r="AE83" s="70">
        <v>68</v>
      </c>
      <c r="AF83" s="70">
        <v>114</v>
      </c>
      <c r="AG83" s="96"/>
      <c r="AH83" s="12">
        <f t="shared" si="46"/>
        <v>519.29999999999995</v>
      </c>
      <c r="AI83" s="11">
        <f t="shared" si="47"/>
        <v>4.7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25">
      <c r="A84" s="87" t="s">
        <v>161</v>
      </c>
      <c r="B84" s="70">
        <v>44.1</v>
      </c>
      <c r="C84" s="70">
        <v>39.299999999999997</v>
      </c>
      <c r="D84" s="70">
        <v>51.8</v>
      </c>
      <c r="E84" s="85">
        <v>50.6</v>
      </c>
      <c r="F84" s="85">
        <v>39.700000000000003</v>
      </c>
      <c r="G84" s="85">
        <v>50.4</v>
      </c>
      <c r="H84" s="85">
        <v>49.8</v>
      </c>
      <c r="I84" s="85">
        <v>55.2</v>
      </c>
      <c r="J84" s="85">
        <v>51.8</v>
      </c>
      <c r="K84" s="85">
        <v>50.7</v>
      </c>
      <c r="L84" s="85">
        <v>48.3</v>
      </c>
      <c r="M84" s="85">
        <v>47.5</v>
      </c>
      <c r="N84" s="85">
        <v>48</v>
      </c>
      <c r="O84" s="85">
        <v>0</v>
      </c>
      <c r="P84" s="85">
        <v>0</v>
      </c>
      <c r="Q84" s="85">
        <v>51.5</v>
      </c>
      <c r="R84" s="85">
        <v>53.5</v>
      </c>
      <c r="S84" s="85">
        <v>53.2</v>
      </c>
      <c r="T84" s="85">
        <v>54.7</v>
      </c>
      <c r="U84" s="85">
        <v>57</v>
      </c>
      <c r="V84" s="85">
        <v>49.96</v>
      </c>
      <c r="W84" s="85">
        <v>52.6</v>
      </c>
      <c r="X84" s="85">
        <v>42.8</v>
      </c>
      <c r="Y84" s="85">
        <v>0</v>
      </c>
      <c r="Z84" s="85">
        <v>0</v>
      </c>
      <c r="AA84" s="85">
        <v>0</v>
      </c>
      <c r="AB84" s="85">
        <v>0</v>
      </c>
      <c r="AC84" s="85">
        <v>0</v>
      </c>
      <c r="AD84" s="85">
        <v>0</v>
      </c>
      <c r="AE84" s="85">
        <v>0</v>
      </c>
      <c r="AF84" s="85"/>
      <c r="AG84" s="96"/>
      <c r="AH84" s="12">
        <f t="shared" si="46"/>
        <v>57</v>
      </c>
      <c r="AI84" s="11">
        <f t="shared" si="47"/>
        <v>0</v>
      </c>
      <c r="AK84" s="19"/>
      <c r="AY84" s="78"/>
      <c r="BF84" s="83"/>
      <c r="BG84" s="78">
        <f t="array" ref="BG84:BL107">TRANSPOSE(AZ68:BW73)</f>
        <v>26</v>
      </c>
      <c r="BH84" s="78">
        <v>0</v>
      </c>
      <c r="BI84" s="78">
        <v>44</v>
      </c>
      <c r="BJ84" s="78">
        <v>39</v>
      </c>
      <c r="BK84" s="78">
        <v>122</v>
      </c>
      <c r="BL84" s="78">
        <v>43</v>
      </c>
    </row>
    <row r="85" spans="1:64" x14ac:dyDescent="0.25">
      <c r="A85" s="87" t="s">
        <v>180</v>
      </c>
      <c r="B85" s="102">
        <v>128.30000000000001</v>
      </c>
      <c r="C85" s="102">
        <v>122</v>
      </c>
      <c r="D85" s="102">
        <v>122.1</v>
      </c>
      <c r="E85" s="102">
        <v>117.8</v>
      </c>
      <c r="F85" s="102">
        <v>124</v>
      </c>
      <c r="G85" s="102">
        <v>124.7</v>
      </c>
      <c r="H85" s="102">
        <v>144.69999999999999</v>
      </c>
      <c r="I85" s="102">
        <v>119</v>
      </c>
      <c r="J85" s="102">
        <v>127</v>
      </c>
      <c r="K85" s="102">
        <v>133.9</v>
      </c>
      <c r="L85" s="102">
        <v>129.4</v>
      </c>
      <c r="M85" s="102">
        <v>126.8</v>
      </c>
      <c r="N85" s="102">
        <v>114.1</v>
      </c>
      <c r="O85" s="102">
        <v>136.30000000000001</v>
      </c>
      <c r="P85" s="102">
        <v>136.4</v>
      </c>
      <c r="Q85" s="102">
        <v>105.3</v>
      </c>
      <c r="R85" s="102">
        <v>118.9</v>
      </c>
      <c r="S85" s="102">
        <v>133.19999999999999</v>
      </c>
      <c r="T85" s="102">
        <v>130.30000000000001</v>
      </c>
      <c r="U85" s="102">
        <v>127.1</v>
      </c>
      <c r="V85" s="102">
        <v>111.8</v>
      </c>
      <c r="W85" s="102">
        <v>104.1</v>
      </c>
      <c r="X85" s="102">
        <v>0</v>
      </c>
      <c r="Y85" s="102">
        <v>0</v>
      </c>
      <c r="Z85" s="102">
        <v>0</v>
      </c>
      <c r="AA85" s="102">
        <v>0</v>
      </c>
      <c r="AB85" s="102">
        <v>0</v>
      </c>
      <c r="AC85" s="102">
        <v>0</v>
      </c>
      <c r="AD85" s="102">
        <v>0</v>
      </c>
      <c r="AE85" s="102">
        <v>0</v>
      </c>
      <c r="AF85" s="102"/>
      <c r="AG85" s="96"/>
      <c r="AH85" s="12">
        <f t="shared" si="46"/>
        <v>144.69999999999999</v>
      </c>
      <c r="AI85" s="11">
        <f t="shared" si="47"/>
        <v>0</v>
      </c>
      <c r="AK85" s="19"/>
      <c r="AY85" s="78"/>
      <c r="BF85" s="83"/>
      <c r="BG85" s="78">
        <v>24.9</v>
      </c>
      <c r="BH85" s="78">
        <v>37</v>
      </c>
      <c r="BI85" s="78">
        <v>61.8</v>
      </c>
      <c r="BJ85" s="78">
        <v>51.8</v>
      </c>
      <c r="BK85" s="78">
        <v>122.1</v>
      </c>
      <c r="BL85" s="78">
        <v>45.3</v>
      </c>
    </row>
    <row r="86" spans="1:64" x14ac:dyDescent="0.25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46"/>
        <v>0</v>
      </c>
      <c r="AI86" s="11">
        <f t="shared" si="47"/>
        <v>0</v>
      </c>
      <c r="AK86" s="19"/>
      <c r="AY86" s="78"/>
      <c r="BF86" s="83"/>
      <c r="BG86" s="78">
        <v>24.7</v>
      </c>
      <c r="BH86" s="78">
        <v>47.5</v>
      </c>
      <c r="BI86" s="78">
        <v>105.7</v>
      </c>
      <c r="BJ86" s="78">
        <v>50.6</v>
      </c>
      <c r="BK86" s="78">
        <v>117.8</v>
      </c>
      <c r="BL86" s="78">
        <v>55.5</v>
      </c>
    </row>
    <row r="87" spans="1:64" ht="15.75" thickBot="1" x14ac:dyDescent="0.3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46"/>
        <v>0</v>
      </c>
      <c r="AI87" s="11">
        <f t="shared" si="47"/>
        <v>0</v>
      </c>
      <c r="AK87" s="19"/>
      <c r="AL87" s="108" t="s">
        <v>177</v>
      </c>
      <c r="AM87" s="108"/>
      <c r="AY87" s="78"/>
      <c r="BF87" s="78"/>
      <c r="BG87" s="78">
        <v>20.5</v>
      </c>
      <c r="BH87" s="78">
        <v>48</v>
      </c>
      <c r="BI87" s="78">
        <v>87.9</v>
      </c>
      <c r="BJ87" s="78">
        <v>39.700000000000003</v>
      </c>
      <c r="BK87" s="78">
        <v>124</v>
      </c>
      <c r="BL87" s="78">
        <v>55.5</v>
      </c>
    </row>
    <row r="88" spans="1:64" x14ac:dyDescent="0.25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46"/>
        <v>0</v>
      </c>
      <c r="AI88" s="11">
        <f t="shared" si="47"/>
        <v>0</v>
      </c>
      <c r="AK88" s="107"/>
      <c r="AL88" s="106"/>
      <c r="AM88" s="106"/>
      <c r="AN88" s="105"/>
      <c r="AY88" s="78"/>
      <c r="BF88" s="78"/>
      <c r="BG88" s="78">
        <v>22.4</v>
      </c>
      <c r="BH88" s="78">
        <v>58.4</v>
      </c>
      <c r="BI88" s="78">
        <v>86.4</v>
      </c>
      <c r="BJ88" s="78">
        <v>50.4</v>
      </c>
      <c r="BK88" s="78">
        <v>124.7</v>
      </c>
      <c r="BL88" s="78">
        <v>55.5</v>
      </c>
    </row>
    <row r="89" spans="1:64" x14ac:dyDescent="0.25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46"/>
        <v>0</v>
      </c>
      <c r="AI89" s="11">
        <f t="shared" si="47"/>
        <v>0</v>
      </c>
      <c r="AK89" s="104" t="s">
        <v>174</v>
      </c>
      <c r="AL89" s="70"/>
      <c r="AM89" s="85"/>
      <c r="AN89" s="103"/>
      <c r="AY89" s="78"/>
      <c r="BF89" s="78"/>
      <c r="BG89" s="78">
        <v>23.9</v>
      </c>
      <c r="BH89" s="78">
        <v>95.5</v>
      </c>
      <c r="BI89" s="78">
        <v>84.9</v>
      </c>
      <c r="BJ89" s="78">
        <v>55.2</v>
      </c>
      <c r="BK89" s="78">
        <v>119</v>
      </c>
      <c r="BL89" s="78">
        <v>55.5</v>
      </c>
    </row>
    <row r="90" spans="1:64" x14ac:dyDescent="0.25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46"/>
        <v>0</v>
      </c>
      <c r="AI90" s="11">
        <f t="shared" si="47"/>
        <v>0</v>
      </c>
      <c r="AK90" s="104" t="s">
        <v>172</v>
      </c>
      <c r="AL90" s="85"/>
      <c r="AM90" s="85"/>
      <c r="AN90" s="103"/>
      <c r="AY90" s="78"/>
      <c r="BF90" s="78"/>
      <c r="BG90" s="78">
        <v>72</v>
      </c>
      <c r="BH90" s="78">
        <v>0</v>
      </c>
      <c r="BI90" s="78">
        <v>473</v>
      </c>
      <c r="BJ90" s="78">
        <v>50.7</v>
      </c>
      <c r="BK90" s="78">
        <v>133.9</v>
      </c>
      <c r="BL90" s="78">
        <v>55.5</v>
      </c>
    </row>
    <row r="91" spans="1:64" ht="15.75" thickBot="1" x14ac:dyDescent="0.3">
      <c r="A91" s="82" t="s">
        <v>171</v>
      </c>
      <c r="B91" s="97">
        <v>45.9</v>
      </c>
      <c r="C91" s="97">
        <v>43.3</v>
      </c>
      <c r="D91" s="97">
        <v>45.3</v>
      </c>
      <c r="E91" s="97">
        <v>55.5</v>
      </c>
      <c r="F91" s="97">
        <v>55.5</v>
      </c>
      <c r="G91" s="97">
        <v>55.5</v>
      </c>
      <c r="H91" s="97">
        <v>55.5</v>
      </c>
      <c r="I91" s="97">
        <v>55.5</v>
      </c>
      <c r="J91" s="97">
        <v>55.5</v>
      </c>
      <c r="K91" s="97">
        <v>55.5</v>
      </c>
      <c r="L91" s="97">
        <v>55.5</v>
      </c>
      <c r="M91" s="97">
        <v>55.5</v>
      </c>
      <c r="N91" s="97">
        <v>55</v>
      </c>
      <c r="O91" s="97">
        <v>55.5</v>
      </c>
      <c r="P91" s="97">
        <v>55.5</v>
      </c>
      <c r="Q91" s="97">
        <v>55</v>
      </c>
      <c r="R91" s="97">
        <v>55</v>
      </c>
      <c r="S91" s="97">
        <v>55.5</v>
      </c>
      <c r="T91" s="97">
        <v>55.5</v>
      </c>
      <c r="U91" s="97">
        <v>51.8</v>
      </c>
      <c r="V91" s="97">
        <v>49.6</v>
      </c>
      <c r="W91" s="97">
        <v>50</v>
      </c>
      <c r="X91" s="97">
        <v>48.5</v>
      </c>
      <c r="Y91" s="97">
        <v>42.4</v>
      </c>
      <c r="Z91" s="97">
        <v>43.2</v>
      </c>
      <c r="AA91" s="97">
        <v>45</v>
      </c>
      <c r="AB91" s="97">
        <v>41</v>
      </c>
      <c r="AC91" s="97">
        <v>33.700000000000003</v>
      </c>
      <c r="AD91" s="97">
        <v>45.5</v>
      </c>
      <c r="AE91" s="97">
        <v>45.5</v>
      </c>
      <c r="AF91" s="97">
        <v>50</v>
      </c>
      <c r="AG91" s="80"/>
      <c r="AH91" s="12">
        <f t="shared" si="46"/>
        <v>55.5</v>
      </c>
      <c r="AI91" s="11">
        <f t="shared" si="47"/>
        <v>33.700000000000003</v>
      </c>
      <c r="AK91" s="98"/>
      <c r="AL91" s="102"/>
      <c r="AM91" s="102"/>
      <c r="AN91" s="101"/>
      <c r="AY91" s="78"/>
      <c r="BF91" s="78"/>
      <c r="BG91" s="78">
        <v>70.5</v>
      </c>
      <c r="BH91" s="78">
        <v>0</v>
      </c>
      <c r="BI91" s="78">
        <v>519.29999999999995</v>
      </c>
      <c r="BJ91" s="78">
        <v>47.5</v>
      </c>
      <c r="BK91" s="78">
        <v>126.8</v>
      </c>
      <c r="BL91" s="78">
        <v>55.5</v>
      </c>
    </row>
    <row r="92" spans="1:64" ht="15.75" thickBot="1" x14ac:dyDescent="0.3">
      <c r="A92" s="77" t="s">
        <v>170</v>
      </c>
      <c r="B92" s="76">
        <f t="shared" ref="B92:AF92" si="48">SUMIF(B81:B91,"&gt;0")</f>
        <v>288.39999999999998</v>
      </c>
      <c r="C92" s="76">
        <f t="shared" si="48"/>
        <v>274.89999999999998</v>
      </c>
      <c r="D92" s="76">
        <f t="shared" si="48"/>
        <v>342.90000000000003</v>
      </c>
      <c r="E92" s="76">
        <f t="shared" si="48"/>
        <v>401.8</v>
      </c>
      <c r="F92" s="76">
        <f t="shared" si="48"/>
        <v>375.6</v>
      </c>
      <c r="G92" s="76">
        <f t="shared" si="48"/>
        <v>397.8</v>
      </c>
      <c r="H92" s="76">
        <f t="shared" si="48"/>
        <v>411.5</v>
      </c>
      <c r="I92" s="76">
        <f t="shared" si="48"/>
        <v>434</v>
      </c>
      <c r="J92" s="76">
        <f t="shared" si="48"/>
        <v>728.6</v>
      </c>
      <c r="K92" s="76">
        <f t="shared" si="48"/>
        <v>785.1</v>
      </c>
      <c r="L92" s="76">
        <f t="shared" si="48"/>
        <v>797.8</v>
      </c>
      <c r="M92" s="76">
        <f t="shared" si="48"/>
        <v>819.59999999999991</v>
      </c>
      <c r="N92" s="76">
        <f t="shared" si="48"/>
        <v>813.4</v>
      </c>
      <c r="O92" s="76">
        <f t="shared" si="48"/>
        <v>814.5</v>
      </c>
      <c r="P92" s="76">
        <f t="shared" si="48"/>
        <v>801.9</v>
      </c>
      <c r="Q92" s="76">
        <f t="shared" si="48"/>
        <v>820.59999999999991</v>
      </c>
      <c r="R92" s="76">
        <f t="shared" si="48"/>
        <v>837.19999999999993</v>
      </c>
      <c r="S92" s="76">
        <f t="shared" si="48"/>
        <v>837.3</v>
      </c>
      <c r="T92" s="76">
        <f t="shared" si="48"/>
        <v>809.8</v>
      </c>
      <c r="U92" s="76">
        <f t="shared" si="48"/>
        <v>789.09999999999991</v>
      </c>
      <c r="V92" s="76">
        <f t="shared" si="48"/>
        <v>752.16000000000008</v>
      </c>
      <c r="W92" s="76">
        <f t="shared" si="48"/>
        <v>743.74</v>
      </c>
      <c r="X92" s="76">
        <f t="shared" si="48"/>
        <v>578.69999999999993</v>
      </c>
      <c r="Y92" s="76">
        <f t="shared" si="48"/>
        <v>152.9</v>
      </c>
      <c r="Z92" s="76">
        <f t="shared" si="48"/>
        <v>123.3</v>
      </c>
      <c r="AA92" s="76">
        <f t="shared" si="48"/>
        <v>68.900000000000006</v>
      </c>
      <c r="AB92" s="76">
        <f t="shared" si="48"/>
        <v>132</v>
      </c>
      <c r="AC92" s="76">
        <f t="shared" si="48"/>
        <v>130.30000000000001</v>
      </c>
      <c r="AD92" s="76">
        <f t="shared" si="48"/>
        <v>173.39999999999998</v>
      </c>
      <c r="AE92" s="76">
        <f t="shared" si="48"/>
        <v>148.5</v>
      </c>
      <c r="AF92" s="76">
        <f t="shared" si="48"/>
        <v>203</v>
      </c>
      <c r="AG92" s="75">
        <f>SUM(AG81:AG91)</f>
        <v>0</v>
      </c>
      <c r="AH92" s="12">
        <f t="shared" si="46"/>
        <v>837.3</v>
      </c>
      <c r="AI92" s="11">
        <f t="shared" si="47"/>
        <v>68.900000000000006</v>
      </c>
      <c r="AK92" s="98"/>
      <c r="AL92" s="97"/>
      <c r="AM92" s="100"/>
      <c r="AN92" s="220"/>
      <c r="AY92" s="78"/>
      <c r="BF92" s="78"/>
      <c r="BG92" s="78">
        <v>50.4</v>
      </c>
      <c r="BH92" s="78">
        <v>89</v>
      </c>
      <c r="BI92" s="78">
        <v>456.9</v>
      </c>
      <c r="BJ92" s="78">
        <v>48</v>
      </c>
      <c r="BK92" s="78">
        <v>114.1</v>
      </c>
      <c r="BL92" s="78">
        <v>55</v>
      </c>
    </row>
    <row r="93" spans="1:64" x14ac:dyDescent="0.25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46"/>
        <v>0</v>
      </c>
      <c r="AI93" s="11">
        <f t="shared" si="47"/>
        <v>0</v>
      </c>
      <c r="AK93" s="98"/>
      <c r="AL93" s="97"/>
      <c r="AM93" s="97"/>
      <c r="AN93" s="221"/>
      <c r="BF93" s="78"/>
      <c r="BG93" s="78">
        <v>62</v>
      </c>
      <c r="BH93" s="78">
        <v>80.7</v>
      </c>
      <c r="BI93" s="78">
        <v>480</v>
      </c>
      <c r="BJ93" s="78">
        <v>0</v>
      </c>
      <c r="BK93" s="78">
        <v>136.30000000000001</v>
      </c>
      <c r="BL93" s="78">
        <v>55.5</v>
      </c>
    </row>
    <row r="94" spans="1:64" ht="15.75" thickBot="1" x14ac:dyDescent="0.3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46"/>
        <v>0</v>
      </c>
      <c r="AI94" s="11">
        <f t="shared" si="47"/>
        <v>0</v>
      </c>
      <c r="AK94" s="95"/>
      <c r="AL94" s="67"/>
      <c r="AM94" s="67"/>
      <c r="AN94" s="94"/>
      <c r="BF94" s="78"/>
      <c r="BG94" s="78">
        <v>58</v>
      </c>
      <c r="BH94" s="78">
        <v>60</v>
      </c>
      <c r="BI94" s="78">
        <v>492</v>
      </c>
      <c r="BJ94" s="78">
        <v>0</v>
      </c>
      <c r="BK94" s="78">
        <v>136.4</v>
      </c>
      <c r="BL94" s="78">
        <v>55.5</v>
      </c>
    </row>
    <row r="95" spans="1:64" ht="15.75" thickBot="1" x14ac:dyDescent="0.3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46"/>
        <v>0</v>
      </c>
      <c r="AI95" s="11">
        <f t="shared" si="47"/>
        <v>0</v>
      </c>
      <c r="BF95" s="78"/>
      <c r="BG95" s="78">
        <v>62.4</v>
      </c>
      <c r="BH95" s="78">
        <v>76.400000000000006</v>
      </c>
      <c r="BI95" s="78">
        <v>470</v>
      </c>
      <c r="BJ95" s="78">
        <v>51.5</v>
      </c>
      <c r="BK95" s="78">
        <v>105.3</v>
      </c>
      <c r="BL95" s="78">
        <v>55</v>
      </c>
    </row>
    <row r="96" spans="1:64" ht="15.75" thickBot="1" x14ac:dyDescent="0.3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46"/>
        <v>0</v>
      </c>
      <c r="AI96" s="11">
        <f t="shared" si="47"/>
        <v>0</v>
      </c>
      <c r="BF96" s="78"/>
      <c r="BG96" s="78">
        <v>61.6</v>
      </c>
      <c r="BH96" s="78">
        <v>79.2</v>
      </c>
      <c r="BI96" s="78">
        <v>469</v>
      </c>
      <c r="BJ96" s="78">
        <v>53.5</v>
      </c>
      <c r="BK96" s="78">
        <v>118.9</v>
      </c>
      <c r="BL96" s="78">
        <v>55</v>
      </c>
    </row>
    <row r="97" spans="1:64" ht="15.75" thickBot="1" x14ac:dyDescent="0.3">
      <c r="A97" s="77" t="s">
        <v>165</v>
      </c>
      <c r="B97" s="90">
        <f t="shared" ref="B97:AG97" si="49">B58+B62+B80+B76+B92+B96</f>
        <v>1037.54</v>
      </c>
      <c r="C97" s="90">
        <f t="shared" si="49"/>
        <v>1026.8399999999997</v>
      </c>
      <c r="D97" s="90">
        <f t="shared" si="49"/>
        <v>1024.94</v>
      </c>
      <c r="E97" s="90">
        <f t="shared" si="49"/>
        <v>1056.24</v>
      </c>
      <c r="F97" s="90">
        <f t="shared" si="49"/>
        <v>1057.04</v>
      </c>
      <c r="G97" s="90">
        <f t="shared" si="49"/>
        <v>1132.04</v>
      </c>
      <c r="H97" s="90">
        <f t="shared" si="49"/>
        <v>1234.74</v>
      </c>
      <c r="I97" s="90">
        <f t="shared" si="49"/>
        <v>1325.4399999999998</v>
      </c>
      <c r="J97" s="90">
        <f t="shared" si="49"/>
        <v>1458.24</v>
      </c>
      <c r="K97" s="90">
        <f t="shared" si="49"/>
        <v>1546.6399999999999</v>
      </c>
      <c r="L97" s="90">
        <f t="shared" si="49"/>
        <v>1599.04</v>
      </c>
      <c r="M97" s="90">
        <f t="shared" si="49"/>
        <v>1659.44</v>
      </c>
      <c r="N97" s="90">
        <f t="shared" si="49"/>
        <v>1620.6399999999999</v>
      </c>
      <c r="O97" s="90">
        <f t="shared" si="49"/>
        <v>1639.1399999999999</v>
      </c>
      <c r="P97" s="90">
        <f t="shared" si="49"/>
        <v>1632.3400000000001</v>
      </c>
      <c r="Q97" s="90">
        <f t="shared" si="49"/>
        <v>1672.84</v>
      </c>
      <c r="R97" s="90">
        <f t="shared" si="49"/>
        <v>1601.04</v>
      </c>
      <c r="S97" s="90">
        <f t="shared" si="49"/>
        <v>1664.64</v>
      </c>
      <c r="T97" s="90">
        <f t="shared" si="49"/>
        <v>1668.7399999999998</v>
      </c>
      <c r="U97" s="90">
        <f t="shared" si="49"/>
        <v>1661.2399999999998</v>
      </c>
      <c r="V97" s="90">
        <f t="shared" si="49"/>
        <v>1595.3000000000002</v>
      </c>
      <c r="W97" s="90">
        <f t="shared" si="49"/>
        <v>1582.3799999999999</v>
      </c>
      <c r="X97" s="90">
        <f t="shared" si="49"/>
        <v>1387.94</v>
      </c>
      <c r="Y97" s="90">
        <f t="shared" si="49"/>
        <v>1571.7400000000002</v>
      </c>
      <c r="Z97" s="90">
        <f t="shared" si="49"/>
        <v>1521.64</v>
      </c>
      <c r="AA97" s="90">
        <f t="shared" si="49"/>
        <v>1439.2400000000002</v>
      </c>
      <c r="AB97" s="90">
        <f t="shared" si="49"/>
        <v>1407.24</v>
      </c>
      <c r="AC97" s="90">
        <f t="shared" si="49"/>
        <v>1396.4399999999998</v>
      </c>
      <c r="AD97" s="90">
        <f t="shared" si="49"/>
        <v>1360.1399999999999</v>
      </c>
      <c r="AE97" s="90">
        <f t="shared" si="49"/>
        <v>1261.1399999999999</v>
      </c>
      <c r="AF97" s="90">
        <f t="shared" si="49"/>
        <v>1085.6399999999999</v>
      </c>
      <c r="AG97" s="93">
        <f t="shared" si="49"/>
        <v>2231.81</v>
      </c>
      <c r="AH97" s="12">
        <f t="shared" si="46"/>
        <v>1672.84</v>
      </c>
      <c r="AI97" s="11">
        <f t="shared" si="47"/>
        <v>1024.94</v>
      </c>
      <c r="BF97" s="78"/>
      <c r="BG97" s="78">
        <v>73.7</v>
      </c>
      <c r="BH97" s="78">
        <v>85.7</v>
      </c>
      <c r="BI97" s="78">
        <v>436</v>
      </c>
      <c r="BJ97" s="78">
        <v>53.2</v>
      </c>
      <c r="BK97" s="78">
        <v>133.19999999999999</v>
      </c>
      <c r="BL97" s="78">
        <v>55.5</v>
      </c>
    </row>
    <row r="98" spans="1:64" ht="15.75" thickBot="1" x14ac:dyDescent="0.3">
      <c r="A98" s="92" t="s">
        <v>164</v>
      </c>
      <c r="B98" s="91">
        <v>200</v>
      </c>
      <c r="C98" s="91">
        <v>200</v>
      </c>
      <c r="D98" s="91">
        <v>200</v>
      </c>
      <c r="E98" s="91">
        <v>200</v>
      </c>
      <c r="F98" s="91">
        <v>200</v>
      </c>
      <c r="G98" s="91">
        <v>200</v>
      </c>
      <c r="H98" s="91">
        <v>200</v>
      </c>
      <c r="I98" s="91">
        <v>150</v>
      </c>
      <c r="J98" s="91">
        <v>80</v>
      </c>
      <c r="K98" s="91">
        <v>30</v>
      </c>
      <c r="L98" s="91"/>
      <c r="M98" s="91">
        <v>10</v>
      </c>
      <c r="N98" s="91">
        <v>20</v>
      </c>
      <c r="O98" s="91">
        <v>20</v>
      </c>
      <c r="P98" s="91">
        <v>20</v>
      </c>
      <c r="Q98" s="91">
        <v>10</v>
      </c>
      <c r="R98" s="91">
        <v>20</v>
      </c>
      <c r="S98" s="91">
        <v>20</v>
      </c>
      <c r="T98" s="91">
        <v>50</v>
      </c>
      <c r="U98" s="91">
        <v>50</v>
      </c>
      <c r="V98" s="91">
        <v>50</v>
      </c>
      <c r="W98" s="91">
        <v>50</v>
      </c>
      <c r="X98" s="91">
        <v>50</v>
      </c>
      <c r="Y98" s="91">
        <v>300</v>
      </c>
      <c r="Z98" s="91">
        <v>380</v>
      </c>
      <c r="AA98" s="91">
        <v>380</v>
      </c>
      <c r="AB98" s="91">
        <v>300</v>
      </c>
      <c r="AC98" s="91">
        <v>280</v>
      </c>
      <c r="AD98" s="91">
        <v>250</v>
      </c>
      <c r="AE98" s="91">
        <v>200</v>
      </c>
      <c r="AF98" s="91">
        <v>250</v>
      </c>
      <c r="AG98" s="75"/>
      <c r="AH98" s="12">
        <f t="shared" si="46"/>
        <v>380</v>
      </c>
      <c r="AI98" s="11">
        <f t="shared" si="47"/>
        <v>10</v>
      </c>
      <c r="BF98" s="78"/>
      <c r="BG98" s="78">
        <v>61.1</v>
      </c>
      <c r="BH98" s="78">
        <v>68.2</v>
      </c>
      <c r="BI98" s="78">
        <v>440</v>
      </c>
      <c r="BJ98" s="78">
        <v>54.7</v>
      </c>
      <c r="BK98" s="78">
        <v>130.30000000000001</v>
      </c>
      <c r="BL98" s="78">
        <v>55.5</v>
      </c>
    </row>
    <row r="99" spans="1:64" ht="15.75" thickBot="1" x14ac:dyDescent="0.3">
      <c r="A99" s="77" t="s">
        <v>163</v>
      </c>
      <c r="B99" s="90">
        <f t="shared" ref="B99:AF99" si="50">B97+B98</f>
        <v>1237.54</v>
      </c>
      <c r="C99" s="90">
        <f t="shared" si="50"/>
        <v>1226.8399999999997</v>
      </c>
      <c r="D99" s="90">
        <f t="shared" si="50"/>
        <v>1224.94</v>
      </c>
      <c r="E99" s="90">
        <f t="shared" si="50"/>
        <v>1256.24</v>
      </c>
      <c r="F99" s="90">
        <f t="shared" si="50"/>
        <v>1257.04</v>
      </c>
      <c r="G99" s="90">
        <f t="shared" si="50"/>
        <v>1332.04</v>
      </c>
      <c r="H99" s="90">
        <f t="shared" si="50"/>
        <v>1434.74</v>
      </c>
      <c r="I99" s="90">
        <f t="shared" si="50"/>
        <v>1475.4399999999998</v>
      </c>
      <c r="J99" s="90">
        <f t="shared" si="50"/>
        <v>1538.24</v>
      </c>
      <c r="K99" s="90">
        <f t="shared" si="50"/>
        <v>1576.6399999999999</v>
      </c>
      <c r="L99" s="90">
        <f t="shared" si="50"/>
        <v>1599.04</v>
      </c>
      <c r="M99" s="90">
        <f t="shared" si="50"/>
        <v>1669.44</v>
      </c>
      <c r="N99" s="90">
        <f t="shared" si="50"/>
        <v>1640.6399999999999</v>
      </c>
      <c r="O99" s="90">
        <f t="shared" si="50"/>
        <v>1659.1399999999999</v>
      </c>
      <c r="P99" s="90">
        <f t="shared" si="50"/>
        <v>1652.3400000000001</v>
      </c>
      <c r="Q99" s="90">
        <f t="shared" si="50"/>
        <v>1682.84</v>
      </c>
      <c r="R99" s="90">
        <f t="shared" si="50"/>
        <v>1621.04</v>
      </c>
      <c r="S99" s="90">
        <f t="shared" si="50"/>
        <v>1684.64</v>
      </c>
      <c r="T99" s="90">
        <f t="shared" si="50"/>
        <v>1718.7399999999998</v>
      </c>
      <c r="U99" s="90">
        <f t="shared" si="50"/>
        <v>1711.2399999999998</v>
      </c>
      <c r="V99" s="90">
        <f t="shared" si="50"/>
        <v>1645.3000000000002</v>
      </c>
      <c r="W99" s="90">
        <f t="shared" si="50"/>
        <v>1632.3799999999999</v>
      </c>
      <c r="X99" s="90">
        <f t="shared" si="50"/>
        <v>1437.94</v>
      </c>
      <c r="Y99" s="90">
        <f t="shared" si="50"/>
        <v>1871.7400000000002</v>
      </c>
      <c r="Z99" s="90">
        <f t="shared" si="50"/>
        <v>1901.64</v>
      </c>
      <c r="AA99" s="90">
        <f t="shared" si="50"/>
        <v>1819.2400000000002</v>
      </c>
      <c r="AB99" s="90">
        <f t="shared" si="50"/>
        <v>1707.24</v>
      </c>
      <c r="AC99" s="90">
        <f t="shared" si="50"/>
        <v>1676.4399999999998</v>
      </c>
      <c r="AD99" s="90">
        <f t="shared" si="50"/>
        <v>1610.1399999999999</v>
      </c>
      <c r="AE99" s="90">
        <f t="shared" si="50"/>
        <v>1461.1399999999999</v>
      </c>
      <c r="AF99" s="90">
        <f t="shared" si="50"/>
        <v>1335.6399999999999</v>
      </c>
      <c r="AG99" s="75">
        <f>AG96+AG92+AG80+AG76+AG58+AG98</f>
        <v>1693.71</v>
      </c>
      <c r="AH99" s="12">
        <f t="shared" si="46"/>
        <v>1901.64</v>
      </c>
      <c r="AI99" s="11">
        <f t="shared" si="47"/>
        <v>1224.94</v>
      </c>
      <c r="BF99" s="78"/>
      <c r="BG99" s="78">
        <v>60.8</v>
      </c>
      <c r="BH99" s="78">
        <v>0</v>
      </c>
      <c r="BI99" s="78">
        <v>492.4</v>
      </c>
      <c r="BJ99" s="78">
        <v>57</v>
      </c>
      <c r="BK99" s="78">
        <v>127.1</v>
      </c>
      <c r="BL99" s="78">
        <v>51.8</v>
      </c>
    </row>
    <row r="100" spans="1:64" ht="15.75" thickBot="1" x14ac:dyDescent="0.3">
      <c r="A100" s="77" t="s">
        <v>162</v>
      </c>
      <c r="B100" s="90">
        <f t="shared" ref="B100:M100" si="51">B99-(B107)</f>
        <v>1237.54</v>
      </c>
      <c r="C100" s="90">
        <f t="shared" si="51"/>
        <v>1226.8399999999997</v>
      </c>
      <c r="D100" s="90">
        <f t="shared" si="51"/>
        <v>1224.94</v>
      </c>
      <c r="E100" s="90">
        <f t="shared" si="51"/>
        <v>1256.24</v>
      </c>
      <c r="F100" s="90">
        <f t="shared" si="51"/>
        <v>1257.04</v>
      </c>
      <c r="G100" s="90">
        <f t="shared" si="51"/>
        <v>1332.04</v>
      </c>
      <c r="H100" s="90">
        <f t="shared" si="51"/>
        <v>1434.74</v>
      </c>
      <c r="I100" s="90">
        <f t="shared" si="51"/>
        <v>1475.4399999999998</v>
      </c>
      <c r="J100" s="90">
        <f t="shared" si="51"/>
        <v>1538.24</v>
      </c>
      <c r="K100" s="90">
        <f t="shared" si="51"/>
        <v>1576.6399999999999</v>
      </c>
      <c r="L100" s="90">
        <f t="shared" si="51"/>
        <v>1599.04</v>
      </c>
      <c r="M100" s="90">
        <f t="shared" si="51"/>
        <v>1669.44</v>
      </c>
      <c r="N100" s="90">
        <f>N99-(N107)</f>
        <v>1640.6399999999999</v>
      </c>
      <c r="O100" s="90">
        <f t="shared" ref="O100:AF100" si="52">O99-(O107)</f>
        <v>1659.1399999999999</v>
      </c>
      <c r="P100" s="90">
        <f t="shared" si="52"/>
        <v>1652.3400000000001</v>
      </c>
      <c r="Q100" s="90">
        <f t="shared" si="52"/>
        <v>1682.84</v>
      </c>
      <c r="R100" s="90">
        <f t="shared" si="52"/>
        <v>1621.04</v>
      </c>
      <c r="S100" s="90">
        <f t="shared" si="52"/>
        <v>1684.64</v>
      </c>
      <c r="T100" s="90">
        <f t="shared" si="52"/>
        <v>1718.7399999999998</v>
      </c>
      <c r="U100" s="90">
        <f t="shared" si="52"/>
        <v>1711.2399999999998</v>
      </c>
      <c r="V100" s="90">
        <f t="shared" si="52"/>
        <v>1645.3000000000002</v>
      </c>
      <c r="W100" s="90">
        <f t="shared" si="52"/>
        <v>1632.3799999999999</v>
      </c>
      <c r="X100" s="90">
        <f t="shared" si="52"/>
        <v>1437.94</v>
      </c>
      <c r="Y100" s="90">
        <f t="shared" si="52"/>
        <v>1871.7400000000002</v>
      </c>
      <c r="Z100" s="90">
        <f t="shared" si="52"/>
        <v>1901.64</v>
      </c>
      <c r="AA100" s="90">
        <f t="shared" si="52"/>
        <v>1819.2400000000002</v>
      </c>
      <c r="AB100" s="90">
        <f t="shared" si="52"/>
        <v>1707.24</v>
      </c>
      <c r="AC100" s="90">
        <f t="shared" si="52"/>
        <v>1676.4399999999998</v>
      </c>
      <c r="AD100" s="90">
        <f t="shared" si="52"/>
        <v>1610.1399999999999</v>
      </c>
      <c r="AE100" s="90">
        <f t="shared" si="52"/>
        <v>1461.1399999999999</v>
      </c>
      <c r="AF100" s="90">
        <f t="shared" si="52"/>
        <v>1335.6399999999999</v>
      </c>
      <c r="AG100" s="75"/>
      <c r="AH100" s="12">
        <f t="shared" si="46"/>
        <v>1901.64</v>
      </c>
      <c r="AI100" s="11">
        <f t="shared" si="47"/>
        <v>1224.94</v>
      </c>
      <c r="BF100" s="78"/>
      <c r="BG100" s="78">
        <v>66.7</v>
      </c>
      <c r="BH100" s="78">
        <v>0</v>
      </c>
      <c r="BI100" s="78">
        <v>474.1</v>
      </c>
      <c r="BJ100" s="78">
        <v>49.96</v>
      </c>
      <c r="BK100" s="78">
        <v>111.8</v>
      </c>
      <c r="BL100" s="78">
        <v>49.6</v>
      </c>
    </row>
    <row r="101" spans="1:64" x14ac:dyDescent="0.25">
      <c r="A101" s="89" t="s">
        <v>161</v>
      </c>
      <c r="B101" s="85">
        <f t="shared" ref="B101:AF101" si="53">IF(B84&lt;0,B84*-1,0)</f>
        <v>0</v>
      </c>
      <c r="C101" s="85">
        <f t="shared" si="53"/>
        <v>0</v>
      </c>
      <c r="D101" s="85">
        <f t="shared" si="53"/>
        <v>0</v>
      </c>
      <c r="E101" s="85">
        <f t="shared" si="53"/>
        <v>0</v>
      </c>
      <c r="F101" s="85">
        <f t="shared" si="53"/>
        <v>0</v>
      </c>
      <c r="G101" s="85">
        <f t="shared" si="53"/>
        <v>0</v>
      </c>
      <c r="H101" s="85">
        <f t="shared" si="53"/>
        <v>0</v>
      </c>
      <c r="I101" s="85">
        <f t="shared" si="53"/>
        <v>0</v>
      </c>
      <c r="J101" s="85">
        <f t="shared" si="53"/>
        <v>0</v>
      </c>
      <c r="K101" s="85">
        <f t="shared" si="53"/>
        <v>0</v>
      </c>
      <c r="L101" s="85">
        <f t="shared" si="53"/>
        <v>0</v>
      </c>
      <c r="M101" s="85">
        <f t="shared" si="53"/>
        <v>0</v>
      </c>
      <c r="N101" s="85">
        <f t="shared" si="53"/>
        <v>0</v>
      </c>
      <c r="O101" s="85">
        <f t="shared" si="53"/>
        <v>0</v>
      </c>
      <c r="P101" s="85">
        <f t="shared" si="53"/>
        <v>0</v>
      </c>
      <c r="Q101" s="85">
        <f t="shared" si="53"/>
        <v>0</v>
      </c>
      <c r="R101" s="85">
        <f t="shared" si="53"/>
        <v>0</v>
      </c>
      <c r="S101" s="85">
        <f t="shared" si="53"/>
        <v>0</v>
      </c>
      <c r="T101" s="85">
        <f t="shared" si="53"/>
        <v>0</v>
      </c>
      <c r="U101" s="85">
        <f t="shared" si="53"/>
        <v>0</v>
      </c>
      <c r="V101" s="85">
        <f t="shared" si="53"/>
        <v>0</v>
      </c>
      <c r="W101" s="85">
        <f t="shared" si="53"/>
        <v>0</v>
      </c>
      <c r="X101" s="85">
        <f t="shared" si="53"/>
        <v>0</v>
      </c>
      <c r="Y101" s="85">
        <f t="shared" si="53"/>
        <v>0</v>
      </c>
      <c r="Z101" s="85">
        <f t="shared" si="53"/>
        <v>0</v>
      </c>
      <c r="AA101" s="85">
        <f t="shared" si="53"/>
        <v>0</v>
      </c>
      <c r="AB101" s="85">
        <f t="shared" si="53"/>
        <v>0</v>
      </c>
      <c r="AC101" s="85">
        <f t="shared" si="53"/>
        <v>0</v>
      </c>
      <c r="AD101" s="85">
        <f t="shared" si="53"/>
        <v>0</v>
      </c>
      <c r="AE101" s="85">
        <f t="shared" si="53"/>
        <v>0</v>
      </c>
      <c r="AF101" s="85">
        <f t="shared" si="53"/>
        <v>0</v>
      </c>
      <c r="AG101" s="88"/>
      <c r="AH101" s="12">
        <f t="shared" si="46"/>
        <v>0</v>
      </c>
      <c r="AI101" s="11">
        <f t="shared" si="47"/>
        <v>0</v>
      </c>
      <c r="BF101" s="83"/>
      <c r="BG101" s="78">
        <v>61.7</v>
      </c>
      <c r="BH101" s="78">
        <v>0</v>
      </c>
      <c r="BI101" s="78">
        <v>425.7</v>
      </c>
      <c r="BJ101" s="78">
        <v>42.8</v>
      </c>
      <c r="BK101" s="78">
        <v>0</v>
      </c>
      <c r="BL101" s="78">
        <v>48.5</v>
      </c>
    </row>
    <row r="102" spans="1:64" x14ac:dyDescent="0.25">
      <c r="A102" s="87" t="s">
        <v>160</v>
      </c>
      <c r="B102" s="85">
        <f t="shared" ref="B102:AF102" si="54">IF(B82&lt;0,B82*-1,0)</f>
        <v>0</v>
      </c>
      <c r="C102" s="85">
        <f t="shared" si="54"/>
        <v>0</v>
      </c>
      <c r="D102" s="85">
        <f t="shared" si="54"/>
        <v>0</v>
      </c>
      <c r="E102" s="85">
        <f t="shared" si="54"/>
        <v>0</v>
      </c>
      <c r="F102" s="85">
        <f t="shared" si="54"/>
        <v>0</v>
      </c>
      <c r="G102" s="85">
        <f t="shared" si="54"/>
        <v>0</v>
      </c>
      <c r="H102" s="85">
        <f t="shared" si="54"/>
        <v>0</v>
      </c>
      <c r="I102" s="85">
        <f t="shared" si="54"/>
        <v>0</v>
      </c>
      <c r="J102" s="85">
        <f t="shared" si="54"/>
        <v>0</v>
      </c>
      <c r="K102" s="85">
        <f t="shared" si="54"/>
        <v>0</v>
      </c>
      <c r="L102" s="85">
        <f t="shared" si="54"/>
        <v>0</v>
      </c>
      <c r="M102" s="85">
        <f t="shared" si="54"/>
        <v>0</v>
      </c>
      <c r="N102" s="85">
        <f t="shared" si="54"/>
        <v>0</v>
      </c>
      <c r="O102" s="85">
        <f t="shared" si="54"/>
        <v>0</v>
      </c>
      <c r="P102" s="85">
        <f t="shared" si="54"/>
        <v>0</v>
      </c>
      <c r="Q102" s="85">
        <f t="shared" si="54"/>
        <v>0</v>
      </c>
      <c r="R102" s="85">
        <f t="shared" si="54"/>
        <v>0</v>
      </c>
      <c r="S102" s="85">
        <f t="shared" si="54"/>
        <v>0</v>
      </c>
      <c r="T102" s="85">
        <f t="shared" si="54"/>
        <v>0</v>
      </c>
      <c r="U102" s="85">
        <f t="shared" si="54"/>
        <v>0</v>
      </c>
      <c r="V102" s="85">
        <f t="shared" si="54"/>
        <v>0</v>
      </c>
      <c r="W102" s="85">
        <f t="shared" si="54"/>
        <v>0</v>
      </c>
      <c r="X102" s="85">
        <f t="shared" si="54"/>
        <v>0</v>
      </c>
      <c r="Y102" s="85">
        <f t="shared" si="54"/>
        <v>0</v>
      </c>
      <c r="Z102" s="85">
        <f t="shared" si="54"/>
        <v>0</v>
      </c>
      <c r="AA102" s="85">
        <f t="shared" si="54"/>
        <v>0</v>
      </c>
      <c r="AB102" s="85">
        <f t="shared" si="54"/>
        <v>0</v>
      </c>
      <c r="AC102" s="85">
        <f t="shared" si="54"/>
        <v>0</v>
      </c>
      <c r="AD102" s="85">
        <f t="shared" si="54"/>
        <v>0</v>
      </c>
      <c r="AE102" s="85">
        <f t="shared" si="54"/>
        <v>0</v>
      </c>
      <c r="AF102" s="85">
        <f t="shared" si="54"/>
        <v>0</v>
      </c>
      <c r="AG102" s="86"/>
      <c r="AH102" s="12">
        <f t="shared" si="46"/>
        <v>0</v>
      </c>
      <c r="AI102" s="11">
        <f t="shared" si="47"/>
        <v>0</v>
      </c>
      <c r="BF102" s="83"/>
      <c r="BG102" s="78">
        <v>32.200000000000003</v>
      </c>
      <c r="BH102" s="78">
        <v>0</v>
      </c>
      <c r="BI102" s="78">
        <v>47.9</v>
      </c>
      <c r="BJ102" s="78">
        <v>0</v>
      </c>
      <c r="BK102" s="78">
        <v>0</v>
      </c>
      <c r="BL102" s="78">
        <v>43.2</v>
      </c>
    </row>
    <row r="103" spans="1:64" x14ac:dyDescent="0.25">
      <c r="A103" s="82" t="s">
        <v>159</v>
      </c>
      <c r="B103" s="85">
        <f t="shared" ref="B103:AF103" si="55">IF(B85&lt;0,B85*-1,0)</f>
        <v>0</v>
      </c>
      <c r="C103" s="85">
        <f t="shared" si="55"/>
        <v>0</v>
      </c>
      <c r="D103" s="85">
        <f t="shared" si="55"/>
        <v>0</v>
      </c>
      <c r="E103" s="85">
        <f t="shared" si="55"/>
        <v>0</v>
      </c>
      <c r="F103" s="85">
        <f t="shared" si="55"/>
        <v>0</v>
      </c>
      <c r="G103" s="85">
        <f t="shared" si="55"/>
        <v>0</v>
      </c>
      <c r="H103" s="85">
        <f t="shared" si="55"/>
        <v>0</v>
      </c>
      <c r="I103" s="85">
        <f t="shared" si="55"/>
        <v>0</v>
      </c>
      <c r="J103" s="85">
        <f t="shared" si="55"/>
        <v>0</v>
      </c>
      <c r="K103" s="85">
        <f t="shared" si="55"/>
        <v>0</v>
      </c>
      <c r="L103" s="85">
        <f t="shared" si="55"/>
        <v>0</v>
      </c>
      <c r="M103" s="85">
        <f t="shared" si="55"/>
        <v>0</v>
      </c>
      <c r="N103" s="85">
        <f t="shared" si="55"/>
        <v>0</v>
      </c>
      <c r="O103" s="85">
        <f t="shared" si="55"/>
        <v>0</v>
      </c>
      <c r="P103" s="85">
        <f t="shared" si="55"/>
        <v>0</v>
      </c>
      <c r="Q103" s="85">
        <f t="shared" si="55"/>
        <v>0</v>
      </c>
      <c r="R103" s="85">
        <f t="shared" si="55"/>
        <v>0</v>
      </c>
      <c r="S103" s="85">
        <f t="shared" si="55"/>
        <v>0</v>
      </c>
      <c r="T103" s="85">
        <f t="shared" si="55"/>
        <v>0</v>
      </c>
      <c r="U103" s="85">
        <f t="shared" si="55"/>
        <v>0</v>
      </c>
      <c r="V103" s="85">
        <f t="shared" si="55"/>
        <v>0</v>
      </c>
      <c r="W103" s="85">
        <f t="shared" si="55"/>
        <v>0</v>
      </c>
      <c r="X103" s="85">
        <f t="shared" si="55"/>
        <v>0</v>
      </c>
      <c r="Y103" s="85">
        <f t="shared" si="55"/>
        <v>0</v>
      </c>
      <c r="Z103" s="85">
        <f t="shared" si="55"/>
        <v>0</v>
      </c>
      <c r="AA103" s="85">
        <f t="shared" si="55"/>
        <v>0</v>
      </c>
      <c r="AB103" s="85">
        <f t="shared" si="55"/>
        <v>0</v>
      </c>
      <c r="AC103" s="85">
        <f t="shared" si="55"/>
        <v>0</v>
      </c>
      <c r="AD103" s="85">
        <f t="shared" si="55"/>
        <v>0</v>
      </c>
      <c r="AE103" s="85">
        <f t="shared" si="55"/>
        <v>0</v>
      </c>
      <c r="AF103" s="85">
        <f t="shared" si="55"/>
        <v>0</v>
      </c>
      <c r="AG103" s="84"/>
      <c r="AH103" s="12">
        <f t="shared" si="46"/>
        <v>0</v>
      </c>
      <c r="AI103" s="11">
        <f t="shared" si="47"/>
        <v>0</v>
      </c>
      <c r="BF103" s="83"/>
      <c r="BG103" s="78">
        <v>31</v>
      </c>
      <c r="BH103" s="78">
        <v>0</v>
      </c>
      <c r="BI103" s="78">
        <v>60</v>
      </c>
      <c r="BJ103" s="78">
        <v>0</v>
      </c>
      <c r="BK103" s="78">
        <v>0</v>
      </c>
      <c r="BL103" s="78">
        <v>41</v>
      </c>
    </row>
    <row r="104" spans="1:64" x14ac:dyDescent="0.25">
      <c r="A104" s="82" t="s">
        <v>158</v>
      </c>
      <c r="B104" s="85">
        <f t="shared" ref="B104:AF104" si="56">IF(B83&lt;0,B83*-1,0)</f>
        <v>0</v>
      </c>
      <c r="C104" s="85">
        <f t="shared" si="56"/>
        <v>0</v>
      </c>
      <c r="D104" s="85">
        <f t="shared" si="56"/>
        <v>0</v>
      </c>
      <c r="E104" s="85">
        <f t="shared" si="56"/>
        <v>0</v>
      </c>
      <c r="F104" s="85">
        <f t="shared" si="56"/>
        <v>0</v>
      </c>
      <c r="G104" s="85">
        <f t="shared" si="56"/>
        <v>0</v>
      </c>
      <c r="H104" s="85">
        <f t="shared" si="56"/>
        <v>0</v>
      </c>
      <c r="I104" s="85">
        <f t="shared" si="56"/>
        <v>0</v>
      </c>
      <c r="J104" s="85">
        <f t="shared" si="56"/>
        <v>0</v>
      </c>
      <c r="K104" s="85">
        <f t="shared" si="56"/>
        <v>0</v>
      </c>
      <c r="L104" s="85">
        <f t="shared" si="56"/>
        <v>0</v>
      </c>
      <c r="M104" s="85">
        <f t="shared" si="56"/>
        <v>0</v>
      </c>
      <c r="N104" s="85">
        <f t="shared" si="56"/>
        <v>0</v>
      </c>
      <c r="O104" s="85">
        <f t="shared" si="56"/>
        <v>0</v>
      </c>
      <c r="P104" s="85">
        <f t="shared" si="56"/>
        <v>0</v>
      </c>
      <c r="Q104" s="85">
        <f t="shared" si="56"/>
        <v>0</v>
      </c>
      <c r="R104" s="85">
        <f t="shared" si="56"/>
        <v>0</v>
      </c>
      <c r="S104" s="85">
        <f t="shared" si="56"/>
        <v>0</v>
      </c>
      <c r="T104" s="85">
        <f t="shared" si="56"/>
        <v>0</v>
      </c>
      <c r="U104" s="85">
        <f t="shared" si="56"/>
        <v>0</v>
      </c>
      <c r="V104" s="85">
        <f t="shared" si="56"/>
        <v>0</v>
      </c>
      <c r="W104" s="85">
        <f t="shared" si="56"/>
        <v>0</v>
      </c>
      <c r="X104" s="85">
        <f t="shared" si="56"/>
        <v>0</v>
      </c>
      <c r="Y104" s="85">
        <f t="shared" si="56"/>
        <v>0</v>
      </c>
      <c r="Z104" s="85">
        <f t="shared" si="56"/>
        <v>0</v>
      </c>
      <c r="AA104" s="85">
        <f t="shared" si="56"/>
        <v>0</v>
      </c>
      <c r="AB104" s="85">
        <f t="shared" si="56"/>
        <v>0</v>
      </c>
      <c r="AC104" s="85">
        <f t="shared" si="56"/>
        <v>0</v>
      </c>
      <c r="AD104" s="85">
        <f t="shared" si="56"/>
        <v>0</v>
      </c>
      <c r="AE104" s="85">
        <f t="shared" si="56"/>
        <v>0</v>
      </c>
      <c r="AF104" s="85">
        <f t="shared" si="56"/>
        <v>0</v>
      </c>
      <c r="AG104" s="84"/>
      <c r="AH104" s="12">
        <f t="shared" si="46"/>
        <v>0</v>
      </c>
      <c r="AI104" s="11">
        <f t="shared" si="47"/>
        <v>0</v>
      </c>
      <c r="BF104" s="83"/>
      <c r="BG104" s="78">
        <v>41.8</v>
      </c>
      <c r="BH104" s="78">
        <v>0</v>
      </c>
      <c r="BI104" s="78">
        <v>86.1</v>
      </c>
      <c r="BJ104" s="78">
        <v>0</v>
      </c>
      <c r="BK104" s="78">
        <v>0</v>
      </c>
      <c r="BL104" s="78">
        <v>45.5</v>
      </c>
    </row>
    <row r="105" spans="1:64" x14ac:dyDescent="0.25">
      <c r="A105" s="82" t="s">
        <v>157</v>
      </c>
      <c r="B105" s="85">
        <f t="shared" ref="B105:AF105" si="57">IF(B81&lt;0,B81*-1,0)</f>
        <v>0</v>
      </c>
      <c r="C105" s="85">
        <f t="shared" si="57"/>
        <v>0</v>
      </c>
      <c r="D105" s="85">
        <f t="shared" si="57"/>
        <v>0</v>
      </c>
      <c r="E105" s="85">
        <f t="shared" si="57"/>
        <v>0</v>
      </c>
      <c r="F105" s="85">
        <f t="shared" si="57"/>
        <v>0</v>
      </c>
      <c r="G105" s="85">
        <f t="shared" si="57"/>
        <v>0</v>
      </c>
      <c r="H105" s="85">
        <f t="shared" si="57"/>
        <v>0</v>
      </c>
      <c r="I105" s="85">
        <f t="shared" si="57"/>
        <v>0</v>
      </c>
      <c r="J105" s="85">
        <f t="shared" si="57"/>
        <v>0</v>
      </c>
      <c r="K105" s="85">
        <f t="shared" si="57"/>
        <v>0</v>
      </c>
      <c r="L105" s="85">
        <f t="shared" si="57"/>
        <v>0</v>
      </c>
      <c r="M105" s="85">
        <f t="shared" si="57"/>
        <v>0</v>
      </c>
      <c r="N105" s="85">
        <f t="shared" si="57"/>
        <v>0</v>
      </c>
      <c r="O105" s="85">
        <f t="shared" si="57"/>
        <v>0</v>
      </c>
      <c r="P105" s="85">
        <f t="shared" si="57"/>
        <v>0</v>
      </c>
      <c r="Q105" s="85">
        <f t="shared" si="57"/>
        <v>0</v>
      </c>
      <c r="R105" s="85">
        <f t="shared" si="57"/>
        <v>0</v>
      </c>
      <c r="S105" s="85">
        <f t="shared" si="57"/>
        <v>0</v>
      </c>
      <c r="T105" s="85">
        <f t="shared" si="57"/>
        <v>0</v>
      </c>
      <c r="U105" s="85">
        <f t="shared" si="57"/>
        <v>0</v>
      </c>
      <c r="V105" s="85">
        <f t="shared" si="57"/>
        <v>0</v>
      </c>
      <c r="W105" s="85">
        <f t="shared" si="57"/>
        <v>0</v>
      </c>
      <c r="X105" s="85">
        <f t="shared" si="57"/>
        <v>0</v>
      </c>
      <c r="Y105" s="85">
        <f t="shared" si="57"/>
        <v>0</v>
      </c>
      <c r="Z105" s="85">
        <f t="shared" si="57"/>
        <v>0</v>
      </c>
      <c r="AA105" s="85">
        <f t="shared" si="57"/>
        <v>0</v>
      </c>
      <c r="AB105" s="85">
        <f t="shared" si="57"/>
        <v>0</v>
      </c>
      <c r="AC105" s="85">
        <f t="shared" si="57"/>
        <v>0</v>
      </c>
      <c r="AD105" s="85">
        <f t="shared" si="57"/>
        <v>0</v>
      </c>
      <c r="AE105" s="85">
        <f t="shared" si="57"/>
        <v>0</v>
      </c>
      <c r="AF105" s="85">
        <f t="shared" si="57"/>
        <v>0</v>
      </c>
      <c r="AG105" s="84"/>
      <c r="AH105" s="12">
        <f t="shared" si="46"/>
        <v>0</v>
      </c>
      <c r="AI105" s="11">
        <f t="shared" si="47"/>
        <v>0</v>
      </c>
      <c r="BF105" s="83"/>
      <c r="BG105" s="78">
        <v>35</v>
      </c>
      <c r="BH105" s="78">
        <v>0</v>
      </c>
      <c r="BI105" s="78">
        <v>68</v>
      </c>
      <c r="BJ105" s="78">
        <v>0</v>
      </c>
      <c r="BK105" s="78">
        <v>0</v>
      </c>
      <c r="BL105" s="78">
        <v>45.5</v>
      </c>
    </row>
    <row r="106" spans="1:64" ht="15.75" thickBot="1" x14ac:dyDescent="0.3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46"/>
        <v>0</v>
      </c>
      <c r="AI106" s="11">
        <f t="shared" si="47"/>
        <v>0</v>
      </c>
      <c r="BG106" s="78">
        <v>39</v>
      </c>
      <c r="BH106" s="78">
        <v>0</v>
      </c>
      <c r="BI106" s="78">
        <v>114</v>
      </c>
      <c r="BJ106" s="78">
        <v>0</v>
      </c>
      <c r="BK106" s="78">
        <v>0</v>
      </c>
      <c r="BL106" s="78">
        <v>50</v>
      </c>
    </row>
    <row r="107" spans="1:64" ht="15.75" thickBot="1" x14ac:dyDescent="0.3">
      <c r="A107" s="79" t="s">
        <v>155</v>
      </c>
      <c r="B107" s="76">
        <f t="shared" ref="B107:C107" si="58">SUM(B101:B106)</f>
        <v>0</v>
      </c>
      <c r="C107" s="76">
        <f t="shared" si="58"/>
        <v>0</v>
      </c>
      <c r="D107" s="76">
        <f t="shared" ref="D107:AF107" si="59">SUM(D101:D106)</f>
        <v>0</v>
      </c>
      <c r="E107" s="76">
        <f t="shared" si="59"/>
        <v>0</v>
      </c>
      <c r="F107" s="76">
        <f t="shared" si="59"/>
        <v>0</v>
      </c>
      <c r="G107" s="76">
        <f t="shared" si="59"/>
        <v>0</v>
      </c>
      <c r="H107" s="76">
        <f t="shared" si="59"/>
        <v>0</v>
      </c>
      <c r="I107" s="76">
        <f t="shared" si="59"/>
        <v>0</v>
      </c>
      <c r="J107" s="76">
        <f t="shared" si="59"/>
        <v>0</v>
      </c>
      <c r="K107" s="76">
        <f t="shared" si="59"/>
        <v>0</v>
      </c>
      <c r="L107" s="76">
        <f t="shared" si="59"/>
        <v>0</v>
      </c>
      <c r="M107" s="76">
        <f t="shared" si="59"/>
        <v>0</v>
      </c>
      <c r="N107" s="76">
        <f t="shared" si="59"/>
        <v>0</v>
      </c>
      <c r="O107" s="76">
        <f t="shared" si="59"/>
        <v>0</v>
      </c>
      <c r="P107" s="76">
        <f t="shared" si="59"/>
        <v>0</v>
      </c>
      <c r="Q107" s="76">
        <f t="shared" si="59"/>
        <v>0</v>
      </c>
      <c r="R107" s="76">
        <f t="shared" si="59"/>
        <v>0</v>
      </c>
      <c r="S107" s="76">
        <f t="shared" si="59"/>
        <v>0</v>
      </c>
      <c r="T107" s="76">
        <f t="shared" si="59"/>
        <v>0</v>
      </c>
      <c r="U107" s="76">
        <f t="shared" si="59"/>
        <v>0</v>
      </c>
      <c r="V107" s="76">
        <f t="shared" si="59"/>
        <v>0</v>
      </c>
      <c r="W107" s="76">
        <f t="shared" si="59"/>
        <v>0</v>
      </c>
      <c r="X107" s="76">
        <f t="shared" si="59"/>
        <v>0</v>
      </c>
      <c r="Y107" s="76">
        <f t="shared" si="59"/>
        <v>0</v>
      </c>
      <c r="Z107" s="76">
        <f t="shared" si="59"/>
        <v>0</v>
      </c>
      <c r="AA107" s="76">
        <f t="shared" si="59"/>
        <v>0</v>
      </c>
      <c r="AB107" s="76">
        <f t="shared" si="59"/>
        <v>0</v>
      </c>
      <c r="AC107" s="76">
        <f t="shared" si="59"/>
        <v>0</v>
      </c>
      <c r="AD107" s="76">
        <f t="shared" si="59"/>
        <v>0</v>
      </c>
      <c r="AE107" s="76">
        <f t="shared" si="59"/>
        <v>0</v>
      </c>
      <c r="AF107" s="76">
        <f t="shared" si="59"/>
        <v>0</v>
      </c>
      <c r="AG107" s="75"/>
      <c r="AH107" s="12">
        <f t="shared" si="46"/>
        <v>0</v>
      </c>
      <c r="AI107" s="11">
        <f t="shared" si="47"/>
        <v>0</v>
      </c>
      <c r="AK107" s="19"/>
      <c r="BG107" s="78">
        <v>29.3</v>
      </c>
      <c r="BH107" s="78">
        <v>0</v>
      </c>
      <c r="BI107" s="78">
        <v>40.799999999999997</v>
      </c>
      <c r="BJ107" s="78">
        <v>44.1</v>
      </c>
      <c r="BK107" s="78">
        <v>128.30000000000001</v>
      </c>
      <c r="BL107" s="78">
        <v>45.9</v>
      </c>
    </row>
    <row r="108" spans="1:64" ht="15.75" thickBot="1" x14ac:dyDescent="0.3">
      <c r="A108" s="77" t="s">
        <v>154</v>
      </c>
      <c r="B108" s="76">
        <f t="shared" ref="B108:AF108" si="60">B92-B107</f>
        <v>288.39999999999998</v>
      </c>
      <c r="C108" s="76">
        <f t="shared" si="60"/>
        <v>274.89999999999998</v>
      </c>
      <c r="D108" s="76">
        <f t="shared" si="60"/>
        <v>342.90000000000003</v>
      </c>
      <c r="E108" s="76">
        <f t="shared" si="60"/>
        <v>401.8</v>
      </c>
      <c r="F108" s="76">
        <f t="shared" si="60"/>
        <v>375.6</v>
      </c>
      <c r="G108" s="76">
        <f t="shared" si="60"/>
        <v>397.8</v>
      </c>
      <c r="H108" s="76">
        <f t="shared" si="60"/>
        <v>411.5</v>
      </c>
      <c r="I108" s="76">
        <f t="shared" si="60"/>
        <v>434</v>
      </c>
      <c r="J108" s="76">
        <f t="shared" si="60"/>
        <v>728.6</v>
      </c>
      <c r="K108" s="76">
        <f t="shared" si="60"/>
        <v>785.1</v>
      </c>
      <c r="L108" s="76">
        <f t="shared" si="60"/>
        <v>797.8</v>
      </c>
      <c r="M108" s="76">
        <f t="shared" si="60"/>
        <v>819.59999999999991</v>
      </c>
      <c r="N108" s="76">
        <f t="shared" si="60"/>
        <v>813.4</v>
      </c>
      <c r="O108" s="76">
        <f t="shared" si="60"/>
        <v>814.5</v>
      </c>
      <c r="P108" s="76">
        <f t="shared" si="60"/>
        <v>801.9</v>
      </c>
      <c r="Q108" s="76">
        <f t="shared" si="60"/>
        <v>820.59999999999991</v>
      </c>
      <c r="R108" s="76">
        <f t="shared" si="60"/>
        <v>837.19999999999993</v>
      </c>
      <c r="S108" s="76">
        <f t="shared" si="60"/>
        <v>837.3</v>
      </c>
      <c r="T108" s="76">
        <f t="shared" si="60"/>
        <v>809.8</v>
      </c>
      <c r="U108" s="76">
        <f t="shared" si="60"/>
        <v>789.09999999999991</v>
      </c>
      <c r="V108" s="76">
        <f t="shared" si="60"/>
        <v>752.16000000000008</v>
      </c>
      <c r="W108" s="76">
        <f t="shared" si="60"/>
        <v>743.74</v>
      </c>
      <c r="X108" s="76">
        <f t="shared" si="60"/>
        <v>578.69999999999993</v>
      </c>
      <c r="Y108" s="76">
        <f t="shared" si="60"/>
        <v>152.9</v>
      </c>
      <c r="Z108" s="76">
        <f t="shared" si="60"/>
        <v>123.3</v>
      </c>
      <c r="AA108" s="76">
        <f t="shared" si="60"/>
        <v>68.900000000000006</v>
      </c>
      <c r="AB108" s="76">
        <f t="shared" si="60"/>
        <v>132</v>
      </c>
      <c r="AC108" s="76">
        <f t="shared" si="60"/>
        <v>130.30000000000001</v>
      </c>
      <c r="AD108" s="76">
        <f t="shared" si="60"/>
        <v>173.39999999999998</v>
      </c>
      <c r="AE108" s="76">
        <f t="shared" si="60"/>
        <v>148.5</v>
      </c>
      <c r="AF108" s="76">
        <f t="shared" si="60"/>
        <v>203</v>
      </c>
      <c r="AG108" s="75"/>
      <c r="AH108" s="12">
        <f t="shared" si="46"/>
        <v>837.3</v>
      </c>
      <c r="AI108" s="11">
        <f t="shared" si="47"/>
        <v>68.900000000000006</v>
      </c>
    </row>
    <row r="109" spans="1:64" x14ac:dyDescent="0.25">
      <c r="A109" s="25" t="s">
        <v>153</v>
      </c>
      <c r="B109" s="74">
        <v>49.973999999999997</v>
      </c>
      <c r="C109" s="74">
        <v>49.965000000000003</v>
      </c>
      <c r="D109" s="74">
        <v>49.993000000000002</v>
      </c>
      <c r="E109" s="74">
        <v>49.968000000000004</v>
      </c>
      <c r="F109" s="74">
        <v>50</v>
      </c>
      <c r="G109" s="74">
        <v>49.987000000000002</v>
      </c>
      <c r="H109" s="74">
        <v>50.012999999999998</v>
      </c>
      <c r="I109" s="74">
        <v>49.953000000000003</v>
      </c>
      <c r="J109" s="74">
        <v>49.767000000000003</v>
      </c>
      <c r="K109" s="74">
        <v>50.034999999999997</v>
      </c>
      <c r="L109" s="74">
        <v>50.058999999999997</v>
      </c>
      <c r="M109" s="74">
        <v>49.927</v>
      </c>
      <c r="N109" s="74">
        <v>50.061</v>
      </c>
      <c r="O109" s="74">
        <v>49.997999999999998</v>
      </c>
      <c r="P109" s="74">
        <v>50.073</v>
      </c>
      <c r="Q109" s="74">
        <v>50.006999999999998</v>
      </c>
      <c r="R109" s="74">
        <v>49.984000000000002</v>
      </c>
      <c r="S109" s="74">
        <v>50.026000000000003</v>
      </c>
      <c r="T109" s="74">
        <v>49.887999999999998</v>
      </c>
      <c r="U109" s="74">
        <v>49.923999999999999</v>
      </c>
      <c r="V109" s="74">
        <v>50.06</v>
      </c>
      <c r="W109" s="74">
        <v>50.03</v>
      </c>
      <c r="X109" s="74">
        <v>50.02</v>
      </c>
      <c r="Y109" s="74">
        <v>49.9</v>
      </c>
      <c r="Z109" s="74">
        <v>50.07</v>
      </c>
      <c r="AA109" s="74">
        <v>50</v>
      </c>
      <c r="AB109" s="74">
        <v>50.042999999999999</v>
      </c>
      <c r="AC109" s="74">
        <v>49.976999999999997</v>
      </c>
      <c r="AD109" s="74">
        <v>49.94</v>
      </c>
      <c r="AE109" s="74">
        <v>50.061</v>
      </c>
      <c r="AF109" s="74">
        <v>49.920999999999999</v>
      </c>
      <c r="AG109" s="73"/>
      <c r="AH109" s="12">
        <f t="shared" si="46"/>
        <v>50.073</v>
      </c>
      <c r="AI109" s="11">
        <f t="shared" si="47"/>
        <v>49.767000000000003</v>
      </c>
    </row>
    <row r="110" spans="1:64" x14ac:dyDescent="0.25">
      <c r="A110" s="22" t="s">
        <v>152</v>
      </c>
      <c r="B110" s="70">
        <v>133.4</v>
      </c>
      <c r="C110" s="70">
        <v>133.80000000000001</v>
      </c>
      <c r="D110" s="70">
        <v>132.4</v>
      </c>
      <c r="E110" s="70">
        <v>132.4</v>
      </c>
      <c r="F110" s="70">
        <v>132.4</v>
      </c>
      <c r="G110" s="70">
        <v>130.9</v>
      </c>
      <c r="H110" s="70">
        <v>130.9</v>
      </c>
      <c r="I110" s="70">
        <v>126.4</v>
      </c>
      <c r="J110" s="70">
        <v>123</v>
      </c>
      <c r="K110" s="70">
        <v>122.9</v>
      </c>
      <c r="L110" s="70">
        <v>123.4</v>
      </c>
      <c r="M110" s="70">
        <v>123.2</v>
      </c>
      <c r="N110" s="70">
        <v>123.7</v>
      </c>
      <c r="O110" s="70">
        <v>123.1</v>
      </c>
      <c r="P110" s="70">
        <v>122.7</v>
      </c>
      <c r="Q110" s="70">
        <v>125.1</v>
      </c>
      <c r="R110" s="70">
        <v>124.7</v>
      </c>
      <c r="S110" s="70">
        <v>124.6</v>
      </c>
      <c r="T110" s="70">
        <v>123.9</v>
      </c>
      <c r="U110" s="70">
        <v>124.4</v>
      </c>
      <c r="V110" s="70">
        <v>128</v>
      </c>
      <c r="W110" s="70">
        <v>127.7</v>
      </c>
      <c r="X110" s="70">
        <v>129.69999999999999</v>
      </c>
      <c r="Y110" s="70">
        <v>126.5</v>
      </c>
      <c r="Z110" s="70">
        <v>127</v>
      </c>
      <c r="AA110" s="70">
        <v>129.9</v>
      </c>
      <c r="AB110" s="70">
        <v>129.1</v>
      </c>
      <c r="AC110" s="70">
        <v>129.4</v>
      </c>
      <c r="AD110" s="70">
        <v>129.5</v>
      </c>
      <c r="AE110" s="70">
        <v>129.69999999999999</v>
      </c>
      <c r="AF110" s="70">
        <v>130.4</v>
      </c>
      <c r="AG110" s="69"/>
      <c r="AH110" s="12">
        <f t="shared" si="46"/>
        <v>133.80000000000001</v>
      </c>
      <c r="AI110" s="11">
        <f t="shared" si="47"/>
        <v>122.7</v>
      </c>
    </row>
    <row r="111" spans="1:64" x14ac:dyDescent="0.25">
      <c r="A111" s="22" t="s">
        <v>151</v>
      </c>
      <c r="B111" s="70">
        <v>135.69999999999999</v>
      </c>
      <c r="C111" s="70">
        <v>136.19999999999999</v>
      </c>
      <c r="D111" s="70">
        <v>135.1</v>
      </c>
      <c r="E111" s="70">
        <v>135.1</v>
      </c>
      <c r="F111" s="70">
        <v>135.1</v>
      </c>
      <c r="G111" s="70">
        <v>133.9</v>
      </c>
      <c r="H111" s="70">
        <v>133.9</v>
      </c>
      <c r="I111" s="70">
        <v>129.30000000000001</v>
      </c>
      <c r="J111" s="70">
        <v>127</v>
      </c>
      <c r="K111" s="70">
        <v>126.9</v>
      </c>
      <c r="L111" s="70">
        <v>126.6</v>
      </c>
      <c r="M111" s="70">
        <v>126</v>
      </c>
      <c r="N111" s="70">
        <v>126.3</v>
      </c>
      <c r="O111" s="70">
        <v>126.3</v>
      </c>
      <c r="P111" s="70">
        <v>126.1</v>
      </c>
      <c r="Q111" s="70">
        <v>128.30000000000001</v>
      </c>
      <c r="R111" s="70">
        <v>128.30000000000001</v>
      </c>
      <c r="S111" s="70">
        <v>127.9</v>
      </c>
      <c r="T111" s="70">
        <v>127.5</v>
      </c>
      <c r="U111" s="70">
        <v>127.9</v>
      </c>
      <c r="V111" s="70">
        <v>131.80000000000001</v>
      </c>
      <c r="W111" s="70">
        <v>131.4</v>
      </c>
      <c r="X111" s="70">
        <v>132.9</v>
      </c>
      <c r="Y111" s="70">
        <v>130.4</v>
      </c>
      <c r="Z111" s="70">
        <v>130.69999999999999</v>
      </c>
      <c r="AA111" s="70">
        <v>133</v>
      </c>
      <c r="AB111" s="70">
        <v>132.80000000000001</v>
      </c>
      <c r="AC111" s="70">
        <v>133.1</v>
      </c>
      <c r="AD111" s="70">
        <v>133.30000000000001</v>
      </c>
      <c r="AE111" s="70">
        <v>133.30000000000001</v>
      </c>
      <c r="AF111" s="70">
        <v>134.30000000000001</v>
      </c>
      <c r="AG111" s="69"/>
      <c r="AH111" s="12">
        <f t="shared" si="46"/>
        <v>136.19999999999999</v>
      </c>
      <c r="AI111" s="11">
        <f t="shared" si="47"/>
        <v>126</v>
      </c>
    </row>
    <row r="112" spans="1:64" x14ac:dyDescent="0.25">
      <c r="A112" s="22" t="s">
        <v>150</v>
      </c>
      <c r="B112" s="70">
        <v>138.80000000000001</v>
      </c>
      <c r="C112" s="70">
        <v>136</v>
      </c>
      <c r="D112" s="70">
        <v>137</v>
      </c>
      <c r="E112" s="70">
        <v>137</v>
      </c>
      <c r="F112" s="70">
        <v>137</v>
      </c>
      <c r="G112" s="70">
        <v>135.5</v>
      </c>
      <c r="H112" s="70">
        <v>135.5</v>
      </c>
      <c r="I112" s="70">
        <v>132.9</v>
      </c>
      <c r="J112" s="70">
        <v>128</v>
      </c>
      <c r="K112" s="70">
        <v>128.9</v>
      </c>
      <c r="L112" s="70">
        <v>128.69999999999999</v>
      </c>
      <c r="M112" s="70">
        <v>125.1</v>
      </c>
      <c r="N112" s="70">
        <v>131.9</v>
      </c>
      <c r="O112" s="70">
        <v>128.5</v>
      </c>
      <c r="P112" s="70">
        <v>131</v>
      </c>
      <c r="Q112" s="70">
        <v>129.6</v>
      </c>
      <c r="R112" s="70">
        <v>128.6</v>
      </c>
      <c r="S112" s="70">
        <v>125.8</v>
      </c>
      <c r="T112" s="70">
        <v>126</v>
      </c>
      <c r="U112" s="70">
        <v>124</v>
      </c>
      <c r="V112" s="70">
        <v>127.4</v>
      </c>
      <c r="W112" s="70">
        <v>127.7</v>
      </c>
      <c r="X112" s="70">
        <v>130.30000000000001</v>
      </c>
      <c r="Y112" s="70">
        <v>127.3</v>
      </c>
      <c r="Z112" s="70">
        <v>131.9</v>
      </c>
      <c r="AA112" s="70"/>
      <c r="AB112" s="70"/>
      <c r="AC112" s="70"/>
      <c r="AD112" s="70"/>
      <c r="AE112" s="70"/>
      <c r="AF112" s="70">
        <v>134.30000000000001</v>
      </c>
      <c r="AG112" s="69"/>
      <c r="AH112" s="12">
        <f t="shared" si="46"/>
        <v>138.80000000000001</v>
      </c>
      <c r="AI112" s="11">
        <f t="shared" si="47"/>
        <v>124</v>
      </c>
    </row>
    <row r="113" spans="1:35" x14ac:dyDescent="0.25">
      <c r="A113" s="72" t="s">
        <v>149</v>
      </c>
      <c r="B113" s="70">
        <v>140</v>
      </c>
      <c r="C113" s="70">
        <v>136.69999999999999</v>
      </c>
      <c r="D113" s="70">
        <v>137</v>
      </c>
      <c r="E113" s="70">
        <v>137</v>
      </c>
      <c r="F113" s="70">
        <v>137</v>
      </c>
      <c r="G113" s="70">
        <v>135.5</v>
      </c>
      <c r="H113" s="70">
        <v>135.5</v>
      </c>
      <c r="I113" s="70">
        <v>133</v>
      </c>
      <c r="J113" s="70">
        <v>128.5</v>
      </c>
      <c r="K113" s="70">
        <v>129.5</v>
      </c>
      <c r="L113" s="70">
        <v>129.69999999999999</v>
      </c>
      <c r="M113" s="70">
        <v>124.9</v>
      </c>
      <c r="N113" s="70">
        <v>132.1</v>
      </c>
      <c r="O113" s="70">
        <v>127.1</v>
      </c>
      <c r="P113" s="70">
        <v>129.5</v>
      </c>
      <c r="Q113" s="70">
        <v>128.6</v>
      </c>
      <c r="R113" s="70">
        <v>127.7</v>
      </c>
      <c r="S113" s="70">
        <v>125.5</v>
      </c>
      <c r="T113" s="70">
        <v>128.6</v>
      </c>
      <c r="U113" s="70">
        <v>123.9</v>
      </c>
      <c r="V113" s="70">
        <v>128.1</v>
      </c>
      <c r="W113" s="70">
        <v>128.30000000000001</v>
      </c>
      <c r="X113" s="70">
        <v>129.19999999999999</v>
      </c>
      <c r="Y113" s="70">
        <v>125.9</v>
      </c>
      <c r="Z113" s="70">
        <v>0</v>
      </c>
      <c r="AA113" s="70">
        <v>0</v>
      </c>
      <c r="AB113" s="70"/>
      <c r="AC113" s="70"/>
      <c r="AD113" s="70"/>
      <c r="AE113" s="70"/>
      <c r="AF113" s="70">
        <v>134.19999999999999</v>
      </c>
      <c r="AG113" s="69"/>
      <c r="AH113" s="12">
        <f t="shared" si="46"/>
        <v>140</v>
      </c>
      <c r="AI113" s="11">
        <f t="shared" si="47"/>
        <v>0</v>
      </c>
    </row>
    <row r="114" spans="1:35" x14ac:dyDescent="0.25">
      <c r="A114" s="72" t="s">
        <v>148</v>
      </c>
      <c r="B114" s="56">
        <v>131.19999999999999</v>
      </c>
      <c r="C114" s="56">
        <v>134.19999999999999</v>
      </c>
      <c r="D114" s="56">
        <v>130.5</v>
      </c>
      <c r="E114" s="56">
        <v>130.5</v>
      </c>
      <c r="F114" s="56">
        <v>130.5</v>
      </c>
      <c r="G114" s="56">
        <v>129.80000000000001</v>
      </c>
      <c r="H114" s="56">
        <v>129.80000000000001</v>
      </c>
      <c r="I114" s="56">
        <v>130.5</v>
      </c>
      <c r="J114" s="56">
        <v>130.4</v>
      </c>
      <c r="K114" s="56">
        <v>131</v>
      </c>
      <c r="L114" s="56">
        <v>129.69999999999999</v>
      </c>
      <c r="M114" s="56">
        <v>129.9</v>
      </c>
      <c r="N114" s="56">
        <v>132.1</v>
      </c>
      <c r="O114" s="56">
        <v>131.5</v>
      </c>
      <c r="P114" s="56">
        <v>131.4</v>
      </c>
      <c r="Q114" s="56">
        <v>135.5</v>
      </c>
      <c r="R114" s="56">
        <v>132.6</v>
      </c>
      <c r="S114" s="56">
        <v>130.4</v>
      </c>
      <c r="T114" s="56">
        <v>131.19999999999999</v>
      </c>
      <c r="U114" s="56">
        <v>132.30000000000001</v>
      </c>
      <c r="V114" s="56">
        <v>132.80000000000001</v>
      </c>
      <c r="W114" s="56">
        <v>132.19999999999999</v>
      </c>
      <c r="X114" s="56">
        <v>134</v>
      </c>
      <c r="Y114" s="56">
        <v>131.19999999999999</v>
      </c>
      <c r="Z114" s="56">
        <v>130.4</v>
      </c>
      <c r="AA114" s="56">
        <v>134.30000000000001</v>
      </c>
      <c r="AB114" s="56">
        <v>131.5</v>
      </c>
      <c r="AC114" s="56">
        <v>134.80000000000001</v>
      </c>
      <c r="AD114" s="56">
        <v>136</v>
      </c>
      <c r="AE114" s="56">
        <v>136.1</v>
      </c>
      <c r="AF114" s="56">
        <v>136.6</v>
      </c>
      <c r="AG114" s="71"/>
      <c r="AH114" s="12">
        <f t="shared" si="46"/>
        <v>136.6</v>
      </c>
      <c r="AI114" s="11">
        <f t="shared" si="47"/>
        <v>129.69999999999999</v>
      </c>
    </row>
    <row r="115" spans="1:35" x14ac:dyDescent="0.25">
      <c r="A115" s="22" t="s">
        <v>147</v>
      </c>
      <c r="B115" s="70">
        <v>134.9</v>
      </c>
      <c r="C115" s="70">
        <v>135.5</v>
      </c>
      <c r="D115" s="70">
        <v>136</v>
      </c>
      <c r="E115" s="70">
        <v>136</v>
      </c>
      <c r="F115" s="70">
        <v>136</v>
      </c>
      <c r="G115" s="70">
        <v>133.69999999999999</v>
      </c>
      <c r="H115" s="70">
        <v>133.69999999999999</v>
      </c>
      <c r="I115" s="70">
        <v>127.6</v>
      </c>
      <c r="J115" s="70">
        <v>127.7</v>
      </c>
      <c r="K115" s="70">
        <v>127</v>
      </c>
      <c r="L115" s="70">
        <v>128.30000000000001</v>
      </c>
      <c r="M115" s="70">
        <v>125.9</v>
      </c>
      <c r="N115" s="70">
        <v>131.9</v>
      </c>
      <c r="O115" s="70">
        <v>132</v>
      </c>
      <c r="P115" s="70">
        <v>130.9</v>
      </c>
      <c r="Q115" s="70">
        <v>129.30000000000001</v>
      </c>
      <c r="R115" s="70">
        <v>132.30000000000001</v>
      </c>
      <c r="S115" s="70">
        <v>129.19999999999999</v>
      </c>
      <c r="T115" s="70">
        <v>127.5</v>
      </c>
      <c r="U115" s="70">
        <v>126.8</v>
      </c>
      <c r="V115" s="70">
        <v>129.4</v>
      </c>
      <c r="W115" s="70">
        <v>125.4</v>
      </c>
      <c r="X115" s="70">
        <v>128.69999999999999</v>
      </c>
      <c r="Y115" s="70">
        <v>132.80000000000001</v>
      </c>
      <c r="Z115" s="70">
        <v>132.5</v>
      </c>
      <c r="AA115" s="70">
        <v>134.19999999999999</v>
      </c>
      <c r="AB115" s="70">
        <v>133.30000000000001</v>
      </c>
      <c r="AC115" s="70">
        <v>130.1</v>
      </c>
      <c r="AD115" s="70">
        <v>132.4</v>
      </c>
      <c r="AE115" s="70">
        <v>132.80000000000001</v>
      </c>
      <c r="AF115" s="70">
        <v>134.30000000000001</v>
      </c>
      <c r="AG115" s="69"/>
      <c r="AH115" s="12">
        <f t="shared" si="46"/>
        <v>136</v>
      </c>
      <c r="AI115" s="11">
        <f t="shared" si="47"/>
        <v>125.4</v>
      </c>
    </row>
    <row r="116" spans="1:35" ht="15.75" thickBot="1" x14ac:dyDescent="0.3">
      <c r="A116" s="22" t="s">
        <v>146</v>
      </c>
      <c r="B116" s="67">
        <v>68</v>
      </c>
      <c r="C116" s="67">
        <v>68.2</v>
      </c>
      <c r="D116" s="67">
        <v>67.7</v>
      </c>
      <c r="E116" s="67">
        <v>67.7</v>
      </c>
      <c r="F116" s="67">
        <v>67.7</v>
      </c>
      <c r="G116" s="67">
        <v>67</v>
      </c>
      <c r="H116" s="67">
        <v>67</v>
      </c>
      <c r="I116" s="67">
        <v>64.900000000000006</v>
      </c>
      <c r="J116" s="67">
        <v>64.3</v>
      </c>
      <c r="K116" s="67">
        <v>64</v>
      </c>
      <c r="L116" s="67">
        <v>63.8</v>
      </c>
      <c r="M116" s="67">
        <v>63.4</v>
      </c>
      <c r="N116" s="67">
        <v>63.7</v>
      </c>
      <c r="O116" s="67">
        <v>63.6</v>
      </c>
      <c r="P116" s="67">
        <v>63.6</v>
      </c>
      <c r="Q116" s="67">
        <v>64.599999999999994</v>
      </c>
      <c r="R116" s="67">
        <v>65</v>
      </c>
      <c r="S116" s="67">
        <v>64.8</v>
      </c>
      <c r="T116" s="67">
        <v>64.3</v>
      </c>
      <c r="U116" s="67">
        <v>64.5</v>
      </c>
      <c r="V116" s="67">
        <v>65.900000000000006</v>
      </c>
      <c r="W116" s="67">
        <v>65.8</v>
      </c>
      <c r="X116" s="67">
        <v>66.7</v>
      </c>
      <c r="Y116" s="67">
        <v>65.400000000000006</v>
      </c>
      <c r="Z116" s="67">
        <v>65.5</v>
      </c>
      <c r="AA116" s="67">
        <v>66.599999999999994</v>
      </c>
      <c r="AB116" s="67">
        <v>66.400000000000006</v>
      </c>
      <c r="AC116" s="67">
        <v>66.8</v>
      </c>
      <c r="AD116" s="67">
        <v>66.400000000000006</v>
      </c>
      <c r="AE116" s="67">
        <v>66.8</v>
      </c>
      <c r="AF116" s="67">
        <v>67.2</v>
      </c>
      <c r="AG116" s="66"/>
      <c r="AH116" s="12">
        <f t="shared" si="46"/>
        <v>68.2</v>
      </c>
      <c r="AI116" s="11">
        <f t="shared" si="47"/>
        <v>63.4</v>
      </c>
    </row>
    <row r="117" spans="1:35" ht="15.75" thickBot="1" x14ac:dyDescent="0.3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46"/>
        <v>0</v>
      </c>
      <c r="AI117" s="11">
        <f t="shared" si="47"/>
        <v>0</v>
      </c>
    </row>
    <row r="118" spans="1:35" ht="15.75" thickBot="1" x14ac:dyDescent="0.3">
      <c r="A118" s="65" t="s">
        <v>144</v>
      </c>
      <c r="B118" s="64">
        <f>SUM(B22,B28,B31:B32,B66,B68:B69,B71,B73,B119:B123,B155,B161,B167,B176,B178,B190,B197,B200:B201,B208,B210,B212,B216:B218,B220:B222,B227,B233:B234,B236:B238,B246,B251)</f>
        <v>89.94</v>
      </c>
      <c r="C118" s="64">
        <f>SUM(C22,C28,C31:C32,C66,C68:C69,C71,C73,C119:C123,C155,C161,C167,C176,C178,C190,C197,C200:C201,C208,C210,C212,C216:C218,C220:C222,C227,C233:C234,C236:C238,C246,C251)</f>
        <v>84.039999999999992</v>
      </c>
      <c r="D118" s="64">
        <f t="shared" ref="D118:O118" si="61">SUM(D22,D28,D31:D32,D66,D68:D69,D71,D73,D119:D123,D155,D161,D167,D176,D178,D190,D197,D200:D201,D208,D210,D212,D216:D218,D220:D222,D227,D233:D234,D236:D238,D246,D251)</f>
        <v>75.34</v>
      </c>
      <c r="E118" s="64">
        <f t="shared" si="61"/>
        <v>88.24</v>
      </c>
      <c r="F118" s="64">
        <f t="shared" si="61"/>
        <v>76.42</v>
      </c>
      <c r="G118" s="64">
        <f t="shared" si="61"/>
        <v>151.04000000000002</v>
      </c>
      <c r="H118" s="64">
        <f t="shared" si="61"/>
        <v>188.54</v>
      </c>
      <c r="I118" s="64">
        <f t="shared" si="61"/>
        <v>227.84</v>
      </c>
      <c r="J118" s="64">
        <f t="shared" si="61"/>
        <v>263.44</v>
      </c>
      <c r="K118" s="64">
        <f t="shared" si="61"/>
        <v>293.73999999999995</v>
      </c>
      <c r="L118" s="64">
        <f t="shared" si="61"/>
        <v>325.54000000000002</v>
      </c>
      <c r="M118" s="64">
        <f t="shared" si="61"/>
        <v>331.24000000000007</v>
      </c>
      <c r="N118" s="64">
        <f t="shared" si="61"/>
        <v>331.54</v>
      </c>
      <c r="O118" s="64">
        <f t="shared" si="61"/>
        <v>320.54000000000002</v>
      </c>
      <c r="P118" s="64">
        <v>42</v>
      </c>
      <c r="Q118" s="64">
        <f t="shared" ref="Q118:AF118" si="62">SUM(Q22,Q28,Q31:Q32,Q66,Q68:Q69,Q71,Q73,Q119:Q123,Q155,Q161,Q167,Q176,Q178,Q190,Q197,Q200:Q201,Q208,Q210,Q212,Q216:Q218,Q220:Q222,Q227,Q233:Q234,Q236:Q238,Q246,Q251)</f>
        <v>303.54000000000002</v>
      </c>
      <c r="R118" s="64">
        <f t="shared" si="62"/>
        <v>294.44</v>
      </c>
      <c r="S118" s="64">
        <f t="shared" si="62"/>
        <v>294.33999999999997</v>
      </c>
      <c r="T118" s="64">
        <f t="shared" si="62"/>
        <v>273.74</v>
      </c>
      <c r="U118" s="64">
        <f t="shared" si="62"/>
        <v>261.54000000000002</v>
      </c>
      <c r="V118" s="64">
        <f t="shared" si="62"/>
        <v>291.44</v>
      </c>
      <c r="W118" s="64">
        <f t="shared" si="62"/>
        <v>293.83999999999997</v>
      </c>
      <c r="X118" s="64">
        <f t="shared" si="62"/>
        <v>291.23999999999995</v>
      </c>
      <c r="Y118" s="64">
        <f t="shared" si="62"/>
        <v>346.84</v>
      </c>
      <c r="Z118" s="64">
        <f t="shared" si="62"/>
        <v>351.74</v>
      </c>
      <c r="AA118" s="64">
        <f t="shared" si="62"/>
        <v>346.24</v>
      </c>
      <c r="AB118" s="64">
        <f t="shared" si="62"/>
        <v>305.44</v>
      </c>
      <c r="AC118" s="64">
        <f t="shared" si="62"/>
        <v>277.74</v>
      </c>
      <c r="AD118" s="64">
        <f t="shared" si="62"/>
        <v>261.59999999999997</v>
      </c>
      <c r="AE118" s="64">
        <f t="shared" si="62"/>
        <v>198.64</v>
      </c>
      <c r="AF118" s="64">
        <f t="shared" si="62"/>
        <v>161.54000000000002</v>
      </c>
      <c r="AG118" s="63"/>
      <c r="AH118" s="12">
        <f t="shared" si="46"/>
        <v>351.74</v>
      </c>
      <c r="AI118" s="11">
        <f t="shared" si="47"/>
        <v>42</v>
      </c>
    </row>
    <row r="119" spans="1:35" x14ac:dyDescent="0.25">
      <c r="A119" s="59" t="s">
        <v>143</v>
      </c>
      <c r="B119" s="62">
        <v>-14.4</v>
      </c>
      <c r="C119" s="62">
        <v>-13.8</v>
      </c>
      <c r="D119" s="62">
        <v>-25.5</v>
      </c>
      <c r="E119" s="62">
        <v>-29.2</v>
      </c>
      <c r="F119" s="62">
        <v>-28.7</v>
      </c>
      <c r="G119" s="62">
        <v>-30.8</v>
      </c>
      <c r="H119" s="62">
        <v>-13</v>
      </c>
      <c r="I119" s="62">
        <v>-13.8</v>
      </c>
      <c r="J119" s="62">
        <v>-0.4</v>
      </c>
      <c r="K119" s="62">
        <v>7.8</v>
      </c>
      <c r="L119" s="62">
        <v>11.9</v>
      </c>
      <c r="M119" s="62">
        <v>13.7</v>
      </c>
      <c r="N119" s="62">
        <v>14.2</v>
      </c>
      <c r="O119" s="62">
        <v>-2.4</v>
      </c>
      <c r="P119" s="62">
        <v>-4</v>
      </c>
      <c r="Q119" s="62">
        <v>1.2</v>
      </c>
      <c r="R119" s="62">
        <v>-4.8</v>
      </c>
      <c r="S119" s="62">
        <v>-4.7</v>
      </c>
      <c r="T119" s="62">
        <v>-0.6</v>
      </c>
      <c r="U119" s="62">
        <v>-2.2000000000000002</v>
      </c>
      <c r="V119" s="62">
        <v>3</v>
      </c>
      <c r="W119" s="62">
        <v>0</v>
      </c>
      <c r="X119" s="62">
        <v>8.5</v>
      </c>
      <c r="Y119" s="62">
        <v>17.3</v>
      </c>
      <c r="Z119" s="62">
        <v>9.6</v>
      </c>
      <c r="AA119" s="62">
        <v>15.1</v>
      </c>
      <c r="AB119" s="62">
        <v>16.899999999999999</v>
      </c>
      <c r="AC119" s="62">
        <v>20</v>
      </c>
      <c r="AD119" s="62">
        <v>11.5</v>
      </c>
      <c r="AE119" s="62">
        <v>-7.1</v>
      </c>
      <c r="AF119" s="62">
        <v>0</v>
      </c>
      <c r="AG119" s="55">
        <v>75</v>
      </c>
      <c r="AH119" s="12">
        <f t="shared" si="46"/>
        <v>20</v>
      </c>
      <c r="AI119" s="11">
        <f t="shared" si="47"/>
        <v>-30.8</v>
      </c>
    </row>
    <row r="120" spans="1:35" x14ac:dyDescent="0.25">
      <c r="A120" s="57" t="s">
        <v>142</v>
      </c>
      <c r="B120" s="61">
        <v>-13.1</v>
      </c>
      <c r="C120" s="61">
        <v>-11.5</v>
      </c>
      <c r="D120" s="61">
        <v>-29.5</v>
      </c>
      <c r="E120" s="61">
        <v>-34.1</v>
      </c>
      <c r="F120" s="61">
        <v>-34.22</v>
      </c>
      <c r="G120" s="61">
        <v>-37.9</v>
      </c>
      <c r="H120" s="61">
        <v>-19</v>
      </c>
      <c r="I120" s="61">
        <v>-22</v>
      </c>
      <c r="J120" s="61">
        <v>-5.4</v>
      </c>
      <c r="K120" s="61">
        <v>3.6</v>
      </c>
      <c r="L120" s="61">
        <v>9.8000000000000007</v>
      </c>
      <c r="M120" s="61">
        <v>14.4</v>
      </c>
      <c r="N120" s="61">
        <v>14.2</v>
      </c>
      <c r="O120" s="61">
        <v>-8.8000000000000007</v>
      </c>
      <c r="P120" s="61">
        <v>-10</v>
      </c>
      <c r="Q120" s="61">
        <v>-5.8</v>
      </c>
      <c r="R120" s="61">
        <v>-13.4</v>
      </c>
      <c r="S120" s="61">
        <v>-13.1</v>
      </c>
      <c r="T120" s="61">
        <v>-8.4</v>
      </c>
      <c r="U120" s="61">
        <v>-10.5</v>
      </c>
      <c r="V120" s="61">
        <v>0</v>
      </c>
      <c r="W120" s="61">
        <v>-4.8</v>
      </c>
      <c r="X120" s="61">
        <v>15.1</v>
      </c>
      <c r="Y120" s="61">
        <v>28</v>
      </c>
      <c r="Z120" s="61">
        <v>16.7</v>
      </c>
      <c r="AA120" s="61">
        <v>24.8</v>
      </c>
      <c r="AB120" s="61">
        <v>27.4</v>
      </c>
      <c r="AC120" s="61">
        <v>42.6</v>
      </c>
      <c r="AD120" s="61">
        <v>21.96</v>
      </c>
      <c r="AE120" s="61">
        <v>-6.4</v>
      </c>
      <c r="AF120" s="61">
        <v>4.4000000000000004</v>
      </c>
      <c r="AG120" s="55">
        <v>240</v>
      </c>
      <c r="AH120" s="12">
        <f t="shared" si="46"/>
        <v>42.6</v>
      </c>
      <c r="AI120" s="11">
        <f t="shared" si="47"/>
        <v>-37.9</v>
      </c>
    </row>
    <row r="121" spans="1:35" x14ac:dyDescent="0.25">
      <c r="A121" s="57" t="s">
        <v>141</v>
      </c>
      <c r="B121" s="61">
        <v>-28.7</v>
      </c>
      <c r="C121" s="61">
        <v>-32</v>
      </c>
      <c r="D121" s="61">
        <v>-8.6999999999999993</v>
      </c>
      <c r="E121" s="61">
        <v>-20</v>
      </c>
      <c r="F121" s="61">
        <v>-29.5</v>
      </c>
      <c r="G121" s="61">
        <v>21</v>
      </c>
      <c r="H121" s="61">
        <v>21</v>
      </c>
      <c r="I121" s="61">
        <v>27</v>
      </c>
      <c r="J121" s="61">
        <v>30</v>
      </c>
      <c r="K121" s="61">
        <v>30</v>
      </c>
      <c r="L121" s="61">
        <v>40</v>
      </c>
      <c r="M121" s="61">
        <v>38.700000000000003</v>
      </c>
      <c r="N121" s="61">
        <v>39</v>
      </c>
      <c r="O121" s="61">
        <v>48</v>
      </c>
      <c r="P121" s="61">
        <v>45</v>
      </c>
      <c r="Q121" s="61">
        <v>42.6</v>
      </c>
      <c r="R121" s="61">
        <v>40</v>
      </c>
      <c r="S121" s="61">
        <v>33</v>
      </c>
      <c r="T121" s="61">
        <v>7.6</v>
      </c>
      <c r="U121" s="61">
        <v>-1</v>
      </c>
      <c r="V121" s="61">
        <v>41</v>
      </c>
      <c r="W121" s="61">
        <v>45</v>
      </c>
      <c r="X121" s="61">
        <v>21</v>
      </c>
      <c r="Y121" s="61">
        <v>24.9</v>
      </c>
      <c r="Z121" s="61">
        <v>45</v>
      </c>
      <c r="AA121" s="61">
        <v>24</v>
      </c>
      <c r="AB121" s="61">
        <v>10</v>
      </c>
      <c r="AC121" s="61">
        <v>-20</v>
      </c>
      <c r="AD121" s="61">
        <v>5</v>
      </c>
      <c r="AE121" s="61">
        <v>23</v>
      </c>
      <c r="AF121" s="61">
        <v>-6</v>
      </c>
      <c r="AG121" s="55">
        <v>240</v>
      </c>
      <c r="AH121" s="12">
        <f t="shared" si="46"/>
        <v>48</v>
      </c>
      <c r="AI121" s="11">
        <f t="shared" si="47"/>
        <v>-32</v>
      </c>
    </row>
    <row r="122" spans="1:35" ht="15.75" thickBot="1" x14ac:dyDescent="0.3">
      <c r="A122" s="57" t="s">
        <v>140</v>
      </c>
      <c r="B122" s="61">
        <v>34.4</v>
      </c>
      <c r="C122" s="61">
        <v>33.299999999999997</v>
      </c>
      <c r="D122" s="61">
        <v>37</v>
      </c>
      <c r="E122" s="61">
        <v>27.1</v>
      </c>
      <c r="F122" s="61">
        <v>34.700000000000003</v>
      </c>
      <c r="G122" s="61">
        <v>36.1</v>
      </c>
      <c r="H122" s="61">
        <v>28.3</v>
      </c>
      <c r="I122" s="61">
        <v>26</v>
      </c>
      <c r="J122" s="61">
        <v>8</v>
      </c>
      <c r="K122" s="61">
        <v>8.9</v>
      </c>
      <c r="L122" s="61">
        <v>21.5</v>
      </c>
      <c r="M122" s="61">
        <v>20.6</v>
      </c>
      <c r="N122" s="61">
        <v>19.399999999999999</v>
      </c>
      <c r="O122" s="61">
        <v>28.1</v>
      </c>
      <c r="P122" s="61">
        <v>28.5</v>
      </c>
      <c r="Q122" s="61">
        <v>32.200000000000003</v>
      </c>
      <c r="R122" s="61">
        <v>26.8</v>
      </c>
      <c r="S122" s="61">
        <v>25.1</v>
      </c>
      <c r="T122" s="61">
        <v>23.3</v>
      </c>
      <c r="U122" s="61">
        <v>33.4</v>
      </c>
      <c r="V122" s="61">
        <v>31.2</v>
      </c>
      <c r="W122" s="61">
        <v>35.5</v>
      </c>
      <c r="X122" s="61">
        <v>18.3</v>
      </c>
      <c r="Y122" s="61">
        <v>44.8</v>
      </c>
      <c r="Z122" s="61">
        <v>45.8</v>
      </c>
      <c r="AA122" s="61">
        <v>48.4</v>
      </c>
      <c r="AB122" s="61">
        <v>40</v>
      </c>
      <c r="AC122" s="61">
        <v>35</v>
      </c>
      <c r="AD122" s="61">
        <v>38</v>
      </c>
      <c r="AE122" s="61">
        <v>38</v>
      </c>
      <c r="AF122" s="61">
        <v>32</v>
      </c>
      <c r="AG122" s="55">
        <v>60</v>
      </c>
      <c r="AH122" s="12">
        <f t="shared" si="46"/>
        <v>48.4</v>
      </c>
      <c r="AI122" s="11">
        <f t="shared" si="47"/>
        <v>8</v>
      </c>
    </row>
    <row r="123" spans="1:35" x14ac:dyDescent="0.25">
      <c r="A123" s="59" t="s">
        <v>139</v>
      </c>
      <c r="B123" s="58">
        <v>22.5</v>
      </c>
      <c r="C123" s="58">
        <v>19.100000000000001</v>
      </c>
      <c r="D123" s="58">
        <v>16.899999999999999</v>
      </c>
      <c r="E123" s="58">
        <v>59.3</v>
      </c>
      <c r="F123" s="58">
        <v>49</v>
      </c>
      <c r="G123" s="58">
        <v>74.7</v>
      </c>
      <c r="H123" s="58">
        <v>82.3</v>
      </c>
      <c r="I123" s="58">
        <v>121.9</v>
      </c>
      <c r="J123" s="58">
        <v>141.5</v>
      </c>
      <c r="K123" s="58">
        <v>153</v>
      </c>
      <c r="L123" s="58">
        <v>150</v>
      </c>
      <c r="M123" s="58">
        <v>149.30000000000001</v>
      </c>
      <c r="N123" s="58">
        <v>148.19999999999999</v>
      </c>
      <c r="O123" s="58">
        <v>157</v>
      </c>
      <c r="P123" s="58">
        <v>155.80000000000001</v>
      </c>
      <c r="Q123" s="58">
        <v>135</v>
      </c>
      <c r="R123" s="58">
        <v>145.80000000000001</v>
      </c>
      <c r="S123" s="58">
        <v>154</v>
      </c>
      <c r="T123" s="58">
        <v>156.4</v>
      </c>
      <c r="U123" s="58">
        <v>148.69999999999999</v>
      </c>
      <c r="V123" s="58">
        <v>129.69999999999999</v>
      </c>
      <c r="W123" s="58">
        <v>132.30000000000001</v>
      </c>
      <c r="X123" s="58">
        <v>143.1</v>
      </c>
      <c r="Y123" s="58">
        <v>146.69999999999999</v>
      </c>
      <c r="Z123" s="58">
        <v>149.5</v>
      </c>
      <c r="AA123" s="58">
        <v>148.80000000000001</v>
      </c>
      <c r="AB123" s="58">
        <v>126</v>
      </c>
      <c r="AC123" s="58">
        <v>115</v>
      </c>
      <c r="AD123" s="58">
        <v>100</v>
      </c>
      <c r="AE123" s="58">
        <v>66</v>
      </c>
      <c r="AF123" s="58">
        <v>46</v>
      </c>
      <c r="AG123" s="60">
        <v>120</v>
      </c>
      <c r="AH123" s="12">
        <f t="shared" si="46"/>
        <v>157</v>
      </c>
      <c r="AI123" s="11">
        <f t="shared" si="47"/>
        <v>16.899999999999999</v>
      </c>
    </row>
    <row r="124" spans="1:35" x14ac:dyDescent="0.25">
      <c r="A124" s="57" t="s">
        <v>138</v>
      </c>
      <c r="B124" s="58">
        <v>32.5</v>
      </c>
      <c r="C124" s="58">
        <v>30.3</v>
      </c>
      <c r="D124" s="58">
        <v>28.8</v>
      </c>
      <c r="E124" s="58">
        <v>50.3</v>
      </c>
      <c r="F124" s="58">
        <v>45.2</v>
      </c>
      <c r="G124" s="58">
        <v>57.8</v>
      </c>
      <c r="H124" s="58">
        <v>61.3</v>
      </c>
      <c r="I124" s="58">
        <v>80.8</v>
      </c>
      <c r="J124" s="58">
        <v>90</v>
      </c>
      <c r="K124" s="58">
        <v>94.3</v>
      </c>
      <c r="L124" s="58">
        <v>92.9</v>
      </c>
      <c r="M124" s="58">
        <v>92</v>
      </c>
      <c r="N124" s="58">
        <v>92</v>
      </c>
      <c r="O124" s="58">
        <v>97</v>
      </c>
      <c r="P124" s="58">
        <v>95.9</v>
      </c>
      <c r="Q124" s="58">
        <v>86</v>
      </c>
      <c r="R124" s="58">
        <v>90.8</v>
      </c>
      <c r="S124" s="58">
        <v>94.8</v>
      </c>
      <c r="T124" s="58">
        <v>95.2</v>
      </c>
      <c r="U124" s="58">
        <v>92.3</v>
      </c>
      <c r="V124" s="58">
        <v>78</v>
      </c>
      <c r="W124" s="58">
        <v>79.3</v>
      </c>
      <c r="X124" s="58">
        <v>83.4</v>
      </c>
      <c r="Y124" s="58">
        <v>85.5</v>
      </c>
      <c r="Z124" s="58">
        <v>87.1</v>
      </c>
      <c r="AA124" s="58">
        <v>86.4</v>
      </c>
      <c r="AB124" s="58">
        <v>83</v>
      </c>
      <c r="AC124" s="58">
        <v>77</v>
      </c>
      <c r="AD124" s="58">
        <v>70</v>
      </c>
      <c r="AE124" s="58">
        <v>54</v>
      </c>
      <c r="AF124" s="58">
        <v>44</v>
      </c>
      <c r="AG124" s="60"/>
      <c r="AH124" s="12">
        <f t="shared" si="46"/>
        <v>97</v>
      </c>
      <c r="AI124" s="11">
        <f t="shared" si="47"/>
        <v>28.8</v>
      </c>
    </row>
    <row r="125" spans="1:35" x14ac:dyDescent="0.25">
      <c r="A125" s="57" t="s">
        <v>137</v>
      </c>
      <c r="B125" s="58">
        <v>2.5</v>
      </c>
      <c r="C125" s="58">
        <v>2.7</v>
      </c>
      <c r="D125" s="58">
        <v>4.4000000000000004</v>
      </c>
      <c r="E125" s="58">
        <v>42.1</v>
      </c>
      <c r="F125" s="58">
        <v>32.4</v>
      </c>
      <c r="G125" s="58">
        <v>37.700000000000003</v>
      </c>
      <c r="H125" s="58">
        <v>27.4</v>
      </c>
      <c r="I125" s="58">
        <v>40.5</v>
      </c>
      <c r="J125" s="58">
        <v>31.7</v>
      </c>
      <c r="K125" s="58">
        <v>25</v>
      </c>
      <c r="L125" s="58">
        <v>6.7</v>
      </c>
      <c r="M125" s="58">
        <v>7.5</v>
      </c>
      <c r="N125" s="58">
        <v>8.6</v>
      </c>
      <c r="O125" s="58">
        <v>30</v>
      </c>
      <c r="P125" s="58">
        <v>38</v>
      </c>
      <c r="Q125" s="58">
        <v>24</v>
      </c>
      <c r="R125" s="58">
        <v>36.6</v>
      </c>
      <c r="S125" s="58">
        <v>49.6</v>
      </c>
      <c r="T125" s="58">
        <v>41.6</v>
      </c>
      <c r="U125" s="58">
        <v>36.299999999999997</v>
      </c>
      <c r="V125" s="58">
        <v>0</v>
      </c>
      <c r="W125" s="58">
        <v>0.1</v>
      </c>
      <c r="X125" s="58">
        <v>0</v>
      </c>
      <c r="Y125" s="58">
        <v>-11.3</v>
      </c>
      <c r="Z125" s="58">
        <v>-11.6</v>
      </c>
      <c r="AA125" s="58">
        <v>-10.1</v>
      </c>
      <c r="AB125" s="58">
        <v>-9</v>
      </c>
      <c r="AC125" s="58">
        <v>-9</v>
      </c>
      <c r="AD125" s="58">
        <v>-7</v>
      </c>
      <c r="AE125" s="58">
        <v>-2.7</v>
      </c>
      <c r="AF125" s="58">
        <v>-1</v>
      </c>
      <c r="AG125" s="60"/>
      <c r="AH125" s="12">
        <f t="shared" si="46"/>
        <v>49.6</v>
      </c>
      <c r="AI125" s="11">
        <f t="shared" si="47"/>
        <v>-11.6</v>
      </c>
    </row>
    <row r="126" spans="1:35" ht="15.75" thickBot="1" x14ac:dyDescent="0.3">
      <c r="A126" s="57" t="s">
        <v>136</v>
      </c>
      <c r="B126" s="58">
        <v>39.299999999999997</v>
      </c>
      <c r="C126" s="58">
        <v>33.4</v>
      </c>
      <c r="D126" s="58">
        <v>55.5</v>
      </c>
      <c r="E126" s="58">
        <v>52.6</v>
      </c>
      <c r="F126" s="58">
        <v>46.8</v>
      </c>
      <c r="G126" s="58">
        <v>57.7</v>
      </c>
      <c r="H126" s="58">
        <v>59.3</v>
      </c>
      <c r="I126" s="58">
        <v>83.7</v>
      </c>
      <c r="J126" s="58">
        <v>106</v>
      </c>
      <c r="K126" s="58">
        <v>108</v>
      </c>
      <c r="L126" s="58">
        <v>102</v>
      </c>
      <c r="M126" s="58">
        <v>105</v>
      </c>
      <c r="N126" s="58">
        <v>102.6</v>
      </c>
      <c r="O126" s="58">
        <v>104</v>
      </c>
      <c r="P126" s="58">
        <v>110</v>
      </c>
      <c r="Q126" s="58">
        <v>105</v>
      </c>
      <c r="R126" s="58">
        <v>106.7</v>
      </c>
      <c r="S126" s="58">
        <v>106.9</v>
      </c>
      <c r="T126" s="58">
        <v>103.4</v>
      </c>
      <c r="U126" s="58">
        <v>102</v>
      </c>
      <c r="V126" s="58">
        <v>94.7</v>
      </c>
      <c r="W126" s="58">
        <v>91.4</v>
      </c>
      <c r="X126" s="58">
        <v>72.2</v>
      </c>
      <c r="Y126" s="58">
        <v>73.400000000000006</v>
      </c>
      <c r="Z126" s="58">
        <v>71.8</v>
      </c>
      <c r="AA126" s="58">
        <v>43.5</v>
      </c>
      <c r="AB126" s="58">
        <v>60</v>
      </c>
      <c r="AC126" s="58">
        <v>41</v>
      </c>
      <c r="AD126" s="58">
        <v>55</v>
      </c>
      <c r="AE126" s="58">
        <v>70</v>
      </c>
      <c r="AF126" s="58">
        <v>47</v>
      </c>
      <c r="AG126" s="55"/>
      <c r="AH126" s="12">
        <f>MAX(B126:AF126)</f>
        <v>110</v>
      </c>
      <c r="AI126" s="11">
        <f>MIN(B126:AF126)</f>
        <v>33.4</v>
      </c>
    </row>
    <row r="127" spans="1:35" x14ac:dyDescent="0.25">
      <c r="A127" s="59" t="s">
        <v>135</v>
      </c>
      <c r="B127" s="58">
        <v>-21.1</v>
      </c>
      <c r="C127" s="58">
        <v>-25</v>
      </c>
      <c r="D127" s="58">
        <v>-29.6</v>
      </c>
      <c r="E127" s="58">
        <v>-5.4</v>
      </c>
      <c r="F127" s="58">
        <v>-10</v>
      </c>
      <c r="G127" s="58">
        <v>-21</v>
      </c>
      <c r="H127" s="58">
        <v>-36.299999999999997</v>
      </c>
      <c r="I127" s="58">
        <v>-46.5</v>
      </c>
      <c r="J127" s="58">
        <v>40</v>
      </c>
      <c r="K127" s="58">
        <v>46.6</v>
      </c>
      <c r="L127" s="58">
        <v>43.9</v>
      </c>
      <c r="M127" s="58">
        <v>43.9</v>
      </c>
      <c r="N127" s="58">
        <v>43</v>
      </c>
      <c r="O127" s="58">
        <v>47.4</v>
      </c>
      <c r="P127" s="58">
        <v>49.3</v>
      </c>
      <c r="Q127" s="58">
        <v>37</v>
      </c>
      <c r="R127" s="58">
        <v>32</v>
      </c>
      <c r="S127" s="58">
        <v>9.5</v>
      </c>
      <c r="T127" s="58"/>
      <c r="U127" s="58">
        <v>6.4</v>
      </c>
      <c r="V127" s="58">
        <v>1.9</v>
      </c>
      <c r="W127" s="58">
        <v>11.2</v>
      </c>
      <c r="X127" s="58">
        <v>10</v>
      </c>
      <c r="Y127" s="58">
        <v>-180.7</v>
      </c>
      <c r="Z127" s="58">
        <v>-162.6</v>
      </c>
      <c r="AA127" s="58">
        <v>-158.30000000000001</v>
      </c>
      <c r="AB127" s="58">
        <v>-145</v>
      </c>
      <c r="AC127" s="58">
        <v>-153</v>
      </c>
      <c r="AD127" s="58">
        <v>-146</v>
      </c>
      <c r="AE127" s="58">
        <v>-147</v>
      </c>
      <c r="AF127" s="58">
        <v>-45</v>
      </c>
      <c r="AG127" s="55"/>
      <c r="AH127" s="12">
        <f>MAX(B127:AF127)</f>
        <v>49.3</v>
      </c>
      <c r="AI127" s="11">
        <f>MIN(B127:AF127)</f>
        <v>-180.7</v>
      </c>
    </row>
    <row r="128" spans="1:35" x14ac:dyDescent="0.25">
      <c r="A128" s="57" t="s">
        <v>134</v>
      </c>
      <c r="B128" s="56">
        <v>18.5</v>
      </c>
      <c r="C128" s="56">
        <v>16.100000000000001</v>
      </c>
      <c r="D128" s="56">
        <v>20</v>
      </c>
      <c r="E128" s="56">
        <v>20.6</v>
      </c>
      <c r="F128" s="56">
        <v>21.6</v>
      </c>
      <c r="G128" s="56">
        <v>16.399999999999999</v>
      </c>
      <c r="H128" s="56">
        <v>12.4</v>
      </c>
      <c r="I128" s="56">
        <v>9.6</v>
      </c>
      <c r="J128" s="56">
        <v>6.2</v>
      </c>
      <c r="K128" s="56">
        <v>-1.9</v>
      </c>
      <c r="L128" s="56">
        <v>-13</v>
      </c>
      <c r="M128" s="56">
        <v>-28.2</v>
      </c>
      <c r="N128" s="56">
        <v>-24.3</v>
      </c>
      <c r="O128" s="56">
        <v>-33.200000000000003</v>
      </c>
      <c r="P128" s="56">
        <v>-34.6</v>
      </c>
      <c r="Q128" s="56">
        <v>33.799999999999997</v>
      </c>
      <c r="R128" s="56">
        <v>-34.700000000000003</v>
      </c>
      <c r="S128" s="56">
        <v>-43.1</v>
      </c>
      <c r="T128" s="56">
        <v>-27.5</v>
      </c>
      <c r="U128" s="56">
        <v>-41.5</v>
      </c>
      <c r="V128" s="56">
        <v>-40.6</v>
      </c>
      <c r="W128" s="56">
        <v>-42.6</v>
      </c>
      <c r="X128" s="56">
        <v>-49.8</v>
      </c>
      <c r="Y128" s="56">
        <v>-64.900000000000006</v>
      </c>
      <c r="Z128" s="56">
        <v>-11.3</v>
      </c>
      <c r="AA128" s="56"/>
      <c r="AB128" s="56"/>
      <c r="AC128" s="56"/>
      <c r="AD128" s="56"/>
      <c r="AE128" s="56"/>
      <c r="AF128" s="56" t="s">
        <v>283</v>
      </c>
      <c r="AG128" s="55"/>
      <c r="AH128" s="12">
        <f>MAX(B128:AF128)</f>
        <v>33.799999999999997</v>
      </c>
      <c r="AI128" s="11">
        <f>MIN(B128:AF128)</f>
        <v>-64.900000000000006</v>
      </c>
    </row>
    <row r="129" spans="1:37" x14ac:dyDescent="0.25">
      <c r="A129" s="57" t="s">
        <v>133</v>
      </c>
      <c r="B129" s="56">
        <v>-14.8</v>
      </c>
      <c r="C129" s="56">
        <v>0</v>
      </c>
      <c r="D129" s="56">
        <v>15.8</v>
      </c>
      <c r="E129" s="56">
        <v>-14.1</v>
      </c>
      <c r="F129" s="56">
        <v>-11</v>
      </c>
      <c r="G129" s="56">
        <v>-10</v>
      </c>
      <c r="H129" s="56">
        <v>-5.7</v>
      </c>
      <c r="I129" s="56">
        <v>-7.8</v>
      </c>
      <c r="J129" s="56">
        <v>60.5</v>
      </c>
      <c r="K129" s="56">
        <v>75.599999999999994</v>
      </c>
      <c r="L129" s="56">
        <v>87.8</v>
      </c>
      <c r="M129" s="56">
        <v>111.1</v>
      </c>
      <c r="N129" s="56">
        <v>58.6</v>
      </c>
      <c r="O129" s="56">
        <v>74</v>
      </c>
      <c r="P129" s="56">
        <v>81</v>
      </c>
      <c r="Q129" s="56">
        <v>74</v>
      </c>
      <c r="R129" s="56">
        <v>76.2</v>
      </c>
      <c r="S129" s="56">
        <v>72.5</v>
      </c>
      <c r="T129" s="56">
        <v>117</v>
      </c>
      <c r="U129" s="56">
        <v>114.6</v>
      </c>
      <c r="V129" s="56">
        <v>123.1</v>
      </c>
      <c r="W129" s="56">
        <v>107</v>
      </c>
      <c r="X129" s="56">
        <v>100.7</v>
      </c>
      <c r="Y129" s="56">
        <v>112.2</v>
      </c>
      <c r="Z129" s="56">
        <v>75.599999999999994</v>
      </c>
      <c r="AA129" s="56">
        <v>107.4</v>
      </c>
      <c r="AB129" s="56">
        <v>99</v>
      </c>
      <c r="AC129" s="56">
        <v>99</v>
      </c>
      <c r="AD129" s="56">
        <v>98</v>
      </c>
      <c r="AE129" s="56">
        <v>75</v>
      </c>
      <c r="AF129" s="56"/>
      <c r="AG129" s="55"/>
      <c r="AH129" s="12">
        <f>MAX(B129:AF129)</f>
        <v>123.1</v>
      </c>
      <c r="AI129" s="11">
        <f>MIN(B129:AF129)</f>
        <v>-14.8</v>
      </c>
    </row>
    <row r="130" spans="1:37" ht="15.75" thickBot="1" x14ac:dyDescent="0.3">
      <c r="A130" s="57" t="s">
        <v>132</v>
      </c>
      <c r="B130" s="56">
        <v>1</v>
      </c>
      <c r="C130" s="56">
        <v>14.2</v>
      </c>
      <c r="D130" s="56">
        <v>6.3</v>
      </c>
      <c r="E130" s="56">
        <v>6.3</v>
      </c>
      <c r="F130" s="56">
        <v>6.3</v>
      </c>
      <c r="G130" s="56">
        <v>6.3</v>
      </c>
      <c r="H130" s="56">
        <v>6.3</v>
      </c>
      <c r="I130" s="56">
        <v>6.3</v>
      </c>
      <c r="J130" s="56">
        <v>68.2</v>
      </c>
      <c r="K130" s="56">
        <v>80.2</v>
      </c>
      <c r="L130" s="56">
        <v>91.4</v>
      </c>
      <c r="M130" s="56">
        <v>106.6</v>
      </c>
      <c r="N130" s="56">
        <v>63.3</v>
      </c>
      <c r="O130" s="56">
        <v>73.599999999999994</v>
      </c>
      <c r="P130" s="56">
        <v>78</v>
      </c>
      <c r="Q130" s="56">
        <v>81</v>
      </c>
      <c r="R130" s="56">
        <v>80.900000000000006</v>
      </c>
      <c r="S130" s="56">
        <v>88</v>
      </c>
      <c r="T130" s="56">
        <v>128</v>
      </c>
      <c r="U130" s="56">
        <v>123</v>
      </c>
      <c r="V130" s="56">
        <v>126.3</v>
      </c>
      <c r="W130" s="56">
        <v>118.8</v>
      </c>
      <c r="X130" s="56">
        <v>105</v>
      </c>
      <c r="Y130" s="56">
        <v>117.4</v>
      </c>
      <c r="Z130" s="56">
        <v>115.7</v>
      </c>
      <c r="AA130" s="56">
        <v>112.8</v>
      </c>
      <c r="AB130" s="56">
        <v>110</v>
      </c>
      <c r="AC130" s="56">
        <v>115.4</v>
      </c>
      <c r="AD130" s="56">
        <v>110</v>
      </c>
      <c r="AE130" s="56">
        <v>88</v>
      </c>
      <c r="AF130" s="56"/>
      <c r="AG130" s="55"/>
      <c r="AH130" s="12">
        <f>MAX(B130:AF130)</f>
        <v>128</v>
      </c>
      <c r="AI130" s="11">
        <f>MIN(B130:AF130)</f>
        <v>1</v>
      </c>
    </row>
    <row r="131" spans="1:37" x14ac:dyDescent="0.25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25">
      <c r="A132" s="47" t="s">
        <v>130</v>
      </c>
      <c r="B132" s="51">
        <v>1984.78</v>
      </c>
      <c r="C132" s="51"/>
      <c r="D132" s="51">
        <v>1985.2</v>
      </c>
      <c r="E132" s="51">
        <v>1985.38</v>
      </c>
      <c r="F132" s="51">
        <v>1985.52</v>
      </c>
      <c r="G132" s="51">
        <v>1985.68</v>
      </c>
      <c r="H132" s="51"/>
      <c r="I132" s="51">
        <v>1985.55</v>
      </c>
      <c r="J132" s="51"/>
      <c r="K132" s="51">
        <v>1985.65</v>
      </c>
      <c r="L132" s="51"/>
      <c r="M132" s="51">
        <v>1985.8</v>
      </c>
      <c r="N132" s="51">
        <v>1986</v>
      </c>
      <c r="O132" s="51">
        <v>1986.15</v>
      </c>
      <c r="P132" s="51">
        <v>1986.35</v>
      </c>
      <c r="Q132" s="51">
        <v>1986.48</v>
      </c>
      <c r="R132" s="51">
        <v>1986.61</v>
      </c>
      <c r="S132" s="51">
        <v>1986.7</v>
      </c>
      <c r="T132" s="51">
        <v>1986.65</v>
      </c>
      <c r="U132" s="51">
        <v>1986.62</v>
      </c>
      <c r="V132" s="51">
        <v>1986.6</v>
      </c>
      <c r="W132" s="51"/>
      <c r="X132" s="51">
        <v>1986.62</v>
      </c>
      <c r="Y132" s="51"/>
      <c r="Z132" s="51">
        <v>1985.9</v>
      </c>
      <c r="AA132" s="51">
        <v>1985.45</v>
      </c>
      <c r="AB132" s="51">
        <v>1984.95</v>
      </c>
      <c r="AC132" s="51"/>
      <c r="AD132" s="51">
        <v>1984.15</v>
      </c>
      <c r="AE132" s="51">
        <v>1983.28</v>
      </c>
      <c r="AF132" s="50">
        <v>1982.56</v>
      </c>
      <c r="AG132" s="44"/>
      <c r="AH132" s="12"/>
      <c r="AI132" s="11"/>
    </row>
    <row r="133" spans="1:37" x14ac:dyDescent="0.25">
      <c r="A133" s="47" t="s">
        <v>129</v>
      </c>
      <c r="B133" s="49">
        <v>520.61</v>
      </c>
      <c r="C133" s="49">
        <v>520.79999999999995</v>
      </c>
      <c r="D133" s="49">
        <v>521.15</v>
      </c>
      <c r="E133" s="49">
        <v>521.48</v>
      </c>
      <c r="F133" s="49">
        <v>521.82000000000005</v>
      </c>
      <c r="G133" s="49">
        <v>522.14</v>
      </c>
      <c r="H133" s="49"/>
      <c r="I133" s="49">
        <v>522.34</v>
      </c>
      <c r="J133" s="49"/>
      <c r="K133" s="49">
        <v>522.35</v>
      </c>
      <c r="L133" s="49"/>
      <c r="M133" s="49">
        <v>522.21</v>
      </c>
      <c r="N133" s="49">
        <v>522.08000000000004</v>
      </c>
      <c r="O133" s="49">
        <v>522.02</v>
      </c>
      <c r="P133" s="49">
        <v>521.98</v>
      </c>
      <c r="Q133" s="49">
        <v>522.02</v>
      </c>
      <c r="R133" s="49">
        <v>522.17999999999995</v>
      </c>
      <c r="S133" s="49">
        <v>522.33000000000004</v>
      </c>
      <c r="T133" s="49">
        <v>522.44000000000005</v>
      </c>
      <c r="U133" s="49">
        <v>522.52</v>
      </c>
      <c r="V133" s="49">
        <v>522.54</v>
      </c>
      <c r="W133" s="49"/>
      <c r="X133" s="49">
        <v>522.51</v>
      </c>
      <c r="Y133" s="49"/>
      <c r="Z133" s="49">
        <v>522</v>
      </c>
      <c r="AA133" s="49"/>
      <c r="AB133" s="49">
        <v>521.74</v>
      </c>
      <c r="AC133" s="49"/>
      <c r="AD133" s="49">
        <v>521.48</v>
      </c>
      <c r="AE133" s="49">
        <v>521.4</v>
      </c>
      <c r="AF133" s="48">
        <v>521.44000000000005</v>
      </c>
      <c r="AG133" s="44"/>
      <c r="AH133" s="12"/>
      <c r="AI133" s="11"/>
    </row>
    <row r="134" spans="1:37" x14ac:dyDescent="0.25">
      <c r="A134" s="47" t="s">
        <v>128</v>
      </c>
      <c r="B134" s="49">
        <v>622.85</v>
      </c>
      <c r="C134" s="49">
        <v>622.92999999999995</v>
      </c>
      <c r="D134" s="49">
        <v>623.35</v>
      </c>
      <c r="E134" s="49">
        <v>623.70000000000005</v>
      </c>
      <c r="F134" s="49">
        <v>624.03</v>
      </c>
      <c r="G134" s="49">
        <v>624.41999999999996</v>
      </c>
      <c r="H134" s="49"/>
      <c r="I134" s="49">
        <v>624.46</v>
      </c>
      <c r="J134" s="49"/>
      <c r="K134" s="49">
        <v>624.4</v>
      </c>
      <c r="L134" s="49"/>
      <c r="M134" s="49">
        <v>624.04999999999995</v>
      </c>
      <c r="N134" s="49">
        <v>623.85</v>
      </c>
      <c r="O134" s="49">
        <v>623.58000000000004</v>
      </c>
      <c r="P134" s="49">
        <v>623.22</v>
      </c>
      <c r="Q134" s="49">
        <v>623.04999999999995</v>
      </c>
      <c r="R134" s="49">
        <v>623.02</v>
      </c>
      <c r="S134" s="49">
        <v>623.1</v>
      </c>
      <c r="T134" s="49">
        <v>623.20000000000005</v>
      </c>
      <c r="U134" s="49">
        <v>623.27</v>
      </c>
      <c r="V134" s="49">
        <v>523.26</v>
      </c>
      <c r="W134" s="49"/>
      <c r="X134" s="49">
        <v>523.38</v>
      </c>
      <c r="Y134" s="49"/>
      <c r="Z134" s="49">
        <v>522.87</v>
      </c>
      <c r="AA134" s="49"/>
      <c r="AB134" s="49">
        <v>622.15</v>
      </c>
      <c r="AC134" s="49"/>
      <c r="AD134" s="49">
        <v>621.66</v>
      </c>
      <c r="AE134" s="49">
        <v>621.6</v>
      </c>
      <c r="AF134" s="48"/>
      <c r="AG134" s="44"/>
      <c r="AH134" s="12"/>
      <c r="AI134" s="11"/>
    </row>
    <row r="135" spans="1:37" x14ac:dyDescent="0.25">
      <c r="A135" s="47" t="s">
        <v>127</v>
      </c>
      <c r="B135" s="49">
        <v>335.16</v>
      </c>
      <c r="C135" s="49"/>
      <c r="D135" s="49">
        <v>335.5</v>
      </c>
      <c r="E135" s="49">
        <v>335.99</v>
      </c>
      <c r="F135" s="49">
        <v>336.28</v>
      </c>
      <c r="G135" s="49">
        <v>336.54</v>
      </c>
      <c r="H135" s="49"/>
      <c r="I135" s="49">
        <v>336.8</v>
      </c>
      <c r="J135" s="49"/>
      <c r="K135" s="49">
        <v>336.78</v>
      </c>
      <c r="L135" s="49"/>
      <c r="M135" s="49">
        <v>336.71</v>
      </c>
      <c r="N135" s="49">
        <v>336.49</v>
      </c>
      <c r="O135" s="49">
        <v>336.25</v>
      </c>
      <c r="P135" s="49">
        <v>336.02</v>
      </c>
      <c r="Q135" s="49">
        <v>335.79</v>
      </c>
      <c r="R135" s="49">
        <v>335.58</v>
      </c>
      <c r="S135" s="49">
        <v>335.75</v>
      </c>
      <c r="T135" s="49">
        <v>335.95</v>
      </c>
      <c r="U135" s="49">
        <v>336.08</v>
      </c>
      <c r="V135" s="49">
        <v>336.17</v>
      </c>
      <c r="W135" s="49"/>
      <c r="X135" s="49">
        <v>336.2</v>
      </c>
      <c r="Y135" s="49"/>
      <c r="Z135" s="49">
        <v>335.94</v>
      </c>
      <c r="AA135" s="49"/>
      <c r="AB135" s="49">
        <v>335.5</v>
      </c>
      <c r="AC135" s="49"/>
      <c r="AD135" s="49">
        <v>335.06</v>
      </c>
      <c r="AE135" s="49">
        <v>334.85</v>
      </c>
      <c r="AF135" s="48"/>
      <c r="AG135" s="44"/>
      <c r="AH135" s="12"/>
      <c r="AI135" s="11"/>
    </row>
    <row r="136" spans="1:37" x14ac:dyDescent="0.25">
      <c r="A136" s="47" t="s">
        <v>126</v>
      </c>
      <c r="B136" s="49">
        <v>884.4</v>
      </c>
      <c r="C136" s="49"/>
      <c r="D136" s="49">
        <v>886</v>
      </c>
      <c r="E136" s="49">
        <v>886.1</v>
      </c>
      <c r="F136" s="49">
        <v>886.6</v>
      </c>
      <c r="G136" s="49">
        <v>887</v>
      </c>
      <c r="H136" s="49"/>
      <c r="I136" s="49">
        <v>887.5</v>
      </c>
      <c r="J136" s="49"/>
      <c r="K136" s="49">
        <v>887.5</v>
      </c>
      <c r="L136" s="49"/>
      <c r="M136" s="49">
        <v>8877.2000000000007</v>
      </c>
      <c r="N136" s="49">
        <v>887.1</v>
      </c>
      <c r="O136" s="49">
        <v>886.9</v>
      </c>
      <c r="P136" s="49">
        <v>886.9</v>
      </c>
      <c r="Q136" s="49">
        <v>886.8</v>
      </c>
      <c r="R136" s="49">
        <v>886.7</v>
      </c>
      <c r="S136" s="49">
        <v>886.5</v>
      </c>
      <c r="T136" s="49">
        <v>886.2</v>
      </c>
      <c r="U136" s="49">
        <v>885.8</v>
      </c>
      <c r="V136" s="49">
        <v>885.7</v>
      </c>
      <c r="W136" s="49"/>
      <c r="X136" s="49">
        <v>885.3</v>
      </c>
      <c r="Y136" s="49"/>
      <c r="Z136" s="49">
        <v>884</v>
      </c>
      <c r="AA136" s="49"/>
      <c r="AB136" s="49">
        <v>882</v>
      </c>
      <c r="AC136" s="49"/>
      <c r="AD136" s="49">
        <v>881.6</v>
      </c>
      <c r="AE136" s="49">
        <v>881.5</v>
      </c>
      <c r="AF136" s="48">
        <v>881.3</v>
      </c>
      <c r="AG136" s="44"/>
      <c r="AH136" s="12"/>
      <c r="AI136" s="11"/>
    </row>
    <row r="137" spans="1:37" ht="15.75" thickBot="1" x14ac:dyDescent="0.3">
      <c r="A137" s="47" t="s">
        <v>125</v>
      </c>
      <c r="B137" s="46">
        <v>1515.32</v>
      </c>
      <c r="C137" s="46"/>
      <c r="D137" s="46">
        <v>1515.26</v>
      </c>
      <c r="E137" s="46"/>
      <c r="F137" s="46">
        <v>1515.23</v>
      </c>
      <c r="G137" s="46"/>
      <c r="H137" s="46"/>
      <c r="I137" s="46">
        <v>1515.19</v>
      </c>
      <c r="J137" s="46"/>
      <c r="K137" s="46"/>
      <c r="L137" s="46"/>
      <c r="M137" s="46"/>
      <c r="N137" s="46">
        <v>1515.16</v>
      </c>
      <c r="O137" s="46"/>
      <c r="P137" s="46"/>
      <c r="Q137" s="46"/>
      <c r="R137" s="46">
        <v>1515.08</v>
      </c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.75" thickBot="1" x14ac:dyDescent="0.3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25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25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25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25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25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25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25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25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25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25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25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25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25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25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25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25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25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25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25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25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25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25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25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25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25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25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25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25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25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25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25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25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25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25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25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25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25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25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25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25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25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25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25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25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25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25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25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25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25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25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25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25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25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25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25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25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25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25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25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25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25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25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25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25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25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25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25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25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25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25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25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25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25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25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25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25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25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25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25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25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25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25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25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25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25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25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25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25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25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25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25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25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25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25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25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25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25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25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25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25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25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25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25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25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.75" thickBot="1" x14ac:dyDescent="0.3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.75" thickBot="1" x14ac:dyDescent="0.3">
      <c r="A244" s="31" t="s">
        <v>17</v>
      </c>
      <c r="B244" s="30">
        <f t="shared" ref="B244:AG244" si="63">SUM(B139:B243)</f>
        <v>0</v>
      </c>
      <c r="C244" s="14">
        <f t="shared" si="63"/>
        <v>0</v>
      </c>
      <c r="D244" s="14">
        <f t="shared" si="63"/>
        <v>0</v>
      </c>
      <c r="E244" s="14">
        <f t="shared" si="63"/>
        <v>0</v>
      </c>
      <c r="F244" s="14">
        <f t="shared" si="63"/>
        <v>0</v>
      </c>
      <c r="G244" s="14">
        <f t="shared" si="63"/>
        <v>0</v>
      </c>
      <c r="H244" s="14">
        <f t="shared" si="63"/>
        <v>0</v>
      </c>
      <c r="I244" s="14">
        <f t="shared" si="63"/>
        <v>0</v>
      </c>
      <c r="J244" s="14">
        <f t="shared" si="63"/>
        <v>0</v>
      </c>
      <c r="K244" s="14">
        <f t="shared" si="63"/>
        <v>0</v>
      </c>
      <c r="L244" s="14">
        <f t="shared" si="63"/>
        <v>0</v>
      </c>
      <c r="M244" s="14">
        <f t="shared" si="63"/>
        <v>0</v>
      </c>
      <c r="N244" s="14">
        <f t="shared" si="63"/>
        <v>0</v>
      </c>
      <c r="O244" s="14">
        <f t="shared" si="63"/>
        <v>0</v>
      </c>
      <c r="P244" s="14">
        <f t="shared" si="63"/>
        <v>0</v>
      </c>
      <c r="Q244" s="14">
        <f t="shared" si="63"/>
        <v>0</v>
      </c>
      <c r="R244" s="14">
        <f t="shared" si="63"/>
        <v>0</v>
      </c>
      <c r="S244" s="14">
        <f t="shared" si="63"/>
        <v>0</v>
      </c>
      <c r="T244" s="14">
        <f t="shared" si="63"/>
        <v>0</v>
      </c>
      <c r="U244" s="14">
        <f t="shared" si="63"/>
        <v>0</v>
      </c>
      <c r="V244" s="14">
        <f t="shared" si="63"/>
        <v>0</v>
      </c>
      <c r="W244" s="14">
        <f t="shared" si="63"/>
        <v>0</v>
      </c>
      <c r="X244" s="14">
        <f t="shared" si="63"/>
        <v>0</v>
      </c>
      <c r="Y244" s="14">
        <f t="shared" si="63"/>
        <v>0</v>
      </c>
      <c r="Z244" s="14">
        <f t="shared" si="63"/>
        <v>0</v>
      </c>
      <c r="AA244" s="14">
        <f t="shared" si="63"/>
        <v>0</v>
      </c>
      <c r="AB244" s="14">
        <f t="shared" si="63"/>
        <v>0</v>
      </c>
      <c r="AC244" s="14">
        <f t="shared" si="63"/>
        <v>0</v>
      </c>
      <c r="AD244" s="14">
        <f t="shared" si="63"/>
        <v>0</v>
      </c>
      <c r="AE244" s="14">
        <f t="shared" si="63"/>
        <v>0</v>
      </c>
      <c r="AF244" s="29">
        <f t="shared" si="63"/>
        <v>0</v>
      </c>
      <c r="AG244" s="28">
        <f t="shared" si="63"/>
        <v>412.72299999999984</v>
      </c>
      <c r="AH244" s="12"/>
      <c r="AI244" s="11"/>
      <c r="AK244" s="19"/>
    </row>
    <row r="245" spans="1:37" ht="15.75" thickBot="1" x14ac:dyDescent="0.3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25">
      <c r="A246" s="25" t="s">
        <v>16</v>
      </c>
      <c r="B246" s="24">
        <f t="shared" ref="B246:B251" si="64">AF246</f>
        <v>0.3</v>
      </c>
      <c r="C246" s="24">
        <v>0.3</v>
      </c>
      <c r="D246" s="24">
        <f t="shared" ref="D246:S251" si="65">C246</f>
        <v>0.3</v>
      </c>
      <c r="E246" s="24">
        <f t="shared" si="65"/>
        <v>0.3</v>
      </c>
      <c r="F246" s="24">
        <f t="shared" si="65"/>
        <v>0.3</v>
      </c>
      <c r="G246" s="24">
        <f t="shared" si="65"/>
        <v>0.3</v>
      </c>
      <c r="H246" s="24">
        <f t="shared" si="65"/>
        <v>0.3</v>
      </c>
      <c r="I246" s="24">
        <f t="shared" si="65"/>
        <v>0.3</v>
      </c>
      <c r="J246" s="24">
        <f t="shared" si="65"/>
        <v>0.3</v>
      </c>
      <c r="K246" s="24">
        <f t="shared" si="65"/>
        <v>0.3</v>
      </c>
      <c r="L246" s="24">
        <f t="shared" si="65"/>
        <v>0.3</v>
      </c>
      <c r="M246" s="24">
        <f t="shared" si="65"/>
        <v>0.3</v>
      </c>
      <c r="N246" s="24">
        <f t="shared" si="65"/>
        <v>0.3</v>
      </c>
      <c r="O246" s="24">
        <f t="shared" si="65"/>
        <v>0.3</v>
      </c>
      <c r="P246" s="24">
        <f t="shared" si="65"/>
        <v>0.3</v>
      </c>
      <c r="Q246" s="24">
        <f t="shared" si="65"/>
        <v>0.3</v>
      </c>
      <c r="R246" s="24">
        <f t="shared" si="65"/>
        <v>0.3</v>
      </c>
      <c r="S246" s="24">
        <f t="shared" si="65"/>
        <v>0.3</v>
      </c>
      <c r="T246" s="24">
        <f t="shared" ref="T246:AF251" si="66">S246</f>
        <v>0.3</v>
      </c>
      <c r="U246" s="24">
        <f t="shared" si="66"/>
        <v>0.3</v>
      </c>
      <c r="V246" s="24">
        <f t="shared" si="66"/>
        <v>0.3</v>
      </c>
      <c r="W246" s="24">
        <f t="shared" si="66"/>
        <v>0.3</v>
      </c>
      <c r="X246" s="24">
        <f t="shared" si="66"/>
        <v>0.3</v>
      </c>
      <c r="Y246" s="24">
        <f t="shared" si="66"/>
        <v>0.3</v>
      </c>
      <c r="Z246" s="24">
        <f t="shared" si="66"/>
        <v>0.3</v>
      </c>
      <c r="AA246" s="24">
        <f t="shared" si="66"/>
        <v>0.3</v>
      </c>
      <c r="AB246" s="24">
        <f t="shared" si="66"/>
        <v>0.3</v>
      </c>
      <c r="AC246" s="24">
        <f t="shared" si="66"/>
        <v>0.3</v>
      </c>
      <c r="AD246" s="24">
        <f t="shared" si="66"/>
        <v>0.3</v>
      </c>
      <c r="AE246" s="24">
        <f t="shared" si="66"/>
        <v>0.3</v>
      </c>
      <c r="AF246" s="24">
        <f t="shared" si="66"/>
        <v>0.3</v>
      </c>
      <c r="AG246" s="23">
        <v>2.4</v>
      </c>
      <c r="AH246" s="12"/>
      <c r="AI246" s="11"/>
      <c r="AK246" s="19"/>
    </row>
    <row r="247" spans="1:37" x14ac:dyDescent="0.25">
      <c r="A247" s="22" t="s">
        <v>15</v>
      </c>
      <c r="B247" s="21">
        <f t="shared" si="64"/>
        <v>0.4</v>
      </c>
      <c r="C247" s="21">
        <v>0.4</v>
      </c>
      <c r="D247" s="21">
        <f t="shared" si="65"/>
        <v>0.4</v>
      </c>
      <c r="E247" s="21">
        <f t="shared" si="65"/>
        <v>0.4</v>
      </c>
      <c r="F247" s="21">
        <f t="shared" si="65"/>
        <v>0.4</v>
      </c>
      <c r="G247" s="21">
        <f t="shared" si="65"/>
        <v>0.4</v>
      </c>
      <c r="H247" s="21">
        <f t="shared" si="65"/>
        <v>0.4</v>
      </c>
      <c r="I247" s="21">
        <f t="shared" si="65"/>
        <v>0.4</v>
      </c>
      <c r="J247" s="21">
        <f t="shared" si="65"/>
        <v>0.4</v>
      </c>
      <c r="K247" s="21">
        <f t="shared" si="65"/>
        <v>0.4</v>
      </c>
      <c r="L247" s="21">
        <f t="shared" si="65"/>
        <v>0.4</v>
      </c>
      <c r="M247" s="21">
        <f t="shared" si="65"/>
        <v>0.4</v>
      </c>
      <c r="N247" s="21">
        <f t="shared" si="65"/>
        <v>0.4</v>
      </c>
      <c r="O247" s="21">
        <f t="shared" si="65"/>
        <v>0.4</v>
      </c>
      <c r="P247" s="21">
        <f t="shared" si="65"/>
        <v>0.4</v>
      </c>
      <c r="Q247" s="21">
        <f t="shared" si="65"/>
        <v>0.4</v>
      </c>
      <c r="R247" s="21">
        <f t="shared" si="65"/>
        <v>0.4</v>
      </c>
      <c r="S247" s="21">
        <f t="shared" si="65"/>
        <v>0.4</v>
      </c>
      <c r="T247" s="21">
        <f t="shared" si="66"/>
        <v>0.4</v>
      </c>
      <c r="U247" s="21">
        <f t="shared" si="66"/>
        <v>0.4</v>
      </c>
      <c r="V247" s="21">
        <f t="shared" si="66"/>
        <v>0.4</v>
      </c>
      <c r="W247" s="21">
        <f t="shared" si="66"/>
        <v>0.4</v>
      </c>
      <c r="X247" s="21">
        <f t="shared" si="66"/>
        <v>0.4</v>
      </c>
      <c r="Y247" s="21">
        <f t="shared" si="66"/>
        <v>0.4</v>
      </c>
      <c r="Z247" s="21">
        <f t="shared" si="66"/>
        <v>0.4</v>
      </c>
      <c r="AA247" s="21">
        <f t="shared" si="66"/>
        <v>0.4</v>
      </c>
      <c r="AB247" s="21">
        <f t="shared" si="66"/>
        <v>0.4</v>
      </c>
      <c r="AC247" s="21">
        <f t="shared" si="66"/>
        <v>0.4</v>
      </c>
      <c r="AD247" s="21">
        <f t="shared" si="66"/>
        <v>0.4</v>
      </c>
      <c r="AE247" s="21">
        <f t="shared" si="66"/>
        <v>0.4</v>
      </c>
      <c r="AF247" s="21">
        <f t="shared" si="66"/>
        <v>0.4</v>
      </c>
      <c r="AG247" s="20">
        <v>2</v>
      </c>
      <c r="AH247" s="12"/>
      <c r="AI247" s="11"/>
      <c r="AK247" s="19"/>
    </row>
    <row r="248" spans="1:37" x14ac:dyDescent="0.25">
      <c r="A248" s="22" t="s">
        <v>14</v>
      </c>
      <c r="B248" s="21">
        <f t="shared" si="64"/>
        <v>1.5</v>
      </c>
      <c r="C248" s="21">
        <v>1.5</v>
      </c>
      <c r="D248" s="21">
        <f t="shared" si="65"/>
        <v>1.5</v>
      </c>
      <c r="E248" s="21">
        <f t="shared" si="65"/>
        <v>1.5</v>
      </c>
      <c r="F248" s="21">
        <f t="shared" si="65"/>
        <v>1.5</v>
      </c>
      <c r="G248" s="21">
        <f t="shared" si="65"/>
        <v>1.5</v>
      </c>
      <c r="H248" s="21">
        <f t="shared" si="65"/>
        <v>1.5</v>
      </c>
      <c r="I248" s="21">
        <f t="shared" si="65"/>
        <v>1.5</v>
      </c>
      <c r="J248" s="21">
        <f t="shared" si="65"/>
        <v>1.5</v>
      </c>
      <c r="K248" s="21">
        <f t="shared" si="65"/>
        <v>1.5</v>
      </c>
      <c r="L248" s="21">
        <f t="shared" si="65"/>
        <v>1.5</v>
      </c>
      <c r="M248" s="21">
        <f t="shared" si="65"/>
        <v>1.5</v>
      </c>
      <c r="N248" s="21">
        <f t="shared" si="65"/>
        <v>1.5</v>
      </c>
      <c r="O248" s="21">
        <f t="shared" si="65"/>
        <v>1.5</v>
      </c>
      <c r="P248" s="21">
        <f t="shared" si="65"/>
        <v>1.5</v>
      </c>
      <c r="Q248" s="21">
        <f t="shared" si="65"/>
        <v>1.5</v>
      </c>
      <c r="R248" s="21">
        <f t="shared" si="65"/>
        <v>1.5</v>
      </c>
      <c r="S248" s="21">
        <f t="shared" si="65"/>
        <v>1.5</v>
      </c>
      <c r="T248" s="21">
        <f t="shared" si="66"/>
        <v>1.5</v>
      </c>
      <c r="U248" s="21">
        <f t="shared" si="66"/>
        <v>1.5</v>
      </c>
      <c r="V248" s="21">
        <f t="shared" si="66"/>
        <v>1.5</v>
      </c>
      <c r="W248" s="21">
        <f t="shared" si="66"/>
        <v>1.5</v>
      </c>
      <c r="X248" s="21">
        <f t="shared" si="66"/>
        <v>1.5</v>
      </c>
      <c r="Y248" s="21">
        <f t="shared" si="66"/>
        <v>1.5</v>
      </c>
      <c r="Z248" s="21">
        <f t="shared" si="66"/>
        <v>1.5</v>
      </c>
      <c r="AA248" s="21">
        <f t="shared" si="66"/>
        <v>1.5</v>
      </c>
      <c r="AB248" s="21">
        <f t="shared" si="66"/>
        <v>1.5</v>
      </c>
      <c r="AC248" s="21">
        <f t="shared" si="66"/>
        <v>1.5</v>
      </c>
      <c r="AD248" s="21">
        <f t="shared" si="66"/>
        <v>1.5</v>
      </c>
      <c r="AE248" s="21">
        <f t="shared" si="66"/>
        <v>1.5</v>
      </c>
      <c r="AF248" s="21">
        <f t="shared" si="66"/>
        <v>1.5</v>
      </c>
      <c r="AG248" s="20">
        <v>1.5</v>
      </c>
      <c r="AH248" s="12"/>
      <c r="AI248" s="11"/>
      <c r="AK248" s="19"/>
    </row>
    <row r="249" spans="1:37" x14ac:dyDescent="0.25">
      <c r="A249" s="22" t="s">
        <v>13</v>
      </c>
      <c r="B249" s="21">
        <f t="shared" si="64"/>
        <v>0.3</v>
      </c>
      <c r="C249" s="21">
        <v>0.3</v>
      </c>
      <c r="D249" s="21">
        <f t="shared" si="65"/>
        <v>0.3</v>
      </c>
      <c r="E249" s="21">
        <f t="shared" si="65"/>
        <v>0.3</v>
      </c>
      <c r="F249" s="21">
        <f t="shared" si="65"/>
        <v>0.3</v>
      </c>
      <c r="G249" s="21">
        <f t="shared" si="65"/>
        <v>0.3</v>
      </c>
      <c r="H249" s="21">
        <f t="shared" si="65"/>
        <v>0.3</v>
      </c>
      <c r="I249" s="21">
        <f t="shared" si="65"/>
        <v>0.3</v>
      </c>
      <c r="J249" s="21">
        <f t="shared" si="65"/>
        <v>0.3</v>
      </c>
      <c r="K249" s="21">
        <f t="shared" si="65"/>
        <v>0.3</v>
      </c>
      <c r="L249" s="21">
        <f t="shared" si="65"/>
        <v>0.3</v>
      </c>
      <c r="M249" s="21">
        <f t="shared" si="65"/>
        <v>0.3</v>
      </c>
      <c r="N249" s="21">
        <f t="shared" si="65"/>
        <v>0.3</v>
      </c>
      <c r="O249" s="21">
        <f t="shared" si="65"/>
        <v>0.3</v>
      </c>
      <c r="P249" s="21">
        <f t="shared" si="65"/>
        <v>0.3</v>
      </c>
      <c r="Q249" s="21">
        <f t="shared" si="65"/>
        <v>0.3</v>
      </c>
      <c r="R249" s="21">
        <f t="shared" si="65"/>
        <v>0.3</v>
      </c>
      <c r="S249" s="21">
        <f t="shared" si="65"/>
        <v>0.3</v>
      </c>
      <c r="T249" s="21">
        <f t="shared" si="66"/>
        <v>0.3</v>
      </c>
      <c r="U249" s="21">
        <f t="shared" si="66"/>
        <v>0.3</v>
      </c>
      <c r="V249" s="21">
        <f t="shared" si="66"/>
        <v>0.3</v>
      </c>
      <c r="W249" s="21">
        <f t="shared" si="66"/>
        <v>0.3</v>
      </c>
      <c r="X249" s="21">
        <f t="shared" si="66"/>
        <v>0.3</v>
      </c>
      <c r="Y249" s="21">
        <f t="shared" si="66"/>
        <v>0.3</v>
      </c>
      <c r="Z249" s="21">
        <f t="shared" si="66"/>
        <v>0.3</v>
      </c>
      <c r="AA249" s="21">
        <f t="shared" si="66"/>
        <v>0.3</v>
      </c>
      <c r="AB249" s="21">
        <f t="shared" si="66"/>
        <v>0.3</v>
      </c>
      <c r="AC249" s="21">
        <f t="shared" si="66"/>
        <v>0.3</v>
      </c>
      <c r="AD249" s="21">
        <f t="shared" si="66"/>
        <v>0.3</v>
      </c>
      <c r="AE249" s="21">
        <f t="shared" si="66"/>
        <v>0.3</v>
      </c>
      <c r="AF249" s="21">
        <f t="shared" si="66"/>
        <v>0.3</v>
      </c>
      <c r="AG249" s="20">
        <v>1</v>
      </c>
      <c r="AH249" s="12"/>
      <c r="AI249" s="11"/>
      <c r="AK249" s="19"/>
    </row>
    <row r="250" spans="1:37" x14ac:dyDescent="0.25">
      <c r="A250" s="22" t="s">
        <v>12</v>
      </c>
      <c r="B250" s="21">
        <f t="shared" si="64"/>
        <v>0.4</v>
      </c>
      <c r="C250" s="21">
        <v>0.4</v>
      </c>
      <c r="D250" s="21">
        <f t="shared" si="65"/>
        <v>0.4</v>
      </c>
      <c r="E250" s="21">
        <f t="shared" si="65"/>
        <v>0.4</v>
      </c>
      <c r="F250" s="21">
        <f t="shared" si="65"/>
        <v>0.4</v>
      </c>
      <c r="G250" s="21">
        <f t="shared" si="65"/>
        <v>0.4</v>
      </c>
      <c r="H250" s="21">
        <f t="shared" si="65"/>
        <v>0.4</v>
      </c>
      <c r="I250" s="21">
        <f t="shared" si="65"/>
        <v>0.4</v>
      </c>
      <c r="J250" s="21">
        <f t="shared" si="65"/>
        <v>0.4</v>
      </c>
      <c r="K250" s="21">
        <f t="shared" si="65"/>
        <v>0.4</v>
      </c>
      <c r="L250" s="21">
        <f t="shared" si="65"/>
        <v>0.4</v>
      </c>
      <c r="M250" s="21">
        <f t="shared" si="65"/>
        <v>0.4</v>
      </c>
      <c r="N250" s="21">
        <f t="shared" si="65"/>
        <v>0.4</v>
      </c>
      <c r="O250" s="21">
        <f t="shared" si="65"/>
        <v>0.4</v>
      </c>
      <c r="P250" s="21">
        <f t="shared" si="65"/>
        <v>0.4</v>
      </c>
      <c r="Q250" s="21">
        <f t="shared" si="65"/>
        <v>0.4</v>
      </c>
      <c r="R250" s="21">
        <f t="shared" si="65"/>
        <v>0.4</v>
      </c>
      <c r="S250" s="21">
        <f t="shared" si="65"/>
        <v>0.4</v>
      </c>
      <c r="T250" s="21">
        <f t="shared" si="66"/>
        <v>0.4</v>
      </c>
      <c r="U250" s="21">
        <f t="shared" si="66"/>
        <v>0.4</v>
      </c>
      <c r="V250" s="21">
        <f t="shared" si="66"/>
        <v>0.4</v>
      </c>
      <c r="W250" s="21">
        <f t="shared" si="66"/>
        <v>0.4</v>
      </c>
      <c r="X250" s="21">
        <f t="shared" si="66"/>
        <v>0.4</v>
      </c>
      <c r="Y250" s="21">
        <f t="shared" si="66"/>
        <v>0.4</v>
      </c>
      <c r="Z250" s="21">
        <f t="shared" si="66"/>
        <v>0.4</v>
      </c>
      <c r="AA250" s="21">
        <f t="shared" si="66"/>
        <v>0.4</v>
      </c>
      <c r="AB250" s="21">
        <f t="shared" si="66"/>
        <v>0.4</v>
      </c>
      <c r="AC250" s="21">
        <f t="shared" si="66"/>
        <v>0.4</v>
      </c>
      <c r="AD250" s="21">
        <f t="shared" si="66"/>
        <v>0.4</v>
      </c>
      <c r="AE250" s="21">
        <f t="shared" si="66"/>
        <v>0.4</v>
      </c>
      <c r="AF250" s="21">
        <f t="shared" si="66"/>
        <v>0.4</v>
      </c>
      <c r="AG250" s="20">
        <v>1</v>
      </c>
      <c r="AH250" s="12"/>
      <c r="AI250" s="11"/>
      <c r="AK250" s="19"/>
    </row>
    <row r="251" spans="1:37" ht="15.75" thickBot="1" x14ac:dyDescent="0.3">
      <c r="A251" s="18" t="s">
        <v>11</v>
      </c>
      <c r="B251" s="17">
        <f t="shared" si="64"/>
        <v>0.64</v>
      </c>
      <c r="C251" s="17">
        <v>0.64</v>
      </c>
      <c r="D251" s="17">
        <f t="shared" si="65"/>
        <v>0.64</v>
      </c>
      <c r="E251" s="17">
        <f t="shared" si="65"/>
        <v>0.64</v>
      </c>
      <c r="F251" s="17">
        <f t="shared" si="65"/>
        <v>0.64</v>
      </c>
      <c r="G251" s="17">
        <f t="shared" si="65"/>
        <v>0.64</v>
      </c>
      <c r="H251" s="17">
        <f t="shared" si="65"/>
        <v>0.64</v>
      </c>
      <c r="I251" s="17">
        <f t="shared" si="65"/>
        <v>0.64</v>
      </c>
      <c r="J251" s="17">
        <f t="shared" si="65"/>
        <v>0.64</v>
      </c>
      <c r="K251" s="17">
        <f t="shared" si="65"/>
        <v>0.64</v>
      </c>
      <c r="L251" s="17">
        <f t="shared" si="65"/>
        <v>0.64</v>
      </c>
      <c r="M251" s="17">
        <f t="shared" si="65"/>
        <v>0.64</v>
      </c>
      <c r="N251" s="17">
        <f t="shared" si="65"/>
        <v>0.64</v>
      </c>
      <c r="O251" s="17">
        <f t="shared" si="65"/>
        <v>0.64</v>
      </c>
      <c r="P251" s="17">
        <f t="shared" si="65"/>
        <v>0.64</v>
      </c>
      <c r="Q251" s="17">
        <f t="shared" si="65"/>
        <v>0.64</v>
      </c>
      <c r="R251" s="17">
        <f t="shared" si="65"/>
        <v>0.64</v>
      </c>
      <c r="S251" s="17">
        <f t="shared" si="65"/>
        <v>0.64</v>
      </c>
      <c r="T251" s="17">
        <f t="shared" si="66"/>
        <v>0.64</v>
      </c>
      <c r="U251" s="17">
        <f t="shared" si="66"/>
        <v>0.64</v>
      </c>
      <c r="V251" s="17">
        <f t="shared" si="66"/>
        <v>0.64</v>
      </c>
      <c r="W251" s="17">
        <f t="shared" si="66"/>
        <v>0.64</v>
      </c>
      <c r="X251" s="17">
        <f t="shared" si="66"/>
        <v>0.64</v>
      </c>
      <c r="Y251" s="17">
        <f t="shared" si="66"/>
        <v>0.64</v>
      </c>
      <c r="Z251" s="17">
        <f t="shared" si="66"/>
        <v>0.64</v>
      </c>
      <c r="AA251" s="17">
        <f t="shared" si="66"/>
        <v>0.64</v>
      </c>
      <c r="AB251" s="17">
        <f t="shared" si="66"/>
        <v>0.64</v>
      </c>
      <c r="AC251" s="17">
        <f t="shared" si="66"/>
        <v>0.64</v>
      </c>
      <c r="AD251" s="17">
        <f t="shared" si="66"/>
        <v>0.64</v>
      </c>
      <c r="AE251" s="17">
        <f t="shared" si="66"/>
        <v>0.64</v>
      </c>
      <c r="AF251" s="17">
        <f t="shared" si="66"/>
        <v>0.64</v>
      </c>
      <c r="AG251" s="16">
        <v>0.66</v>
      </c>
      <c r="AH251" s="12"/>
      <c r="AI251" s="11"/>
    </row>
    <row r="252" spans="1:37" ht="15.75" thickBot="1" x14ac:dyDescent="0.3">
      <c r="A252" s="15" t="s">
        <v>10</v>
      </c>
      <c r="B252" s="14">
        <f t="shared" ref="B252:AG252" si="67">SUM(B246:B251)</f>
        <v>3.54</v>
      </c>
      <c r="C252" s="14">
        <f t="shared" si="67"/>
        <v>3.54</v>
      </c>
      <c r="D252" s="14">
        <f t="shared" si="67"/>
        <v>3.54</v>
      </c>
      <c r="E252" s="14">
        <f t="shared" si="67"/>
        <v>3.54</v>
      </c>
      <c r="F252" s="14">
        <f t="shared" si="67"/>
        <v>3.54</v>
      </c>
      <c r="G252" s="14">
        <f t="shared" si="67"/>
        <v>3.54</v>
      </c>
      <c r="H252" s="14">
        <f t="shared" si="67"/>
        <v>3.54</v>
      </c>
      <c r="I252" s="14">
        <f t="shared" si="67"/>
        <v>3.54</v>
      </c>
      <c r="J252" s="14">
        <f t="shared" si="67"/>
        <v>3.54</v>
      </c>
      <c r="K252" s="14">
        <f t="shared" si="67"/>
        <v>3.54</v>
      </c>
      <c r="L252" s="14">
        <f t="shared" si="67"/>
        <v>3.54</v>
      </c>
      <c r="M252" s="14">
        <f t="shared" si="67"/>
        <v>3.54</v>
      </c>
      <c r="N252" s="14">
        <f t="shared" si="67"/>
        <v>3.54</v>
      </c>
      <c r="O252" s="14">
        <f t="shared" si="67"/>
        <v>3.54</v>
      </c>
      <c r="P252" s="14">
        <f t="shared" si="67"/>
        <v>3.54</v>
      </c>
      <c r="Q252" s="14">
        <f t="shared" si="67"/>
        <v>3.54</v>
      </c>
      <c r="R252" s="14">
        <f t="shared" si="67"/>
        <v>3.54</v>
      </c>
      <c r="S252" s="14">
        <f t="shared" si="67"/>
        <v>3.54</v>
      </c>
      <c r="T252" s="14">
        <f t="shared" si="67"/>
        <v>3.54</v>
      </c>
      <c r="U252" s="14">
        <f t="shared" si="67"/>
        <v>3.54</v>
      </c>
      <c r="V252" s="14">
        <f t="shared" si="67"/>
        <v>3.54</v>
      </c>
      <c r="W252" s="14">
        <f t="shared" si="67"/>
        <v>3.54</v>
      </c>
      <c r="X252" s="14">
        <f t="shared" si="67"/>
        <v>3.54</v>
      </c>
      <c r="Y252" s="14">
        <f t="shared" si="67"/>
        <v>3.54</v>
      </c>
      <c r="Z252" s="14">
        <f t="shared" si="67"/>
        <v>3.54</v>
      </c>
      <c r="AA252" s="14">
        <f t="shared" si="67"/>
        <v>3.54</v>
      </c>
      <c r="AB252" s="14">
        <f t="shared" si="67"/>
        <v>3.54</v>
      </c>
      <c r="AC252" s="14">
        <f t="shared" si="67"/>
        <v>3.54</v>
      </c>
      <c r="AD252" s="14">
        <f t="shared" si="67"/>
        <v>3.54</v>
      </c>
      <c r="AE252" s="14">
        <f t="shared" si="67"/>
        <v>3.54</v>
      </c>
      <c r="AF252" s="14">
        <f t="shared" si="67"/>
        <v>3.54</v>
      </c>
      <c r="AG252" s="13">
        <f t="shared" si="67"/>
        <v>8.56</v>
      </c>
      <c r="AH252" s="12"/>
      <c r="AI252" s="11"/>
    </row>
    <row r="253" spans="1:37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25">
      <c r="A256" s="9" t="s">
        <v>9</v>
      </c>
      <c r="B256" s="8">
        <f>MAX(G99:N99)</f>
        <v>1669.44</v>
      </c>
      <c r="C256" s="7">
        <f>INDEX(G9:N9,1,MATCH(MAX(G99:N99),G99:N99,0))</f>
        <v>0.33333333333333331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25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2080/10/0)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25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25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25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25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25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25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25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25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25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25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25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25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25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25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4404" priority="89">
      <formula>$AH11=0</formula>
    </cfRule>
  </conditionalFormatting>
  <conditionalFormatting sqref="A132:A253">
    <cfRule type="expression" dxfId="4403" priority="90">
      <formula>$AH132=0</formula>
    </cfRule>
  </conditionalFormatting>
  <conditionalFormatting sqref="B8">
    <cfRule type="expression" dxfId="4402" priority="146">
      <formula>C$9&lt;8/24</formula>
    </cfRule>
    <cfRule type="expression" dxfId="4401" priority="147">
      <formula>C$9&gt;=20/24</formula>
    </cfRule>
    <cfRule type="expression" dxfId="4400" priority="145">
      <formula>AND(C$9&gt;=8/24,C$9&lt;14/24)</formula>
    </cfRule>
    <cfRule type="expression" dxfId="4399" priority="144">
      <formula>AND(C$9&gt;=14/24,C$9&lt;20/24)</formula>
    </cfRule>
  </conditionalFormatting>
  <conditionalFormatting sqref="B11:L52 M12:Y52 E59:H61 B59:D68 E63:G68 H67:I74 B69:G74 J69:AF74 B77:AF99 B9:AF10 B101:AF117 B119:AF137 B244:AF244 B246:B252">
    <cfRule type="expression" dxfId="4398" priority="41">
      <formula>B$9&gt;=20/24</formula>
    </cfRule>
  </conditionalFormatting>
  <conditionalFormatting sqref="B53:Y57">
    <cfRule type="expression" dxfId="4397" priority="53">
      <formula>B$9&lt;8/24</formula>
    </cfRule>
  </conditionalFormatting>
  <conditionalFormatting sqref="B9:AF10 B11:L52 M12:Y52 E59:H61 B59:D68 E63:G68 H67:I74 B69:G74 J69:AF74 B77:AF99 B101:AF117 B119:AF137 B244:AF244 B246:B252">
    <cfRule type="expression" dxfId="4396" priority="44">
      <formula>B$9&lt;8/24</formula>
    </cfRule>
    <cfRule type="expression" dxfId="4395" priority="43">
      <formula>AND(B$9&gt;=8/24,B$9&lt;14/24)</formula>
    </cfRule>
    <cfRule type="expression" dxfId="4394" priority="42">
      <formula>AND(B$9&gt;=14/24,B$9&lt;20/24)</formula>
    </cfRule>
  </conditionalFormatting>
  <conditionalFormatting sqref="D246:AF252">
    <cfRule type="expression" dxfId="4393" priority="132">
      <formula>D$9&lt;8/24</formula>
    </cfRule>
    <cfRule type="expression" dxfId="4392" priority="129">
      <formula>D$9&gt;=20/24</formula>
    </cfRule>
    <cfRule type="expression" dxfId="4391" priority="131">
      <formula>AND(D$9&gt;=8/24,D$9&lt;14/24)</formula>
    </cfRule>
    <cfRule type="expression" dxfId="4390" priority="130">
      <formula>AND(D$9&gt;=14/24,D$9&lt;20/24)</formula>
    </cfRule>
  </conditionalFormatting>
  <conditionalFormatting sqref="E63:I67 J64:J67 K67">
    <cfRule type="expression" dxfId="4389" priority="57">
      <formula>E$9&lt;8/24</formula>
    </cfRule>
    <cfRule type="expression" dxfId="4388" priority="56">
      <formula>AND(E$9&gt;=8/24,E$9&lt;14/24)</formula>
    </cfRule>
    <cfRule type="expression" dxfId="4387" priority="55">
      <formula>AND(E$9&gt;=14/24,E$9&lt;20/24)</formula>
    </cfRule>
    <cfRule type="expression" dxfId="4386" priority="54">
      <formula>E$9&gt;=20/24</formula>
    </cfRule>
  </conditionalFormatting>
  <conditionalFormatting sqref="E68:K68">
    <cfRule type="expression" dxfId="4385" priority="50">
      <formula>AND(E$9&gt;=14/24,E$9&lt;20/24)</formula>
    </cfRule>
    <cfRule type="expression" dxfId="4384" priority="49">
      <formula>E$9&gt;=20/24</formula>
    </cfRule>
    <cfRule type="expression" dxfId="4383" priority="52">
      <formula>E$9&lt;8/24</formula>
    </cfRule>
    <cfRule type="expression" dxfId="4382" priority="51">
      <formula>AND(E$9&gt;=8/24,E$9&lt;14/24)</formula>
    </cfRule>
  </conditionalFormatting>
  <conditionalFormatting sqref="E11:L57 B11:D61 M12:Y56 M57:U57 V57:Y80 E58:U61 AB58:AF61 Z58:AA80 AB62:AG62 B62:U80 AB63:AF80 AG80">
    <cfRule type="expression" dxfId="4381" priority="40">
      <formula>B11&gt;$AG11</formula>
    </cfRule>
  </conditionalFormatting>
  <conditionalFormatting sqref="E11:Y11 Z11:AF52">
    <cfRule type="expression" dxfId="4380" priority="58">
      <formula>E11&gt;$AG11</formula>
    </cfRule>
    <cfRule type="expression" dxfId="4379" priority="60">
      <formula>AND(E$9&gt;=14/24,E$9&lt;20/24)</formula>
    </cfRule>
    <cfRule type="expression" dxfId="4378" priority="61">
      <formula>AND(E$9&gt;=8/24,E$9&lt;14/24)</formula>
    </cfRule>
    <cfRule type="expression" dxfId="4377" priority="62">
      <formula>E$9&lt;8/24</formula>
    </cfRule>
    <cfRule type="expression" dxfId="4376" priority="59">
      <formula>E$9&gt;=20/24</formula>
    </cfRule>
  </conditionalFormatting>
  <conditionalFormatting sqref="E59:AF62">
    <cfRule type="expression" dxfId="4375" priority="68">
      <formula>AND(E$9&gt;=14/24,E$9&lt;20/24)</formula>
    </cfRule>
    <cfRule type="expression" dxfId="4374" priority="69">
      <formula>AND(E$9&gt;=8/24,E$9&lt;14/24)</formula>
    </cfRule>
    <cfRule type="expression" dxfId="4373" priority="70">
      <formula>E$9&lt;8/24</formula>
    </cfRule>
    <cfRule type="expression" dxfId="4372" priority="67">
      <formula>E$9&gt;=20/24</formula>
    </cfRule>
  </conditionalFormatting>
  <conditionalFormatting sqref="F63:L65">
    <cfRule type="expression" dxfId="4371" priority="82">
      <formula>AND(F$9&gt;=14/24,F$9&lt;20/24)</formula>
    </cfRule>
    <cfRule type="expression" dxfId="4370" priority="84">
      <formula>F$9&lt;8/24</formula>
    </cfRule>
    <cfRule type="expression" dxfId="4369" priority="83">
      <formula>AND(F$9&gt;=8/24,F$9&lt;14/24)</formula>
    </cfRule>
    <cfRule type="expression" dxfId="4368" priority="81">
      <formula>F$9&gt;=20/24</formula>
    </cfRule>
  </conditionalFormatting>
  <conditionalFormatting sqref="L68:Y68">
    <cfRule type="expression" dxfId="4367" priority="80">
      <formula>L$9&lt;8/24</formula>
    </cfRule>
    <cfRule type="expression" dxfId="4366" priority="79">
      <formula>AND(L$9&gt;=8/24,L$9&lt;14/24)</formula>
    </cfRule>
    <cfRule type="expression" dxfId="4365" priority="78">
      <formula>AND(L$9&gt;=14/24,L$9&lt;20/24)</formula>
    </cfRule>
    <cfRule type="expression" dxfId="4364" priority="77">
      <formula>L$9&gt;=20/24</formula>
    </cfRule>
  </conditionalFormatting>
  <conditionalFormatting sqref="M8 S8 AB8">
    <cfRule type="expression" dxfId="4363" priority="136">
      <formula>AND(N$9&gt;=14/24,N$9&lt;20/24)</formula>
    </cfRule>
    <cfRule type="expression" dxfId="4362" priority="138">
      <formula>N$9&lt;8/24</formula>
    </cfRule>
    <cfRule type="expression" dxfId="4361" priority="137">
      <formula>AND(N$9&gt;=8/24,N$9&lt;14/24)</formula>
    </cfRule>
  </conditionalFormatting>
  <conditionalFormatting sqref="M56:Y57">
    <cfRule type="expression" dxfId="4360" priority="46">
      <formula>M$9&gt;=20/24</formula>
    </cfRule>
    <cfRule type="expression" dxfId="4359" priority="47">
      <formula>AND(M$9&gt;=14/24,M$9&lt;20/24)</formula>
    </cfRule>
    <cfRule type="expression" dxfId="4358" priority="48">
      <formula>AND(M$9&gt;=8/24,M$9&lt;14/24)</formula>
    </cfRule>
  </conditionalFormatting>
  <conditionalFormatting sqref="M63:Y67">
    <cfRule type="expression" dxfId="4357" priority="88">
      <formula>M$9&lt;8/24</formula>
    </cfRule>
    <cfRule type="expression" dxfId="4356" priority="85">
      <formula>M$9&gt;=20/24</formula>
    </cfRule>
    <cfRule type="expression" dxfId="4355" priority="86">
      <formula>AND(M$9&gt;=14/24,M$9&lt;20/24)</formula>
    </cfRule>
    <cfRule type="expression" dxfId="4354" priority="87">
      <formula>AND(M$9&gt;=8/24,M$9&lt;14/24)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4353" priority="135">
      <formula>N$9&gt;=20/24</formula>
    </cfRule>
  </conditionalFormatting>
  <conditionalFormatting sqref="S8">
    <cfRule type="expression" dxfId="4352" priority="123">
      <formula>AND(U$9&gt;=14/24,U$9&lt;20/24)</formula>
    </cfRule>
    <cfRule type="expression" dxfId="4351" priority="124">
      <formula>AND(U$9&gt;=8/24,U$9&lt;14/24)</formula>
    </cfRule>
    <cfRule type="expression" dxfId="4350" priority="125">
      <formula>U$9&lt;8/24</formula>
    </cfRule>
    <cfRule type="expression" dxfId="4349" priority="122">
      <formula>U$9&gt;=20/24</formula>
    </cfRule>
  </conditionalFormatting>
  <conditionalFormatting sqref="T63:AF68">
    <cfRule type="expression" dxfId="4348" priority="72">
      <formula>AND(T$9&gt;=14/24,T$9&lt;20/24)</formula>
    </cfRule>
    <cfRule type="expression" dxfId="4347" priority="74">
      <formula>T$9&lt;8/24</formula>
    </cfRule>
    <cfRule type="expression" dxfId="4346" priority="73">
      <formula>AND(T$9&gt;=8/24,T$9&lt;14/24)</formula>
    </cfRule>
    <cfRule type="expression" dxfId="4345" priority="71">
      <formula>T$9&gt;=20/24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Z53:AF54 M53:Y55 B53:L57">
    <cfRule type="expression" dxfId="4344" priority="37">
      <formula>B$9&gt;=20/24</formula>
    </cfRule>
    <cfRule type="expression" dxfId="4343" priority="38">
      <formula>AND(B$9&gt;=14/24,B$9&lt;20/24)</formula>
    </cfRule>
    <cfRule type="expression" dxfId="4342" priority="39">
      <formula>AND(B$9&gt;=8/24,B$9&lt;14/24)</formula>
    </cfRule>
  </conditionalFormatting>
  <conditionalFormatting sqref="Z53:AF55">
    <cfRule type="expression" dxfId="4341" priority="76">
      <formula>Z53&gt;$AG53</formula>
    </cfRule>
  </conditionalFormatting>
  <conditionalFormatting sqref="Z53:AF57">
    <cfRule type="expression" dxfId="4340" priority="75">
      <formula>Z$9&lt;8/24</formula>
    </cfRule>
  </conditionalFormatting>
  <conditionalFormatting sqref="Z55:AF57">
    <cfRule type="expression" dxfId="4339" priority="64">
      <formula>Z$9&gt;=20/24</formula>
    </cfRule>
    <cfRule type="expression" dxfId="4338" priority="66">
      <formula>AND(Z$9&gt;=8/24,Z$9&lt;14/24)</formula>
    </cfRule>
    <cfRule type="expression" dxfId="4337" priority="65">
      <formula>AND(Z$9&gt;=14/24,Z$9&lt;20/24)</formula>
    </cfRule>
  </conditionalFormatting>
  <conditionalFormatting sqref="Z56:AF57">
    <cfRule type="expression" dxfId="4336" priority="63">
      <formula>Z56&gt;$AG56</formula>
    </cfRule>
  </conditionalFormatting>
  <conditionalFormatting sqref="AB8">
    <cfRule type="expression" dxfId="4335" priority="118">
      <formula>AD$9&gt;=20/24</formula>
    </cfRule>
    <cfRule type="expression" dxfId="4334" priority="120">
      <formula>AND(AD$9&gt;=8/24,AD$9&lt;14/24)</formula>
    </cfRule>
    <cfRule type="expression" dxfId="4333" priority="119">
      <formula>AND(AD$9&gt;=14/24,AD$9&lt;20/24)</formula>
    </cfRule>
    <cfRule type="expression" dxfId="4332" priority="121">
      <formula>AD$9&lt;8/24</formula>
    </cfRule>
  </conditionalFormatting>
  <conditionalFormatting sqref="AG58">
    <cfRule type="expression" dxfId="4331" priority="113">
      <formula>AG58&gt;$AG58</formula>
    </cfRule>
  </conditionalFormatting>
  <conditionalFormatting sqref="AG62">
    <cfRule type="expression" dxfId="4330" priority="98">
      <formula>AND(AG$9&gt;=8/24,AG$9&lt;14/24)</formula>
    </cfRule>
    <cfRule type="expression" dxfId="4329" priority="99">
      <formula>AG$9&lt;8/24</formula>
    </cfRule>
    <cfRule type="expression" dxfId="4328" priority="97">
      <formula>AND(AG$9&gt;=14/24,AG$9&lt;20/24)</formula>
    </cfRule>
    <cfRule type="expression" dxfId="4327" priority="96">
      <formula>AG$9&gt;=20/24</formula>
    </cfRule>
  </conditionalFormatting>
  <conditionalFormatting sqref="AG75:AG76">
    <cfRule type="expression" dxfId="4326" priority="91">
      <formula>AG75&gt;$AG75</formula>
    </cfRule>
  </conditionalFormatting>
  <conditionalFormatting sqref="AG80">
    <cfRule type="expression" dxfId="4325" priority="95">
      <formula>AG$9&lt;8/24</formula>
    </cfRule>
    <cfRule type="expression" dxfId="4324" priority="93">
      <formula>AND(AG$9&gt;=14/24,AG$9&lt;20/24)</formula>
    </cfRule>
    <cfRule type="expression" dxfId="4323" priority="92">
      <formula>AG$9&gt;=20/24</formula>
    </cfRule>
    <cfRule type="expression" dxfId="4322" priority="94">
      <formula>AND(AG$9&gt;=8/24,AG$9&lt;14/24)</formula>
    </cfRule>
  </conditionalFormatting>
  <conditionalFormatting sqref="AG97">
    <cfRule type="expression" dxfId="4321" priority="117">
      <formula>AG$9&lt;8/24</formula>
    </cfRule>
    <cfRule type="expression" dxfId="4320" priority="116">
      <formula>AND(AG$9&gt;=8/24,AG$9&lt;14/24)</formula>
    </cfRule>
    <cfRule type="expression" dxfId="4319" priority="115">
      <formula>AND(AG$9&gt;=14/24,AG$9&lt;20/24)</formula>
    </cfRule>
    <cfRule type="expression" dxfId="4318" priority="114">
      <formula>AG$9&gt;=20/24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4317" priority="139">
      <formula>AJ$9&gt;=20/24</formula>
    </cfRule>
    <cfRule type="expression" dxfId="4316" priority="140">
      <formula>AND(AJ$9&gt;=14/24,AJ$9&lt;20/24)</formula>
    </cfRule>
    <cfRule type="expression" dxfId="4315" priority="141">
      <formula>AND(AJ$9&gt;=8/24,AJ$9&lt;14/24)</formula>
    </cfRule>
    <cfRule type="expression" dxfId="4314" priority="142">
      <formula>AJ$9&lt;8/24</formula>
    </cfRule>
  </conditionalFormatting>
  <conditionalFormatting sqref="AL88:AN88 AL94:AN94">
    <cfRule type="expression" dxfId="4313" priority="107">
      <formula>AND(AL$9&gt;=14/24,AL$9&lt;20/24)</formula>
    </cfRule>
    <cfRule type="expression" dxfId="4312" priority="108">
      <formula>AND(AL$9&gt;=8/24,AL$9&lt;14/24)</formula>
    </cfRule>
    <cfRule type="expression" dxfId="4311" priority="109">
      <formula>AL$9&lt;8/24</formula>
    </cfRule>
    <cfRule type="expression" dxfId="4310" priority="106">
      <formula>AL$9&gt;=20/24</formula>
    </cfRule>
  </conditionalFormatting>
  <conditionalFormatting sqref="AM15:AM21 AN16:AR21">
    <cfRule type="expression" dxfId="4309" priority="15">
      <formula>AND(AX$9&gt;=8/24,AX$9&lt;14/24)</formula>
    </cfRule>
    <cfRule type="expression" dxfId="4308" priority="14">
      <formula>AND(AX$9&gt;=14/24,AX$9&lt;20/24)</formula>
    </cfRule>
    <cfRule type="expression" dxfId="4307" priority="13">
      <formula>AX$9&gt;=20/24</formula>
    </cfRule>
    <cfRule type="expression" dxfId="4306" priority="16">
      <formula>AX$9&lt;8/24</formula>
    </cfRule>
  </conditionalFormatting>
  <conditionalFormatting sqref="AN89:AN92">
    <cfRule type="expression" dxfId="4305" priority="104">
      <formula>AND(AN$9&gt;=8/24,AN$9&lt;14/24)</formula>
    </cfRule>
    <cfRule type="expression" dxfId="4304" priority="102">
      <formula>AN$9&gt;=20/24</formula>
    </cfRule>
    <cfRule type="expression" dxfId="4303" priority="103">
      <formula>AND(AN$9&gt;=14/24,AN$9&lt;20/24)</formula>
    </cfRule>
    <cfRule type="expression" dxfId="4302" priority="105">
      <formula>AN$9&lt;8/24</formula>
    </cfRule>
  </conditionalFormatting>
  <conditionalFormatting sqref="AN15:AR15">
    <cfRule type="expression" dxfId="4301" priority="3">
      <formula>AND(U$9&gt;=8/24,U$9&lt;14/24)</formula>
    </cfRule>
    <cfRule type="expression" dxfId="4300" priority="4">
      <formula>U$9&lt;8/24</formula>
    </cfRule>
    <cfRule type="expression" dxfId="4299" priority="1">
      <formula>U$9&gt;=20/24</formula>
    </cfRule>
    <cfRule type="expression" dxfId="4298" priority="2">
      <formula>AND(U$9&gt;=14/24,U$9&lt;20/24)</formula>
    </cfRule>
  </conditionalFormatting>
  <conditionalFormatting sqref="AS15">
    <cfRule type="expression" dxfId="4297" priority="11">
      <formula>AND(AA$9&gt;=8/24,AA$9&lt;14/24)</formula>
    </cfRule>
    <cfRule type="expression" dxfId="4296" priority="10">
      <formula>AND(AA$9&gt;=14/24,AA$9&lt;20/24)</formula>
    </cfRule>
    <cfRule type="expression" dxfId="4295" priority="9">
      <formula>AA$9&gt;=20/24</formula>
    </cfRule>
    <cfRule type="expression" dxfId="4294" priority="12">
      <formula>AA$9&lt;8/24</formula>
    </cfRule>
  </conditionalFormatting>
  <conditionalFormatting sqref="AS16:AS21">
    <cfRule type="expression" dxfId="4293" priority="19">
      <formula>AND(BE$9&gt;=8/24,BE$9&lt;14/24)</formula>
    </cfRule>
    <cfRule type="expression" dxfId="4292" priority="20">
      <formula>BE$9&lt;8/24</formula>
    </cfRule>
    <cfRule type="expression" dxfId="4291" priority="18">
      <formula>AND(BE$9&gt;=14/24,BE$9&lt;20/24)</formula>
    </cfRule>
    <cfRule type="expression" dxfId="4290" priority="17">
      <formula>BE$9&gt;=20/24</formula>
    </cfRule>
  </conditionalFormatting>
  <conditionalFormatting sqref="AT15 AX15:BJ15">
    <cfRule type="expression" dxfId="4289" priority="24">
      <formula>AC$9&lt;8/24</formula>
    </cfRule>
    <cfRule type="expression" dxfId="4288" priority="23">
      <formula>AND(AC$9&gt;=8/24,AC$9&lt;14/24)</formula>
    </cfRule>
    <cfRule type="expression" dxfId="4287" priority="22">
      <formula>AND(AC$9&gt;=14/24,AC$9&lt;20/24)</formula>
    </cfRule>
    <cfRule type="expression" dxfId="4286" priority="21">
      <formula>AC$9&gt;=20/24</formula>
    </cfRule>
  </conditionalFormatting>
  <conditionalFormatting sqref="AT16:AT21">
    <cfRule type="expression" dxfId="4285" priority="25">
      <formula>BG$9&gt;=20/24</formula>
    </cfRule>
    <cfRule type="expression" dxfId="4284" priority="27">
      <formula>AND(BG$9&gt;=8/24,BG$9&lt;14/24)</formula>
    </cfRule>
    <cfRule type="expression" dxfId="4283" priority="28">
      <formula>BG$9&lt;8/24</formula>
    </cfRule>
    <cfRule type="expression" dxfId="4282" priority="26">
      <formula>AND(BG$9&gt;=14/24,BG$9&lt;20/24)</formula>
    </cfRule>
  </conditionalFormatting>
  <conditionalFormatting sqref="AU15:AV15">
    <cfRule type="expression" dxfId="4281" priority="29">
      <formula>AE$9&gt;=20/24</formula>
    </cfRule>
    <cfRule type="expression" dxfId="4280" priority="30">
      <formula>AND(AE$9&gt;=14/24,AE$9&lt;20/24)</formula>
    </cfRule>
    <cfRule type="expression" dxfId="4279" priority="31">
      <formula>AND(AE$9&gt;=8/24,AE$9&lt;14/24)</formula>
    </cfRule>
    <cfRule type="expression" dxfId="4278" priority="32">
      <formula>AE$9&lt;8/24</formula>
    </cfRule>
  </conditionalFormatting>
  <conditionalFormatting sqref="AU16:BJ21">
    <cfRule type="expression" dxfId="4277" priority="33">
      <formula>BI$9&gt;=20/24</formula>
    </cfRule>
    <cfRule type="expression" dxfId="4276" priority="34">
      <formula>AND(BI$9&gt;=14/24,BI$9&lt;20/24)</formula>
    </cfRule>
    <cfRule type="expression" dxfId="4275" priority="35">
      <formula>AND(BI$9&gt;=8/24,BI$9&lt;14/24)</formula>
    </cfRule>
    <cfRule type="expression" dxfId="4274" priority="36">
      <formula>BI$9&lt;8/24</formula>
    </cfRule>
  </conditionalFormatting>
  <conditionalFormatting sqref="AW15">
    <cfRule type="expression" dxfId="4273" priority="8">
      <formula>B$9&lt;8/24</formula>
    </cfRule>
    <cfRule type="expression" dxfId="4272" priority="7">
      <formula>AND(B$9&gt;=8/24,B$9&lt;14/24)</formula>
    </cfRule>
    <cfRule type="expression" dxfId="4271" priority="6">
      <formula>AND(B$9&gt;=14/24,B$9&lt;20/24)</formula>
    </cfRule>
    <cfRule type="expression" dxfId="4270" priority="5">
      <formula>B$9&gt;=20/24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7D0E5-51B8-4A4B-9A90-10E6FA66D1F1}">
  <sheetPr codeName="Sheet2"/>
  <dimension ref="A1:CJ294"/>
  <sheetViews>
    <sheetView zoomScale="106" workbookViewId="0">
      <pane xSplit="1" ySplit="10" topLeftCell="B79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B83" sqref="B83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20.25" hidden="1" x14ac:dyDescent="0.2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9.5" hidden="1" thickBot="1" x14ac:dyDescent="0.3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3">
      <c r="A4" s="162" t="s">
        <v>273</v>
      </c>
      <c r="B4" s="205" t="str">
        <f ca="1">"2080/"&amp;"10/"&amp;INT(MID(CELL("filename",D6),FIND("]",CELL("filename",D6))+1,200))</f>
        <v>2080/10/1</v>
      </c>
      <c r="C4" s="205"/>
      <c r="D4" s="205"/>
      <c r="E4" s="206" t="str">
        <f ca="1">"2080/"&amp;"10/"&amp;INT(MID(CELL("filename",G6),FIND("]",CELL("filename",G6))+1,200))</f>
        <v>2080/10/1</v>
      </c>
      <c r="F4" s="206"/>
      <c r="G4" s="206"/>
      <c r="H4" s="206" t="str">
        <f ca="1">TEXT(E4,"dddd")</f>
        <v>Tuesday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3">
      <c r="A5" s="158"/>
      <c r="B5" s="161">
        <f t="shared" ref="B5:AE5" si="0">C92</f>
        <v>216</v>
      </c>
      <c r="C5" s="161">
        <f t="shared" si="0"/>
        <v>216.5</v>
      </c>
      <c r="D5" s="161">
        <f t="shared" si="0"/>
        <v>123.3</v>
      </c>
      <c r="E5" s="161">
        <f t="shared" si="0"/>
        <v>132.9</v>
      </c>
      <c r="F5" s="161">
        <f t="shared" si="0"/>
        <v>137.9</v>
      </c>
      <c r="G5" s="161">
        <f t="shared" si="0"/>
        <v>150</v>
      </c>
      <c r="H5" s="161">
        <f t="shared" si="0"/>
        <v>168.2</v>
      </c>
      <c r="I5" s="161">
        <f t="shared" si="0"/>
        <v>580</v>
      </c>
      <c r="J5" s="161">
        <f t="shared" si="0"/>
        <v>709.4</v>
      </c>
      <c r="K5" s="161">
        <f t="shared" si="0"/>
        <v>759.6</v>
      </c>
      <c r="L5" s="161">
        <f t="shared" si="0"/>
        <v>780.6</v>
      </c>
      <c r="M5" s="161">
        <f t="shared" si="0"/>
        <v>764.59999999999991</v>
      </c>
      <c r="N5" s="161">
        <f t="shared" si="0"/>
        <v>702.8</v>
      </c>
      <c r="O5" s="161">
        <f t="shared" si="0"/>
        <v>761.3</v>
      </c>
      <c r="P5" s="161">
        <f t="shared" si="0"/>
        <v>730.50000000000011</v>
      </c>
      <c r="Q5" s="161">
        <f t="shared" si="0"/>
        <v>699.19999999999993</v>
      </c>
      <c r="R5" s="161">
        <f t="shared" si="0"/>
        <v>768.2</v>
      </c>
      <c r="S5" s="161">
        <f t="shared" si="0"/>
        <v>762.1</v>
      </c>
      <c r="T5" s="161">
        <f t="shared" si="0"/>
        <v>713</v>
      </c>
      <c r="U5" s="161">
        <f t="shared" si="0"/>
        <v>696.80000000000007</v>
      </c>
      <c r="V5" s="161">
        <f t="shared" si="0"/>
        <v>627.30000000000007</v>
      </c>
      <c r="W5" s="161">
        <f t="shared" si="0"/>
        <v>604.1</v>
      </c>
      <c r="X5" s="161">
        <f t="shared" si="0"/>
        <v>65.5</v>
      </c>
      <c r="Y5" s="161">
        <f t="shared" si="0"/>
        <v>55.3</v>
      </c>
      <c r="Z5" s="161">
        <f t="shared" si="0"/>
        <v>87.8</v>
      </c>
      <c r="AA5" s="161">
        <f t="shared" si="0"/>
        <v>147.6</v>
      </c>
      <c r="AB5" s="161">
        <f t="shared" si="0"/>
        <v>143.6</v>
      </c>
      <c r="AC5" s="161">
        <f t="shared" si="0"/>
        <v>186.20000000000002</v>
      </c>
      <c r="AD5" s="161">
        <f t="shared" si="0"/>
        <v>202.89999999999998</v>
      </c>
      <c r="AE5" s="161">
        <f t="shared" si="0"/>
        <v>177.2</v>
      </c>
      <c r="AF5" s="161">
        <f>B92</f>
        <v>232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3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1509MW at 8:00hr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5" thickBot="1" x14ac:dyDescent="0.3">
      <c r="A7" s="151" t="str">
        <f>"Base Load="&amp;ROUND(MIN($B$7:$AF$7),0)</f>
        <v>Base Load=1236</v>
      </c>
      <c r="B7" s="150">
        <f t="shared" ref="B7:AF7" si="1">B100</f>
        <v>1318.34</v>
      </c>
      <c r="C7" s="150">
        <f t="shared" si="1"/>
        <v>1282.3399999999999</v>
      </c>
      <c r="D7" s="150">
        <f t="shared" si="1"/>
        <v>1274.8399999999999</v>
      </c>
      <c r="E7" s="150">
        <f t="shared" si="1"/>
        <v>1241.6399999999999</v>
      </c>
      <c r="F7" s="150">
        <f t="shared" si="1"/>
        <v>1236.2399999999998</v>
      </c>
      <c r="G7" s="150">
        <f t="shared" si="1"/>
        <v>1284.3399999999999</v>
      </c>
      <c r="H7" s="150">
        <f t="shared" si="1"/>
        <v>1343.44</v>
      </c>
      <c r="I7" s="150">
        <f t="shared" si="1"/>
        <v>1404.04</v>
      </c>
      <c r="J7" s="150">
        <f t="shared" si="1"/>
        <v>1413.84</v>
      </c>
      <c r="K7" s="150">
        <f t="shared" si="1"/>
        <v>1437.1399999999999</v>
      </c>
      <c r="L7" s="150">
        <f t="shared" si="1"/>
        <v>1462.94</v>
      </c>
      <c r="M7" s="150">
        <f t="shared" si="1"/>
        <v>1509.44</v>
      </c>
      <c r="N7" s="150">
        <f t="shared" si="1"/>
        <v>1494.2399999999998</v>
      </c>
      <c r="O7" s="150">
        <f t="shared" si="1"/>
        <v>1424.24</v>
      </c>
      <c r="P7" s="150">
        <f t="shared" si="1"/>
        <v>1410.4399999999998</v>
      </c>
      <c r="Q7" s="150">
        <f t="shared" si="1"/>
        <v>1367.7400000000002</v>
      </c>
      <c r="R7" s="150">
        <f t="shared" si="1"/>
        <v>1332.84</v>
      </c>
      <c r="S7" s="150">
        <f t="shared" si="1"/>
        <v>1408.1399999999999</v>
      </c>
      <c r="T7" s="150">
        <f t="shared" si="1"/>
        <v>1400.44</v>
      </c>
      <c r="U7" s="150">
        <f t="shared" si="1"/>
        <v>1347.94</v>
      </c>
      <c r="V7" s="150">
        <f t="shared" si="1"/>
        <v>1356.3400000000001</v>
      </c>
      <c r="W7" s="150">
        <f t="shared" si="1"/>
        <v>1287.3400000000001</v>
      </c>
      <c r="X7" s="150">
        <f t="shared" si="1"/>
        <v>1263.6399999999999</v>
      </c>
      <c r="Y7" s="150">
        <f t="shared" si="1"/>
        <v>1312</v>
      </c>
      <c r="Z7" s="150">
        <f t="shared" si="1"/>
        <v>1430.4999999999998</v>
      </c>
      <c r="AA7" s="150">
        <f t="shared" si="1"/>
        <v>1369.24</v>
      </c>
      <c r="AB7" s="150">
        <f t="shared" si="1"/>
        <v>1573.04</v>
      </c>
      <c r="AC7" s="150">
        <f t="shared" si="1"/>
        <v>1571.04</v>
      </c>
      <c r="AD7" s="150">
        <f t="shared" si="1"/>
        <v>1532.04</v>
      </c>
      <c r="AE7" s="150">
        <f t="shared" si="1"/>
        <v>1449.6399999999999</v>
      </c>
      <c r="AF7" s="150">
        <f t="shared" si="1"/>
        <v>1317.24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7.25" thickTop="1" thickBot="1" x14ac:dyDescent="0.3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1573.04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2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1573.04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.75" thickBot="1" x14ac:dyDescent="0.3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25">
      <c r="A11" s="89" t="s">
        <v>264</v>
      </c>
      <c r="B11" s="102">
        <v>25.2</v>
      </c>
      <c r="C11" s="102">
        <v>25.2</v>
      </c>
      <c r="D11" s="102">
        <v>25.2</v>
      </c>
      <c r="E11" s="102">
        <v>25.2</v>
      </c>
      <c r="F11" s="102">
        <v>25.2</v>
      </c>
      <c r="G11" s="102">
        <v>25.2</v>
      </c>
      <c r="H11" s="102">
        <v>25.2</v>
      </c>
      <c r="I11" s="102">
        <v>25.2</v>
      </c>
      <c r="J11" s="102">
        <v>25.2</v>
      </c>
      <c r="K11" s="102">
        <v>25.2</v>
      </c>
      <c r="L11" s="102">
        <v>25.2</v>
      </c>
      <c r="M11" s="102">
        <v>25.2</v>
      </c>
      <c r="N11" s="102">
        <v>24.3</v>
      </c>
      <c r="O11" s="102">
        <v>23.8</v>
      </c>
      <c r="P11" s="102">
        <v>21.9</v>
      </c>
      <c r="Q11" s="102">
        <v>21.9</v>
      </c>
      <c r="R11" s="102">
        <v>21.9</v>
      </c>
      <c r="S11" s="102">
        <v>21.9</v>
      </c>
      <c r="T11" s="102">
        <v>21.9</v>
      </c>
      <c r="U11" s="102">
        <v>21.9</v>
      </c>
      <c r="V11" s="102">
        <v>21.9</v>
      </c>
      <c r="W11" s="102">
        <v>21.9</v>
      </c>
      <c r="X11" s="102">
        <v>21.9</v>
      </c>
      <c r="Y11" s="102">
        <v>21.9</v>
      </c>
      <c r="Z11" s="102">
        <v>21.9</v>
      </c>
      <c r="AA11" s="102">
        <v>21.9</v>
      </c>
      <c r="AB11" s="102">
        <v>21.9</v>
      </c>
      <c r="AC11" s="102">
        <v>21.9</v>
      </c>
      <c r="AD11" s="102">
        <v>21.9</v>
      </c>
      <c r="AE11" s="102">
        <v>21.9</v>
      </c>
      <c r="AF11" s="102">
        <v>21.9</v>
      </c>
      <c r="AG11" s="140">
        <v>86</v>
      </c>
      <c r="AH11" s="12">
        <f t="shared" ref="AH11:AH16" si="2">MAX(B11:AF11)</f>
        <v>25.2</v>
      </c>
      <c r="AI11" s="11">
        <f t="shared" ref="AI11:AI16" si="3">MIN(B11:AF11)</f>
        <v>21.9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25">
      <c r="A12" s="89" t="s">
        <v>263</v>
      </c>
      <c r="B12" s="102">
        <v>10</v>
      </c>
      <c r="C12" s="102">
        <v>10</v>
      </c>
      <c r="D12" s="102">
        <v>10</v>
      </c>
      <c r="E12" s="102">
        <v>10</v>
      </c>
      <c r="F12" s="102">
        <v>10</v>
      </c>
      <c r="G12" s="102">
        <v>10</v>
      </c>
      <c r="H12" s="102">
        <v>10</v>
      </c>
      <c r="I12" s="102">
        <v>10</v>
      </c>
      <c r="J12" s="102">
        <v>10</v>
      </c>
      <c r="K12" s="102">
        <v>10</v>
      </c>
      <c r="L12" s="102">
        <v>10</v>
      </c>
      <c r="M12" s="102">
        <v>10</v>
      </c>
      <c r="N12" s="102">
        <v>10</v>
      </c>
      <c r="O12" s="102">
        <v>10</v>
      </c>
      <c r="P12" s="102">
        <v>10</v>
      </c>
      <c r="Q12" s="102">
        <v>10</v>
      </c>
      <c r="R12" s="102">
        <v>10</v>
      </c>
      <c r="S12" s="102">
        <v>10</v>
      </c>
      <c r="T12" s="102">
        <v>10</v>
      </c>
      <c r="U12" s="102">
        <v>10</v>
      </c>
      <c r="V12" s="102">
        <v>10</v>
      </c>
      <c r="W12" s="102">
        <v>10</v>
      </c>
      <c r="X12" s="102">
        <v>10</v>
      </c>
      <c r="Y12" s="102">
        <v>10</v>
      </c>
      <c r="Z12" s="102">
        <v>10</v>
      </c>
      <c r="AA12" s="102">
        <v>10</v>
      </c>
      <c r="AB12" s="102">
        <v>10</v>
      </c>
      <c r="AC12" s="102">
        <v>10</v>
      </c>
      <c r="AD12" s="102">
        <v>10</v>
      </c>
      <c r="AE12" s="102">
        <v>10</v>
      </c>
      <c r="AF12" s="102">
        <v>10</v>
      </c>
      <c r="AG12" s="130">
        <v>54</v>
      </c>
      <c r="AH12" s="12">
        <f t="shared" si="2"/>
        <v>10</v>
      </c>
      <c r="AI12" s="11">
        <f t="shared" si="3"/>
        <v>10</v>
      </c>
      <c r="AK12" s="19"/>
      <c r="AL12" s="6" t="str">
        <f ca="1">MID(CELL("filename",C7),FIND("]",CELL("filename",C7))+1,600)</f>
        <v>01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25">
      <c r="A13" s="89" t="s">
        <v>262</v>
      </c>
      <c r="B13" s="102">
        <v>12</v>
      </c>
      <c r="C13" s="102">
        <v>12</v>
      </c>
      <c r="D13" s="102">
        <v>12</v>
      </c>
      <c r="E13" s="102">
        <v>12</v>
      </c>
      <c r="F13" s="102">
        <v>12</v>
      </c>
      <c r="G13" s="102">
        <v>12</v>
      </c>
      <c r="H13" s="102">
        <v>12</v>
      </c>
      <c r="I13" s="102">
        <v>12</v>
      </c>
      <c r="J13" s="102">
        <v>12</v>
      </c>
      <c r="K13" s="102">
        <v>12</v>
      </c>
      <c r="L13" s="102">
        <v>12</v>
      </c>
      <c r="M13" s="102">
        <v>12</v>
      </c>
      <c r="N13" s="102">
        <v>12</v>
      </c>
      <c r="O13" s="102">
        <v>12</v>
      </c>
      <c r="P13" s="102">
        <v>12</v>
      </c>
      <c r="Q13" s="102">
        <v>12</v>
      </c>
      <c r="R13" s="102">
        <v>12</v>
      </c>
      <c r="S13" s="102">
        <v>12</v>
      </c>
      <c r="T13" s="102">
        <v>12</v>
      </c>
      <c r="U13" s="102">
        <v>12</v>
      </c>
      <c r="V13" s="102">
        <v>12</v>
      </c>
      <c r="W13" s="102">
        <v>12</v>
      </c>
      <c r="X13" s="102">
        <v>12</v>
      </c>
      <c r="Y13" s="102">
        <v>12</v>
      </c>
      <c r="Z13" s="102">
        <v>12</v>
      </c>
      <c r="AA13" s="102">
        <v>12</v>
      </c>
      <c r="AB13" s="102">
        <v>12</v>
      </c>
      <c r="AC13" s="102">
        <v>12</v>
      </c>
      <c r="AD13" s="102">
        <v>12</v>
      </c>
      <c r="AE13" s="102">
        <v>12</v>
      </c>
      <c r="AF13" s="102">
        <v>12</v>
      </c>
      <c r="AG13" s="130">
        <v>54</v>
      </c>
      <c r="AH13" s="12">
        <f t="shared" si="2"/>
        <v>12</v>
      </c>
      <c r="AI13" s="11">
        <f t="shared" si="3"/>
        <v>12</v>
      </c>
      <c r="AK13" s="19"/>
      <c r="AL13" s="6" t="str">
        <f ca="1">"Daily Load Curve(Excluding of Export) of Nepal ("&amp;A4&amp;" "&amp;B4&amp;")"</f>
        <v>Daily Load Curve(Excluding of Export) of Nepal (Nepali Date: 2080/10/1)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.75" thickBot="1" x14ac:dyDescent="0.3">
      <c r="A14" s="89" t="s">
        <v>261</v>
      </c>
      <c r="B14" s="102">
        <v>12.2</v>
      </c>
      <c r="C14" s="102">
        <v>12.2</v>
      </c>
      <c r="D14" s="102">
        <v>12.2</v>
      </c>
      <c r="E14" s="102">
        <v>12.2</v>
      </c>
      <c r="F14" s="102">
        <v>12.2</v>
      </c>
      <c r="G14" s="102">
        <v>12.2</v>
      </c>
      <c r="H14" s="102">
        <v>12.2</v>
      </c>
      <c r="I14" s="102">
        <v>12.2</v>
      </c>
      <c r="J14" s="102">
        <v>12.2</v>
      </c>
      <c r="K14" s="102">
        <v>12.2</v>
      </c>
      <c r="L14" s="102">
        <v>12.2</v>
      </c>
      <c r="M14" s="102">
        <v>12.2</v>
      </c>
      <c r="N14" s="102">
        <v>12.2</v>
      </c>
      <c r="O14" s="102">
        <v>12.2</v>
      </c>
      <c r="P14" s="102">
        <v>12.2</v>
      </c>
      <c r="Q14" s="102">
        <v>12.2</v>
      </c>
      <c r="R14" s="102">
        <v>12.2</v>
      </c>
      <c r="S14" s="102">
        <v>12.2</v>
      </c>
      <c r="T14" s="102">
        <v>12.2</v>
      </c>
      <c r="U14" s="102">
        <v>12.2</v>
      </c>
      <c r="V14" s="102">
        <v>12.2</v>
      </c>
      <c r="W14" s="102">
        <v>12.2</v>
      </c>
      <c r="X14" s="102">
        <v>12.2</v>
      </c>
      <c r="Y14" s="102">
        <v>12.2</v>
      </c>
      <c r="Z14" s="102">
        <v>12.2</v>
      </c>
      <c r="AA14" s="102">
        <v>12.2</v>
      </c>
      <c r="AB14" s="102">
        <v>12.2</v>
      </c>
      <c r="AC14" s="102">
        <v>12.2</v>
      </c>
      <c r="AD14" s="102">
        <v>12.2</v>
      </c>
      <c r="AE14" s="102">
        <v>12.2</v>
      </c>
      <c r="AF14" s="102">
        <v>12.2</v>
      </c>
      <c r="AG14" s="140">
        <v>52.4</v>
      </c>
      <c r="AH14" s="12">
        <f t="shared" si="2"/>
        <v>12.2</v>
      </c>
      <c r="AI14" s="11">
        <f t="shared" si="3"/>
        <v>12.2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.75" thickTop="1" x14ac:dyDescent="0.25">
      <c r="A15" s="89" t="s">
        <v>260</v>
      </c>
      <c r="B15" s="102">
        <v>31.9</v>
      </c>
      <c r="C15" s="102">
        <v>31.9</v>
      </c>
      <c r="D15" s="102">
        <v>31.9</v>
      </c>
      <c r="E15" s="102">
        <v>31.9</v>
      </c>
      <c r="F15" s="102">
        <v>31.9</v>
      </c>
      <c r="G15" s="102">
        <v>31.9</v>
      </c>
      <c r="H15" s="102">
        <v>31.9</v>
      </c>
      <c r="I15" s="102">
        <v>31.9</v>
      </c>
      <c r="J15" s="102">
        <v>31.9</v>
      </c>
      <c r="K15" s="102">
        <v>31.9</v>
      </c>
      <c r="L15" s="102">
        <v>31.9</v>
      </c>
      <c r="M15" s="102">
        <v>31.9</v>
      </c>
      <c r="N15" s="102">
        <v>31.9</v>
      </c>
      <c r="O15" s="102">
        <v>31.9</v>
      </c>
      <c r="P15" s="102">
        <v>31.9</v>
      </c>
      <c r="Q15" s="102">
        <v>31.9</v>
      </c>
      <c r="R15" s="102">
        <v>31.9</v>
      </c>
      <c r="S15" s="102">
        <v>31.9</v>
      </c>
      <c r="T15" s="102">
        <v>31.9</v>
      </c>
      <c r="U15" s="102">
        <v>31.9</v>
      </c>
      <c r="V15" s="102">
        <v>31.9</v>
      </c>
      <c r="W15" s="102">
        <v>31.9</v>
      </c>
      <c r="X15" s="102">
        <v>31.9</v>
      </c>
      <c r="Y15" s="102">
        <v>31.9</v>
      </c>
      <c r="Z15" s="102">
        <v>31.9</v>
      </c>
      <c r="AA15" s="102">
        <v>31.9</v>
      </c>
      <c r="AB15" s="102">
        <v>31.9</v>
      </c>
      <c r="AC15" s="102">
        <v>31.9</v>
      </c>
      <c r="AD15" s="102">
        <v>31.9</v>
      </c>
      <c r="AE15" s="102">
        <v>31.9</v>
      </c>
      <c r="AF15" s="102">
        <v>31.9</v>
      </c>
      <c r="AG15" s="130">
        <v>50</v>
      </c>
      <c r="AH15" s="12">
        <f t="shared" si="2"/>
        <v>31.9</v>
      </c>
      <c r="AI15" s="11">
        <f t="shared" si="3"/>
        <v>31.9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25">
      <c r="A16" s="89" t="s">
        <v>258</v>
      </c>
      <c r="B16" s="102">
        <v>15</v>
      </c>
      <c r="C16" s="102">
        <v>15</v>
      </c>
      <c r="D16" s="102">
        <v>15</v>
      </c>
      <c r="E16" s="102">
        <v>15</v>
      </c>
      <c r="F16" s="102">
        <v>15</v>
      </c>
      <c r="G16" s="102">
        <v>15</v>
      </c>
      <c r="H16" s="102">
        <v>15</v>
      </c>
      <c r="I16" s="102">
        <v>15</v>
      </c>
      <c r="J16" s="102">
        <v>15</v>
      </c>
      <c r="K16" s="102">
        <v>15</v>
      </c>
      <c r="L16" s="102">
        <v>15</v>
      </c>
      <c r="M16" s="102">
        <v>15</v>
      </c>
      <c r="N16" s="102">
        <v>15</v>
      </c>
      <c r="O16" s="102">
        <v>15</v>
      </c>
      <c r="P16" s="102">
        <v>15</v>
      </c>
      <c r="Q16" s="102">
        <v>15</v>
      </c>
      <c r="R16" s="102">
        <v>15</v>
      </c>
      <c r="S16" s="102">
        <v>15</v>
      </c>
      <c r="T16" s="102">
        <v>15</v>
      </c>
      <c r="U16" s="102">
        <v>15</v>
      </c>
      <c r="V16" s="102">
        <v>15</v>
      </c>
      <c r="W16" s="102">
        <v>15</v>
      </c>
      <c r="X16" s="102">
        <v>15</v>
      </c>
      <c r="Y16" s="102">
        <v>15</v>
      </c>
      <c r="Z16" s="102">
        <v>15</v>
      </c>
      <c r="AA16" s="102">
        <v>15</v>
      </c>
      <c r="AB16" s="102">
        <v>15</v>
      </c>
      <c r="AC16" s="102">
        <v>15</v>
      </c>
      <c r="AD16" s="102">
        <v>15</v>
      </c>
      <c r="AE16" s="102">
        <v>15</v>
      </c>
      <c r="AF16" s="102">
        <v>15</v>
      </c>
      <c r="AG16" s="130">
        <v>45</v>
      </c>
      <c r="AH16" s="12">
        <f t="shared" si="2"/>
        <v>15</v>
      </c>
      <c r="AI16" s="11">
        <f t="shared" si="3"/>
        <v>15</v>
      </c>
      <c r="AK16" s="19"/>
      <c r="AL16" s="135" t="s">
        <v>7</v>
      </c>
      <c r="AM16" s="134">
        <f t="shared" ref="AM16:AR16" si="4">B58</f>
        <v>466.9</v>
      </c>
      <c r="AN16" s="134">
        <f t="shared" si="4"/>
        <v>466.9</v>
      </c>
      <c r="AO16" s="134">
        <f t="shared" si="4"/>
        <v>466.9</v>
      </c>
      <c r="AP16" s="134">
        <f t="shared" si="4"/>
        <v>466.9</v>
      </c>
      <c r="AQ16" s="134">
        <f t="shared" si="4"/>
        <v>466.9</v>
      </c>
      <c r="AR16" s="134">
        <f t="shared" si="4"/>
        <v>466.9</v>
      </c>
      <c r="AS16" s="134">
        <f>I58</f>
        <v>466.9</v>
      </c>
      <c r="AT16" s="134">
        <f>K58</f>
        <v>466.9</v>
      </c>
      <c r="AU16" s="134">
        <f t="shared" ref="AU16:BD16" si="5">M58</f>
        <v>466.9</v>
      </c>
      <c r="AV16" s="134">
        <f t="shared" si="5"/>
        <v>466</v>
      </c>
      <c r="AW16" s="134">
        <f t="shared" si="5"/>
        <v>465.5</v>
      </c>
      <c r="AX16" s="134">
        <f t="shared" si="5"/>
        <v>463.59999999999997</v>
      </c>
      <c r="AY16" s="134">
        <f t="shared" si="5"/>
        <v>463.59999999999997</v>
      </c>
      <c r="AZ16" s="134">
        <f t="shared" si="5"/>
        <v>460.59999999999997</v>
      </c>
      <c r="BA16" s="134">
        <f t="shared" si="5"/>
        <v>463.59999999999997</v>
      </c>
      <c r="BB16" s="134">
        <f t="shared" si="5"/>
        <v>463.59999999999997</v>
      </c>
      <c r="BC16" s="134">
        <f t="shared" si="5"/>
        <v>463.59999999999997</v>
      </c>
      <c r="BD16" s="134">
        <f t="shared" si="5"/>
        <v>463.59999999999997</v>
      </c>
      <c r="BE16" s="133">
        <f>X58</f>
        <v>463.59999999999997</v>
      </c>
      <c r="BF16" s="133">
        <f>Z58</f>
        <v>463.59999999999997</v>
      </c>
      <c r="BG16" s="133">
        <f>AB58</f>
        <v>463.59999999999997</v>
      </c>
      <c r="BH16" s="133">
        <f>AD58</f>
        <v>463.59999999999997</v>
      </c>
      <c r="BI16" s="133">
        <f>AE58</f>
        <v>463.59999999999997</v>
      </c>
      <c r="BJ16" s="133">
        <f>AF58</f>
        <v>463.59999999999997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25">
      <c r="A17" s="89" t="s">
        <v>257</v>
      </c>
      <c r="B17" s="102">
        <v>12</v>
      </c>
      <c r="C17" s="102">
        <v>12</v>
      </c>
      <c r="D17" s="102">
        <v>12</v>
      </c>
      <c r="E17" s="102">
        <v>12</v>
      </c>
      <c r="F17" s="102">
        <v>12</v>
      </c>
      <c r="G17" s="102">
        <v>12</v>
      </c>
      <c r="H17" s="102">
        <v>12</v>
      </c>
      <c r="I17" s="102">
        <v>12</v>
      </c>
      <c r="J17" s="102">
        <v>12</v>
      </c>
      <c r="K17" s="102">
        <v>12</v>
      </c>
      <c r="L17" s="102">
        <v>12</v>
      </c>
      <c r="M17" s="102">
        <v>12</v>
      </c>
      <c r="N17" s="102">
        <v>12</v>
      </c>
      <c r="O17" s="102">
        <v>12</v>
      </c>
      <c r="P17" s="102">
        <v>12</v>
      </c>
      <c r="Q17" s="102">
        <v>12</v>
      </c>
      <c r="R17" s="102">
        <v>12</v>
      </c>
      <c r="S17" s="102">
        <v>12</v>
      </c>
      <c r="T17" s="102">
        <v>12</v>
      </c>
      <c r="U17" s="102">
        <v>12</v>
      </c>
      <c r="V17" s="102">
        <v>12</v>
      </c>
      <c r="W17" s="102">
        <v>12</v>
      </c>
      <c r="X17" s="102">
        <v>12</v>
      </c>
      <c r="Y17" s="102">
        <v>12</v>
      </c>
      <c r="Z17" s="102">
        <v>12</v>
      </c>
      <c r="AA17" s="102">
        <v>12</v>
      </c>
      <c r="AB17" s="102">
        <v>12</v>
      </c>
      <c r="AC17" s="102">
        <v>12</v>
      </c>
      <c r="AD17" s="102">
        <v>12</v>
      </c>
      <c r="AE17" s="102">
        <v>12</v>
      </c>
      <c r="AF17" s="102">
        <v>12</v>
      </c>
      <c r="AG17" s="130">
        <v>44</v>
      </c>
      <c r="AH17" s="12">
        <f>MAX(B17:AG17)</f>
        <v>44</v>
      </c>
      <c r="AI17" s="11">
        <f>MIN(B17:AG17)</f>
        <v>12</v>
      </c>
      <c r="AK17" s="19"/>
      <c r="AL17" s="135" t="s">
        <v>256</v>
      </c>
      <c r="AM17" s="134">
        <f t="shared" ref="AM17:AR17" si="6">B62</f>
        <v>102</v>
      </c>
      <c r="AN17" s="134">
        <f t="shared" si="6"/>
        <v>102</v>
      </c>
      <c r="AO17" s="134">
        <f t="shared" si="6"/>
        <v>102</v>
      </c>
      <c r="AP17" s="134">
        <f t="shared" si="6"/>
        <v>92</v>
      </c>
      <c r="AQ17" s="134">
        <f t="shared" si="6"/>
        <v>92</v>
      </c>
      <c r="AR17" s="134">
        <f t="shared" si="6"/>
        <v>92</v>
      </c>
      <c r="AS17" s="134">
        <f>I62</f>
        <v>144.19999999999999</v>
      </c>
      <c r="AT17" s="134">
        <f>K62</f>
        <v>34.200000000000003</v>
      </c>
      <c r="AU17" s="134">
        <f t="shared" ref="AU17:BD17" si="7">M62</f>
        <v>34.9</v>
      </c>
      <c r="AV17" s="134">
        <f t="shared" si="7"/>
        <v>33.200000000000003</v>
      </c>
      <c r="AW17" s="134">
        <f t="shared" si="7"/>
        <v>33.200000000000003</v>
      </c>
      <c r="AX17" s="134">
        <f t="shared" si="7"/>
        <v>33.700000000000003</v>
      </c>
      <c r="AY17" s="134">
        <f t="shared" si="7"/>
        <v>33.400000000000006</v>
      </c>
      <c r="AZ17" s="134">
        <f t="shared" si="7"/>
        <v>35.9</v>
      </c>
      <c r="BA17" s="134">
        <f t="shared" si="7"/>
        <v>35.9</v>
      </c>
      <c r="BB17" s="134">
        <f t="shared" si="7"/>
        <v>35.9</v>
      </c>
      <c r="BC17" s="134">
        <f t="shared" si="7"/>
        <v>35.9</v>
      </c>
      <c r="BD17" s="134">
        <f t="shared" si="7"/>
        <v>35.9</v>
      </c>
      <c r="BE17" s="133">
        <f>X62</f>
        <v>35.9</v>
      </c>
      <c r="BF17" s="133">
        <f>Z62</f>
        <v>474</v>
      </c>
      <c r="BG17" s="133">
        <f>AB62</f>
        <v>234</v>
      </c>
      <c r="BH17" s="133">
        <f>AD62</f>
        <v>204</v>
      </c>
      <c r="BI17" s="133">
        <f>AE62</f>
        <v>146</v>
      </c>
      <c r="BJ17" s="133">
        <f>AF62</f>
        <v>129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25">
      <c r="A18" s="89" t="s">
        <v>255</v>
      </c>
      <c r="B18" s="102">
        <v>7.5</v>
      </c>
      <c r="C18" s="102">
        <v>7.5</v>
      </c>
      <c r="D18" s="102">
        <v>7.5</v>
      </c>
      <c r="E18" s="102">
        <v>7.5</v>
      </c>
      <c r="F18" s="102">
        <v>7.5</v>
      </c>
      <c r="G18" s="102">
        <v>7.5</v>
      </c>
      <c r="H18" s="102">
        <v>7.5</v>
      </c>
      <c r="I18" s="102">
        <v>7.5</v>
      </c>
      <c r="J18" s="102">
        <v>7.5</v>
      </c>
      <c r="K18" s="102">
        <v>7.5</v>
      </c>
      <c r="L18" s="102">
        <v>7.5</v>
      </c>
      <c r="M18" s="102">
        <v>7.5</v>
      </c>
      <c r="N18" s="102">
        <v>7.5</v>
      </c>
      <c r="O18" s="102">
        <v>7.5</v>
      </c>
      <c r="P18" s="102">
        <v>7.5</v>
      </c>
      <c r="Q18" s="102">
        <v>7.5</v>
      </c>
      <c r="R18" s="102">
        <v>7.5</v>
      </c>
      <c r="S18" s="102">
        <v>7.5</v>
      </c>
      <c r="T18" s="102">
        <v>7.5</v>
      </c>
      <c r="U18" s="102">
        <v>7.5</v>
      </c>
      <c r="V18" s="102">
        <v>7.5</v>
      </c>
      <c r="W18" s="102">
        <v>7.5</v>
      </c>
      <c r="X18" s="102">
        <v>7.5</v>
      </c>
      <c r="Y18" s="102">
        <v>7.5</v>
      </c>
      <c r="Z18" s="102">
        <v>7.5</v>
      </c>
      <c r="AA18" s="102">
        <v>7.5</v>
      </c>
      <c r="AB18" s="102">
        <v>7.5</v>
      </c>
      <c r="AC18" s="102">
        <v>7.5</v>
      </c>
      <c r="AD18" s="102">
        <v>7.5</v>
      </c>
      <c r="AE18" s="102">
        <v>7.5</v>
      </c>
      <c r="AF18" s="102">
        <v>7.5</v>
      </c>
      <c r="AG18" s="130">
        <v>42</v>
      </c>
      <c r="AH18" s="12">
        <f t="shared" ref="AH18:AH49" si="8">MAX(B18:AF18)</f>
        <v>7.5</v>
      </c>
      <c r="AI18" s="11">
        <f t="shared" ref="AI18:AI49" si="9">MIN(B18:AF18)</f>
        <v>7.5</v>
      </c>
      <c r="AK18" s="19"/>
      <c r="AL18" s="135" t="s">
        <v>254</v>
      </c>
      <c r="AM18" s="134">
        <f t="shared" ref="AM18:AR18" si="10">B76</f>
        <v>190.44</v>
      </c>
      <c r="AN18" s="134">
        <f t="shared" si="10"/>
        <v>170.44</v>
      </c>
      <c r="AO18" s="134">
        <f t="shared" si="10"/>
        <v>162.44</v>
      </c>
      <c r="AP18" s="134">
        <f t="shared" si="10"/>
        <v>162.44</v>
      </c>
      <c r="AQ18" s="134">
        <f t="shared" si="10"/>
        <v>147.44</v>
      </c>
      <c r="AR18" s="134">
        <f t="shared" si="10"/>
        <v>190.54</v>
      </c>
      <c r="AS18" s="134">
        <f>I76</f>
        <v>247.73999999999998</v>
      </c>
      <c r="AT18" s="134">
        <f>K76</f>
        <v>174.23999999999998</v>
      </c>
      <c r="AU18" s="134">
        <f t="shared" ref="AU18:BD18" si="11">M76</f>
        <v>166.23999999999998</v>
      </c>
      <c r="AV18" s="134">
        <f t="shared" si="11"/>
        <v>167.74</v>
      </c>
      <c r="AW18" s="134">
        <f t="shared" si="11"/>
        <v>170.73999999999998</v>
      </c>
      <c r="AX18" s="134">
        <f t="shared" si="11"/>
        <v>117.04</v>
      </c>
      <c r="AY18" s="134">
        <f t="shared" si="11"/>
        <v>116.94</v>
      </c>
      <c r="AZ18" s="134">
        <f t="shared" si="11"/>
        <v>116.74000000000001</v>
      </c>
      <c r="BA18" s="134">
        <f t="shared" si="11"/>
        <v>140.44</v>
      </c>
      <c r="BB18" s="134">
        <f t="shared" si="11"/>
        <v>138.84</v>
      </c>
      <c r="BC18" s="134">
        <f t="shared" si="11"/>
        <v>135.44</v>
      </c>
      <c r="BD18" s="134">
        <f t="shared" si="11"/>
        <v>160.04</v>
      </c>
      <c r="BE18" s="133">
        <f>X76</f>
        <v>160.04</v>
      </c>
      <c r="BF18" s="133">
        <f>Z76</f>
        <v>389.2</v>
      </c>
      <c r="BG18" s="133">
        <f>AB76</f>
        <v>388.14000000000004</v>
      </c>
      <c r="BH18" s="133">
        <f>AD76</f>
        <v>380.44000000000005</v>
      </c>
      <c r="BI18" s="133">
        <f>AE76</f>
        <v>369.34000000000009</v>
      </c>
      <c r="BJ18" s="133">
        <f>AF76</f>
        <v>299.64000000000004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25">
      <c r="A19" s="89" t="s">
        <v>253</v>
      </c>
      <c r="B19" s="102">
        <v>13</v>
      </c>
      <c r="C19" s="102">
        <v>13</v>
      </c>
      <c r="D19" s="102">
        <v>13</v>
      </c>
      <c r="E19" s="102">
        <v>13</v>
      </c>
      <c r="F19" s="102">
        <v>13</v>
      </c>
      <c r="G19" s="102">
        <v>13</v>
      </c>
      <c r="H19" s="102">
        <v>13</v>
      </c>
      <c r="I19" s="102">
        <v>13</v>
      </c>
      <c r="J19" s="102">
        <v>13</v>
      </c>
      <c r="K19" s="102">
        <v>13</v>
      </c>
      <c r="L19" s="102">
        <v>13</v>
      </c>
      <c r="M19" s="102">
        <v>13</v>
      </c>
      <c r="N19" s="102">
        <v>13</v>
      </c>
      <c r="O19" s="102">
        <v>13</v>
      </c>
      <c r="P19" s="102">
        <v>13</v>
      </c>
      <c r="Q19" s="102">
        <v>13</v>
      </c>
      <c r="R19" s="102">
        <v>13</v>
      </c>
      <c r="S19" s="102">
        <v>13</v>
      </c>
      <c r="T19" s="102">
        <v>13</v>
      </c>
      <c r="U19" s="102">
        <v>13</v>
      </c>
      <c r="V19" s="102">
        <v>13</v>
      </c>
      <c r="W19" s="102">
        <v>13</v>
      </c>
      <c r="X19" s="102">
        <v>13</v>
      </c>
      <c r="Y19" s="102">
        <v>13</v>
      </c>
      <c r="Z19" s="102">
        <v>13</v>
      </c>
      <c r="AA19" s="102">
        <v>13</v>
      </c>
      <c r="AB19" s="102">
        <v>13</v>
      </c>
      <c r="AC19" s="102">
        <v>13</v>
      </c>
      <c r="AD19" s="102">
        <v>13</v>
      </c>
      <c r="AE19" s="102">
        <v>13</v>
      </c>
      <c r="AF19" s="102">
        <v>13</v>
      </c>
      <c r="AG19" s="130">
        <v>38.46</v>
      </c>
      <c r="AH19" s="12">
        <f t="shared" si="8"/>
        <v>13</v>
      </c>
      <c r="AI19" s="11">
        <f t="shared" si="9"/>
        <v>13</v>
      </c>
      <c r="AK19" s="19"/>
      <c r="AL19" s="135" t="s">
        <v>252</v>
      </c>
      <c r="AM19" s="134">
        <f t="shared" ref="AM19:AR19" si="12">B92</f>
        <v>232</v>
      </c>
      <c r="AN19" s="134">
        <f t="shared" si="12"/>
        <v>216</v>
      </c>
      <c r="AO19" s="134">
        <f t="shared" si="12"/>
        <v>216.5</v>
      </c>
      <c r="AP19" s="134">
        <f t="shared" si="12"/>
        <v>123.3</v>
      </c>
      <c r="AQ19" s="134">
        <f t="shared" si="12"/>
        <v>132.9</v>
      </c>
      <c r="AR19" s="134">
        <f t="shared" si="12"/>
        <v>137.9</v>
      </c>
      <c r="AS19" s="134">
        <f>I92</f>
        <v>168.2</v>
      </c>
      <c r="AT19" s="134">
        <f>K92</f>
        <v>709.4</v>
      </c>
      <c r="AU19" s="134">
        <f t="shared" ref="AU19:BD19" si="13">M92</f>
        <v>780.6</v>
      </c>
      <c r="AV19" s="134">
        <f t="shared" si="13"/>
        <v>764.59999999999991</v>
      </c>
      <c r="AW19" s="134">
        <f t="shared" si="13"/>
        <v>702.8</v>
      </c>
      <c r="AX19" s="134">
        <f t="shared" si="13"/>
        <v>761.3</v>
      </c>
      <c r="AY19" s="134">
        <f t="shared" si="13"/>
        <v>730.50000000000011</v>
      </c>
      <c r="AZ19" s="134">
        <f t="shared" si="13"/>
        <v>699.19999999999993</v>
      </c>
      <c r="BA19" s="134">
        <f t="shared" si="13"/>
        <v>768.2</v>
      </c>
      <c r="BB19" s="134">
        <f t="shared" si="13"/>
        <v>762.1</v>
      </c>
      <c r="BC19" s="134">
        <f t="shared" si="13"/>
        <v>713</v>
      </c>
      <c r="BD19" s="134">
        <f t="shared" si="13"/>
        <v>696.80000000000007</v>
      </c>
      <c r="BE19" s="133">
        <f>X92</f>
        <v>604.1</v>
      </c>
      <c r="BF19" s="133">
        <f>Z92</f>
        <v>55.3</v>
      </c>
      <c r="BG19" s="133">
        <f>AB92</f>
        <v>147.6</v>
      </c>
      <c r="BH19" s="133">
        <f>AD92</f>
        <v>186.20000000000002</v>
      </c>
      <c r="BI19" s="133">
        <f>AE92</f>
        <v>202.89999999999998</v>
      </c>
      <c r="BJ19" s="133">
        <f>AF92</f>
        <v>177.2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25">
      <c r="A20" s="89" t="s">
        <v>251</v>
      </c>
      <c r="B20" s="102">
        <v>11.8</v>
      </c>
      <c r="C20" s="102">
        <v>11.8</v>
      </c>
      <c r="D20" s="102">
        <v>11.8</v>
      </c>
      <c r="E20" s="102">
        <v>11.8</v>
      </c>
      <c r="F20" s="102">
        <v>11.8</v>
      </c>
      <c r="G20" s="102">
        <v>11.8</v>
      </c>
      <c r="H20" s="102">
        <v>11.8</v>
      </c>
      <c r="I20" s="102">
        <v>11.8</v>
      </c>
      <c r="J20" s="102">
        <v>11.8</v>
      </c>
      <c r="K20" s="102">
        <v>11.8</v>
      </c>
      <c r="L20" s="102">
        <v>11.8</v>
      </c>
      <c r="M20" s="102">
        <v>11.8</v>
      </c>
      <c r="N20" s="102">
        <v>11.8</v>
      </c>
      <c r="O20" s="102">
        <v>11.8</v>
      </c>
      <c r="P20" s="102">
        <v>11.8</v>
      </c>
      <c r="Q20" s="102">
        <v>11.8</v>
      </c>
      <c r="R20" s="102">
        <v>11.8</v>
      </c>
      <c r="S20" s="102">
        <v>11.8</v>
      </c>
      <c r="T20" s="102">
        <v>11.8</v>
      </c>
      <c r="U20" s="102">
        <v>11.8</v>
      </c>
      <c r="V20" s="102">
        <v>11.8</v>
      </c>
      <c r="W20" s="102">
        <v>11.8</v>
      </c>
      <c r="X20" s="102">
        <v>11.8</v>
      </c>
      <c r="Y20" s="102">
        <v>11.8</v>
      </c>
      <c r="Z20" s="102">
        <v>11.8</v>
      </c>
      <c r="AA20" s="102">
        <v>11.8</v>
      </c>
      <c r="AB20" s="102">
        <v>11.8</v>
      </c>
      <c r="AC20" s="102">
        <v>11.8</v>
      </c>
      <c r="AD20" s="102">
        <v>11.8</v>
      </c>
      <c r="AE20" s="102">
        <v>11.8</v>
      </c>
      <c r="AF20" s="102">
        <v>11.8</v>
      </c>
      <c r="AG20" s="130">
        <v>38.46</v>
      </c>
      <c r="AH20" s="12">
        <f t="shared" si="8"/>
        <v>11.8</v>
      </c>
      <c r="AI20" s="11">
        <f t="shared" si="9"/>
        <v>11.8</v>
      </c>
      <c r="AK20" s="19"/>
      <c r="AL20" s="135" t="s">
        <v>250</v>
      </c>
      <c r="AM20" s="134">
        <f t="shared" ref="AM20:AR20" si="14">B80</f>
        <v>97</v>
      </c>
      <c r="AN20" s="134">
        <f t="shared" si="14"/>
        <v>97</v>
      </c>
      <c r="AO20" s="134">
        <f t="shared" si="14"/>
        <v>97</v>
      </c>
      <c r="AP20" s="134">
        <f t="shared" si="14"/>
        <v>97</v>
      </c>
      <c r="AQ20" s="134">
        <f t="shared" si="14"/>
        <v>97</v>
      </c>
      <c r="AR20" s="134">
        <f t="shared" si="14"/>
        <v>97</v>
      </c>
      <c r="AS20" s="134">
        <f>I80</f>
        <v>97</v>
      </c>
      <c r="AT20" s="134">
        <f>K80</f>
        <v>52.4</v>
      </c>
      <c r="AU20" s="134">
        <f t="shared" ref="AU20:BD20" si="15">M80</f>
        <v>60.8</v>
      </c>
      <c r="AV20" s="134">
        <f t="shared" si="15"/>
        <v>62.7</v>
      </c>
      <c r="AW20" s="134">
        <f t="shared" si="15"/>
        <v>52</v>
      </c>
      <c r="AX20" s="134">
        <f t="shared" si="15"/>
        <v>34.800000000000004</v>
      </c>
      <c r="AY20" s="134">
        <f t="shared" si="15"/>
        <v>23.3</v>
      </c>
      <c r="AZ20" s="134">
        <f t="shared" si="15"/>
        <v>20.399999999999999</v>
      </c>
      <c r="BA20" s="134">
        <f t="shared" si="15"/>
        <v>0</v>
      </c>
      <c r="BB20" s="134">
        <f t="shared" si="15"/>
        <v>0</v>
      </c>
      <c r="BC20" s="134">
        <f t="shared" si="15"/>
        <v>0</v>
      </c>
      <c r="BD20" s="134">
        <f t="shared" si="15"/>
        <v>0</v>
      </c>
      <c r="BE20" s="133">
        <f>X80</f>
        <v>0</v>
      </c>
      <c r="BF20" s="133">
        <f>Z80</f>
        <v>48.4</v>
      </c>
      <c r="BG20" s="133">
        <f>AB80</f>
        <v>89.7</v>
      </c>
      <c r="BH20" s="133">
        <f>AD80</f>
        <v>97.8</v>
      </c>
      <c r="BI20" s="133">
        <f>AE80</f>
        <v>97.8</v>
      </c>
      <c r="BJ20" s="133">
        <f>AF80</f>
        <v>97.8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25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>
        <v>11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>
        <v>11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11</v>
      </c>
      <c r="AG21" s="130">
        <v>36</v>
      </c>
      <c r="AH21" s="12">
        <f t="shared" si="8"/>
        <v>11</v>
      </c>
      <c r="AI21" s="11">
        <f t="shared" si="9"/>
        <v>11</v>
      </c>
      <c r="AK21" s="19"/>
      <c r="AL21" s="135" t="s">
        <v>248</v>
      </c>
      <c r="AM21" s="134">
        <f t="shared" ref="AM21:AR21" si="16">B98</f>
        <v>230</v>
      </c>
      <c r="AN21" s="134">
        <f t="shared" si="16"/>
        <v>230</v>
      </c>
      <c r="AO21" s="134">
        <f t="shared" si="16"/>
        <v>230</v>
      </c>
      <c r="AP21" s="134">
        <f t="shared" si="16"/>
        <v>300</v>
      </c>
      <c r="AQ21" s="134">
        <f t="shared" si="16"/>
        <v>300</v>
      </c>
      <c r="AR21" s="134">
        <f t="shared" si="16"/>
        <v>300</v>
      </c>
      <c r="AS21" s="134">
        <f>I98</f>
        <v>280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0</v>
      </c>
      <c r="BG21" s="133">
        <f>AB98</f>
        <v>250</v>
      </c>
      <c r="BH21" s="133">
        <f>AD98</f>
        <v>200</v>
      </c>
      <c r="BI21" s="133">
        <f>AE98</f>
        <v>170</v>
      </c>
      <c r="BJ21" s="133">
        <f>AF98</f>
        <v>150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25">
      <c r="A22" s="89" t="s">
        <v>247</v>
      </c>
      <c r="B22" s="102">
        <v>6.7</v>
      </c>
      <c r="C22" s="102">
        <v>6.7</v>
      </c>
      <c r="D22" s="102">
        <v>6.7</v>
      </c>
      <c r="E22" s="102">
        <v>6.7</v>
      </c>
      <c r="F22" s="102">
        <v>6.7</v>
      </c>
      <c r="G22" s="102">
        <v>6.7</v>
      </c>
      <c r="H22" s="102">
        <v>6.7</v>
      </c>
      <c r="I22" s="102">
        <v>6.7</v>
      </c>
      <c r="J22" s="102">
        <v>6.7</v>
      </c>
      <c r="K22" s="102">
        <v>6.7</v>
      </c>
      <c r="L22" s="102">
        <v>6.7</v>
      </c>
      <c r="M22" s="102">
        <v>6.7</v>
      </c>
      <c r="N22" s="102">
        <v>6.7</v>
      </c>
      <c r="O22" s="102">
        <v>6.7</v>
      </c>
      <c r="P22" s="102">
        <v>6.7</v>
      </c>
      <c r="Q22" s="102">
        <v>6.7</v>
      </c>
      <c r="R22" s="102">
        <v>6.7</v>
      </c>
      <c r="S22" s="102">
        <v>6.7</v>
      </c>
      <c r="T22" s="102">
        <v>6.7</v>
      </c>
      <c r="U22" s="102">
        <v>6.7</v>
      </c>
      <c r="V22" s="102">
        <v>6.7</v>
      </c>
      <c r="W22" s="102">
        <v>6.7</v>
      </c>
      <c r="X22" s="102">
        <v>6.7</v>
      </c>
      <c r="Y22" s="102">
        <v>6.7</v>
      </c>
      <c r="Z22" s="102">
        <v>6.7</v>
      </c>
      <c r="AA22" s="102">
        <v>6.7</v>
      </c>
      <c r="AB22" s="102">
        <v>6.7</v>
      </c>
      <c r="AC22" s="102">
        <v>6.7</v>
      </c>
      <c r="AD22" s="102">
        <v>6.7</v>
      </c>
      <c r="AE22" s="102">
        <v>6.7</v>
      </c>
      <c r="AF22" s="102">
        <v>6.7</v>
      </c>
      <c r="AG22" s="88">
        <v>30</v>
      </c>
      <c r="AH22" s="12">
        <f t="shared" si="8"/>
        <v>6.7</v>
      </c>
      <c r="AI22" s="11">
        <f t="shared" si="9"/>
        <v>6.7</v>
      </c>
      <c r="AK22" s="19"/>
      <c r="AL22" s="132" t="s">
        <v>246</v>
      </c>
      <c r="AM22" s="131">
        <f t="shared" ref="AM22:BJ22" si="18">SUM(AM16:AM21)</f>
        <v>1318.34</v>
      </c>
      <c r="AN22" s="131">
        <f t="shared" si="18"/>
        <v>1282.3399999999999</v>
      </c>
      <c r="AO22" s="131">
        <f t="shared" si="18"/>
        <v>1274.8399999999999</v>
      </c>
      <c r="AP22" s="131">
        <f t="shared" si="18"/>
        <v>1241.6399999999999</v>
      </c>
      <c r="AQ22" s="131">
        <f t="shared" si="18"/>
        <v>1236.2399999999998</v>
      </c>
      <c r="AR22" s="131">
        <f t="shared" si="18"/>
        <v>1284.3399999999999</v>
      </c>
      <c r="AS22" s="131">
        <f t="shared" si="18"/>
        <v>1404.04</v>
      </c>
      <c r="AT22" s="131">
        <f t="shared" si="18"/>
        <v>1437.1399999999999</v>
      </c>
      <c r="AU22" s="131">
        <f t="shared" si="18"/>
        <v>1509.4399999999998</v>
      </c>
      <c r="AV22" s="131">
        <f t="shared" si="18"/>
        <v>1494.24</v>
      </c>
      <c r="AW22" s="131">
        <f t="shared" si="18"/>
        <v>1424.2399999999998</v>
      </c>
      <c r="AX22" s="131">
        <f t="shared" si="18"/>
        <v>1410.4399999999998</v>
      </c>
      <c r="AY22" s="131">
        <f t="shared" si="18"/>
        <v>1367.74</v>
      </c>
      <c r="AZ22" s="131">
        <f t="shared" si="18"/>
        <v>1332.8400000000001</v>
      </c>
      <c r="BA22" s="131">
        <f t="shared" si="18"/>
        <v>1408.1399999999999</v>
      </c>
      <c r="BB22" s="131">
        <f t="shared" si="18"/>
        <v>1400.44</v>
      </c>
      <c r="BC22" s="131">
        <f t="shared" si="18"/>
        <v>1347.94</v>
      </c>
      <c r="BD22" s="131">
        <f t="shared" si="18"/>
        <v>1356.3400000000001</v>
      </c>
      <c r="BE22" s="131">
        <f t="shared" si="18"/>
        <v>1263.6399999999999</v>
      </c>
      <c r="BF22" s="131">
        <f t="shared" si="18"/>
        <v>1430.5</v>
      </c>
      <c r="BG22" s="131">
        <f t="shared" si="18"/>
        <v>1573.04</v>
      </c>
      <c r="BH22" s="131">
        <f t="shared" si="18"/>
        <v>1532.04</v>
      </c>
      <c r="BI22" s="131">
        <f t="shared" si="18"/>
        <v>1449.64</v>
      </c>
      <c r="BJ22" s="131">
        <f t="shared" si="18"/>
        <v>1317.24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25">
      <c r="A23" s="89" t="s">
        <v>245</v>
      </c>
      <c r="B23" s="102">
        <v>4.5</v>
      </c>
      <c r="C23" s="102">
        <v>4.5</v>
      </c>
      <c r="D23" s="102">
        <v>4.5</v>
      </c>
      <c r="E23" s="102">
        <v>4.5</v>
      </c>
      <c r="F23" s="102">
        <v>4.5</v>
      </c>
      <c r="G23" s="102">
        <v>4.5</v>
      </c>
      <c r="H23" s="102">
        <v>4.5</v>
      </c>
      <c r="I23" s="102">
        <v>4.5</v>
      </c>
      <c r="J23" s="102">
        <v>4.5</v>
      </c>
      <c r="K23" s="102">
        <v>4.5</v>
      </c>
      <c r="L23" s="102">
        <v>4.5</v>
      </c>
      <c r="M23" s="102">
        <v>4.5</v>
      </c>
      <c r="N23" s="102">
        <v>4.5</v>
      </c>
      <c r="O23" s="102">
        <v>4.5</v>
      </c>
      <c r="P23" s="102">
        <v>4.5</v>
      </c>
      <c r="Q23" s="102">
        <v>4.5</v>
      </c>
      <c r="R23" s="102">
        <v>4.5</v>
      </c>
      <c r="S23" s="102">
        <v>4.5</v>
      </c>
      <c r="T23" s="102">
        <v>4.5</v>
      </c>
      <c r="U23" s="102">
        <v>4.5</v>
      </c>
      <c r="V23" s="102">
        <v>4.5</v>
      </c>
      <c r="W23" s="102">
        <v>4.5</v>
      </c>
      <c r="X23" s="102">
        <v>4.5</v>
      </c>
      <c r="Y23" s="102">
        <v>4.5</v>
      </c>
      <c r="Z23" s="102">
        <v>4.5</v>
      </c>
      <c r="AA23" s="102">
        <v>4.5</v>
      </c>
      <c r="AB23" s="102">
        <v>4.5</v>
      </c>
      <c r="AC23" s="102">
        <v>4.5</v>
      </c>
      <c r="AD23" s="102">
        <v>4.5</v>
      </c>
      <c r="AE23" s="102">
        <v>4.5</v>
      </c>
      <c r="AF23" s="102">
        <v>4.5</v>
      </c>
      <c r="AG23" s="130">
        <v>24.2</v>
      </c>
      <c r="AH23" s="12">
        <f t="shared" si="8"/>
        <v>4.5</v>
      </c>
      <c r="AI23" s="11">
        <f t="shared" si="9"/>
        <v>4.5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25">
      <c r="A24" s="89" t="s">
        <v>244</v>
      </c>
      <c r="B24" s="102">
        <v>5.6</v>
      </c>
      <c r="C24" s="102">
        <v>5.6</v>
      </c>
      <c r="D24" s="102">
        <v>5.6</v>
      </c>
      <c r="E24" s="102">
        <v>5.6</v>
      </c>
      <c r="F24" s="102">
        <v>5.6</v>
      </c>
      <c r="G24" s="102">
        <v>5.6</v>
      </c>
      <c r="H24" s="102">
        <v>5.6</v>
      </c>
      <c r="I24" s="102">
        <v>5.6</v>
      </c>
      <c r="J24" s="102">
        <v>5.6</v>
      </c>
      <c r="K24" s="102">
        <v>5.6</v>
      </c>
      <c r="L24" s="102">
        <v>5.6</v>
      </c>
      <c r="M24" s="102">
        <v>5.6</v>
      </c>
      <c r="N24" s="102">
        <v>5.6</v>
      </c>
      <c r="O24" s="102">
        <v>5.6</v>
      </c>
      <c r="P24" s="102">
        <v>5.6</v>
      </c>
      <c r="Q24" s="102">
        <v>5.6</v>
      </c>
      <c r="R24" s="102">
        <v>5.6</v>
      </c>
      <c r="S24" s="102">
        <v>5.6</v>
      </c>
      <c r="T24" s="102">
        <v>5.6</v>
      </c>
      <c r="U24" s="102">
        <v>5.6</v>
      </c>
      <c r="V24" s="102">
        <v>5.6</v>
      </c>
      <c r="W24" s="102">
        <v>5.6</v>
      </c>
      <c r="X24" s="102">
        <v>5.6</v>
      </c>
      <c r="Y24" s="102">
        <v>5.6</v>
      </c>
      <c r="Z24" s="102">
        <v>5.6</v>
      </c>
      <c r="AA24" s="102">
        <v>5.6</v>
      </c>
      <c r="AB24" s="102">
        <v>5.6</v>
      </c>
      <c r="AC24" s="102">
        <v>5.6</v>
      </c>
      <c r="AD24" s="102">
        <v>5.6</v>
      </c>
      <c r="AE24" s="102">
        <v>5.6</v>
      </c>
      <c r="AF24" s="102">
        <v>5.6</v>
      </c>
      <c r="AG24" s="130">
        <v>28</v>
      </c>
      <c r="AH24" s="12">
        <f t="shared" si="8"/>
        <v>5.6</v>
      </c>
      <c r="AI24" s="11">
        <f t="shared" si="9"/>
        <v>5.6</v>
      </c>
      <c r="AK24" s="19"/>
      <c r="AL24" s="132" t="s">
        <v>243</v>
      </c>
      <c r="AM24" s="131">
        <f t="shared" ref="AM24:BJ24" si="21">AM22+AM23</f>
        <v>1318.34</v>
      </c>
      <c r="AN24" s="131">
        <f t="shared" si="21"/>
        <v>1282.3399999999999</v>
      </c>
      <c r="AO24" s="131">
        <f t="shared" si="21"/>
        <v>1274.8399999999999</v>
      </c>
      <c r="AP24" s="131">
        <f t="shared" si="21"/>
        <v>1241.6399999999999</v>
      </c>
      <c r="AQ24" s="131">
        <f t="shared" si="21"/>
        <v>1236.2399999999998</v>
      </c>
      <c r="AR24" s="131">
        <f t="shared" si="21"/>
        <v>1284.3399999999999</v>
      </c>
      <c r="AS24" s="131">
        <f t="shared" si="21"/>
        <v>1404.04</v>
      </c>
      <c r="AT24" s="131">
        <f t="shared" si="21"/>
        <v>1437.1399999999999</v>
      </c>
      <c r="AU24" s="131">
        <f t="shared" si="21"/>
        <v>1509.4399999999998</v>
      </c>
      <c r="AV24" s="131">
        <f t="shared" si="21"/>
        <v>1494.24</v>
      </c>
      <c r="AW24" s="131">
        <f t="shared" si="21"/>
        <v>1424.2399999999998</v>
      </c>
      <c r="AX24" s="131">
        <f t="shared" si="21"/>
        <v>1410.4399999999998</v>
      </c>
      <c r="AY24" s="131">
        <f t="shared" si="21"/>
        <v>1367.74</v>
      </c>
      <c r="AZ24" s="131">
        <f t="shared" si="21"/>
        <v>1332.8400000000001</v>
      </c>
      <c r="BA24" s="131">
        <f t="shared" si="21"/>
        <v>1408.1399999999999</v>
      </c>
      <c r="BB24" s="131">
        <f t="shared" si="21"/>
        <v>1400.44</v>
      </c>
      <c r="BC24" s="131">
        <f t="shared" si="21"/>
        <v>1347.94</v>
      </c>
      <c r="BD24" s="131">
        <f t="shared" si="21"/>
        <v>1356.3400000000001</v>
      </c>
      <c r="BE24" s="131">
        <f t="shared" si="21"/>
        <v>1263.6399999999999</v>
      </c>
      <c r="BF24" s="131">
        <f t="shared" si="21"/>
        <v>1430.5</v>
      </c>
      <c r="BG24" s="131">
        <f t="shared" si="21"/>
        <v>1573.04</v>
      </c>
      <c r="BH24" s="131">
        <f t="shared" si="21"/>
        <v>1532.04</v>
      </c>
      <c r="BI24" s="131">
        <f t="shared" si="21"/>
        <v>1449.64</v>
      </c>
      <c r="BJ24" s="131">
        <f t="shared" si="21"/>
        <v>1317.24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25">
      <c r="A25" s="89" t="s">
        <v>242</v>
      </c>
      <c r="B25" s="102">
        <v>5.3</v>
      </c>
      <c r="C25" s="102">
        <v>5.3</v>
      </c>
      <c r="D25" s="102">
        <v>5.3</v>
      </c>
      <c r="E25" s="102">
        <v>5.3</v>
      </c>
      <c r="F25" s="102">
        <v>5.3</v>
      </c>
      <c r="G25" s="102">
        <v>5.3</v>
      </c>
      <c r="H25" s="102">
        <v>5.3</v>
      </c>
      <c r="I25" s="102">
        <v>5.3</v>
      </c>
      <c r="J25" s="102">
        <v>5.3</v>
      </c>
      <c r="K25" s="102">
        <v>5.3</v>
      </c>
      <c r="L25" s="102">
        <v>5.3</v>
      </c>
      <c r="M25" s="102">
        <v>5.3</v>
      </c>
      <c r="N25" s="102">
        <v>5.3</v>
      </c>
      <c r="O25" s="102">
        <v>5.3</v>
      </c>
      <c r="P25" s="102">
        <v>5.3</v>
      </c>
      <c r="Q25" s="102">
        <v>5.3</v>
      </c>
      <c r="R25" s="102">
        <v>5.3</v>
      </c>
      <c r="S25" s="102">
        <v>5.3</v>
      </c>
      <c r="T25" s="102">
        <v>5.3</v>
      </c>
      <c r="U25" s="102">
        <v>5.3</v>
      </c>
      <c r="V25" s="102">
        <v>5.3</v>
      </c>
      <c r="W25" s="102">
        <v>5.3</v>
      </c>
      <c r="X25" s="102">
        <v>5.3</v>
      </c>
      <c r="Y25" s="102">
        <v>5.3</v>
      </c>
      <c r="Z25" s="102">
        <v>5.3</v>
      </c>
      <c r="AA25" s="102">
        <v>5.3</v>
      </c>
      <c r="AB25" s="102">
        <v>5.3</v>
      </c>
      <c r="AC25" s="102">
        <v>5.3</v>
      </c>
      <c r="AD25" s="102">
        <v>5.3</v>
      </c>
      <c r="AE25" s="102">
        <v>5.3</v>
      </c>
      <c r="AF25" s="102">
        <v>5.3</v>
      </c>
      <c r="AG25" s="88">
        <v>30</v>
      </c>
      <c r="AH25" s="12">
        <f t="shared" si="8"/>
        <v>5.3</v>
      </c>
      <c r="AI25" s="11">
        <f t="shared" si="9"/>
        <v>5.3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25">
      <c r="A26" s="89" t="s">
        <v>241</v>
      </c>
      <c r="B26" s="102">
        <v>8.4</v>
      </c>
      <c r="C26" s="102">
        <v>8.4</v>
      </c>
      <c r="D26" s="102">
        <v>8.4</v>
      </c>
      <c r="E26" s="102">
        <v>8.4</v>
      </c>
      <c r="F26" s="102">
        <v>8.4</v>
      </c>
      <c r="G26" s="102">
        <v>8.4</v>
      </c>
      <c r="H26" s="102">
        <v>8.4</v>
      </c>
      <c r="I26" s="102">
        <v>8.4</v>
      </c>
      <c r="J26" s="102">
        <v>8.4</v>
      </c>
      <c r="K26" s="102">
        <v>8.4</v>
      </c>
      <c r="L26" s="102">
        <v>8.4</v>
      </c>
      <c r="M26" s="102">
        <v>8.4</v>
      </c>
      <c r="N26" s="102">
        <v>8.4</v>
      </c>
      <c r="O26" s="102">
        <v>8.4</v>
      </c>
      <c r="P26" s="102">
        <v>8.4</v>
      </c>
      <c r="Q26" s="102">
        <v>8.4</v>
      </c>
      <c r="R26" s="102">
        <v>8.4</v>
      </c>
      <c r="S26" s="102">
        <v>8.4</v>
      </c>
      <c r="T26" s="102">
        <v>8.4</v>
      </c>
      <c r="U26" s="102">
        <v>8.4</v>
      </c>
      <c r="V26" s="102">
        <v>8.4</v>
      </c>
      <c r="W26" s="102">
        <v>8.4</v>
      </c>
      <c r="X26" s="102">
        <v>8.4</v>
      </c>
      <c r="Y26" s="102">
        <v>8.4</v>
      </c>
      <c r="Z26" s="102">
        <v>8.4</v>
      </c>
      <c r="AA26" s="102">
        <v>8.4</v>
      </c>
      <c r="AB26" s="102">
        <v>8.4</v>
      </c>
      <c r="AC26" s="102">
        <v>8.4</v>
      </c>
      <c r="AD26" s="102">
        <v>8.4</v>
      </c>
      <c r="AE26" s="102">
        <v>8.4</v>
      </c>
      <c r="AF26" s="102">
        <v>8.4</v>
      </c>
      <c r="AG26" s="130">
        <v>25</v>
      </c>
      <c r="AH26" s="12">
        <f t="shared" si="8"/>
        <v>8.4</v>
      </c>
      <c r="AI26" s="11">
        <f t="shared" si="9"/>
        <v>8.4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25">
      <c r="A27" s="89" t="s">
        <v>240</v>
      </c>
      <c r="B27" s="102">
        <v>5</v>
      </c>
      <c r="C27" s="102">
        <v>5</v>
      </c>
      <c r="D27" s="102">
        <v>5</v>
      </c>
      <c r="E27" s="102">
        <v>5</v>
      </c>
      <c r="F27" s="102">
        <v>5</v>
      </c>
      <c r="G27" s="102">
        <v>5</v>
      </c>
      <c r="H27" s="102">
        <v>5</v>
      </c>
      <c r="I27" s="102">
        <v>5</v>
      </c>
      <c r="J27" s="102">
        <v>5</v>
      </c>
      <c r="K27" s="102">
        <v>5</v>
      </c>
      <c r="L27" s="102">
        <v>5</v>
      </c>
      <c r="M27" s="102">
        <v>5</v>
      </c>
      <c r="N27" s="102">
        <v>5</v>
      </c>
      <c r="O27" s="102">
        <v>5</v>
      </c>
      <c r="P27" s="102">
        <v>5</v>
      </c>
      <c r="Q27" s="102">
        <v>5</v>
      </c>
      <c r="R27" s="102">
        <v>5</v>
      </c>
      <c r="S27" s="102">
        <v>5</v>
      </c>
      <c r="T27" s="102">
        <v>5</v>
      </c>
      <c r="U27" s="102">
        <v>5</v>
      </c>
      <c r="V27" s="102">
        <v>5</v>
      </c>
      <c r="W27" s="102">
        <v>5</v>
      </c>
      <c r="X27" s="102">
        <v>5</v>
      </c>
      <c r="Y27" s="102">
        <v>5</v>
      </c>
      <c r="Z27" s="102">
        <v>5</v>
      </c>
      <c r="AA27" s="102">
        <v>5</v>
      </c>
      <c r="AB27" s="102">
        <v>5</v>
      </c>
      <c r="AC27" s="102">
        <v>5</v>
      </c>
      <c r="AD27" s="102">
        <v>5</v>
      </c>
      <c r="AE27" s="102">
        <v>5</v>
      </c>
      <c r="AF27" s="102">
        <v>5</v>
      </c>
      <c r="AG27" s="130">
        <v>25</v>
      </c>
      <c r="AH27" s="12">
        <f t="shared" si="8"/>
        <v>5</v>
      </c>
      <c r="AI27" s="11">
        <f t="shared" si="9"/>
        <v>5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25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25">
      <c r="A29" s="89" t="s">
        <v>238</v>
      </c>
      <c r="B29" s="102">
        <v>7.2</v>
      </c>
      <c r="C29" s="102">
        <v>7.2</v>
      </c>
      <c r="D29" s="102">
        <v>7.2</v>
      </c>
      <c r="E29" s="102">
        <v>7.2</v>
      </c>
      <c r="F29" s="102">
        <v>7.2</v>
      </c>
      <c r="G29" s="102">
        <v>7.2</v>
      </c>
      <c r="H29" s="102">
        <v>7.2</v>
      </c>
      <c r="I29" s="102">
        <v>7.2</v>
      </c>
      <c r="J29" s="102">
        <v>7.2</v>
      </c>
      <c r="K29" s="102">
        <v>7.2</v>
      </c>
      <c r="L29" s="102">
        <v>7.2</v>
      </c>
      <c r="M29" s="102">
        <v>7.2</v>
      </c>
      <c r="N29" s="102">
        <v>7.2</v>
      </c>
      <c r="O29" s="102">
        <v>7.2</v>
      </c>
      <c r="P29" s="102">
        <v>7.2</v>
      </c>
      <c r="Q29" s="102">
        <v>7.2</v>
      </c>
      <c r="R29" s="102">
        <v>7.2</v>
      </c>
      <c r="S29" s="102">
        <v>7.2</v>
      </c>
      <c r="T29" s="102">
        <v>7.2</v>
      </c>
      <c r="U29" s="102">
        <v>7.2</v>
      </c>
      <c r="V29" s="102">
        <v>7.2</v>
      </c>
      <c r="W29" s="102">
        <v>7.2</v>
      </c>
      <c r="X29" s="102">
        <v>7.2</v>
      </c>
      <c r="Y29" s="102">
        <v>7.2</v>
      </c>
      <c r="Z29" s="102">
        <v>7.2</v>
      </c>
      <c r="AA29" s="102">
        <v>7.2</v>
      </c>
      <c r="AB29" s="102">
        <v>7.2</v>
      </c>
      <c r="AC29" s="102">
        <v>7.2</v>
      </c>
      <c r="AD29" s="102">
        <v>7.2</v>
      </c>
      <c r="AE29" s="102">
        <v>7.2</v>
      </c>
      <c r="AF29" s="102">
        <v>7.2</v>
      </c>
      <c r="AG29" s="130">
        <v>25</v>
      </c>
      <c r="AH29" s="12">
        <f t="shared" si="8"/>
        <v>7.2</v>
      </c>
      <c r="AI29" s="11">
        <f t="shared" si="9"/>
        <v>7.2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25">
      <c r="A30" s="89" t="s">
        <v>237</v>
      </c>
      <c r="B30" s="102">
        <v>6.5</v>
      </c>
      <c r="C30" s="102">
        <v>6.5</v>
      </c>
      <c r="D30" s="102">
        <v>6.5</v>
      </c>
      <c r="E30" s="102">
        <v>6.5</v>
      </c>
      <c r="F30" s="102">
        <v>6.5</v>
      </c>
      <c r="G30" s="102">
        <v>6.5</v>
      </c>
      <c r="H30" s="102">
        <v>6.5</v>
      </c>
      <c r="I30" s="102">
        <v>6.5</v>
      </c>
      <c r="J30" s="102">
        <v>6.5</v>
      </c>
      <c r="K30" s="102">
        <v>6.5</v>
      </c>
      <c r="L30" s="102">
        <v>6.5</v>
      </c>
      <c r="M30" s="102">
        <v>6.5</v>
      </c>
      <c r="N30" s="102">
        <v>6.5</v>
      </c>
      <c r="O30" s="102">
        <v>6.5</v>
      </c>
      <c r="P30" s="102">
        <v>6.5</v>
      </c>
      <c r="Q30" s="102">
        <v>6.5</v>
      </c>
      <c r="R30" s="102">
        <v>6.5</v>
      </c>
      <c r="S30" s="102">
        <v>6.5</v>
      </c>
      <c r="T30" s="102">
        <v>6.5</v>
      </c>
      <c r="U30" s="102">
        <v>6.5</v>
      </c>
      <c r="V30" s="102">
        <v>6.5</v>
      </c>
      <c r="W30" s="102">
        <v>6.5</v>
      </c>
      <c r="X30" s="102">
        <v>6.5</v>
      </c>
      <c r="Y30" s="102">
        <v>6.5</v>
      </c>
      <c r="Z30" s="102">
        <v>6.5</v>
      </c>
      <c r="AA30" s="102">
        <v>6.5</v>
      </c>
      <c r="AB30" s="102">
        <v>6.5</v>
      </c>
      <c r="AC30" s="102">
        <v>6.5</v>
      </c>
      <c r="AD30" s="102">
        <v>6.5</v>
      </c>
      <c r="AE30" s="102">
        <v>6.5</v>
      </c>
      <c r="AF30" s="102">
        <v>6.5</v>
      </c>
      <c r="AG30" s="130">
        <v>23.5</v>
      </c>
      <c r="AH30" s="12">
        <f t="shared" si="8"/>
        <v>6.5</v>
      </c>
      <c r="AI30" s="11">
        <f t="shared" si="9"/>
        <v>6.5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25">
      <c r="A31" s="89" t="s">
        <v>236</v>
      </c>
      <c r="B31" s="102">
        <v>3</v>
      </c>
      <c r="C31" s="102">
        <v>3</v>
      </c>
      <c r="D31" s="102">
        <v>3</v>
      </c>
      <c r="E31" s="102">
        <v>3</v>
      </c>
      <c r="F31" s="102">
        <v>3</v>
      </c>
      <c r="G31" s="102">
        <v>3</v>
      </c>
      <c r="H31" s="102">
        <v>3</v>
      </c>
      <c r="I31" s="102">
        <v>3</v>
      </c>
      <c r="J31" s="102">
        <v>3</v>
      </c>
      <c r="K31" s="102">
        <v>3</v>
      </c>
      <c r="L31" s="102">
        <v>3</v>
      </c>
      <c r="M31" s="102">
        <v>3</v>
      </c>
      <c r="N31" s="102">
        <v>3</v>
      </c>
      <c r="O31" s="102">
        <v>3</v>
      </c>
      <c r="P31" s="102">
        <v>3</v>
      </c>
      <c r="Q31" s="102">
        <v>3</v>
      </c>
      <c r="R31" s="102">
        <v>0</v>
      </c>
      <c r="S31" s="102">
        <v>3</v>
      </c>
      <c r="T31" s="102">
        <v>3</v>
      </c>
      <c r="U31" s="102">
        <v>3</v>
      </c>
      <c r="V31" s="102">
        <v>3</v>
      </c>
      <c r="W31" s="102">
        <v>3</v>
      </c>
      <c r="X31" s="102">
        <v>3</v>
      </c>
      <c r="Y31" s="102">
        <v>3</v>
      </c>
      <c r="Z31" s="102">
        <v>3</v>
      </c>
      <c r="AA31" s="102">
        <v>3</v>
      </c>
      <c r="AB31" s="102">
        <v>3</v>
      </c>
      <c r="AC31" s="102">
        <v>3</v>
      </c>
      <c r="AD31" s="102">
        <v>3</v>
      </c>
      <c r="AE31" s="102">
        <v>3</v>
      </c>
      <c r="AF31" s="102">
        <v>3</v>
      </c>
      <c r="AG31" s="130">
        <v>22.2</v>
      </c>
      <c r="AH31" s="12">
        <f t="shared" si="8"/>
        <v>3</v>
      </c>
      <c r="AI31" s="11">
        <f t="shared" si="9"/>
        <v>0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25">
      <c r="A32" s="89" t="s">
        <v>235</v>
      </c>
      <c r="B32" s="102">
        <v>5.5</v>
      </c>
      <c r="C32" s="102">
        <v>5.5</v>
      </c>
      <c r="D32" s="102">
        <v>5.5</v>
      </c>
      <c r="E32" s="102">
        <v>5.5</v>
      </c>
      <c r="F32" s="102">
        <v>5.5</v>
      </c>
      <c r="G32" s="102">
        <v>5.5</v>
      </c>
      <c r="H32" s="102">
        <v>5.5</v>
      </c>
      <c r="I32" s="102">
        <v>5.5</v>
      </c>
      <c r="J32" s="102">
        <v>5.5</v>
      </c>
      <c r="K32" s="102">
        <v>5.5</v>
      </c>
      <c r="L32" s="102">
        <v>5.5</v>
      </c>
      <c r="M32" s="102">
        <v>5.5</v>
      </c>
      <c r="N32" s="102">
        <v>5.5</v>
      </c>
      <c r="O32" s="102">
        <v>5.5</v>
      </c>
      <c r="P32" s="102">
        <v>5.5</v>
      </c>
      <c r="Q32" s="102">
        <v>5.5</v>
      </c>
      <c r="R32" s="102">
        <v>5.5</v>
      </c>
      <c r="S32" s="102">
        <v>5.5</v>
      </c>
      <c r="T32" s="102">
        <v>5.5</v>
      </c>
      <c r="U32" s="102">
        <v>5.5</v>
      </c>
      <c r="V32" s="102">
        <v>5.5</v>
      </c>
      <c r="W32" s="102">
        <v>5.5</v>
      </c>
      <c r="X32" s="102">
        <v>5.5</v>
      </c>
      <c r="Y32" s="102">
        <v>5.5</v>
      </c>
      <c r="Z32" s="102">
        <v>5.5</v>
      </c>
      <c r="AA32" s="102">
        <v>5.5</v>
      </c>
      <c r="AB32" s="102">
        <v>5.5</v>
      </c>
      <c r="AC32" s="102">
        <v>5.5</v>
      </c>
      <c r="AD32" s="102">
        <v>5.5</v>
      </c>
      <c r="AE32" s="102">
        <v>5.5</v>
      </c>
      <c r="AF32" s="102">
        <v>5.5</v>
      </c>
      <c r="AG32" s="130">
        <v>22.1</v>
      </c>
      <c r="AH32" s="12">
        <f t="shared" si="8"/>
        <v>5.5</v>
      </c>
      <c r="AI32" s="11">
        <f t="shared" si="9"/>
        <v>5.5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25">
      <c r="A33" s="89" t="s">
        <v>234</v>
      </c>
      <c r="B33" s="102">
        <v>5</v>
      </c>
      <c r="C33" s="102">
        <v>5</v>
      </c>
      <c r="D33" s="102">
        <v>5</v>
      </c>
      <c r="E33" s="102">
        <v>5</v>
      </c>
      <c r="F33" s="102">
        <v>5</v>
      </c>
      <c r="G33" s="102">
        <v>5</v>
      </c>
      <c r="H33" s="102">
        <v>5</v>
      </c>
      <c r="I33" s="102">
        <v>5</v>
      </c>
      <c r="J33" s="102">
        <v>5</v>
      </c>
      <c r="K33" s="102">
        <v>5</v>
      </c>
      <c r="L33" s="102">
        <v>5</v>
      </c>
      <c r="M33" s="102">
        <v>5</v>
      </c>
      <c r="N33" s="102">
        <v>5</v>
      </c>
      <c r="O33" s="102">
        <v>5</v>
      </c>
      <c r="P33" s="102">
        <v>5</v>
      </c>
      <c r="Q33" s="102">
        <v>5</v>
      </c>
      <c r="R33" s="102">
        <v>5</v>
      </c>
      <c r="S33" s="102">
        <v>5</v>
      </c>
      <c r="T33" s="102">
        <v>5</v>
      </c>
      <c r="U33" s="102">
        <v>5</v>
      </c>
      <c r="V33" s="102">
        <v>5</v>
      </c>
      <c r="W33" s="102">
        <v>5</v>
      </c>
      <c r="X33" s="102">
        <v>5</v>
      </c>
      <c r="Y33" s="102">
        <v>5</v>
      </c>
      <c r="Z33" s="102">
        <v>5</v>
      </c>
      <c r="AA33" s="102">
        <v>5</v>
      </c>
      <c r="AB33" s="102">
        <v>5</v>
      </c>
      <c r="AC33" s="102">
        <v>5</v>
      </c>
      <c r="AD33" s="102">
        <v>5</v>
      </c>
      <c r="AE33" s="102">
        <v>5</v>
      </c>
      <c r="AF33" s="102">
        <v>5</v>
      </c>
      <c r="AG33" s="130">
        <v>22</v>
      </c>
      <c r="AH33" s="12">
        <f t="shared" si="8"/>
        <v>5</v>
      </c>
      <c r="AI33" s="11">
        <f t="shared" si="9"/>
        <v>5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25">
      <c r="A34" s="89" t="s">
        <v>233</v>
      </c>
      <c r="B34" s="102">
        <v>4.2</v>
      </c>
      <c r="C34" s="102">
        <v>4.2</v>
      </c>
      <c r="D34" s="102">
        <v>4.2</v>
      </c>
      <c r="E34" s="102">
        <v>4.2</v>
      </c>
      <c r="F34" s="102">
        <v>4.2</v>
      </c>
      <c r="G34" s="102">
        <v>4.2</v>
      </c>
      <c r="H34" s="102">
        <v>4.2</v>
      </c>
      <c r="I34" s="102">
        <v>4.2</v>
      </c>
      <c r="J34" s="102">
        <v>4.2</v>
      </c>
      <c r="K34" s="102">
        <v>4.2</v>
      </c>
      <c r="L34" s="102">
        <v>4.2</v>
      </c>
      <c r="M34" s="102">
        <v>4.2</v>
      </c>
      <c r="N34" s="102">
        <v>4.2</v>
      </c>
      <c r="O34" s="102">
        <v>4.2</v>
      </c>
      <c r="P34" s="102">
        <v>4.2</v>
      </c>
      <c r="Q34" s="102">
        <v>4.2</v>
      </c>
      <c r="R34" s="102">
        <v>4.2</v>
      </c>
      <c r="S34" s="102">
        <v>4.2</v>
      </c>
      <c r="T34" s="102">
        <v>4.2</v>
      </c>
      <c r="U34" s="102">
        <v>4.2</v>
      </c>
      <c r="V34" s="102">
        <v>4.2</v>
      </c>
      <c r="W34" s="102">
        <v>4.2</v>
      </c>
      <c r="X34" s="102">
        <v>4.2</v>
      </c>
      <c r="Y34" s="102">
        <v>4.2</v>
      </c>
      <c r="Z34" s="102">
        <v>4.2</v>
      </c>
      <c r="AA34" s="102">
        <v>4.2</v>
      </c>
      <c r="AB34" s="102">
        <v>4.2</v>
      </c>
      <c r="AC34" s="102">
        <v>4.2</v>
      </c>
      <c r="AD34" s="102">
        <v>4.2</v>
      </c>
      <c r="AE34" s="102">
        <v>4.2</v>
      </c>
      <c r="AF34" s="102">
        <v>4.2</v>
      </c>
      <c r="AG34" s="130">
        <v>22</v>
      </c>
      <c r="AH34" s="12">
        <f t="shared" si="8"/>
        <v>4.2</v>
      </c>
      <c r="AI34" s="11">
        <f t="shared" si="9"/>
        <v>4.2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25">
      <c r="A35" s="89" t="s">
        <v>232</v>
      </c>
      <c r="B35" s="102">
        <v>4</v>
      </c>
      <c r="C35" s="102">
        <v>4</v>
      </c>
      <c r="D35" s="102">
        <v>4</v>
      </c>
      <c r="E35" s="102">
        <v>4</v>
      </c>
      <c r="F35" s="102">
        <v>4</v>
      </c>
      <c r="G35" s="102">
        <v>4</v>
      </c>
      <c r="H35" s="102">
        <v>4</v>
      </c>
      <c r="I35" s="102">
        <v>4</v>
      </c>
      <c r="J35" s="102">
        <v>4</v>
      </c>
      <c r="K35" s="102">
        <v>4</v>
      </c>
      <c r="L35" s="102">
        <v>4</v>
      </c>
      <c r="M35" s="102">
        <v>4</v>
      </c>
      <c r="N35" s="102">
        <v>4</v>
      </c>
      <c r="O35" s="102">
        <v>4</v>
      </c>
      <c r="P35" s="102">
        <v>4</v>
      </c>
      <c r="Q35" s="102">
        <v>4</v>
      </c>
      <c r="R35" s="102">
        <v>4</v>
      </c>
      <c r="S35" s="102">
        <v>4</v>
      </c>
      <c r="T35" s="102">
        <v>4</v>
      </c>
      <c r="U35" s="102">
        <v>4</v>
      </c>
      <c r="V35" s="102">
        <v>4</v>
      </c>
      <c r="W35" s="102">
        <v>4</v>
      </c>
      <c r="X35" s="102">
        <v>4</v>
      </c>
      <c r="Y35" s="102">
        <v>4</v>
      </c>
      <c r="Z35" s="102">
        <v>4</v>
      </c>
      <c r="AA35" s="102">
        <v>4</v>
      </c>
      <c r="AB35" s="102">
        <v>4</v>
      </c>
      <c r="AC35" s="102">
        <v>4</v>
      </c>
      <c r="AD35" s="102">
        <v>4</v>
      </c>
      <c r="AE35" s="102">
        <v>4</v>
      </c>
      <c r="AF35" s="102">
        <v>4</v>
      </c>
      <c r="AG35" s="130">
        <v>20</v>
      </c>
      <c r="AH35" s="12">
        <f t="shared" si="8"/>
        <v>4</v>
      </c>
      <c r="AI35" s="11">
        <f t="shared" si="9"/>
        <v>4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25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25">
      <c r="A37" s="89" t="s">
        <v>230</v>
      </c>
      <c r="B37" s="102">
        <v>5.7</v>
      </c>
      <c r="C37" s="102">
        <v>5.7</v>
      </c>
      <c r="D37" s="102">
        <v>5.7</v>
      </c>
      <c r="E37" s="102">
        <v>5.7</v>
      </c>
      <c r="F37" s="102">
        <v>5.7</v>
      </c>
      <c r="G37" s="102">
        <v>5.7</v>
      </c>
      <c r="H37" s="102">
        <v>5.7</v>
      </c>
      <c r="I37" s="102">
        <v>5.7</v>
      </c>
      <c r="J37" s="102">
        <v>5.7</v>
      </c>
      <c r="K37" s="102">
        <v>5.7</v>
      </c>
      <c r="L37" s="102">
        <v>5.7</v>
      </c>
      <c r="M37" s="102">
        <v>5.7</v>
      </c>
      <c r="N37" s="102">
        <v>5.7</v>
      </c>
      <c r="O37" s="102">
        <v>5.7</v>
      </c>
      <c r="P37" s="102">
        <v>5.7</v>
      </c>
      <c r="Q37" s="102">
        <v>5.7</v>
      </c>
      <c r="R37" s="102">
        <v>5.7</v>
      </c>
      <c r="S37" s="102">
        <v>5.7</v>
      </c>
      <c r="T37" s="102">
        <v>5.7</v>
      </c>
      <c r="U37" s="102">
        <v>5.7</v>
      </c>
      <c r="V37" s="102">
        <v>5.7</v>
      </c>
      <c r="W37" s="102">
        <v>5.7</v>
      </c>
      <c r="X37" s="102">
        <v>5.7</v>
      </c>
      <c r="Y37" s="102">
        <v>5.7</v>
      </c>
      <c r="Z37" s="102">
        <v>5.7</v>
      </c>
      <c r="AA37" s="102">
        <v>5.7</v>
      </c>
      <c r="AB37" s="102">
        <v>5.7</v>
      </c>
      <c r="AC37" s="102">
        <v>5.7</v>
      </c>
      <c r="AD37" s="102">
        <v>5.7</v>
      </c>
      <c r="AE37" s="102">
        <v>5.7</v>
      </c>
      <c r="AF37" s="102">
        <v>5.7</v>
      </c>
      <c r="AG37" s="130">
        <v>18</v>
      </c>
      <c r="AH37" s="12">
        <f t="shared" si="8"/>
        <v>5.7</v>
      </c>
      <c r="AI37" s="11">
        <f t="shared" si="9"/>
        <v>5.7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25">
      <c r="A38" s="89" t="s">
        <v>229</v>
      </c>
      <c r="B38" s="102">
        <v>7.2</v>
      </c>
      <c r="C38" s="102">
        <v>7.2</v>
      </c>
      <c r="D38" s="102">
        <v>7.2</v>
      </c>
      <c r="E38" s="102">
        <v>7.2</v>
      </c>
      <c r="F38" s="102">
        <v>7.2</v>
      </c>
      <c r="G38" s="102">
        <v>7.2</v>
      </c>
      <c r="H38" s="102">
        <v>7.2</v>
      </c>
      <c r="I38" s="102">
        <v>7.2</v>
      </c>
      <c r="J38" s="102">
        <v>7.2</v>
      </c>
      <c r="K38" s="102">
        <v>7.2</v>
      </c>
      <c r="L38" s="102">
        <v>7.2</v>
      </c>
      <c r="M38" s="102">
        <v>7.2</v>
      </c>
      <c r="N38" s="102">
        <v>7.2</v>
      </c>
      <c r="O38" s="102">
        <v>7.2</v>
      </c>
      <c r="P38" s="102">
        <v>7.2</v>
      </c>
      <c r="Q38" s="102">
        <v>7.2</v>
      </c>
      <c r="R38" s="102">
        <v>7.2</v>
      </c>
      <c r="S38" s="102">
        <v>7.2</v>
      </c>
      <c r="T38" s="102">
        <v>7.2</v>
      </c>
      <c r="U38" s="102">
        <v>7.2</v>
      </c>
      <c r="V38" s="102">
        <v>7.2</v>
      </c>
      <c r="W38" s="102">
        <v>7.2</v>
      </c>
      <c r="X38" s="102">
        <v>7.2</v>
      </c>
      <c r="Y38" s="102">
        <v>7.2</v>
      </c>
      <c r="Z38" s="102">
        <v>7.2</v>
      </c>
      <c r="AA38" s="102">
        <v>7.2</v>
      </c>
      <c r="AB38" s="102">
        <v>7.2</v>
      </c>
      <c r="AC38" s="102">
        <v>7.2</v>
      </c>
      <c r="AD38" s="102">
        <v>7.2</v>
      </c>
      <c r="AE38" s="102">
        <v>7.2</v>
      </c>
      <c r="AF38" s="102">
        <v>7.2</v>
      </c>
      <c r="AG38" s="130">
        <v>14.9</v>
      </c>
      <c r="AH38" s="12">
        <f t="shared" si="8"/>
        <v>7.2</v>
      </c>
      <c r="AI38" s="11">
        <f t="shared" si="9"/>
        <v>7.2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25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25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25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25">
      <c r="A42" s="89" t="s">
        <v>225</v>
      </c>
      <c r="B42" s="102">
        <v>1.8</v>
      </c>
      <c r="C42" s="102">
        <v>1.8</v>
      </c>
      <c r="D42" s="102">
        <v>1.8</v>
      </c>
      <c r="E42" s="102">
        <v>1.8</v>
      </c>
      <c r="F42" s="102">
        <v>1.8</v>
      </c>
      <c r="G42" s="102">
        <v>1.8</v>
      </c>
      <c r="H42" s="102">
        <v>1.8</v>
      </c>
      <c r="I42" s="102">
        <v>1.8</v>
      </c>
      <c r="J42" s="102">
        <v>1.8</v>
      </c>
      <c r="K42" s="102">
        <v>1.8</v>
      </c>
      <c r="L42" s="102">
        <v>1.8</v>
      </c>
      <c r="M42" s="102">
        <v>1.8</v>
      </c>
      <c r="N42" s="102">
        <v>1.8</v>
      </c>
      <c r="O42" s="102">
        <v>1.8</v>
      </c>
      <c r="P42" s="102">
        <v>1.8</v>
      </c>
      <c r="Q42" s="102">
        <v>1.8</v>
      </c>
      <c r="R42" s="102">
        <v>1.8</v>
      </c>
      <c r="S42" s="102">
        <v>1.8</v>
      </c>
      <c r="T42" s="102">
        <v>1.8</v>
      </c>
      <c r="U42" s="102">
        <v>1.8</v>
      </c>
      <c r="V42" s="102">
        <v>1.8</v>
      </c>
      <c r="W42" s="102">
        <v>1.8</v>
      </c>
      <c r="X42" s="102">
        <v>1.8</v>
      </c>
      <c r="Y42" s="102">
        <v>1.8</v>
      </c>
      <c r="Z42" s="102">
        <v>1.8</v>
      </c>
      <c r="AA42" s="102">
        <v>1.8</v>
      </c>
      <c r="AB42" s="102">
        <v>1.8</v>
      </c>
      <c r="AC42" s="102">
        <v>1.8</v>
      </c>
      <c r="AD42" s="102">
        <v>1.8</v>
      </c>
      <c r="AE42" s="102">
        <v>1.8</v>
      </c>
      <c r="AF42" s="102">
        <v>1.8</v>
      </c>
      <c r="AG42" s="130">
        <v>13.6</v>
      </c>
      <c r="AH42" s="12">
        <f t="shared" si="8"/>
        <v>1.8</v>
      </c>
      <c r="AI42" s="11">
        <f t="shared" si="9"/>
        <v>1.8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25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25">
      <c r="A44" s="89" t="s">
        <v>223</v>
      </c>
      <c r="B44" s="102">
        <v>6.4</v>
      </c>
      <c r="C44" s="102">
        <v>6.4</v>
      </c>
      <c r="D44" s="102">
        <v>6.4</v>
      </c>
      <c r="E44" s="102">
        <v>6.4</v>
      </c>
      <c r="F44" s="102">
        <v>6.4</v>
      </c>
      <c r="G44" s="102">
        <v>6.4</v>
      </c>
      <c r="H44" s="102">
        <v>6.4</v>
      </c>
      <c r="I44" s="102">
        <v>6.4</v>
      </c>
      <c r="J44" s="102">
        <v>6.4</v>
      </c>
      <c r="K44" s="102">
        <v>6.4</v>
      </c>
      <c r="L44" s="102">
        <v>6.4</v>
      </c>
      <c r="M44" s="102">
        <v>6.4</v>
      </c>
      <c r="N44" s="102">
        <v>6.4</v>
      </c>
      <c r="O44" s="102">
        <v>6.4</v>
      </c>
      <c r="P44" s="102">
        <v>6.4</v>
      </c>
      <c r="Q44" s="102">
        <v>6.4</v>
      </c>
      <c r="R44" s="102">
        <v>6.4</v>
      </c>
      <c r="S44" s="102">
        <v>6.4</v>
      </c>
      <c r="T44" s="102">
        <v>6.4</v>
      </c>
      <c r="U44" s="102">
        <v>6.4</v>
      </c>
      <c r="V44" s="102">
        <v>6.4</v>
      </c>
      <c r="W44" s="102">
        <v>6.4</v>
      </c>
      <c r="X44" s="102">
        <v>6.4</v>
      </c>
      <c r="Y44" s="102">
        <v>6.4</v>
      </c>
      <c r="Z44" s="102">
        <v>6.4</v>
      </c>
      <c r="AA44" s="102">
        <v>6.4</v>
      </c>
      <c r="AB44" s="102">
        <v>6.4</v>
      </c>
      <c r="AC44" s="102">
        <v>6.4</v>
      </c>
      <c r="AD44" s="102">
        <v>6.4</v>
      </c>
      <c r="AE44" s="102">
        <v>6.4</v>
      </c>
      <c r="AF44" s="102">
        <v>6.4</v>
      </c>
      <c r="AG44" s="130">
        <v>12</v>
      </c>
      <c r="AH44" s="12">
        <f t="shared" si="8"/>
        <v>6.4</v>
      </c>
      <c r="AI44" s="11">
        <f t="shared" si="9"/>
        <v>6.4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25">
      <c r="A45" s="89" t="s">
        <v>222</v>
      </c>
      <c r="B45" s="102">
        <v>9</v>
      </c>
      <c r="C45" s="102">
        <v>9</v>
      </c>
      <c r="D45" s="102">
        <v>9</v>
      </c>
      <c r="E45" s="102">
        <v>9</v>
      </c>
      <c r="F45" s="102">
        <v>9</v>
      </c>
      <c r="G45" s="102">
        <v>9</v>
      </c>
      <c r="H45" s="102">
        <v>9</v>
      </c>
      <c r="I45" s="102">
        <v>9</v>
      </c>
      <c r="J45" s="102">
        <v>9</v>
      </c>
      <c r="K45" s="102">
        <v>9</v>
      </c>
      <c r="L45" s="102">
        <v>9</v>
      </c>
      <c r="M45" s="102">
        <v>9</v>
      </c>
      <c r="N45" s="102">
        <v>9</v>
      </c>
      <c r="O45" s="102">
        <v>9</v>
      </c>
      <c r="P45" s="102">
        <v>9</v>
      </c>
      <c r="Q45" s="102">
        <v>9</v>
      </c>
      <c r="R45" s="102">
        <v>9</v>
      </c>
      <c r="S45" s="102">
        <v>9</v>
      </c>
      <c r="T45" s="102">
        <v>9</v>
      </c>
      <c r="U45" s="102">
        <v>9</v>
      </c>
      <c r="V45" s="102">
        <v>9</v>
      </c>
      <c r="W45" s="102">
        <v>9</v>
      </c>
      <c r="X45" s="102">
        <v>9</v>
      </c>
      <c r="Y45" s="102">
        <v>9</v>
      </c>
      <c r="Z45" s="102">
        <v>9</v>
      </c>
      <c r="AA45" s="102">
        <v>9</v>
      </c>
      <c r="AB45" s="102">
        <v>9</v>
      </c>
      <c r="AC45" s="102">
        <v>9</v>
      </c>
      <c r="AD45" s="102">
        <v>9</v>
      </c>
      <c r="AE45" s="102">
        <v>9</v>
      </c>
      <c r="AF45" s="102">
        <v>9</v>
      </c>
      <c r="AG45" s="130">
        <v>12</v>
      </c>
      <c r="AH45" s="12">
        <f t="shared" si="8"/>
        <v>9</v>
      </c>
      <c r="AI45" s="11">
        <f t="shared" si="9"/>
        <v>9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25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25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25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25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25">
      <c r="A50" s="87" t="s">
        <v>217</v>
      </c>
      <c r="B50" s="102">
        <v>2.5</v>
      </c>
      <c r="C50" s="102">
        <v>2.5</v>
      </c>
      <c r="D50" s="102">
        <v>2.5</v>
      </c>
      <c r="E50" s="102">
        <v>2.5</v>
      </c>
      <c r="F50" s="102">
        <v>2.5</v>
      </c>
      <c r="G50" s="102">
        <v>2.5</v>
      </c>
      <c r="H50" s="102">
        <v>2.5</v>
      </c>
      <c r="I50" s="102">
        <v>2.5</v>
      </c>
      <c r="J50" s="102">
        <v>2.5</v>
      </c>
      <c r="K50" s="102">
        <v>2.5</v>
      </c>
      <c r="L50" s="102">
        <v>2.5</v>
      </c>
      <c r="M50" s="102">
        <v>2.5</v>
      </c>
      <c r="N50" s="102">
        <v>2.5</v>
      </c>
      <c r="O50" s="102">
        <v>2.5</v>
      </c>
      <c r="P50" s="102">
        <v>2.5</v>
      </c>
      <c r="Q50" s="102">
        <v>2.5</v>
      </c>
      <c r="R50" s="102">
        <v>2.5</v>
      </c>
      <c r="S50" s="102">
        <v>2.5</v>
      </c>
      <c r="T50" s="102">
        <v>2.5</v>
      </c>
      <c r="U50" s="102">
        <v>2.5</v>
      </c>
      <c r="V50" s="102">
        <v>2.5</v>
      </c>
      <c r="W50" s="102">
        <v>2.5</v>
      </c>
      <c r="X50" s="102">
        <v>2.5</v>
      </c>
      <c r="Y50" s="102">
        <v>2.5</v>
      </c>
      <c r="Z50" s="102">
        <v>2.5</v>
      </c>
      <c r="AA50" s="102">
        <v>2.5</v>
      </c>
      <c r="AB50" s="102">
        <v>2.5</v>
      </c>
      <c r="AC50" s="102">
        <v>2.5</v>
      </c>
      <c r="AD50" s="102">
        <v>2.5</v>
      </c>
      <c r="AE50" s="102">
        <v>2.5</v>
      </c>
      <c r="AF50" s="102">
        <v>2.5</v>
      </c>
      <c r="AG50" s="86">
        <v>11</v>
      </c>
      <c r="AH50" s="12">
        <f t="shared" ref="AH50:AH81" si="22">MAX(B50:AF50)</f>
        <v>2.5</v>
      </c>
      <c r="AI50" s="11">
        <f t="shared" ref="AI50:AI81" si="23">MIN(B50:AF50)</f>
        <v>2.5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25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22"/>
        <v>3</v>
      </c>
      <c r="AI51" s="11">
        <f t="shared" si="23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25">
      <c r="A52" s="87" t="s">
        <v>215</v>
      </c>
      <c r="B52" s="102">
        <v>4</v>
      </c>
      <c r="C52" s="102">
        <v>4</v>
      </c>
      <c r="D52" s="102">
        <v>4</v>
      </c>
      <c r="E52" s="102">
        <v>4</v>
      </c>
      <c r="F52" s="102">
        <v>4</v>
      </c>
      <c r="G52" s="102">
        <v>4</v>
      </c>
      <c r="H52" s="102">
        <v>4</v>
      </c>
      <c r="I52" s="102">
        <v>4</v>
      </c>
      <c r="J52" s="102">
        <v>4</v>
      </c>
      <c r="K52" s="102">
        <v>4</v>
      </c>
      <c r="L52" s="102">
        <v>4</v>
      </c>
      <c r="M52" s="102">
        <v>4</v>
      </c>
      <c r="N52" s="102">
        <v>4</v>
      </c>
      <c r="O52" s="102">
        <v>4</v>
      </c>
      <c r="P52" s="102">
        <v>4</v>
      </c>
      <c r="Q52" s="102">
        <v>4</v>
      </c>
      <c r="R52" s="102">
        <v>4</v>
      </c>
      <c r="S52" s="102">
        <v>4</v>
      </c>
      <c r="T52" s="102">
        <v>4</v>
      </c>
      <c r="U52" s="102">
        <v>4</v>
      </c>
      <c r="V52" s="102">
        <v>4</v>
      </c>
      <c r="W52" s="102">
        <v>4</v>
      </c>
      <c r="X52" s="102">
        <v>4</v>
      </c>
      <c r="Y52" s="102">
        <v>4</v>
      </c>
      <c r="Z52" s="102">
        <v>4</v>
      </c>
      <c r="AA52" s="102">
        <v>4</v>
      </c>
      <c r="AB52" s="102">
        <v>4</v>
      </c>
      <c r="AC52" s="102">
        <v>4</v>
      </c>
      <c r="AD52" s="102">
        <v>4</v>
      </c>
      <c r="AE52" s="102">
        <v>4</v>
      </c>
      <c r="AF52" s="102">
        <v>4</v>
      </c>
      <c r="AG52" s="86">
        <v>10</v>
      </c>
      <c r="AH52" s="12">
        <f t="shared" si="22"/>
        <v>4</v>
      </c>
      <c r="AI52" s="11">
        <f t="shared" si="23"/>
        <v>4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25">
      <c r="A53" s="87" t="s">
        <v>214</v>
      </c>
      <c r="B53" s="102">
        <v>4.5</v>
      </c>
      <c r="C53" s="102">
        <v>4.5</v>
      </c>
      <c r="D53" s="102">
        <v>4.5</v>
      </c>
      <c r="E53" s="102">
        <v>4.5</v>
      </c>
      <c r="F53" s="102">
        <v>4.5</v>
      </c>
      <c r="G53" s="102">
        <v>4.5</v>
      </c>
      <c r="H53" s="102">
        <v>4.5</v>
      </c>
      <c r="I53" s="102">
        <v>4.5</v>
      </c>
      <c r="J53" s="102">
        <v>4.5</v>
      </c>
      <c r="K53" s="102">
        <v>4.5</v>
      </c>
      <c r="L53" s="102">
        <v>4.5</v>
      </c>
      <c r="M53" s="102">
        <v>4.5</v>
      </c>
      <c r="N53" s="102">
        <v>4.5</v>
      </c>
      <c r="O53" s="102">
        <v>4.5</v>
      </c>
      <c r="P53" s="102">
        <v>4.5</v>
      </c>
      <c r="Q53" s="102">
        <v>4.5</v>
      </c>
      <c r="R53" s="102">
        <v>4.5</v>
      </c>
      <c r="S53" s="102">
        <v>4.5</v>
      </c>
      <c r="T53" s="102">
        <v>4.5</v>
      </c>
      <c r="U53" s="102">
        <v>4.5</v>
      </c>
      <c r="V53" s="102">
        <v>4.5</v>
      </c>
      <c r="W53" s="102">
        <v>4.5</v>
      </c>
      <c r="X53" s="102">
        <v>4.5</v>
      </c>
      <c r="Y53" s="102">
        <v>4.5</v>
      </c>
      <c r="Z53" s="102">
        <v>4.5</v>
      </c>
      <c r="AA53" s="102">
        <v>4.5</v>
      </c>
      <c r="AB53" s="102">
        <v>4.5</v>
      </c>
      <c r="AC53" s="102">
        <v>4.5</v>
      </c>
      <c r="AD53" s="102">
        <v>4.5</v>
      </c>
      <c r="AE53" s="102">
        <v>4.5</v>
      </c>
      <c r="AF53" s="102">
        <v>4.5</v>
      </c>
      <c r="AG53" s="86">
        <v>10</v>
      </c>
      <c r="AH53" s="12">
        <f t="shared" si="22"/>
        <v>4.5</v>
      </c>
      <c r="AI53" s="11">
        <f t="shared" si="23"/>
        <v>4.5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25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22"/>
        <v>0</v>
      </c>
      <c r="AI54" s="11">
        <f t="shared" si="23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25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22"/>
        <v>0</v>
      </c>
      <c r="AI55" s="11">
        <f t="shared" si="23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25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22"/>
        <v>150</v>
      </c>
      <c r="AI56" s="11">
        <f t="shared" si="23"/>
        <v>150</v>
      </c>
      <c r="AK56" s="19"/>
    </row>
    <row r="57" spans="1:88" ht="15.75" thickBot="1" x14ac:dyDescent="0.3">
      <c r="A57" s="124" t="s">
        <v>210</v>
      </c>
      <c r="B57" s="122"/>
      <c r="C57" s="122"/>
      <c r="D57" s="122"/>
      <c r="E57" s="122"/>
      <c r="F57" s="122"/>
      <c r="G57" s="122"/>
      <c r="H57" s="122"/>
      <c r="I57" s="122"/>
      <c r="J57" s="122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2"/>
      <c r="Z57" s="122"/>
      <c r="AA57" s="122"/>
      <c r="AB57" s="122"/>
      <c r="AC57" s="122"/>
      <c r="AD57" s="122"/>
      <c r="AE57" s="122"/>
      <c r="AF57" s="122"/>
      <c r="AG57" s="86">
        <v>240</v>
      </c>
      <c r="AH57" s="12">
        <f t="shared" si="22"/>
        <v>0</v>
      </c>
      <c r="AI57" s="11">
        <f t="shared" si="23"/>
        <v>0</v>
      </c>
      <c r="AK57" s="19"/>
    </row>
    <row r="58" spans="1:88" ht="15.75" thickBot="1" x14ac:dyDescent="0.3">
      <c r="A58" s="121" t="s">
        <v>209</v>
      </c>
      <c r="B58" s="76">
        <f t="shared" ref="B58:AF58" si="24">SUM(B11:B56)</f>
        <v>466.9</v>
      </c>
      <c r="C58" s="76">
        <f t="shared" si="24"/>
        <v>466.9</v>
      </c>
      <c r="D58" s="76">
        <f t="shared" si="24"/>
        <v>466.9</v>
      </c>
      <c r="E58" s="76">
        <f t="shared" si="24"/>
        <v>466.9</v>
      </c>
      <c r="F58" s="76">
        <f t="shared" si="24"/>
        <v>466.9</v>
      </c>
      <c r="G58" s="76">
        <f t="shared" si="24"/>
        <v>466.9</v>
      </c>
      <c r="H58" s="76">
        <f t="shared" si="24"/>
        <v>466.9</v>
      </c>
      <c r="I58" s="76">
        <f t="shared" si="24"/>
        <v>466.9</v>
      </c>
      <c r="J58" s="76">
        <f t="shared" si="24"/>
        <v>466.9</v>
      </c>
      <c r="K58" s="76">
        <f t="shared" si="24"/>
        <v>466.9</v>
      </c>
      <c r="L58" s="76">
        <f t="shared" si="24"/>
        <v>466.9</v>
      </c>
      <c r="M58" s="76">
        <f t="shared" si="24"/>
        <v>466.9</v>
      </c>
      <c r="N58" s="76">
        <f t="shared" si="24"/>
        <v>466</v>
      </c>
      <c r="O58" s="76">
        <f t="shared" si="24"/>
        <v>465.5</v>
      </c>
      <c r="P58" s="76">
        <f t="shared" si="24"/>
        <v>463.59999999999997</v>
      </c>
      <c r="Q58" s="76">
        <f t="shared" si="24"/>
        <v>463.59999999999997</v>
      </c>
      <c r="R58" s="76">
        <f t="shared" si="24"/>
        <v>460.59999999999997</v>
      </c>
      <c r="S58" s="76">
        <f t="shared" si="24"/>
        <v>463.59999999999997</v>
      </c>
      <c r="T58" s="76">
        <f t="shared" si="24"/>
        <v>463.59999999999997</v>
      </c>
      <c r="U58" s="76">
        <f t="shared" si="24"/>
        <v>463.59999999999997</v>
      </c>
      <c r="V58" s="76">
        <f t="shared" si="24"/>
        <v>463.59999999999997</v>
      </c>
      <c r="W58" s="76">
        <f t="shared" si="24"/>
        <v>463.59999999999997</v>
      </c>
      <c r="X58" s="76">
        <f t="shared" si="24"/>
        <v>463.59999999999997</v>
      </c>
      <c r="Y58" s="76">
        <f t="shared" si="24"/>
        <v>463.59999999999997</v>
      </c>
      <c r="Z58" s="76">
        <f t="shared" si="24"/>
        <v>463.59999999999997</v>
      </c>
      <c r="AA58" s="76">
        <f t="shared" si="24"/>
        <v>463.59999999999997</v>
      </c>
      <c r="AB58" s="76">
        <f t="shared" si="24"/>
        <v>463.59999999999997</v>
      </c>
      <c r="AC58" s="76">
        <f t="shared" si="24"/>
        <v>463.59999999999997</v>
      </c>
      <c r="AD58" s="76">
        <f t="shared" si="24"/>
        <v>463.59999999999997</v>
      </c>
      <c r="AE58" s="76">
        <f t="shared" si="24"/>
        <v>463.59999999999997</v>
      </c>
      <c r="AF58" s="76">
        <f t="shared" si="24"/>
        <v>463.59999999999997</v>
      </c>
      <c r="AG58" s="93">
        <f>SUM(AG14:AG56)</f>
        <v>1042.4000000000001</v>
      </c>
      <c r="AH58" s="12">
        <f t="shared" si="22"/>
        <v>466.9</v>
      </c>
      <c r="AI58" s="11">
        <f t="shared" si="23"/>
        <v>460.59999999999997</v>
      </c>
      <c r="AK58" s="19"/>
    </row>
    <row r="59" spans="1:88" x14ac:dyDescent="0.25">
      <c r="A59" s="120" t="s">
        <v>208</v>
      </c>
      <c r="B59" s="102">
        <v>70</v>
      </c>
      <c r="C59" s="102">
        <v>70</v>
      </c>
      <c r="D59" s="102">
        <v>70</v>
      </c>
      <c r="E59" s="102">
        <v>60</v>
      </c>
      <c r="F59" s="102">
        <v>60</v>
      </c>
      <c r="G59" s="102">
        <v>60</v>
      </c>
      <c r="H59" s="102">
        <v>80</v>
      </c>
      <c r="I59" s="102">
        <v>110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19">
        <v>0</v>
      </c>
      <c r="X59" s="119">
        <v>0</v>
      </c>
      <c r="Y59" s="119">
        <v>380</v>
      </c>
      <c r="Z59" s="102">
        <v>440</v>
      </c>
      <c r="AA59" s="102">
        <v>310</v>
      </c>
      <c r="AB59" s="102">
        <v>200</v>
      </c>
      <c r="AC59" s="102">
        <v>200</v>
      </c>
      <c r="AD59" s="102">
        <v>170</v>
      </c>
      <c r="AE59" s="102">
        <v>112</v>
      </c>
      <c r="AF59" s="102">
        <v>95</v>
      </c>
      <c r="AG59" s="88">
        <v>456</v>
      </c>
      <c r="AH59" s="12">
        <f t="shared" si="22"/>
        <v>440</v>
      </c>
      <c r="AI59" s="11">
        <f t="shared" si="23"/>
        <v>0</v>
      </c>
      <c r="AK59" s="19"/>
    </row>
    <row r="60" spans="1:88" x14ac:dyDescent="0.25">
      <c r="A60" s="118" t="s">
        <v>207</v>
      </c>
      <c r="B60" s="70">
        <v>22</v>
      </c>
      <c r="C60" s="70">
        <v>22</v>
      </c>
      <c r="D60" s="70">
        <v>22</v>
      </c>
      <c r="E60" s="70">
        <v>22</v>
      </c>
      <c r="F60" s="70">
        <v>22</v>
      </c>
      <c r="G60" s="70">
        <v>22</v>
      </c>
      <c r="H60" s="70">
        <v>22</v>
      </c>
      <c r="I60" s="70">
        <v>22</v>
      </c>
      <c r="J60" s="70">
        <v>22</v>
      </c>
      <c r="K60" s="70">
        <v>22</v>
      </c>
      <c r="L60" s="70">
        <v>22</v>
      </c>
      <c r="M60" s="70">
        <v>22.9</v>
      </c>
      <c r="N60" s="70">
        <v>22.9</v>
      </c>
      <c r="O60" s="70">
        <v>22.9</v>
      </c>
      <c r="P60" s="70">
        <v>23.4</v>
      </c>
      <c r="Q60" s="70">
        <v>23.1</v>
      </c>
      <c r="R60" s="70">
        <v>21.9</v>
      </c>
      <c r="S60" s="70">
        <v>21.9</v>
      </c>
      <c r="T60" s="70">
        <v>21.9</v>
      </c>
      <c r="U60" s="70">
        <v>21.9</v>
      </c>
      <c r="V60" s="70">
        <v>21.9</v>
      </c>
      <c r="W60" s="70">
        <v>21.9</v>
      </c>
      <c r="X60" s="70">
        <v>21.9</v>
      </c>
      <c r="Y60" s="70">
        <v>21.9</v>
      </c>
      <c r="Z60" s="70">
        <v>21.9</v>
      </c>
      <c r="AA60" s="70">
        <v>21.9</v>
      </c>
      <c r="AB60" s="70">
        <v>21.9</v>
      </c>
      <c r="AC60" s="70">
        <v>21.9</v>
      </c>
      <c r="AD60" s="70">
        <v>21.9</v>
      </c>
      <c r="AE60" s="70">
        <v>21.9</v>
      </c>
      <c r="AF60" s="70">
        <v>21.9</v>
      </c>
      <c r="AG60" s="86">
        <v>60</v>
      </c>
      <c r="AH60" s="12">
        <f t="shared" si="22"/>
        <v>23.4</v>
      </c>
      <c r="AI60" s="11">
        <f t="shared" si="23"/>
        <v>21.9</v>
      </c>
      <c r="AK60" s="19"/>
    </row>
    <row r="61" spans="1:88" ht="15.75" thickBot="1" x14ac:dyDescent="0.3">
      <c r="A61" s="117" t="s">
        <v>206</v>
      </c>
      <c r="B61" s="110">
        <v>10</v>
      </c>
      <c r="C61" s="110">
        <v>10</v>
      </c>
      <c r="D61" s="110">
        <v>10</v>
      </c>
      <c r="E61" s="110">
        <v>10</v>
      </c>
      <c r="F61" s="110">
        <v>10</v>
      </c>
      <c r="G61" s="110">
        <v>10</v>
      </c>
      <c r="H61" s="110">
        <v>10</v>
      </c>
      <c r="I61" s="110">
        <v>12.2</v>
      </c>
      <c r="J61" s="110">
        <v>12.2</v>
      </c>
      <c r="K61" s="110">
        <v>12.2</v>
      </c>
      <c r="L61" s="110">
        <v>12.2</v>
      </c>
      <c r="M61" s="110">
        <v>12</v>
      </c>
      <c r="N61" s="110">
        <v>10.3</v>
      </c>
      <c r="O61" s="110">
        <v>10.3</v>
      </c>
      <c r="P61" s="110">
        <v>10.3</v>
      </c>
      <c r="Q61" s="110">
        <v>10.3</v>
      </c>
      <c r="R61" s="110">
        <v>14</v>
      </c>
      <c r="S61" s="110">
        <v>14</v>
      </c>
      <c r="T61" s="110">
        <v>14</v>
      </c>
      <c r="U61" s="110">
        <v>14</v>
      </c>
      <c r="V61" s="110">
        <v>14</v>
      </c>
      <c r="W61" s="110">
        <v>14</v>
      </c>
      <c r="X61" s="110">
        <v>14</v>
      </c>
      <c r="Y61" s="110">
        <v>14</v>
      </c>
      <c r="Z61" s="110">
        <v>12.1</v>
      </c>
      <c r="AA61" s="110">
        <v>12.1</v>
      </c>
      <c r="AB61" s="110">
        <v>12.1</v>
      </c>
      <c r="AC61" s="110">
        <v>12.1</v>
      </c>
      <c r="AD61" s="110">
        <v>12.1</v>
      </c>
      <c r="AE61" s="110">
        <v>12.1</v>
      </c>
      <c r="AF61" s="110">
        <v>12.1</v>
      </c>
      <c r="AG61" s="109">
        <v>22.1</v>
      </c>
      <c r="AH61" s="12">
        <f t="shared" si="22"/>
        <v>14</v>
      </c>
      <c r="AI61" s="11">
        <f t="shared" si="23"/>
        <v>10</v>
      </c>
      <c r="AK61" s="19"/>
    </row>
    <row r="62" spans="1:88" ht="15.75" thickBot="1" x14ac:dyDescent="0.3">
      <c r="A62" s="116" t="s">
        <v>205</v>
      </c>
      <c r="B62" s="76">
        <f t="shared" ref="B62:AG62" si="25">SUM(B59:B61)</f>
        <v>102</v>
      </c>
      <c r="C62" s="76">
        <f t="shared" si="25"/>
        <v>102</v>
      </c>
      <c r="D62" s="76">
        <f t="shared" si="25"/>
        <v>102</v>
      </c>
      <c r="E62" s="76">
        <f t="shared" si="25"/>
        <v>92</v>
      </c>
      <c r="F62" s="76">
        <f t="shared" si="25"/>
        <v>92</v>
      </c>
      <c r="G62" s="76">
        <f t="shared" si="25"/>
        <v>92</v>
      </c>
      <c r="H62" s="76">
        <f t="shared" si="25"/>
        <v>112</v>
      </c>
      <c r="I62" s="76">
        <f t="shared" si="25"/>
        <v>144.19999999999999</v>
      </c>
      <c r="J62" s="76">
        <f t="shared" si="25"/>
        <v>34.200000000000003</v>
      </c>
      <c r="K62" s="76">
        <f t="shared" si="25"/>
        <v>34.200000000000003</v>
      </c>
      <c r="L62" s="76">
        <f t="shared" si="25"/>
        <v>34.200000000000003</v>
      </c>
      <c r="M62" s="76">
        <f t="shared" si="25"/>
        <v>34.9</v>
      </c>
      <c r="N62" s="76">
        <f t="shared" si="25"/>
        <v>33.200000000000003</v>
      </c>
      <c r="O62" s="76">
        <f t="shared" si="25"/>
        <v>33.200000000000003</v>
      </c>
      <c r="P62" s="76">
        <f t="shared" si="25"/>
        <v>33.700000000000003</v>
      </c>
      <c r="Q62" s="76">
        <f t="shared" si="25"/>
        <v>33.400000000000006</v>
      </c>
      <c r="R62" s="76">
        <f t="shared" si="25"/>
        <v>35.9</v>
      </c>
      <c r="S62" s="76">
        <f t="shared" si="25"/>
        <v>35.9</v>
      </c>
      <c r="T62" s="76">
        <f t="shared" si="25"/>
        <v>35.9</v>
      </c>
      <c r="U62" s="76">
        <f t="shared" si="25"/>
        <v>35.9</v>
      </c>
      <c r="V62" s="76">
        <f t="shared" si="25"/>
        <v>35.9</v>
      </c>
      <c r="W62" s="76">
        <f t="shared" si="25"/>
        <v>35.9</v>
      </c>
      <c r="X62" s="76">
        <f t="shared" si="25"/>
        <v>35.9</v>
      </c>
      <c r="Y62" s="76">
        <f t="shared" si="25"/>
        <v>415.9</v>
      </c>
      <c r="Z62" s="76">
        <f t="shared" si="25"/>
        <v>474</v>
      </c>
      <c r="AA62" s="76">
        <f t="shared" si="25"/>
        <v>344</v>
      </c>
      <c r="AB62" s="76">
        <f t="shared" si="25"/>
        <v>234</v>
      </c>
      <c r="AC62" s="76">
        <f t="shared" si="25"/>
        <v>234</v>
      </c>
      <c r="AD62" s="76">
        <f t="shared" si="25"/>
        <v>204</v>
      </c>
      <c r="AE62" s="76">
        <f t="shared" si="25"/>
        <v>146</v>
      </c>
      <c r="AF62" s="76">
        <f t="shared" si="25"/>
        <v>129</v>
      </c>
      <c r="AG62" s="93">
        <f t="shared" si="25"/>
        <v>538.1</v>
      </c>
      <c r="AH62" s="12">
        <f t="shared" si="22"/>
        <v>474</v>
      </c>
      <c r="AI62" s="11">
        <f t="shared" si="23"/>
        <v>33.200000000000003</v>
      </c>
      <c r="AK62" s="19"/>
    </row>
    <row r="63" spans="1:88" x14ac:dyDescent="0.25">
      <c r="A63" s="89" t="s">
        <v>204</v>
      </c>
      <c r="B63" s="102">
        <v>48</v>
      </c>
      <c r="C63" s="102">
        <v>40</v>
      </c>
      <c r="D63" s="102">
        <v>32</v>
      </c>
      <c r="E63" s="102">
        <v>32</v>
      </c>
      <c r="F63" s="102">
        <v>40</v>
      </c>
      <c r="G63" s="102">
        <v>47</v>
      </c>
      <c r="H63" s="102">
        <v>65</v>
      </c>
      <c r="I63" s="102">
        <v>95</v>
      </c>
      <c r="J63" s="102">
        <v>49</v>
      </c>
      <c r="K63" s="102">
        <v>28.1</v>
      </c>
      <c r="L63" s="102">
        <v>28.1</v>
      </c>
      <c r="M63" s="102">
        <v>29</v>
      </c>
      <c r="N63" s="102">
        <v>29</v>
      </c>
      <c r="O63" s="102">
        <v>28.7</v>
      </c>
      <c r="P63" s="102">
        <v>28.2</v>
      </c>
      <c r="Q63" s="102">
        <v>27.9</v>
      </c>
      <c r="R63" s="102">
        <v>28.3</v>
      </c>
      <c r="S63" s="102">
        <v>40.700000000000003</v>
      </c>
      <c r="T63" s="102">
        <v>40.700000000000003</v>
      </c>
      <c r="U63" s="102">
        <v>40.700000000000003</v>
      </c>
      <c r="V63" s="102">
        <v>48</v>
      </c>
      <c r="W63" s="102">
        <v>48</v>
      </c>
      <c r="X63" s="102">
        <v>48</v>
      </c>
      <c r="Y63" s="102">
        <v>145</v>
      </c>
      <c r="Z63" s="102">
        <v>145</v>
      </c>
      <c r="AA63" s="102">
        <v>145</v>
      </c>
      <c r="AB63" s="102">
        <v>145</v>
      </c>
      <c r="AC63" s="102">
        <v>145</v>
      </c>
      <c r="AD63" s="102">
        <v>135.80000000000001</v>
      </c>
      <c r="AE63" s="102">
        <v>135.80000000000001</v>
      </c>
      <c r="AF63" s="102">
        <v>102.8</v>
      </c>
      <c r="AG63" s="88">
        <v>144</v>
      </c>
      <c r="AH63" s="12">
        <f t="shared" si="22"/>
        <v>145</v>
      </c>
      <c r="AI63" s="11">
        <f t="shared" si="23"/>
        <v>27.9</v>
      </c>
      <c r="AK63" s="19"/>
    </row>
    <row r="64" spans="1:88" x14ac:dyDescent="0.25">
      <c r="A64" s="87" t="s">
        <v>203</v>
      </c>
      <c r="B64" s="70">
        <v>35</v>
      </c>
      <c r="C64" s="70">
        <v>23</v>
      </c>
      <c r="D64" s="70">
        <v>23</v>
      </c>
      <c r="E64" s="70">
        <v>23</v>
      </c>
      <c r="F64" s="70">
        <v>0</v>
      </c>
      <c r="G64" s="70">
        <v>25</v>
      </c>
      <c r="H64" s="70">
        <v>34</v>
      </c>
      <c r="I64" s="70">
        <v>34</v>
      </c>
      <c r="J64" s="70">
        <v>25</v>
      </c>
      <c r="K64" s="70">
        <v>25</v>
      </c>
      <c r="L64" s="70">
        <v>25</v>
      </c>
      <c r="M64" s="70">
        <v>25</v>
      </c>
      <c r="N64" s="70">
        <v>25</v>
      </c>
      <c r="O64" s="70">
        <v>24.7</v>
      </c>
      <c r="P64" s="70">
        <v>0</v>
      </c>
      <c r="Q64" s="70">
        <v>0</v>
      </c>
      <c r="R64" s="70">
        <v>0</v>
      </c>
      <c r="S64" s="70">
        <v>0</v>
      </c>
      <c r="T64" s="70">
        <v>0</v>
      </c>
      <c r="U64" s="70">
        <v>0</v>
      </c>
      <c r="V64" s="70">
        <v>24.9</v>
      </c>
      <c r="W64" s="70">
        <v>24.9</v>
      </c>
      <c r="X64" s="70">
        <v>24.9</v>
      </c>
      <c r="Y64" s="70">
        <v>70.400000000000006</v>
      </c>
      <c r="Z64" s="102">
        <v>70.400000000000006</v>
      </c>
      <c r="AA64" s="102">
        <v>70.400000000000006</v>
      </c>
      <c r="AB64" s="102">
        <v>70.400000000000006</v>
      </c>
      <c r="AC64" s="102">
        <v>71.400000000000006</v>
      </c>
      <c r="AD64" s="102">
        <v>71.400000000000006</v>
      </c>
      <c r="AE64" s="102">
        <v>71.400000000000006</v>
      </c>
      <c r="AF64" s="102">
        <v>51.5</v>
      </c>
      <c r="AG64" s="86">
        <v>70</v>
      </c>
      <c r="AH64" s="12">
        <f t="shared" si="22"/>
        <v>71.400000000000006</v>
      </c>
      <c r="AI64" s="11">
        <f t="shared" si="23"/>
        <v>0</v>
      </c>
      <c r="AK64" s="19"/>
    </row>
    <row r="65" spans="1:75" x14ac:dyDescent="0.25">
      <c r="A65" s="87" t="s">
        <v>202</v>
      </c>
      <c r="B65" s="70">
        <v>34</v>
      </c>
      <c r="C65" s="70">
        <v>34</v>
      </c>
      <c r="D65" s="70">
        <v>34</v>
      </c>
      <c r="E65" s="70">
        <v>34</v>
      </c>
      <c r="F65" s="70">
        <v>34</v>
      </c>
      <c r="G65" s="70">
        <v>45.1</v>
      </c>
      <c r="H65" s="70">
        <v>45.1</v>
      </c>
      <c r="I65" s="70">
        <v>45.1</v>
      </c>
      <c r="J65" s="70">
        <v>31</v>
      </c>
      <c r="K65" s="70">
        <v>31</v>
      </c>
      <c r="L65" s="70">
        <v>31</v>
      </c>
      <c r="M65" s="70">
        <v>16.8</v>
      </c>
      <c r="N65" s="70">
        <v>16.399999999999999</v>
      </c>
      <c r="O65" s="70">
        <v>16.3</v>
      </c>
      <c r="P65" s="70">
        <v>0</v>
      </c>
      <c r="Q65" s="70">
        <v>0</v>
      </c>
      <c r="R65" s="70">
        <v>0</v>
      </c>
      <c r="S65" s="70">
        <v>0</v>
      </c>
      <c r="T65" s="70">
        <v>0</v>
      </c>
      <c r="U65" s="70">
        <v>0</v>
      </c>
      <c r="V65" s="70">
        <v>0</v>
      </c>
      <c r="W65" s="70">
        <v>0</v>
      </c>
      <c r="X65" s="70">
        <v>0</v>
      </c>
      <c r="Y65" s="70">
        <v>45.4</v>
      </c>
      <c r="Z65" s="102">
        <v>67.599999999999994</v>
      </c>
      <c r="AA65" s="102">
        <v>67.599999999999994</v>
      </c>
      <c r="AB65" s="102">
        <v>67.599999999999994</v>
      </c>
      <c r="AC65" s="102">
        <v>68.599999999999994</v>
      </c>
      <c r="AD65" s="102">
        <v>68.599999999999994</v>
      </c>
      <c r="AE65" s="102">
        <v>57.5</v>
      </c>
      <c r="AF65" s="102">
        <v>54.8</v>
      </c>
      <c r="AG65" s="86">
        <v>69</v>
      </c>
      <c r="AH65" s="12">
        <f t="shared" si="22"/>
        <v>68.599999999999994</v>
      </c>
      <c r="AI65" s="11">
        <f t="shared" si="23"/>
        <v>0</v>
      </c>
      <c r="AK65" s="19"/>
    </row>
    <row r="66" spans="1:75" x14ac:dyDescent="0.25">
      <c r="A66" s="87" t="s">
        <v>201</v>
      </c>
      <c r="B66" s="70">
        <v>36</v>
      </c>
      <c r="C66" s="70">
        <v>36</v>
      </c>
      <c r="D66" s="70">
        <v>36</v>
      </c>
      <c r="E66" s="70">
        <v>36</v>
      </c>
      <c r="F66" s="70">
        <v>36</v>
      </c>
      <c r="G66" s="70">
        <v>36</v>
      </c>
      <c r="H66" s="70">
        <v>36</v>
      </c>
      <c r="I66" s="70">
        <v>36</v>
      </c>
      <c r="J66" s="70">
        <v>36</v>
      </c>
      <c r="K66" s="70">
        <v>36</v>
      </c>
      <c r="L66" s="70">
        <v>36</v>
      </c>
      <c r="M66" s="70">
        <v>37.299999999999997</v>
      </c>
      <c r="N66" s="70">
        <v>37.299999999999997</v>
      </c>
      <c r="O66" s="70">
        <v>37.299999999999997</v>
      </c>
      <c r="P66" s="70">
        <v>36.299999999999997</v>
      </c>
      <c r="Q66" s="70">
        <v>36.299999999999997</v>
      </c>
      <c r="R66" s="70">
        <v>36.299999999999997</v>
      </c>
      <c r="S66" s="70">
        <v>36.299999999999997</v>
      </c>
      <c r="T66" s="70">
        <v>36.299999999999997</v>
      </c>
      <c r="U66" s="70">
        <v>36.299999999999997</v>
      </c>
      <c r="V66" s="70">
        <v>36.299999999999997</v>
      </c>
      <c r="W66" s="70">
        <v>36.299999999999997</v>
      </c>
      <c r="X66" s="70">
        <v>36.299999999999997</v>
      </c>
      <c r="Y66" s="70">
        <v>36.299999999999997</v>
      </c>
      <c r="Z66" s="102">
        <v>36.299999999999997</v>
      </c>
      <c r="AA66" s="102">
        <v>36.299999999999997</v>
      </c>
      <c r="AB66" s="102">
        <v>36.299999999999997</v>
      </c>
      <c r="AC66" s="102">
        <v>36.299999999999997</v>
      </c>
      <c r="AD66" s="102">
        <v>36.299999999999997</v>
      </c>
      <c r="AE66" s="102">
        <v>36.299999999999997</v>
      </c>
      <c r="AF66" s="102">
        <v>36</v>
      </c>
      <c r="AG66" s="86">
        <v>60</v>
      </c>
      <c r="AH66" s="12">
        <f t="shared" si="22"/>
        <v>37.299999999999997</v>
      </c>
      <c r="AI66" s="11">
        <f t="shared" si="23"/>
        <v>36</v>
      </c>
      <c r="AK66" s="19"/>
    </row>
    <row r="67" spans="1:75" x14ac:dyDescent="0.25">
      <c r="A67" s="87" t="s">
        <v>200</v>
      </c>
      <c r="B67" s="102">
        <v>0</v>
      </c>
      <c r="C67" s="102">
        <v>0</v>
      </c>
      <c r="D67" s="102">
        <v>0</v>
      </c>
      <c r="E67" s="102">
        <v>0</v>
      </c>
      <c r="F67" s="102">
        <v>0</v>
      </c>
      <c r="G67" s="102">
        <v>0</v>
      </c>
      <c r="H67" s="102">
        <v>0</v>
      </c>
      <c r="I67" s="102">
        <v>0</v>
      </c>
      <c r="J67" s="102">
        <v>0</v>
      </c>
      <c r="K67" s="102">
        <v>14.7</v>
      </c>
      <c r="L67" s="102">
        <v>14.7</v>
      </c>
      <c r="M67" s="70">
        <v>15.1</v>
      </c>
      <c r="N67" s="70">
        <v>15.1</v>
      </c>
      <c r="O67" s="70">
        <v>15.1</v>
      </c>
      <c r="P67" s="70">
        <v>0</v>
      </c>
      <c r="Q67" s="70">
        <v>0</v>
      </c>
      <c r="R67" s="70">
        <v>0</v>
      </c>
      <c r="S67" s="70">
        <v>14</v>
      </c>
      <c r="T67" s="70">
        <v>14</v>
      </c>
      <c r="U67" s="70">
        <v>14</v>
      </c>
      <c r="V67" s="70">
        <v>10.1</v>
      </c>
      <c r="W67" s="70">
        <v>10.1</v>
      </c>
      <c r="X67" s="70">
        <v>10.1</v>
      </c>
      <c r="Y67" s="70">
        <v>29.2</v>
      </c>
      <c r="Z67" s="70">
        <v>29.2</v>
      </c>
      <c r="AA67" s="70">
        <v>29.2</v>
      </c>
      <c r="AB67" s="70">
        <v>28.1</v>
      </c>
      <c r="AC67" s="70">
        <v>28.1</v>
      </c>
      <c r="AD67" s="70">
        <v>27.6</v>
      </c>
      <c r="AE67" s="70">
        <v>27.6</v>
      </c>
      <c r="AF67" s="70">
        <v>13.8</v>
      </c>
      <c r="AG67" s="86">
        <v>30</v>
      </c>
      <c r="AH67" s="12">
        <f t="shared" si="22"/>
        <v>29.2</v>
      </c>
      <c r="AI67" s="11">
        <f t="shared" si="23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25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0.2</v>
      </c>
      <c r="J68" s="102">
        <v>1.2</v>
      </c>
      <c r="K68" s="102">
        <v>2</v>
      </c>
      <c r="L68" s="102">
        <v>3.2</v>
      </c>
      <c r="M68" s="70">
        <v>5.6</v>
      </c>
      <c r="N68" s="70">
        <v>7.5</v>
      </c>
      <c r="O68" s="70">
        <v>11.2</v>
      </c>
      <c r="P68" s="70">
        <v>13.1</v>
      </c>
      <c r="Q68" s="70">
        <v>13.3</v>
      </c>
      <c r="R68" s="70">
        <v>12.7</v>
      </c>
      <c r="S68" s="70">
        <v>10</v>
      </c>
      <c r="T68" s="70">
        <v>8.4</v>
      </c>
      <c r="U68" s="70">
        <v>5</v>
      </c>
      <c r="V68" s="70">
        <v>1.3</v>
      </c>
      <c r="W68" s="70">
        <v>0.5</v>
      </c>
      <c r="X68" s="70">
        <v>0</v>
      </c>
      <c r="Y68" s="70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22"/>
        <v>13.3</v>
      </c>
      <c r="AI68" s="11">
        <f t="shared" si="23"/>
        <v>0</v>
      </c>
      <c r="AK68" s="19"/>
      <c r="AY68" s="1" t="s">
        <v>198</v>
      </c>
      <c r="AZ68" s="78">
        <f>ROUND(C81,0)</f>
        <v>30</v>
      </c>
      <c r="BA68" s="83">
        <f t="shared" ref="BA68:BD72" si="26">D81</f>
        <v>28</v>
      </c>
      <c r="BB68" s="83">
        <f t="shared" si="26"/>
        <v>26.3</v>
      </c>
      <c r="BC68" s="83">
        <f t="shared" si="26"/>
        <v>24.8</v>
      </c>
      <c r="BD68" s="83">
        <f t="shared" si="26"/>
        <v>24.9</v>
      </c>
      <c r="BE68" s="78">
        <f>I81</f>
        <v>28.2</v>
      </c>
      <c r="BF68" s="78">
        <f>K81</f>
        <v>71.099999999999994</v>
      </c>
      <c r="BG68" s="78">
        <f t="shared" ref="BG68:BP72" si="27">M81</f>
        <v>58.5</v>
      </c>
      <c r="BH68" s="78">
        <f t="shared" si="27"/>
        <v>58.8</v>
      </c>
      <c r="BI68" s="78">
        <f t="shared" si="27"/>
        <v>45</v>
      </c>
      <c r="BJ68" s="78">
        <f t="shared" si="27"/>
        <v>77</v>
      </c>
      <c r="BK68" s="78">
        <f t="shared" si="27"/>
        <v>61.5</v>
      </c>
      <c r="BL68" s="78">
        <f t="shared" si="27"/>
        <v>55.3</v>
      </c>
      <c r="BM68" s="78">
        <f t="shared" si="27"/>
        <v>61</v>
      </c>
      <c r="BN68" s="78">
        <f t="shared" si="27"/>
        <v>68</v>
      </c>
      <c r="BO68" s="78">
        <f t="shared" si="27"/>
        <v>60</v>
      </c>
      <c r="BP68" s="78">
        <f t="shared" si="27"/>
        <v>54</v>
      </c>
      <c r="BQ68" s="78">
        <f>X81</f>
        <v>55.7</v>
      </c>
      <c r="BR68" s="78">
        <f>Z81</f>
        <v>28.3</v>
      </c>
      <c r="BS68" s="83">
        <f>AB81</f>
        <v>36.299999999999997</v>
      </c>
      <c r="BT68" s="83">
        <f t="shared" ref="BT68:BV72" si="28">AD81</f>
        <v>36.200000000000003</v>
      </c>
      <c r="BU68" s="83">
        <f t="shared" si="28"/>
        <v>35.5</v>
      </c>
      <c r="BV68" s="83">
        <f t="shared" si="28"/>
        <v>32.1</v>
      </c>
      <c r="BW68" s="83">
        <f>B81</f>
        <v>34</v>
      </c>
    </row>
    <row r="69" spans="1:75" x14ac:dyDescent="0.25">
      <c r="A69" s="87" t="s">
        <v>197</v>
      </c>
      <c r="B69" s="70">
        <v>14</v>
      </c>
      <c r="C69" s="70">
        <v>14</v>
      </c>
      <c r="D69" s="70">
        <v>14</v>
      </c>
      <c r="E69" s="70">
        <v>14</v>
      </c>
      <c r="F69" s="70">
        <v>14</v>
      </c>
      <c r="G69" s="70">
        <v>14</v>
      </c>
      <c r="H69" s="70">
        <v>14</v>
      </c>
      <c r="I69" s="70">
        <v>14</v>
      </c>
      <c r="J69" s="70">
        <v>14</v>
      </c>
      <c r="K69" s="70">
        <v>14</v>
      </c>
      <c r="L69" s="70">
        <v>14</v>
      </c>
      <c r="M69" s="70">
        <v>14</v>
      </c>
      <c r="N69" s="70">
        <v>14</v>
      </c>
      <c r="O69" s="70">
        <v>14</v>
      </c>
      <c r="P69" s="70">
        <v>14.5</v>
      </c>
      <c r="Q69" s="70">
        <v>14.5</v>
      </c>
      <c r="R69" s="70">
        <v>14.5</v>
      </c>
      <c r="S69" s="70">
        <v>14.5</v>
      </c>
      <c r="T69" s="70">
        <v>14.5</v>
      </c>
      <c r="U69" s="70">
        <v>14.5</v>
      </c>
      <c r="V69" s="70">
        <v>14.5</v>
      </c>
      <c r="W69" s="70">
        <v>14.5</v>
      </c>
      <c r="X69" s="70">
        <v>14.5</v>
      </c>
      <c r="Y69" s="70">
        <v>14.5</v>
      </c>
      <c r="Z69" s="70">
        <v>14.5</v>
      </c>
      <c r="AA69" s="70">
        <v>14.5</v>
      </c>
      <c r="AB69" s="70">
        <v>14.5</v>
      </c>
      <c r="AC69" s="70">
        <v>14.5</v>
      </c>
      <c r="AD69" s="70">
        <v>14.5</v>
      </c>
      <c r="AE69" s="70">
        <v>14.5</v>
      </c>
      <c r="AF69" s="70">
        <v>14.5</v>
      </c>
      <c r="AG69" s="86">
        <v>24</v>
      </c>
      <c r="AH69" s="12">
        <f t="shared" si="22"/>
        <v>14.5</v>
      </c>
      <c r="AI69" s="11">
        <f t="shared" si="23"/>
        <v>14</v>
      </c>
      <c r="AK69" s="19"/>
      <c r="AY69" s="1" t="s">
        <v>196</v>
      </c>
      <c r="AZ69" s="78">
        <f>ROUND(C82,0)</f>
        <v>0</v>
      </c>
      <c r="BA69" s="83">
        <f t="shared" si="26"/>
        <v>0</v>
      </c>
      <c r="BB69" s="83">
        <f t="shared" si="26"/>
        <v>0</v>
      </c>
      <c r="BC69" s="83">
        <f t="shared" si="26"/>
        <v>0</v>
      </c>
      <c r="BD69" s="83">
        <f t="shared" si="26"/>
        <v>0</v>
      </c>
      <c r="BE69" s="78">
        <f>I82</f>
        <v>0</v>
      </c>
      <c r="BF69" s="78">
        <f>K82</f>
        <v>0</v>
      </c>
      <c r="BG69" s="78">
        <f t="shared" si="27"/>
        <v>0</v>
      </c>
      <c r="BH69" s="78">
        <f t="shared" si="27"/>
        <v>0</v>
      </c>
      <c r="BI69" s="78">
        <f t="shared" si="27"/>
        <v>0</v>
      </c>
      <c r="BJ69" s="78">
        <f t="shared" si="27"/>
        <v>0</v>
      </c>
      <c r="BK69" s="78">
        <f t="shared" si="27"/>
        <v>0</v>
      </c>
      <c r="BL69" s="78">
        <f t="shared" si="27"/>
        <v>0</v>
      </c>
      <c r="BM69" s="78">
        <f t="shared" si="27"/>
        <v>0</v>
      </c>
      <c r="BN69" s="78">
        <f t="shared" si="27"/>
        <v>0</v>
      </c>
      <c r="BO69" s="78">
        <f t="shared" si="27"/>
        <v>0</v>
      </c>
      <c r="BP69" s="78">
        <f t="shared" si="27"/>
        <v>0</v>
      </c>
      <c r="BQ69" s="78">
        <f>X82</f>
        <v>0</v>
      </c>
      <c r="BR69" s="78">
        <f>Z82</f>
        <v>0</v>
      </c>
      <c r="BS69" s="83">
        <f>AB82</f>
        <v>0</v>
      </c>
      <c r="BT69" s="83">
        <f t="shared" si="28"/>
        <v>0</v>
      </c>
      <c r="BU69" s="83">
        <f t="shared" si="28"/>
        <v>0</v>
      </c>
      <c r="BV69" s="83">
        <f t="shared" si="28"/>
        <v>0</v>
      </c>
      <c r="BW69" s="83">
        <f>B82</f>
        <v>0</v>
      </c>
    </row>
    <row r="70" spans="1:75" x14ac:dyDescent="0.25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22"/>
        <v>0</v>
      </c>
      <c r="AI70" s="11">
        <f t="shared" si="23"/>
        <v>0</v>
      </c>
      <c r="AK70" s="19"/>
      <c r="AL70" s="115"/>
      <c r="AO70" s="115"/>
      <c r="AY70" s="1" t="s">
        <v>194</v>
      </c>
      <c r="AZ70" s="78">
        <f>ROUND(C83,0)</f>
        <v>136</v>
      </c>
      <c r="BA70" s="83">
        <f t="shared" si="26"/>
        <v>138</v>
      </c>
      <c r="BB70" s="83">
        <f t="shared" si="26"/>
        <v>53</v>
      </c>
      <c r="BC70" s="83">
        <f t="shared" si="26"/>
        <v>62.1</v>
      </c>
      <c r="BD70" s="83">
        <f t="shared" si="26"/>
        <v>68</v>
      </c>
      <c r="BE70" s="78">
        <f>I83</f>
        <v>88</v>
      </c>
      <c r="BF70" s="78">
        <f>K83</f>
        <v>426</v>
      </c>
      <c r="BG70" s="78">
        <f t="shared" si="27"/>
        <v>526.6</v>
      </c>
      <c r="BH70" s="78">
        <f t="shared" si="27"/>
        <v>516</v>
      </c>
      <c r="BI70" s="78">
        <f t="shared" si="27"/>
        <v>478</v>
      </c>
      <c r="BJ70" s="78">
        <f t="shared" si="27"/>
        <v>470.5</v>
      </c>
      <c r="BK70" s="78">
        <f t="shared" si="27"/>
        <v>473.1</v>
      </c>
      <c r="BL70" s="78">
        <f t="shared" si="27"/>
        <v>454.5</v>
      </c>
      <c r="BM70" s="78">
        <f t="shared" si="27"/>
        <v>503</v>
      </c>
      <c r="BN70" s="78">
        <f t="shared" si="27"/>
        <v>488</v>
      </c>
      <c r="BO70" s="78">
        <f t="shared" si="27"/>
        <v>460</v>
      </c>
      <c r="BP70" s="78">
        <f t="shared" si="27"/>
        <v>454</v>
      </c>
      <c r="BQ70" s="78">
        <f>X83</f>
        <v>430</v>
      </c>
      <c r="BR70" s="78">
        <f>Z83</f>
        <v>0</v>
      </c>
      <c r="BS70" s="83">
        <f>AB83</f>
        <v>78</v>
      </c>
      <c r="BT70" s="83">
        <f t="shared" si="28"/>
        <v>112.1</v>
      </c>
      <c r="BU70" s="83">
        <f t="shared" si="28"/>
        <v>129.6</v>
      </c>
      <c r="BV70" s="83">
        <f t="shared" si="28"/>
        <v>108.3</v>
      </c>
      <c r="BW70" s="83">
        <f>B83</f>
        <v>147</v>
      </c>
    </row>
    <row r="71" spans="1:75" s="115" customFormat="1" x14ac:dyDescent="0.25">
      <c r="A71" s="87" t="s">
        <v>193</v>
      </c>
      <c r="B71" s="70">
        <v>9</v>
      </c>
      <c r="C71" s="70">
        <v>9</v>
      </c>
      <c r="D71" s="70">
        <v>9</v>
      </c>
      <c r="E71" s="70">
        <v>9</v>
      </c>
      <c r="F71" s="70">
        <v>9</v>
      </c>
      <c r="G71" s="70">
        <v>9</v>
      </c>
      <c r="H71" s="70">
        <v>9</v>
      </c>
      <c r="I71" s="70">
        <v>9</v>
      </c>
      <c r="J71" s="70">
        <v>9</v>
      </c>
      <c r="K71" s="70">
        <v>9</v>
      </c>
      <c r="L71" s="70">
        <v>9</v>
      </c>
      <c r="M71" s="70">
        <v>9</v>
      </c>
      <c r="N71" s="70">
        <v>9</v>
      </c>
      <c r="O71" s="70">
        <v>9</v>
      </c>
      <c r="P71" s="70">
        <v>10.5</v>
      </c>
      <c r="Q71" s="70">
        <v>10.5</v>
      </c>
      <c r="R71" s="70">
        <v>10.5</v>
      </c>
      <c r="S71" s="70">
        <v>10.5</v>
      </c>
      <c r="T71" s="70">
        <v>10.5</v>
      </c>
      <c r="U71" s="70">
        <v>10.5</v>
      </c>
      <c r="V71" s="70">
        <v>10.5</v>
      </c>
      <c r="W71" s="70">
        <v>10.5</v>
      </c>
      <c r="X71" s="70">
        <v>10.5</v>
      </c>
      <c r="Y71" s="70">
        <v>10.5</v>
      </c>
      <c r="Z71" s="70">
        <v>10.5</v>
      </c>
      <c r="AA71" s="70">
        <v>10.5</v>
      </c>
      <c r="AB71" s="70">
        <v>10.5</v>
      </c>
      <c r="AC71" s="70">
        <v>10.5</v>
      </c>
      <c r="AD71" s="70">
        <v>10.5</v>
      </c>
      <c r="AE71" s="70">
        <v>10.5</v>
      </c>
      <c r="AF71" s="70">
        <v>10.5</v>
      </c>
      <c r="AG71" s="86">
        <v>14.1</v>
      </c>
      <c r="AH71" s="12">
        <f t="shared" si="22"/>
        <v>10.5</v>
      </c>
      <c r="AI71" s="11">
        <f t="shared" si="23"/>
        <v>9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26"/>
        <v>0</v>
      </c>
      <c r="BB71" s="83">
        <f t="shared" si="26"/>
        <v>0</v>
      </c>
      <c r="BC71" s="83">
        <f t="shared" si="26"/>
        <v>0</v>
      </c>
      <c r="BD71" s="83">
        <f t="shared" si="26"/>
        <v>0</v>
      </c>
      <c r="BE71" s="78">
        <f>I84</f>
        <v>0</v>
      </c>
      <c r="BF71" s="78">
        <f>K84</f>
        <v>45.8</v>
      </c>
      <c r="BG71" s="78">
        <f t="shared" si="27"/>
        <v>40.9</v>
      </c>
      <c r="BH71" s="78">
        <f t="shared" si="27"/>
        <v>43.3</v>
      </c>
      <c r="BI71" s="78">
        <f t="shared" si="27"/>
        <v>40.9</v>
      </c>
      <c r="BJ71" s="78">
        <f t="shared" si="27"/>
        <v>46.3</v>
      </c>
      <c r="BK71" s="78">
        <f t="shared" si="27"/>
        <v>38.200000000000003</v>
      </c>
      <c r="BL71" s="78">
        <f t="shared" si="27"/>
        <v>38.1</v>
      </c>
      <c r="BM71" s="78">
        <f t="shared" si="27"/>
        <v>40</v>
      </c>
      <c r="BN71" s="78">
        <f t="shared" si="27"/>
        <v>43.6</v>
      </c>
      <c r="BO71" s="78">
        <f t="shared" si="27"/>
        <v>47</v>
      </c>
      <c r="BP71" s="78">
        <f t="shared" si="27"/>
        <v>43.6</v>
      </c>
      <c r="BQ71" s="78">
        <f>X84</f>
        <v>30</v>
      </c>
      <c r="BR71" s="78">
        <f>Z84</f>
        <v>0</v>
      </c>
      <c r="BS71" s="83">
        <f>AB84</f>
        <v>0</v>
      </c>
      <c r="BT71" s="83">
        <f t="shared" si="28"/>
        <v>0</v>
      </c>
      <c r="BU71" s="83">
        <f t="shared" si="28"/>
        <v>0</v>
      </c>
      <c r="BV71" s="83">
        <f t="shared" si="28"/>
        <v>0</v>
      </c>
      <c r="BW71" s="83">
        <f>B84</f>
        <v>0</v>
      </c>
    </row>
    <row r="72" spans="1:75" x14ac:dyDescent="0.25">
      <c r="A72" s="111" t="s">
        <v>191</v>
      </c>
      <c r="B72" s="70">
        <v>5.4</v>
      </c>
      <c r="C72" s="70">
        <v>5.4</v>
      </c>
      <c r="D72" s="70">
        <v>5.4</v>
      </c>
      <c r="E72" s="70">
        <v>5.4</v>
      </c>
      <c r="F72" s="70">
        <v>5.4</v>
      </c>
      <c r="G72" s="70">
        <v>5.4</v>
      </c>
      <c r="H72" s="70">
        <v>5.4</v>
      </c>
      <c r="I72" s="70">
        <v>5.4</v>
      </c>
      <c r="J72" s="70">
        <v>5.4</v>
      </c>
      <c r="K72" s="70">
        <v>5.4</v>
      </c>
      <c r="L72" s="70">
        <v>5.4</v>
      </c>
      <c r="M72" s="70">
        <v>5.4</v>
      </c>
      <c r="N72" s="70">
        <v>5.4</v>
      </c>
      <c r="O72" s="70">
        <v>5.4</v>
      </c>
      <c r="P72" s="70">
        <v>5.4</v>
      </c>
      <c r="Q72" s="70">
        <v>5.4</v>
      </c>
      <c r="R72" s="70">
        <v>5.4</v>
      </c>
      <c r="S72" s="70">
        <v>5.4</v>
      </c>
      <c r="T72" s="70">
        <v>5.4</v>
      </c>
      <c r="U72" s="70">
        <v>5.4</v>
      </c>
      <c r="V72" s="70">
        <v>5.4</v>
      </c>
      <c r="W72" s="70">
        <v>6.7</v>
      </c>
      <c r="X72" s="70">
        <v>6.7</v>
      </c>
      <c r="Y72" s="70">
        <v>6.7</v>
      </c>
      <c r="Z72" s="70">
        <v>6.7</v>
      </c>
      <c r="AA72" s="70">
        <v>6.7</v>
      </c>
      <c r="AB72" s="70">
        <v>6.7</v>
      </c>
      <c r="AC72" s="70">
        <v>6.7</v>
      </c>
      <c r="AD72" s="70">
        <v>6.7</v>
      </c>
      <c r="AE72" s="70">
        <v>6.7</v>
      </c>
      <c r="AF72" s="70">
        <v>6.7</v>
      </c>
      <c r="AG72" s="86">
        <v>14</v>
      </c>
      <c r="AH72" s="12">
        <f t="shared" si="22"/>
        <v>6.7</v>
      </c>
      <c r="AI72" s="11">
        <f t="shared" si="23"/>
        <v>5.4</v>
      </c>
      <c r="AK72" s="19"/>
      <c r="AY72" s="1" t="s">
        <v>190</v>
      </c>
      <c r="AZ72" s="78">
        <f>ROUND(C85,0)</f>
        <v>0</v>
      </c>
      <c r="BA72" s="83">
        <f t="shared" si="26"/>
        <v>0</v>
      </c>
      <c r="BB72" s="83">
        <f t="shared" si="26"/>
        <v>0</v>
      </c>
      <c r="BC72" s="83">
        <f t="shared" si="26"/>
        <v>0</v>
      </c>
      <c r="BD72" s="83">
        <f t="shared" si="26"/>
        <v>0</v>
      </c>
      <c r="BE72" s="78">
        <f>I85</f>
        <v>0</v>
      </c>
      <c r="BF72" s="78">
        <f>K85</f>
        <v>124.3</v>
      </c>
      <c r="BG72" s="78">
        <f t="shared" si="27"/>
        <v>104.9</v>
      </c>
      <c r="BH72" s="78">
        <f t="shared" si="27"/>
        <v>97.3</v>
      </c>
      <c r="BI72" s="78">
        <f t="shared" si="27"/>
        <v>97.6</v>
      </c>
      <c r="BJ72" s="78">
        <f t="shared" si="27"/>
        <v>118.1</v>
      </c>
      <c r="BK72" s="78">
        <f t="shared" si="27"/>
        <v>112.5</v>
      </c>
      <c r="BL72" s="78">
        <f t="shared" si="27"/>
        <v>106</v>
      </c>
      <c r="BM72" s="78">
        <f t="shared" si="27"/>
        <v>117</v>
      </c>
      <c r="BN72" s="78">
        <f t="shared" si="27"/>
        <v>115.3</v>
      </c>
      <c r="BO72" s="78">
        <f t="shared" si="27"/>
        <v>100</v>
      </c>
      <c r="BP72" s="78">
        <f t="shared" si="27"/>
        <v>98</v>
      </c>
      <c r="BQ72" s="78">
        <f>X85</f>
        <v>61.5</v>
      </c>
      <c r="BR72" s="78">
        <f>Z85</f>
        <v>0</v>
      </c>
      <c r="BS72" s="83">
        <f>AB85</f>
        <v>0</v>
      </c>
      <c r="BT72" s="83">
        <f t="shared" si="28"/>
        <v>0</v>
      </c>
      <c r="BU72" s="83">
        <f t="shared" si="28"/>
        <v>0</v>
      </c>
      <c r="BV72" s="83">
        <f t="shared" si="28"/>
        <v>0</v>
      </c>
      <c r="BW72" s="83">
        <f>B85</f>
        <v>0</v>
      </c>
    </row>
    <row r="73" spans="1:75" x14ac:dyDescent="0.25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22"/>
        <v>4</v>
      </c>
      <c r="AI73" s="11">
        <f t="shared" si="23"/>
        <v>4</v>
      </c>
      <c r="AK73" s="19"/>
      <c r="AY73" s="1" t="s">
        <v>188</v>
      </c>
      <c r="AZ73" s="78">
        <f>ROUND(C91,0)</f>
        <v>50</v>
      </c>
      <c r="BA73" s="78">
        <f>D91</f>
        <v>50.5</v>
      </c>
      <c r="BB73" s="78">
        <f>E91</f>
        <v>44</v>
      </c>
      <c r="BC73" s="78">
        <f>F91</f>
        <v>46</v>
      </c>
      <c r="BD73" s="78">
        <f>G91</f>
        <v>45</v>
      </c>
      <c r="BE73" s="78">
        <f>I91</f>
        <v>52</v>
      </c>
      <c r="BF73" s="78">
        <f>K91</f>
        <v>42.2</v>
      </c>
      <c r="BG73" s="78">
        <f t="shared" ref="BG73:BP73" si="29">M91</f>
        <v>49.7</v>
      </c>
      <c r="BH73" s="78">
        <f t="shared" si="29"/>
        <v>49.2</v>
      </c>
      <c r="BI73" s="78">
        <f t="shared" si="29"/>
        <v>41.3</v>
      </c>
      <c r="BJ73" s="78">
        <f t="shared" si="29"/>
        <v>49.4</v>
      </c>
      <c r="BK73" s="78">
        <f t="shared" si="29"/>
        <v>45.2</v>
      </c>
      <c r="BL73" s="78">
        <f t="shared" si="29"/>
        <v>45.3</v>
      </c>
      <c r="BM73" s="78">
        <f t="shared" si="29"/>
        <v>47.2</v>
      </c>
      <c r="BN73" s="78">
        <f t="shared" si="29"/>
        <v>47.2</v>
      </c>
      <c r="BO73" s="78">
        <f t="shared" si="29"/>
        <v>46</v>
      </c>
      <c r="BP73" s="78">
        <f t="shared" si="29"/>
        <v>47.2</v>
      </c>
      <c r="BQ73" s="78">
        <f>X91</f>
        <v>26.9</v>
      </c>
      <c r="BR73" s="78">
        <f>Z91</f>
        <v>27</v>
      </c>
      <c r="BS73" s="78">
        <f>AB91</f>
        <v>33.299999999999997</v>
      </c>
      <c r="BT73" s="78">
        <f>AD91</f>
        <v>37.9</v>
      </c>
      <c r="BU73" s="78">
        <f>AE91</f>
        <v>37.799999999999997</v>
      </c>
      <c r="BV73" s="78">
        <f>AF91</f>
        <v>36.799999999999997</v>
      </c>
      <c r="BW73" s="78">
        <f>B91</f>
        <v>51</v>
      </c>
    </row>
    <row r="74" spans="1:75" x14ac:dyDescent="0.25">
      <c r="A74" s="87" t="s">
        <v>187</v>
      </c>
      <c r="B74" s="70">
        <v>1.5</v>
      </c>
      <c r="C74" s="70">
        <v>1.5</v>
      </c>
      <c r="D74" s="70">
        <v>1.5</v>
      </c>
      <c r="E74" s="70">
        <v>1.5</v>
      </c>
      <c r="F74" s="70">
        <v>1.5</v>
      </c>
      <c r="G74" s="70">
        <v>1.5</v>
      </c>
      <c r="H74" s="70">
        <v>1.5</v>
      </c>
      <c r="I74" s="70">
        <v>1.5</v>
      </c>
      <c r="J74" s="70">
        <v>1.5</v>
      </c>
      <c r="K74" s="70">
        <v>1.5</v>
      </c>
      <c r="L74" s="70">
        <v>1.5</v>
      </c>
      <c r="M74" s="70">
        <v>1.5</v>
      </c>
      <c r="N74" s="70">
        <v>1.5</v>
      </c>
      <c r="O74" s="70">
        <v>1.5</v>
      </c>
      <c r="P74" s="70">
        <v>1.5</v>
      </c>
      <c r="Q74" s="70">
        <v>1.5</v>
      </c>
      <c r="R74" s="70">
        <v>1.5</v>
      </c>
      <c r="S74" s="70">
        <v>1.5</v>
      </c>
      <c r="T74" s="70">
        <v>1.5</v>
      </c>
      <c r="U74" s="70">
        <v>1.5</v>
      </c>
      <c r="V74" s="70">
        <v>1.5</v>
      </c>
      <c r="W74" s="70">
        <v>1.5</v>
      </c>
      <c r="X74" s="70">
        <v>1.5</v>
      </c>
      <c r="Y74" s="70">
        <v>1.5</v>
      </c>
      <c r="Z74" s="70">
        <v>1.5</v>
      </c>
      <c r="AA74" s="70">
        <v>1.5</v>
      </c>
      <c r="AB74" s="70">
        <v>1.5</v>
      </c>
      <c r="AC74" s="70">
        <v>1.5</v>
      </c>
      <c r="AD74" s="70">
        <v>1.5</v>
      </c>
      <c r="AE74" s="70">
        <v>1.5</v>
      </c>
      <c r="AF74" s="70">
        <v>1.5</v>
      </c>
      <c r="AG74" s="86">
        <v>6.2</v>
      </c>
      <c r="AH74" s="12">
        <f t="shared" si="22"/>
        <v>1.5</v>
      </c>
      <c r="AI74" s="11">
        <f t="shared" si="23"/>
        <v>1.5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.75" thickBot="1" x14ac:dyDescent="0.3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3.5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22"/>
        <v>3.54</v>
      </c>
      <c r="AI75" s="11">
        <f t="shared" si="23"/>
        <v>3.5</v>
      </c>
      <c r="AK75" s="19"/>
      <c r="AZ75" s="78">
        <f t="shared" ref="AZ75:BW75" si="30">VALUE(AZ68)</f>
        <v>30</v>
      </c>
      <c r="BA75" s="78">
        <f t="shared" si="30"/>
        <v>28</v>
      </c>
      <c r="BB75" s="78">
        <f t="shared" si="30"/>
        <v>26.3</v>
      </c>
      <c r="BC75" s="78">
        <f t="shared" si="30"/>
        <v>24.8</v>
      </c>
      <c r="BD75" s="78">
        <f t="shared" si="30"/>
        <v>24.9</v>
      </c>
      <c r="BE75" s="78">
        <f t="shared" si="30"/>
        <v>28.2</v>
      </c>
      <c r="BF75" s="78">
        <f t="shared" si="30"/>
        <v>71.099999999999994</v>
      </c>
      <c r="BG75" s="78">
        <f t="shared" si="30"/>
        <v>58.5</v>
      </c>
      <c r="BH75" s="78">
        <f t="shared" si="30"/>
        <v>58.8</v>
      </c>
      <c r="BI75" s="78">
        <f t="shared" si="30"/>
        <v>45</v>
      </c>
      <c r="BJ75" s="78">
        <f t="shared" si="30"/>
        <v>77</v>
      </c>
      <c r="BK75" s="78">
        <f t="shared" si="30"/>
        <v>61.5</v>
      </c>
      <c r="BL75" s="78">
        <f t="shared" si="30"/>
        <v>55.3</v>
      </c>
      <c r="BM75" s="78">
        <f t="shared" si="30"/>
        <v>61</v>
      </c>
      <c r="BN75" s="78">
        <f t="shared" si="30"/>
        <v>68</v>
      </c>
      <c r="BO75" s="78">
        <f t="shared" si="30"/>
        <v>60</v>
      </c>
      <c r="BP75" s="78">
        <f t="shared" si="30"/>
        <v>54</v>
      </c>
      <c r="BQ75" s="78">
        <f t="shared" si="30"/>
        <v>55.7</v>
      </c>
      <c r="BR75" s="78">
        <f t="shared" si="30"/>
        <v>28.3</v>
      </c>
      <c r="BS75" s="78">
        <f t="shared" si="30"/>
        <v>36.299999999999997</v>
      </c>
      <c r="BT75" s="78">
        <f t="shared" si="30"/>
        <v>36.200000000000003</v>
      </c>
      <c r="BU75" s="78">
        <f t="shared" si="30"/>
        <v>35.5</v>
      </c>
      <c r="BV75" s="78">
        <f t="shared" si="30"/>
        <v>32.1</v>
      </c>
      <c r="BW75" s="78">
        <f t="shared" si="30"/>
        <v>34</v>
      </c>
    </row>
    <row r="76" spans="1:75" ht="15.75" thickBot="1" x14ac:dyDescent="0.3">
      <c r="A76" s="77" t="s">
        <v>186</v>
      </c>
      <c r="B76" s="76">
        <f t="shared" ref="B76:AG76" si="31">SUM(B63:B75)</f>
        <v>190.44</v>
      </c>
      <c r="C76" s="76">
        <f t="shared" si="31"/>
        <v>170.44</v>
      </c>
      <c r="D76" s="76">
        <f t="shared" si="31"/>
        <v>162.44</v>
      </c>
      <c r="E76" s="76">
        <f t="shared" si="31"/>
        <v>162.44</v>
      </c>
      <c r="F76" s="76">
        <f t="shared" si="31"/>
        <v>147.44</v>
      </c>
      <c r="G76" s="76">
        <f t="shared" si="31"/>
        <v>190.54</v>
      </c>
      <c r="H76" s="76">
        <f t="shared" si="31"/>
        <v>217.54</v>
      </c>
      <c r="I76" s="76">
        <f t="shared" si="31"/>
        <v>247.73999999999998</v>
      </c>
      <c r="J76" s="76">
        <f t="shared" si="31"/>
        <v>179.64</v>
      </c>
      <c r="K76" s="76">
        <f t="shared" si="31"/>
        <v>174.23999999999998</v>
      </c>
      <c r="L76" s="76">
        <f t="shared" si="31"/>
        <v>175.43999999999997</v>
      </c>
      <c r="M76" s="76">
        <f t="shared" si="31"/>
        <v>166.23999999999998</v>
      </c>
      <c r="N76" s="76">
        <f t="shared" si="31"/>
        <v>167.74</v>
      </c>
      <c r="O76" s="76">
        <f t="shared" si="31"/>
        <v>170.73999999999998</v>
      </c>
      <c r="P76" s="76">
        <f t="shared" si="31"/>
        <v>117.04</v>
      </c>
      <c r="Q76" s="76">
        <f t="shared" si="31"/>
        <v>116.94</v>
      </c>
      <c r="R76" s="76">
        <f t="shared" si="31"/>
        <v>116.74000000000001</v>
      </c>
      <c r="S76" s="76">
        <f t="shared" si="31"/>
        <v>140.44</v>
      </c>
      <c r="T76" s="76">
        <f t="shared" si="31"/>
        <v>138.84</v>
      </c>
      <c r="U76" s="76">
        <f t="shared" si="31"/>
        <v>135.44</v>
      </c>
      <c r="V76" s="76">
        <f t="shared" si="31"/>
        <v>160.04</v>
      </c>
      <c r="W76" s="76">
        <f t="shared" si="31"/>
        <v>160.54</v>
      </c>
      <c r="X76" s="76">
        <f t="shared" si="31"/>
        <v>160.04</v>
      </c>
      <c r="Y76" s="76">
        <f t="shared" si="31"/>
        <v>367</v>
      </c>
      <c r="Z76" s="76">
        <f t="shared" si="31"/>
        <v>389.2</v>
      </c>
      <c r="AA76" s="76">
        <f t="shared" si="31"/>
        <v>389.24</v>
      </c>
      <c r="AB76" s="76">
        <f t="shared" si="31"/>
        <v>388.14000000000004</v>
      </c>
      <c r="AC76" s="76">
        <f t="shared" si="31"/>
        <v>390.14000000000004</v>
      </c>
      <c r="AD76" s="76">
        <f t="shared" si="31"/>
        <v>380.44000000000005</v>
      </c>
      <c r="AE76" s="76">
        <f t="shared" si="31"/>
        <v>369.34000000000009</v>
      </c>
      <c r="AF76" s="76">
        <f t="shared" si="31"/>
        <v>299.64000000000004</v>
      </c>
      <c r="AG76" s="93">
        <f t="shared" si="31"/>
        <v>489.91</v>
      </c>
      <c r="AH76" s="12">
        <f t="shared" si="22"/>
        <v>390.14000000000004</v>
      </c>
      <c r="AI76" s="11">
        <f t="shared" si="23"/>
        <v>116.74000000000001</v>
      </c>
      <c r="AK76" s="19"/>
      <c r="AZ76" s="78">
        <f t="shared" ref="AZ76:BW76" si="32">VALUE(AZ69)</f>
        <v>0</v>
      </c>
      <c r="BA76" s="78">
        <f t="shared" si="32"/>
        <v>0</v>
      </c>
      <c r="BB76" s="78">
        <f t="shared" si="32"/>
        <v>0</v>
      </c>
      <c r="BC76" s="78">
        <f t="shared" si="32"/>
        <v>0</v>
      </c>
      <c r="BD76" s="78">
        <f t="shared" si="32"/>
        <v>0</v>
      </c>
      <c r="BE76" s="78">
        <f t="shared" si="32"/>
        <v>0</v>
      </c>
      <c r="BF76" s="78">
        <f t="shared" si="32"/>
        <v>0</v>
      </c>
      <c r="BG76" s="78">
        <f t="shared" si="32"/>
        <v>0</v>
      </c>
      <c r="BH76" s="78">
        <f t="shared" si="32"/>
        <v>0</v>
      </c>
      <c r="BI76" s="78">
        <f t="shared" si="32"/>
        <v>0</v>
      </c>
      <c r="BJ76" s="78">
        <f t="shared" si="32"/>
        <v>0</v>
      </c>
      <c r="BK76" s="78">
        <f t="shared" si="32"/>
        <v>0</v>
      </c>
      <c r="BL76" s="78">
        <f t="shared" si="32"/>
        <v>0</v>
      </c>
      <c r="BM76" s="78">
        <f t="shared" si="32"/>
        <v>0</v>
      </c>
      <c r="BN76" s="78">
        <f t="shared" si="32"/>
        <v>0</v>
      </c>
      <c r="BO76" s="78">
        <f t="shared" si="32"/>
        <v>0</v>
      </c>
      <c r="BP76" s="78">
        <f t="shared" si="32"/>
        <v>0</v>
      </c>
      <c r="BQ76" s="78">
        <f t="shared" si="32"/>
        <v>0</v>
      </c>
      <c r="BR76" s="78">
        <f t="shared" si="32"/>
        <v>0</v>
      </c>
      <c r="BS76" s="78">
        <f t="shared" si="32"/>
        <v>0</v>
      </c>
      <c r="BT76" s="78">
        <f t="shared" si="32"/>
        <v>0</v>
      </c>
      <c r="BU76" s="78">
        <f t="shared" si="32"/>
        <v>0</v>
      </c>
      <c r="BV76" s="78">
        <f t="shared" si="32"/>
        <v>0</v>
      </c>
      <c r="BW76" s="78">
        <f t="shared" si="32"/>
        <v>0</v>
      </c>
    </row>
    <row r="77" spans="1:75" x14ac:dyDescent="0.25">
      <c r="A77" s="89" t="s">
        <v>185</v>
      </c>
      <c r="B77" s="102">
        <v>60</v>
      </c>
      <c r="C77" s="102">
        <v>60</v>
      </c>
      <c r="D77" s="102">
        <v>60</v>
      </c>
      <c r="E77" s="102">
        <v>60</v>
      </c>
      <c r="F77" s="102">
        <v>60</v>
      </c>
      <c r="G77" s="102">
        <v>60</v>
      </c>
      <c r="H77" s="102">
        <v>60</v>
      </c>
      <c r="I77" s="102">
        <v>60</v>
      </c>
      <c r="J77" s="102">
        <v>34</v>
      </c>
      <c r="K77" s="102">
        <v>34.5</v>
      </c>
      <c r="L77" s="102">
        <v>14</v>
      </c>
      <c r="M77" s="102">
        <v>40.1</v>
      </c>
      <c r="N77" s="102">
        <v>40</v>
      </c>
      <c r="O77" s="102">
        <v>30</v>
      </c>
      <c r="P77" s="102">
        <v>19.600000000000001</v>
      </c>
      <c r="Q77" s="102">
        <v>14</v>
      </c>
      <c r="R77" s="102">
        <v>13.9</v>
      </c>
      <c r="S77" s="102">
        <v>0</v>
      </c>
      <c r="T77" s="102">
        <v>0</v>
      </c>
      <c r="U77" s="102">
        <v>0</v>
      </c>
      <c r="V77" s="102">
        <v>0</v>
      </c>
      <c r="W77" s="102">
        <v>0</v>
      </c>
      <c r="X77" s="102">
        <v>0</v>
      </c>
      <c r="Y77" s="102">
        <v>0</v>
      </c>
      <c r="Z77" s="102">
        <v>43</v>
      </c>
      <c r="AA77" s="102">
        <v>54.9</v>
      </c>
      <c r="AB77" s="102">
        <v>54.9</v>
      </c>
      <c r="AC77" s="102">
        <v>54.9</v>
      </c>
      <c r="AD77" s="102">
        <v>59.4</v>
      </c>
      <c r="AE77" s="102">
        <v>59.4</v>
      </c>
      <c r="AF77" s="102">
        <v>59.4</v>
      </c>
      <c r="AG77" s="88">
        <v>60</v>
      </c>
      <c r="AH77" s="12">
        <f t="shared" si="22"/>
        <v>60</v>
      </c>
      <c r="AI77" s="11">
        <f t="shared" si="23"/>
        <v>0</v>
      </c>
      <c r="AK77" s="19"/>
      <c r="AZ77" s="78">
        <f t="shared" ref="AZ77:BW77" si="33">VALUE(AZ70)</f>
        <v>136</v>
      </c>
      <c r="BA77" s="78">
        <f t="shared" si="33"/>
        <v>138</v>
      </c>
      <c r="BB77" s="78">
        <f t="shared" si="33"/>
        <v>53</v>
      </c>
      <c r="BC77" s="78">
        <f t="shared" si="33"/>
        <v>62.1</v>
      </c>
      <c r="BD77" s="78">
        <f t="shared" si="33"/>
        <v>68</v>
      </c>
      <c r="BE77" s="78">
        <f t="shared" si="33"/>
        <v>88</v>
      </c>
      <c r="BF77" s="78">
        <f t="shared" si="33"/>
        <v>426</v>
      </c>
      <c r="BG77" s="78">
        <f t="shared" si="33"/>
        <v>526.6</v>
      </c>
      <c r="BH77" s="78">
        <f t="shared" si="33"/>
        <v>516</v>
      </c>
      <c r="BI77" s="78">
        <f t="shared" si="33"/>
        <v>478</v>
      </c>
      <c r="BJ77" s="78">
        <f t="shared" si="33"/>
        <v>470.5</v>
      </c>
      <c r="BK77" s="78">
        <f t="shared" si="33"/>
        <v>473.1</v>
      </c>
      <c r="BL77" s="78">
        <f t="shared" si="33"/>
        <v>454.5</v>
      </c>
      <c r="BM77" s="78">
        <f t="shared" si="33"/>
        <v>503</v>
      </c>
      <c r="BN77" s="78">
        <f t="shared" si="33"/>
        <v>488</v>
      </c>
      <c r="BO77" s="78">
        <f t="shared" si="33"/>
        <v>460</v>
      </c>
      <c r="BP77" s="78">
        <f t="shared" si="33"/>
        <v>454</v>
      </c>
      <c r="BQ77" s="78">
        <f t="shared" si="33"/>
        <v>430</v>
      </c>
      <c r="BR77" s="78">
        <f t="shared" si="33"/>
        <v>0</v>
      </c>
      <c r="BS77" s="78">
        <f t="shared" si="33"/>
        <v>78</v>
      </c>
      <c r="BT77" s="78">
        <f t="shared" si="33"/>
        <v>112.1</v>
      </c>
      <c r="BU77" s="78">
        <f t="shared" si="33"/>
        <v>129.6</v>
      </c>
      <c r="BV77" s="78">
        <f t="shared" si="33"/>
        <v>108.3</v>
      </c>
      <c r="BW77" s="78">
        <f t="shared" si="33"/>
        <v>147</v>
      </c>
    </row>
    <row r="78" spans="1:75" x14ac:dyDescent="0.25">
      <c r="A78" s="87" t="s">
        <v>184</v>
      </c>
      <c r="B78" s="70">
        <v>27</v>
      </c>
      <c r="C78" s="70">
        <v>27</v>
      </c>
      <c r="D78" s="70">
        <v>27</v>
      </c>
      <c r="E78" s="70">
        <v>27</v>
      </c>
      <c r="F78" s="70">
        <v>27</v>
      </c>
      <c r="G78" s="70">
        <v>27</v>
      </c>
      <c r="H78" s="70">
        <v>27</v>
      </c>
      <c r="I78" s="70">
        <v>27</v>
      </c>
      <c r="J78" s="70">
        <v>14</v>
      </c>
      <c r="K78" s="70">
        <v>13.1</v>
      </c>
      <c r="L78" s="70">
        <v>9.4</v>
      </c>
      <c r="M78" s="70">
        <v>15.2</v>
      </c>
      <c r="N78" s="70">
        <v>16.600000000000001</v>
      </c>
      <c r="O78" s="70">
        <v>16.100000000000001</v>
      </c>
      <c r="P78" s="70">
        <v>11.1</v>
      </c>
      <c r="Q78" s="70">
        <v>6.8</v>
      </c>
      <c r="R78" s="70">
        <v>4.8</v>
      </c>
      <c r="S78" s="70">
        <v>0</v>
      </c>
      <c r="T78" s="70">
        <v>0</v>
      </c>
      <c r="U78" s="70">
        <v>0</v>
      </c>
      <c r="V78" s="70">
        <v>0</v>
      </c>
      <c r="W78" s="70">
        <v>0</v>
      </c>
      <c r="X78" s="70">
        <v>0</v>
      </c>
      <c r="Y78" s="70">
        <v>0</v>
      </c>
      <c r="Z78" s="70">
        <v>4</v>
      </c>
      <c r="AA78" s="70">
        <v>21.8</v>
      </c>
      <c r="AB78" s="70">
        <v>25.5</v>
      </c>
      <c r="AC78" s="70">
        <v>25.5</v>
      </c>
      <c r="AD78" s="70">
        <v>28.1</v>
      </c>
      <c r="AE78" s="70">
        <v>28.1</v>
      </c>
      <c r="AF78" s="70">
        <v>28.1</v>
      </c>
      <c r="AG78" s="86">
        <v>32</v>
      </c>
      <c r="AH78" s="12">
        <f t="shared" si="22"/>
        <v>28.1</v>
      </c>
      <c r="AI78" s="11">
        <f t="shared" si="23"/>
        <v>0</v>
      </c>
      <c r="AK78" s="19"/>
      <c r="AZ78" s="78">
        <f t="shared" ref="AZ78:BW78" si="34">VALUE(AZ71)</f>
        <v>0</v>
      </c>
      <c r="BA78" s="78">
        <f t="shared" si="34"/>
        <v>0</v>
      </c>
      <c r="BB78" s="78">
        <f t="shared" si="34"/>
        <v>0</v>
      </c>
      <c r="BC78" s="78">
        <f t="shared" si="34"/>
        <v>0</v>
      </c>
      <c r="BD78" s="78">
        <f t="shared" si="34"/>
        <v>0</v>
      </c>
      <c r="BE78" s="78">
        <f t="shared" si="34"/>
        <v>0</v>
      </c>
      <c r="BF78" s="78">
        <f t="shared" si="34"/>
        <v>45.8</v>
      </c>
      <c r="BG78" s="78">
        <f t="shared" si="34"/>
        <v>40.9</v>
      </c>
      <c r="BH78" s="78">
        <f t="shared" si="34"/>
        <v>43.3</v>
      </c>
      <c r="BI78" s="78">
        <f t="shared" si="34"/>
        <v>40.9</v>
      </c>
      <c r="BJ78" s="78">
        <f t="shared" si="34"/>
        <v>46.3</v>
      </c>
      <c r="BK78" s="78">
        <f t="shared" si="34"/>
        <v>38.200000000000003</v>
      </c>
      <c r="BL78" s="78">
        <f t="shared" si="34"/>
        <v>38.1</v>
      </c>
      <c r="BM78" s="78">
        <f t="shared" si="34"/>
        <v>40</v>
      </c>
      <c r="BN78" s="78">
        <f t="shared" si="34"/>
        <v>43.6</v>
      </c>
      <c r="BO78" s="78">
        <f t="shared" si="34"/>
        <v>47</v>
      </c>
      <c r="BP78" s="78">
        <f t="shared" si="34"/>
        <v>43.6</v>
      </c>
      <c r="BQ78" s="78">
        <f t="shared" si="34"/>
        <v>30</v>
      </c>
      <c r="BR78" s="78">
        <f t="shared" si="34"/>
        <v>0</v>
      </c>
      <c r="BS78" s="78">
        <f t="shared" si="34"/>
        <v>0</v>
      </c>
      <c r="BT78" s="78">
        <f t="shared" si="34"/>
        <v>0</v>
      </c>
      <c r="BU78" s="78">
        <f t="shared" si="34"/>
        <v>0</v>
      </c>
      <c r="BV78" s="78">
        <f t="shared" si="34"/>
        <v>0</v>
      </c>
      <c r="BW78" s="78">
        <f t="shared" si="34"/>
        <v>0</v>
      </c>
    </row>
    <row r="79" spans="1:75" ht="15.75" thickBot="1" x14ac:dyDescent="0.3">
      <c r="A79" s="111" t="s">
        <v>183</v>
      </c>
      <c r="B79" s="110">
        <v>10</v>
      </c>
      <c r="C79" s="110">
        <v>10</v>
      </c>
      <c r="D79" s="110">
        <v>10</v>
      </c>
      <c r="E79" s="110">
        <v>10</v>
      </c>
      <c r="F79" s="110">
        <v>10</v>
      </c>
      <c r="G79" s="110">
        <v>10</v>
      </c>
      <c r="H79" s="110">
        <v>10</v>
      </c>
      <c r="I79" s="110">
        <v>10</v>
      </c>
      <c r="J79" s="110">
        <v>5.0999999999999996</v>
      </c>
      <c r="K79" s="110">
        <v>4.8</v>
      </c>
      <c r="L79" s="110">
        <v>3.4</v>
      </c>
      <c r="M79" s="110">
        <v>5.5</v>
      </c>
      <c r="N79" s="110">
        <v>6.1</v>
      </c>
      <c r="O79" s="110">
        <v>5.9</v>
      </c>
      <c r="P79" s="110">
        <v>4.0999999999999996</v>
      </c>
      <c r="Q79" s="110">
        <v>2.5</v>
      </c>
      <c r="R79" s="110">
        <v>1.7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Z79" s="110">
        <v>1.4</v>
      </c>
      <c r="AA79" s="110">
        <v>7.9</v>
      </c>
      <c r="AB79" s="110">
        <v>9.3000000000000007</v>
      </c>
      <c r="AC79" s="110">
        <v>9.3000000000000007</v>
      </c>
      <c r="AD79" s="110">
        <v>10.3</v>
      </c>
      <c r="AE79" s="110">
        <v>10.3</v>
      </c>
      <c r="AF79" s="110">
        <v>10.3</v>
      </c>
      <c r="AG79" s="109">
        <v>14</v>
      </c>
      <c r="AH79" s="12">
        <f t="shared" si="22"/>
        <v>10.3</v>
      </c>
      <c r="AI79" s="11">
        <f t="shared" si="23"/>
        <v>0</v>
      </c>
      <c r="AK79" s="19"/>
      <c r="AZ79" s="78">
        <f t="shared" ref="AZ79:BW79" si="35">VALUE(AZ72)</f>
        <v>0</v>
      </c>
      <c r="BA79" s="78">
        <f t="shared" si="35"/>
        <v>0</v>
      </c>
      <c r="BB79" s="78">
        <f t="shared" si="35"/>
        <v>0</v>
      </c>
      <c r="BC79" s="78">
        <f t="shared" si="35"/>
        <v>0</v>
      </c>
      <c r="BD79" s="78">
        <f t="shared" si="35"/>
        <v>0</v>
      </c>
      <c r="BE79" s="78">
        <f t="shared" si="35"/>
        <v>0</v>
      </c>
      <c r="BF79" s="78">
        <f t="shared" si="35"/>
        <v>124.3</v>
      </c>
      <c r="BG79" s="78">
        <f t="shared" si="35"/>
        <v>104.9</v>
      </c>
      <c r="BH79" s="78">
        <f t="shared" si="35"/>
        <v>97.3</v>
      </c>
      <c r="BI79" s="78">
        <f t="shared" si="35"/>
        <v>97.6</v>
      </c>
      <c r="BJ79" s="78">
        <f t="shared" si="35"/>
        <v>118.1</v>
      </c>
      <c r="BK79" s="78">
        <f t="shared" si="35"/>
        <v>112.5</v>
      </c>
      <c r="BL79" s="78">
        <f t="shared" si="35"/>
        <v>106</v>
      </c>
      <c r="BM79" s="78">
        <f t="shared" si="35"/>
        <v>117</v>
      </c>
      <c r="BN79" s="78">
        <f t="shared" si="35"/>
        <v>115.3</v>
      </c>
      <c r="BO79" s="78">
        <f t="shared" si="35"/>
        <v>100</v>
      </c>
      <c r="BP79" s="78">
        <f t="shared" si="35"/>
        <v>98</v>
      </c>
      <c r="BQ79" s="78">
        <f t="shared" si="35"/>
        <v>61.5</v>
      </c>
      <c r="BR79" s="78">
        <f t="shared" si="35"/>
        <v>0</v>
      </c>
      <c r="BS79" s="78">
        <f t="shared" si="35"/>
        <v>0</v>
      </c>
      <c r="BT79" s="78">
        <f t="shared" si="35"/>
        <v>0</v>
      </c>
      <c r="BU79" s="78">
        <f t="shared" si="35"/>
        <v>0</v>
      </c>
      <c r="BV79" s="78">
        <f t="shared" si="35"/>
        <v>0</v>
      </c>
      <c r="BW79" s="78">
        <f t="shared" si="35"/>
        <v>0</v>
      </c>
    </row>
    <row r="80" spans="1:75" ht="15.75" thickBot="1" x14ac:dyDescent="0.3">
      <c r="A80" s="77" t="s">
        <v>182</v>
      </c>
      <c r="B80" s="76">
        <f t="shared" ref="B80:AF80" si="36">B77+B78+B79</f>
        <v>97</v>
      </c>
      <c r="C80" s="76">
        <f t="shared" si="36"/>
        <v>97</v>
      </c>
      <c r="D80" s="76">
        <f t="shared" si="36"/>
        <v>97</v>
      </c>
      <c r="E80" s="76">
        <f t="shared" si="36"/>
        <v>97</v>
      </c>
      <c r="F80" s="76">
        <f t="shared" si="36"/>
        <v>97</v>
      </c>
      <c r="G80" s="76">
        <f t="shared" si="36"/>
        <v>97</v>
      </c>
      <c r="H80" s="76">
        <f t="shared" si="36"/>
        <v>97</v>
      </c>
      <c r="I80" s="76">
        <f t="shared" si="36"/>
        <v>97</v>
      </c>
      <c r="J80" s="76">
        <f t="shared" si="36"/>
        <v>53.1</v>
      </c>
      <c r="K80" s="76">
        <f t="shared" si="36"/>
        <v>52.4</v>
      </c>
      <c r="L80" s="76">
        <f t="shared" si="36"/>
        <v>26.799999999999997</v>
      </c>
      <c r="M80" s="76">
        <f t="shared" si="36"/>
        <v>60.8</v>
      </c>
      <c r="N80" s="76">
        <f t="shared" si="36"/>
        <v>62.7</v>
      </c>
      <c r="O80" s="76">
        <f t="shared" si="36"/>
        <v>52</v>
      </c>
      <c r="P80" s="76">
        <f t="shared" si="36"/>
        <v>34.800000000000004</v>
      </c>
      <c r="Q80" s="76">
        <f t="shared" si="36"/>
        <v>23.3</v>
      </c>
      <c r="R80" s="76">
        <f t="shared" si="36"/>
        <v>20.399999999999999</v>
      </c>
      <c r="S80" s="76">
        <f t="shared" si="36"/>
        <v>0</v>
      </c>
      <c r="T80" s="76">
        <f t="shared" si="36"/>
        <v>0</v>
      </c>
      <c r="U80" s="76">
        <f t="shared" si="36"/>
        <v>0</v>
      </c>
      <c r="V80" s="76">
        <f t="shared" si="36"/>
        <v>0</v>
      </c>
      <c r="W80" s="76">
        <f t="shared" si="36"/>
        <v>0</v>
      </c>
      <c r="X80" s="76">
        <f t="shared" si="36"/>
        <v>0</v>
      </c>
      <c r="Y80" s="76">
        <f t="shared" si="36"/>
        <v>0</v>
      </c>
      <c r="Z80" s="76">
        <f t="shared" si="36"/>
        <v>48.4</v>
      </c>
      <c r="AA80" s="76">
        <f t="shared" si="36"/>
        <v>84.600000000000009</v>
      </c>
      <c r="AB80" s="76">
        <f t="shared" si="36"/>
        <v>89.7</v>
      </c>
      <c r="AC80" s="76">
        <f t="shared" si="36"/>
        <v>89.7</v>
      </c>
      <c r="AD80" s="76">
        <f t="shared" si="36"/>
        <v>97.8</v>
      </c>
      <c r="AE80" s="76">
        <f t="shared" si="36"/>
        <v>97.8</v>
      </c>
      <c r="AF80" s="76">
        <f t="shared" si="36"/>
        <v>97.8</v>
      </c>
      <c r="AG80" s="93">
        <f>SUM(AG77:AG79)</f>
        <v>106</v>
      </c>
      <c r="AH80" s="12">
        <f t="shared" si="22"/>
        <v>97.8</v>
      </c>
      <c r="AI80" s="11">
        <f t="shared" si="23"/>
        <v>0</v>
      </c>
      <c r="AK80" s="19"/>
      <c r="AZ80" s="78">
        <f t="shared" ref="AZ80:BW80" si="37">VALUE(AZ73)</f>
        <v>50</v>
      </c>
      <c r="BA80" s="78">
        <f t="shared" si="37"/>
        <v>50.5</v>
      </c>
      <c r="BB80" s="78">
        <f t="shared" si="37"/>
        <v>44</v>
      </c>
      <c r="BC80" s="78">
        <f t="shared" si="37"/>
        <v>46</v>
      </c>
      <c r="BD80" s="78">
        <f t="shared" si="37"/>
        <v>45</v>
      </c>
      <c r="BE80" s="78">
        <f t="shared" si="37"/>
        <v>52</v>
      </c>
      <c r="BF80" s="78">
        <f t="shared" si="37"/>
        <v>42.2</v>
      </c>
      <c r="BG80" s="78">
        <f t="shared" si="37"/>
        <v>49.7</v>
      </c>
      <c r="BH80" s="78">
        <f t="shared" si="37"/>
        <v>49.2</v>
      </c>
      <c r="BI80" s="78">
        <f t="shared" si="37"/>
        <v>41.3</v>
      </c>
      <c r="BJ80" s="78">
        <f t="shared" si="37"/>
        <v>49.4</v>
      </c>
      <c r="BK80" s="78">
        <f t="shared" si="37"/>
        <v>45.2</v>
      </c>
      <c r="BL80" s="78">
        <f t="shared" si="37"/>
        <v>45.3</v>
      </c>
      <c r="BM80" s="78">
        <f t="shared" si="37"/>
        <v>47.2</v>
      </c>
      <c r="BN80" s="78">
        <f t="shared" si="37"/>
        <v>47.2</v>
      </c>
      <c r="BO80" s="78">
        <f t="shared" si="37"/>
        <v>46</v>
      </c>
      <c r="BP80" s="78">
        <f t="shared" si="37"/>
        <v>47.2</v>
      </c>
      <c r="BQ80" s="78">
        <f t="shared" si="37"/>
        <v>26.9</v>
      </c>
      <c r="BR80" s="78">
        <f t="shared" si="37"/>
        <v>27</v>
      </c>
      <c r="BS80" s="78">
        <f t="shared" si="37"/>
        <v>33.299999999999997</v>
      </c>
      <c r="BT80" s="78">
        <f t="shared" si="37"/>
        <v>37.9</v>
      </c>
      <c r="BU80" s="78">
        <f t="shared" si="37"/>
        <v>37.799999999999997</v>
      </c>
      <c r="BV80" s="78">
        <f t="shared" si="37"/>
        <v>36.799999999999997</v>
      </c>
      <c r="BW80" s="78">
        <f t="shared" si="37"/>
        <v>51</v>
      </c>
    </row>
    <row r="81" spans="1:64" x14ac:dyDescent="0.25">
      <c r="A81" s="89" t="s">
        <v>157</v>
      </c>
      <c r="B81" s="102">
        <v>34</v>
      </c>
      <c r="C81" s="102">
        <v>30</v>
      </c>
      <c r="D81" s="102">
        <v>28</v>
      </c>
      <c r="E81" s="102">
        <v>26.3</v>
      </c>
      <c r="F81" s="102">
        <v>24.8</v>
      </c>
      <c r="G81" s="102">
        <v>24.9</v>
      </c>
      <c r="H81" s="102">
        <v>28</v>
      </c>
      <c r="I81" s="102">
        <v>28.2</v>
      </c>
      <c r="J81" s="102">
        <v>60</v>
      </c>
      <c r="K81" s="102">
        <v>71.099999999999994</v>
      </c>
      <c r="L81" s="102">
        <v>67.7</v>
      </c>
      <c r="M81" s="102">
        <v>58.5</v>
      </c>
      <c r="N81" s="102">
        <v>58.8</v>
      </c>
      <c r="O81" s="102">
        <v>45</v>
      </c>
      <c r="P81" s="102">
        <v>77</v>
      </c>
      <c r="Q81" s="102">
        <v>61.5</v>
      </c>
      <c r="R81" s="102">
        <v>55.3</v>
      </c>
      <c r="S81" s="102">
        <v>61</v>
      </c>
      <c r="T81" s="102">
        <v>68</v>
      </c>
      <c r="U81" s="102">
        <v>60</v>
      </c>
      <c r="V81" s="102">
        <v>54</v>
      </c>
      <c r="W81" s="102">
        <v>55</v>
      </c>
      <c r="X81" s="102">
        <v>55.7</v>
      </c>
      <c r="Y81" s="102">
        <v>32</v>
      </c>
      <c r="Z81" s="102">
        <v>28.3</v>
      </c>
      <c r="AA81" s="102">
        <v>37.1</v>
      </c>
      <c r="AB81" s="102">
        <v>36.299999999999997</v>
      </c>
      <c r="AC81" s="102">
        <v>36.200000000000003</v>
      </c>
      <c r="AD81" s="102">
        <v>36.200000000000003</v>
      </c>
      <c r="AE81" s="102">
        <v>35.5</v>
      </c>
      <c r="AF81" s="102">
        <v>32.1</v>
      </c>
      <c r="AG81" s="88"/>
      <c r="AH81" s="12">
        <f t="shared" si="22"/>
        <v>77</v>
      </c>
      <c r="AI81" s="11">
        <f t="shared" si="23"/>
        <v>24.8</v>
      </c>
      <c r="AK81" s="19"/>
      <c r="AY81" s="78"/>
    </row>
    <row r="82" spans="1:64" x14ac:dyDescent="0.25">
      <c r="A82" s="87" t="s">
        <v>160</v>
      </c>
      <c r="B82" s="70">
        <v>0</v>
      </c>
      <c r="C82" s="70"/>
      <c r="D82" s="70"/>
      <c r="E82" s="70"/>
      <c r="F82" s="70"/>
      <c r="G82" s="70"/>
      <c r="H82" s="70"/>
      <c r="I82" s="70"/>
      <c r="J82" s="70">
        <v>75</v>
      </c>
      <c r="K82" s="70">
        <v>0</v>
      </c>
      <c r="L82" s="70">
        <v>0</v>
      </c>
      <c r="M82" s="70">
        <v>0</v>
      </c>
      <c r="N82" s="70">
        <v>0</v>
      </c>
      <c r="O82" s="70">
        <v>0</v>
      </c>
      <c r="P82" s="70">
        <v>0</v>
      </c>
      <c r="Q82" s="70">
        <v>0</v>
      </c>
      <c r="R82" s="70">
        <v>0</v>
      </c>
      <c r="S82" s="70">
        <v>0</v>
      </c>
      <c r="T82" s="70">
        <v>0</v>
      </c>
      <c r="U82" s="70">
        <v>0</v>
      </c>
      <c r="V82" s="70">
        <v>0</v>
      </c>
      <c r="W82" s="70">
        <v>0</v>
      </c>
      <c r="X82" s="70">
        <v>0</v>
      </c>
      <c r="Y82" s="70">
        <v>0</v>
      </c>
      <c r="Z82" s="70"/>
      <c r="AA82" s="70"/>
      <c r="AB82" s="70"/>
      <c r="AC82" s="70"/>
      <c r="AD82" s="70"/>
      <c r="AE82" s="70"/>
      <c r="AF82" s="70"/>
      <c r="AG82" s="86"/>
      <c r="AH82" s="12">
        <f t="shared" ref="AH82:AH113" si="38">MAX(B82:AF82)</f>
        <v>75</v>
      </c>
      <c r="AI82" s="11">
        <f t="shared" ref="AI82:AI113" si="39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25">
      <c r="A83" s="87" t="s">
        <v>181</v>
      </c>
      <c r="B83" s="70">
        <v>147</v>
      </c>
      <c r="C83" s="70">
        <v>136</v>
      </c>
      <c r="D83" s="70">
        <v>138</v>
      </c>
      <c r="E83" s="70">
        <v>53</v>
      </c>
      <c r="F83" s="70">
        <v>62.1</v>
      </c>
      <c r="G83" s="70">
        <v>68</v>
      </c>
      <c r="H83" s="70">
        <v>74</v>
      </c>
      <c r="I83" s="70">
        <v>88</v>
      </c>
      <c r="J83" s="70">
        <v>282</v>
      </c>
      <c r="K83" s="70">
        <v>426</v>
      </c>
      <c r="L83" s="70">
        <v>481</v>
      </c>
      <c r="M83" s="70">
        <v>526.6</v>
      </c>
      <c r="N83" s="70">
        <v>516</v>
      </c>
      <c r="O83" s="70">
        <v>478</v>
      </c>
      <c r="P83" s="70">
        <v>470.5</v>
      </c>
      <c r="Q83" s="70">
        <v>473.1</v>
      </c>
      <c r="R83" s="70">
        <v>454.5</v>
      </c>
      <c r="S83" s="70">
        <v>503</v>
      </c>
      <c r="T83" s="70">
        <v>488</v>
      </c>
      <c r="U83" s="70">
        <v>460</v>
      </c>
      <c r="V83" s="70">
        <v>454</v>
      </c>
      <c r="W83" s="70">
        <v>419</v>
      </c>
      <c r="X83" s="70">
        <v>430</v>
      </c>
      <c r="Y83" s="70">
        <v>5</v>
      </c>
      <c r="Z83" s="70">
        <v>0</v>
      </c>
      <c r="AA83" s="70">
        <v>20</v>
      </c>
      <c r="AB83" s="70">
        <v>78</v>
      </c>
      <c r="AC83" s="70">
        <v>73.5</v>
      </c>
      <c r="AD83" s="70">
        <v>112.1</v>
      </c>
      <c r="AE83" s="70">
        <v>129.6</v>
      </c>
      <c r="AF83" s="70">
        <v>108.3</v>
      </c>
      <c r="AG83" s="96"/>
      <c r="AH83" s="12">
        <f t="shared" si="38"/>
        <v>526.6</v>
      </c>
      <c r="AI83" s="11">
        <f t="shared" si="39"/>
        <v>0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25">
      <c r="A84" s="87" t="s">
        <v>161</v>
      </c>
      <c r="B84" s="70">
        <v>0</v>
      </c>
      <c r="C84" s="70"/>
      <c r="D84" s="70"/>
      <c r="E84" s="85"/>
      <c r="F84" s="85"/>
      <c r="G84" s="85"/>
      <c r="H84" s="85"/>
      <c r="I84" s="85"/>
      <c r="J84" s="85">
        <v>30</v>
      </c>
      <c r="K84" s="85">
        <v>45.8</v>
      </c>
      <c r="L84" s="85">
        <v>43.5</v>
      </c>
      <c r="M84" s="85">
        <v>40.9</v>
      </c>
      <c r="N84" s="85">
        <v>43.3</v>
      </c>
      <c r="O84" s="85">
        <v>40.9</v>
      </c>
      <c r="P84" s="85">
        <v>46.3</v>
      </c>
      <c r="Q84" s="85">
        <v>38.200000000000003</v>
      </c>
      <c r="R84" s="85">
        <v>38.1</v>
      </c>
      <c r="S84" s="85">
        <v>40</v>
      </c>
      <c r="T84" s="85">
        <v>43.6</v>
      </c>
      <c r="U84" s="85">
        <v>47</v>
      </c>
      <c r="V84" s="85">
        <v>43.6</v>
      </c>
      <c r="W84" s="85">
        <v>29.8</v>
      </c>
      <c r="X84" s="85">
        <v>30</v>
      </c>
      <c r="Y84" s="85">
        <v>0</v>
      </c>
      <c r="Z84" s="85"/>
      <c r="AA84" s="85"/>
      <c r="AB84" s="85"/>
      <c r="AC84" s="85"/>
      <c r="AD84" s="85"/>
      <c r="AE84" s="85">
        <v>0</v>
      </c>
      <c r="AF84" s="85">
        <v>0</v>
      </c>
      <c r="AG84" s="96"/>
      <c r="AH84" s="12">
        <f t="shared" si="38"/>
        <v>47</v>
      </c>
      <c r="AI84" s="11">
        <f t="shared" si="39"/>
        <v>0</v>
      </c>
      <c r="AK84" s="19"/>
      <c r="AY84" s="78"/>
      <c r="BF84" s="83"/>
      <c r="BG84" s="78">
        <f t="array" ref="BG84:BL107">TRANSPOSE(AZ68:BW73)</f>
        <v>30</v>
      </c>
      <c r="BH84" s="78">
        <v>0</v>
      </c>
      <c r="BI84" s="78">
        <v>136</v>
      </c>
      <c r="BJ84" s="78">
        <v>0</v>
      </c>
      <c r="BK84" s="78">
        <v>0</v>
      </c>
      <c r="BL84" s="78">
        <v>50</v>
      </c>
    </row>
    <row r="85" spans="1:64" x14ac:dyDescent="0.25">
      <c r="A85" s="87" t="s">
        <v>180</v>
      </c>
      <c r="B85" s="102">
        <v>0</v>
      </c>
      <c r="C85" s="102"/>
      <c r="D85" s="102"/>
      <c r="E85" s="102"/>
      <c r="F85" s="102"/>
      <c r="G85" s="102"/>
      <c r="H85" s="102"/>
      <c r="I85" s="102"/>
      <c r="J85" s="102">
        <v>95</v>
      </c>
      <c r="K85" s="102">
        <v>124.3</v>
      </c>
      <c r="L85" s="102">
        <v>120</v>
      </c>
      <c r="M85" s="102">
        <v>104.9</v>
      </c>
      <c r="N85" s="102">
        <v>97.3</v>
      </c>
      <c r="O85" s="102">
        <v>97.6</v>
      </c>
      <c r="P85" s="102">
        <v>118.1</v>
      </c>
      <c r="Q85" s="102">
        <v>112.5</v>
      </c>
      <c r="R85" s="102">
        <v>106</v>
      </c>
      <c r="S85" s="102">
        <v>117</v>
      </c>
      <c r="T85" s="102">
        <v>115.3</v>
      </c>
      <c r="U85" s="102">
        <v>100</v>
      </c>
      <c r="V85" s="102">
        <v>98</v>
      </c>
      <c r="W85" s="102">
        <v>82.4</v>
      </c>
      <c r="X85" s="102">
        <v>61.5</v>
      </c>
      <c r="Y85" s="102">
        <v>0</v>
      </c>
      <c r="Z85" s="102"/>
      <c r="AA85" s="102"/>
      <c r="AB85" s="102"/>
      <c r="AC85" s="102"/>
      <c r="AD85" s="102"/>
      <c r="AE85" s="102"/>
      <c r="AF85" s="102"/>
      <c r="AG85" s="96"/>
      <c r="AH85" s="12">
        <f t="shared" si="38"/>
        <v>124.3</v>
      </c>
      <c r="AI85" s="11">
        <f t="shared" si="39"/>
        <v>0</v>
      </c>
      <c r="AK85" s="19"/>
      <c r="AY85" s="78"/>
      <c r="BF85" s="83"/>
      <c r="BG85" s="78">
        <v>28</v>
      </c>
      <c r="BH85" s="78">
        <v>0</v>
      </c>
      <c r="BI85" s="78">
        <v>138</v>
      </c>
      <c r="BJ85" s="78">
        <v>0</v>
      </c>
      <c r="BK85" s="78">
        <v>0</v>
      </c>
      <c r="BL85" s="78">
        <v>50.5</v>
      </c>
    </row>
    <row r="86" spans="1:64" x14ac:dyDescent="0.25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38"/>
        <v>0</v>
      </c>
      <c r="AI86" s="11">
        <f t="shared" si="39"/>
        <v>0</v>
      </c>
      <c r="AK86" s="19"/>
      <c r="AY86" s="78"/>
      <c r="BF86" s="83"/>
      <c r="BG86" s="78">
        <v>26.3</v>
      </c>
      <c r="BH86" s="78">
        <v>0</v>
      </c>
      <c r="BI86" s="78">
        <v>53</v>
      </c>
      <c r="BJ86" s="78">
        <v>0</v>
      </c>
      <c r="BK86" s="78">
        <v>0</v>
      </c>
      <c r="BL86" s="78">
        <v>44</v>
      </c>
    </row>
    <row r="87" spans="1:64" ht="15.75" thickBot="1" x14ac:dyDescent="0.3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38"/>
        <v>0</v>
      </c>
      <c r="AI87" s="11">
        <f t="shared" si="39"/>
        <v>0</v>
      </c>
      <c r="AK87" s="19"/>
      <c r="AL87" s="108" t="s">
        <v>177</v>
      </c>
      <c r="AM87" s="108"/>
      <c r="AY87" s="78"/>
      <c r="BF87" s="78"/>
      <c r="BG87" s="78">
        <v>24.8</v>
      </c>
      <c r="BH87" s="78">
        <v>0</v>
      </c>
      <c r="BI87" s="78">
        <v>62.1</v>
      </c>
      <c r="BJ87" s="78">
        <v>0</v>
      </c>
      <c r="BK87" s="78">
        <v>0</v>
      </c>
      <c r="BL87" s="78">
        <v>46</v>
      </c>
    </row>
    <row r="88" spans="1:64" x14ac:dyDescent="0.25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38"/>
        <v>0</v>
      </c>
      <c r="AI88" s="11">
        <f t="shared" si="39"/>
        <v>0</v>
      </c>
      <c r="AK88" s="107"/>
      <c r="AL88" s="106"/>
      <c r="AM88" s="106"/>
      <c r="AN88" s="105"/>
      <c r="AY88" s="78"/>
      <c r="BF88" s="78"/>
      <c r="BG88" s="78">
        <v>24.9</v>
      </c>
      <c r="BH88" s="78">
        <v>0</v>
      </c>
      <c r="BI88" s="78">
        <v>68</v>
      </c>
      <c r="BJ88" s="78">
        <v>0</v>
      </c>
      <c r="BK88" s="78">
        <v>0</v>
      </c>
      <c r="BL88" s="78">
        <v>45</v>
      </c>
    </row>
    <row r="89" spans="1:64" x14ac:dyDescent="0.25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38"/>
        <v>0</v>
      </c>
      <c r="AI89" s="11">
        <f t="shared" si="39"/>
        <v>0</v>
      </c>
      <c r="AK89" s="104" t="s">
        <v>174</v>
      </c>
      <c r="AL89" s="70"/>
      <c r="AM89" s="85"/>
      <c r="AN89" s="103"/>
      <c r="AY89" s="78"/>
      <c r="BF89" s="78"/>
      <c r="BG89" s="78">
        <v>28.2</v>
      </c>
      <c r="BH89" s="78">
        <v>0</v>
      </c>
      <c r="BI89" s="78">
        <v>88</v>
      </c>
      <c r="BJ89" s="78">
        <v>0</v>
      </c>
      <c r="BK89" s="78">
        <v>0</v>
      </c>
      <c r="BL89" s="78">
        <v>52</v>
      </c>
    </row>
    <row r="90" spans="1:64" x14ac:dyDescent="0.25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38"/>
        <v>0</v>
      </c>
      <c r="AI90" s="11">
        <f t="shared" si="39"/>
        <v>0</v>
      </c>
      <c r="AK90" s="104" t="s">
        <v>172</v>
      </c>
      <c r="AL90" s="85"/>
      <c r="AM90" s="85"/>
      <c r="AN90" s="103"/>
      <c r="AY90" s="78"/>
      <c r="BF90" s="78"/>
      <c r="BG90" s="78">
        <v>71.099999999999994</v>
      </c>
      <c r="BH90" s="78">
        <v>0</v>
      </c>
      <c r="BI90" s="78">
        <v>426</v>
      </c>
      <c r="BJ90" s="78">
        <v>45.8</v>
      </c>
      <c r="BK90" s="78">
        <v>124.3</v>
      </c>
      <c r="BL90" s="78">
        <v>42.2</v>
      </c>
    </row>
    <row r="91" spans="1:64" ht="15.75" thickBot="1" x14ac:dyDescent="0.3">
      <c r="A91" s="82" t="s">
        <v>171</v>
      </c>
      <c r="B91" s="97">
        <v>51</v>
      </c>
      <c r="C91" s="97">
        <v>50</v>
      </c>
      <c r="D91" s="97">
        <v>50.5</v>
      </c>
      <c r="E91" s="97">
        <v>44</v>
      </c>
      <c r="F91" s="97">
        <v>46</v>
      </c>
      <c r="G91" s="97">
        <v>45</v>
      </c>
      <c r="H91" s="97">
        <v>48</v>
      </c>
      <c r="I91" s="97">
        <v>52</v>
      </c>
      <c r="J91" s="97">
        <v>38</v>
      </c>
      <c r="K91" s="97">
        <v>42.2</v>
      </c>
      <c r="L91" s="97">
        <v>47.4</v>
      </c>
      <c r="M91" s="97">
        <v>49.7</v>
      </c>
      <c r="N91" s="97">
        <v>49.2</v>
      </c>
      <c r="O91" s="97">
        <v>41.3</v>
      </c>
      <c r="P91" s="97">
        <v>49.4</v>
      </c>
      <c r="Q91" s="97">
        <v>45.2</v>
      </c>
      <c r="R91" s="97">
        <v>45.3</v>
      </c>
      <c r="S91" s="97">
        <v>47.2</v>
      </c>
      <c r="T91" s="97">
        <v>47.2</v>
      </c>
      <c r="U91" s="97">
        <v>46</v>
      </c>
      <c r="V91" s="97">
        <v>47.2</v>
      </c>
      <c r="W91" s="97">
        <v>41.1</v>
      </c>
      <c r="X91" s="97">
        <v>26.9</v>
      </c>
      <c r="Y91" s="97">
        <v>28.5</v>
      </c>
      <c r="Z91" s="97">
        <v>27</v>
      </c>
      <c r="AA91" s="97">
        <v>30.7</v>
      </c>
      <c r="AB91" s="97">
        <v>33.299999999999997</v>
      </c>
      <c r="AC91" s="97">
        <v>33.9</v>
      </c>
      <c r="AD91" s="97">
        <v>37.9</v>
      </c>
      <c r="AE91" s="97">
        <v>37.799999999999997</v>
      </c>
      <c r="AF91" s="97">
        <v>36.799999999999997</v>
      </c>
      <c r="AG91" s="80"/>
      <c r="AH91" s="12">
        <f t="shared" si="38"/>
        <v>52</v>
      </c>
      <c r="AI91" s="11">
        <f t="shared" si="39"/>
        <v>26.9</v>
      </c>
      <c r="AK91" s="98"/>
      <c r="AL91" s="102"/>
      <c r="AM91" s="102"/>
      <c r="AN91" s="101"/>
      <c r="AY91" s="78"/>
      <c r="BF91" s="78"/>
      <c r="BG91" s="78">
        <v>58.5</v>
      </c>
      <c r="BH91" s="78">
        <v>0</v>
      </c>
      <c r="BI91" s="78">
        <v>526.6</v>
      </c>
      <c r="BJ91" s="78">
        <v>40.9</v>
      </c>
      <c r="BK91" s="78">
        <v>104.9</v>
      </c>
      <c r="BL91" s="78">
        <v>49.7</v>
      </c>
    </row>
    <row r="92" spans="1:64" ht="15.75" thickBot="1" x14ac:dyDescent="0.3">
      <c r="A92" s="77" t="s">
        <v>170</v>
      </c>
      <c r="B92" s="76">
        <f t="shared" ref="B92:AF92" si="40">SUMIF(B81:B91,"&gt;0")</f>
        <v>232</v>
      </c>
      <c r="C92" s="76">
        <f t="shared" si="40"/>
        <v>216</v>
      </c>
      <c r="D92" s="76">
        <f t="shared" si="40"/>
        <v>216.5</v>
      </c>
      <c r="E92" s="76">
        <f t="shared" si="40"/>
        <v>123.3</v>
      </c>
      <c r="F92" s="76">
        <f t="shared" si="40"/>
        <v>132.9</v>
      </c>
      <c r="G92" s="76">
        <f t="shared" si="40"/>
        <v>137.9</v>
      </c>
      <c r="H92" s="76">
        <f t="shared" si="40"/>
        <v>150</v>
      </c>
      <c r="I92" s="76">
        <f t="shared" si="40"/>
        <v>168.2</v>
      </c>
      <c r="J92" s="76">
        <f t="shared" si="40"/>
        <v>580</v>
      </c>
      <c r="K92" s="76">
        <f t="shared" si="40"/>
        <v>709.4</v>
      </c>
      <c r="L92" s="76">
        <f t="shared" si="40"/>
        <v>759.6</v>
      </c>
      <c r="M92" s="76">
        <f t="shared" si="40"/>
        <v>780.6</v>
      </c>
      <c r="N92" s="76">
        <f t="shared" si="40"/>
        <v>764.59999999999991</v>
      </c>
      <c r="O92" s="76">
        <f t="shared" si="40"/>
        <v>702.8</v>
      </c>
      <c r="P92" s="76">
        <f t="shared" si="40"/>
        <v>761.3</v>
      </c>
      <c r="Q92" s="76">
        <f t="shared" si="40"/>
        <v>730.50000000000011</v>
      </c>
      <c r="R92" s="76">
        <f t="shared" si="40"/>
        <v>699.19999999999993</v>
      </c>
      <c r="S92" s="76">
        <f t="shared" si="40"/>
        <v>768.2</v>
      </c>
      <c r="T92" s="76">
        <f t="shared" si="40"/>
        <v>762.1</v>
      </c>
      <c r="U92" s="76">
        <f t="shared" si="40"/>
        <v>713</v>
      </c>
      <c r="V92" s="76">
        <f t="shared" si="40"/>
        <v>696.80000000000007</v>
      </c>
      <c r="W92" s="76">
        <f t="shared" si="40"/>
        <v>627.30000000000007</v>
      </c>
      <c r="X92" s="76">
        <f t="shared" si="40"/>
        <v>604.1</v>
      </c>
      <c r="Y92" s="76">
        <f t="shared" si="40"/>
        <v>65.5</v>
      </c>
      <c r="Z92" s="76">
        <f t="shared" si="40"/>
        <v>55.3</v>
      </c>
      <c r="AA92" s="76">
        <f t="shared" si="40"/>
        <v>87.8</v>
      </c>
      <c r="AB92" s="76">
        <f t="shared" si="40"/>
        <v>147.6</v>
      </c>
      <c r="AC92" s="76">
        <f t="shared" si="40"/>
        <v>143.6</v>
      </c>
      <c r="AD92" s="76">
        <f t="shared" si="40"/>
        <v>186.20000000000002</v>
      </c>
      <c r="AE92" s="76">
        <f t="shared" si="40"/>
        <v>202.89999999999998</v>
      </c>
      <c r="AF92" s="76">
        <f t="shared" si="40"/>
        <v>177.2</v>
      </c>
      <c r="AG92" s="75">
        <f>SUM(AG81:AG91)</f>
        <v>0</v>
      </c>
      <c r="AH92" s="12">
        <f t="shared" si="38"/>
        <v>780.6</v>
      </c>
      <c r="AI92" s="11">
        <f t="shared" si="39"/>
        <v>55.3</v>
      </c>
      <c r="AK92" s="98"/>
      <c r="AL92" s="97"/>
      <c r="AM92" s="100"/>
      <c r="AN92" s="220"/>
      <c r="AY92" s="78"/>
      <c r="BF92" s="78"/>
      <c r="BG92" s="78">
        <v>58.8</v>
      </c>
      <c r="BH92" s="78">
        <v>0</v>
      </c>
      <c r="BI92" s="78">
        <v>516</v>
      </c>
      <c r="BJ92" s="78">
        <v>43.3</v>
      </c>
      <c r="BK92" s="78">
        <v>97.3</v>
      </c>
      <c r="BL92" s="78">
        <v>49.2</v>
      </c>
    </row>
    <row r="93" spans="1:64" x14ac:dyDescent="0.25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38"/>
        <v>0</v>
      </c>
      <c r="AI93" s="11">
        <f t="shared" si="39"/>
        <v>0</v>
      </c>
      <c r="AK93" s="98"/>
      <c r="AL93" s="97"/>
      <c r="AM93" s="97"/>
      <c r="AN93" s="221"/>
      <c r="BF93" s="78"/>
      <c r="BG93" s="78">
        <v>45</v>
      </c>
      <c r="BH93" s="78">
        <v>0</v>
      </c>
      <c r="BI93" s="78">
        <v>478</v>
      </c>
      <c r="BJ93" s="78">
        <v>40.9</v>
      </c>
      <c r="BK93" s="78">
        <v>97.6</v>
      </c>
      <c r="BL93" s="78">
        <v>41.3</v>
      </c>
    </row>
    <row r="94" spans="1:64" ht="15.75" thickBot="1" x14ac:dyDescent="0.3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38"/>
        <v>0</v>
      </c>
      <c r="AI94" s="11">
        <f t="shared" si="39"/>
        <v>0</v>
      </c>
      <c r="AK94" s="95"/>
      <c r="AL94" s="67"/>
      <c r="AM94" s="67"/>
      <c r="AN94" s="94"/>
      <c r="BF94" s="78"/>
      <c r="BG94" s="78">
        <v>77</v>
      </c>
      <c r="BH94" s="78">
        <v>0</v>
      </c>
      <c r="BI94" s="78">
        <v>470.5</v>
      </c>
      <c r="BJ94" s="78">
        <v>46.3</v>
      </c>
      <c r="BK94" s="78">
        <v>118.1</v>
      </c>
      <c r="BL94" s="78">
        <v>49.4</v>
      </c>
    </row>
    <row r="95" spans="1:64" ht="15.75" thickBot="1" x14ac:dyDescent="0.3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38"/>
        <v>0</v>
      </c>
      <c r="AI95" s="11">
        <f t="shared" si="39"/>
        <v>0</v>
      </c>
      <c r="BF95" s="78"/>
      <c r="BG95" s="78">
        <v>61.5</v>
      </c>
      <c r="BH95" s="78">
        <v>0</v>
      </c>
      <c r="BI95" s="78">
        <v>473.1</v>
      </c>
      <c r="BJ95" s="78">
        <v>38.200000000000003</v>
      </c>
      <c r="BK95" s="78">
        <v>112.5</v>
      </c>
      <c r="BL95" s="78">
        <v>45.2</v>
      </c>
    </row>
    <row r="96" spans="1:64" ht="15.75" thickBot="1" x14ac:dyDescent="0.3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38"/>
        <v>0</v>
      </c>
      <c r="AI96" s="11">
        <f t="shared" si="39"/>
        <v>0</v>
      </c>
      <c r="BF96" s="78"/>
      <c r="BG96" s="78">
        <v>55.3</v>
      </c>
      <c r="BH96" s="78">
        <v>0</v>
      </c>
      <c r="BI96" s="78">
        <v>454.5</v>
      </c>
      <c r="BJ96" s="78">
        <v>38.1</v>
      </c>
      <c r="BK96" s="78">
        <v>106</v>
      </c>
      <c r="BL96" s="78">
        <v>45.3</v>
      </c>
    </row>
    <row r="97" spans="1:64" ht="15.75" thickBot="1" x14ac:dyDescent="0.3">
      <c r="A97" s="77" t="s">
        <v>165</v>
      </c>
      <c r="B97" s="90">
        <f t="shared" ref="B97:AG97" si="41">B58+B62+B80+B76+B92+B96</f>
        <v>1088.3399999999999</v>
      </c>
      <c r="C97" s="90">
        <f t="shared" si="41"/>
        <v>1052.3399999999999</v>
      </c>
      <c r="D97" s="90">
        <f t="shared" si="41"/>
        <v>1044.8399999999999</v>
      </c>
      <c r="E97" s="90">
        <f t="shared" si="41"/>
        <v>941.63999999999987</v>
      </c>
      <c r="F97" s="90">
        <f t="shared" si="41"/>
        <v>936.2399999999999</v>
      </c>
      <c r="G97" s="90">
        <f t="shared" si="41"/>
        <v>984.33999999999992</v>
      </c>
      <c r="H97" s="90">
        <f t="shared" si="41"/>
        <v>1043.44</v>
      </c>
      <c r="I97" s="90">
        <f t="shared" si="41"/>
        <v>1124.04</v>
      </c>
      <c r="J97" s="90">
        <f t="shared" si="41"/>
        <v>1313.84</v>
      </c>
      <c r="K97" s="90">
        <f t="shared" si="41"/>
        <v>1437.1399999999999</v>
      </c>
      <c r="L97" s="90">
        <f t="shared" si="41"/>
        <v>1462.94</v>
      </c>
      <c r="M97" s="90">
        <f t="shared" si="41"/>
        <v>1509.44</v>
      </c>
      <c r="N97" s="90">
        <f t="shared" si="41"/>
        <v>1494.2399999999998</v>
      </c>
      <c r="O97" s="90">
        <f t="shared" si="41"/>
        <v>1424.24</v>
      </c>
      <c r="P97" s="90">
        <f t="shared" si="41"/>
        <v>1410.4399999999998</v>
      </c>
      <c r="Q97" s="90">
        <f t="shared" si="41"/>
        <v>1367.7400000000002</v>
      </c>
      <c r="R97" s="90">
        <f t="shared" si="41"/>
        <v>1332.84</v>
      </c>
      <c r="S97" s="90">
        <f t="shared" si="41"/>
        <v>1408.1399999999999</v>
      </c>
      <c r="T97" s="90">
        <f t="shared" si="41"/>
        <v>1400.44</v>
      </c>
      <c r="U97" s="90">
        <f t="shared" si="41"/>
        <v>1347.94</v>
      </c>
      <c r="V97" s="90">
        <f t="shared" si="41"/>
        <v>1356.3400000000001</v>
      </c>
      <c r="W97" s="90">
        <f t="shared" si="41"/>
        <v>1287.3400000000001</v>
      </c>
      <c r="X97" s="90">
        <f t="shared" si="41"/>
        <v>1263.6399999999999</v>
      </c>
      <c r="Y97" s="90">
        <f t="shared" si="41"/>
        <v>1312</v>
      </c>
      <c r="Z97" s="90">
        <f t="shared" si="41"/>
        <v>1430.4999999999998</v>
      </c>
      <c r="AA97" s="90">
        <f t="shared" si="41"/>
        <v>1369.24</v>
      </c>
      <c r="AB97" s="90">
        <f t="shared" si="41"/>
        <v>1323.04</v>
      </c>
      <c r="AC97" s="90">
        <f t="shared" si="41"/>
        <v>1321.04</v>
      </c>
      <c r="AD97" s="90">
        <f t="shared" si="41"/>
        <v>1332.04</v>
      </c>
      <c r="AE97" s="90">
        <f t="shared" si="41"/>
        <v>1279.6399999999999</v>
      </c>
      <c r="AF97" s="90">
        <f t="shared" si="41"/>
        <v>1167.24</v>
      </c>
      <c r="AG97" s="93">
        <f t="shared" si="41"/>
        <v>2231.81</v>
      </c>
      <c r="AH97" s="12">
        <f t="shared" si="38"/>
        <v>1509.44</v>
      </c>
      <c r="AI97" s="11">
        <f t="shared" si="39"/>
        <v>936.2399999999999</v>
      </c>
      <c r="BF97" s="78"/>
      <c r="BG97" s="78">
        <v>61</v>
      </c>
      <c r="BH97" s="78">
        <v>0</v>
      </c>
      <c r="BI97" s="78">
        <v>503</v>
      </c>
      <c r="BJ97" s="78">
        <v>40</v>
      </c>
      <c r="BK97" s="78">
        <v>117</v>
      </c>
      <c r="BL97" s="78">
        <v>47.2</v>
      </c>
    </row>
    <row r="98" spans="1:64" ht="15.75" thickBot="1" x14ac:dyDescent="0.3">
      <c r="A98" s="92" t="s">
        <v>164</v>
      </c>
      <c r="B98" s="91">
        <v>230</v>
      </c>
      <c r="C98" s="91">
        <v>230</v>
      </c>
      <c r="D98" s="91">
        <v>230</v>
      </c>
      <c r="E98" s="91">
        <v>300</v>
      </c>
      <c r="F98" s="91">
        <v>300</v>
      </c>
      <c r="G98" s="91">
        <v>300</v>
      </c>
      <c r="H98" s="91">
        <v>300</v>
      </c>
      <c r="I98" s="91">
        <v>280</v>
      </c>
      <c r="J98" s="91">
        <v>100</v>
      </c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>
        <v>250</v>
      </c>
      <c r="AC98" s="91">
        <v>250</v>
      </c>
      <c r="AD98" s="91">
        <v>200</v>
      </c>
      <c r="AE98" s="91">
        <v>170</v>
      </c>
      <c r="AF98" s="91">
        <v>150</v>
      </c>
      <c r="AG98" s="75"/>
      <c r="AH98" s="12">
        <f t="shared" si="38"/>
        <v>300</v>
      </c>
      <c r="AI98" s="11">
        <f t="shared" si="39"/>
        <v>100</v>
      </c>
      <c r="BF98" s="78"/>
      <c r="BG98" s="78">
        <v>68</v>
      </c>
      <c r="BH98" s="78">
        <v>0</v>
      </c>
      <c r="BI98" s="78">
        <v>488</v>
      </c>
      <c r="BJ98" s="78">
        <v>43.6</v>
      </c>
      <c r="BK98" s="78">
        <v>115.3</v>
      </c>
      <c r="BL98" s="78">
        <v>47.2</v>
      </c>
    </row>
    <row r="99" spans="1:64" ht="15.75" thickBot="1" x14ac:dyDescent="0.3">
      <c r="A99" s="77" t="s">
        <v>163</v>
      </c>
      <c r="B99" s="90">
        <f t="shared" ref="B99:AF99" si="42">B97+B98</f>
        <v>1318.34</v>
      </c>
      <c r="C99" s="90">
        <f t="shared" si="42"/>
        <v>1282.3399999999999</v>
      </c>
      <c r="D99" s="90">
        <f t="shared" si="42"/>
        <v>1274.8399999999999</v>
      </c>
      <c r="E99" s="90">
        <f t="shared" si="42"/>
        <v>1241.6399999999999</v>
      </c>
      <c r="F99" s="90">
        <f t="shared" si="42"/>
        <v>1236.2399999999998</v>
      </c>
      <c r="G99" s="90">
        <f t="shared" si="42"/>
        <v>1284.3399999999999</v>
      </c>
      <c r="H99" s="90">
        <f t="shared" si="42"/>
        <v>1343.44</v>
      </c>
      <c r="I99" s="90">
        <f t="shared" si="42"/>
        <v>1404.04</v>
      </c>
      <c r="J99" s="90">
        <f t="shared" si="42"/>
        <v>1413.84</v>
      </c>
      <c r="K99" s="90">
        <f t="shared" si="42"/>
        <v>1437.1399999999999</v>
      </c>
      <c r="L99" s="90">
        <f t="shared" si="42"/>
        <v>1462.94</v>
      </c>
      <c r="M99" s="90">
        <f t="shared" si="42"/>
        <v>1509.44</v>
      </c>
      <c r="N99" s="90">
        <f t="shared" si="42"/>
        <v>1494.2399999999998</v>
      </c>
      <c r="O99" s="90">
        <f t="shared" si="42"/>
        <v>1424.24</v>
      </c>
      <c r="P99" s="90">
        <f t="shared" si="42"/>
        <v>1410.4399999999998</v>
      </c>
      <c r="Q99" s="90">
        <f t="shared" si="42"/>
        <v>1367.7400000000002</v>
      </c>
      <c r="R99" s="90">
        <f t="shared" si="42"/>
        <v>1332.84</v>
      </c>
      <c r="S99" s="90">
        <f t="shared" si="42"/>
        <v>1408.1399999999999</v>
      </c>
      <c r="T99" s="90">
        <f t="shared" si="42"/>
        <v>1400.44</v>
      </c>
      <c r="U99" s="90">
        <f t="shared" si="42"/>
        <v>1347.94</v>
      </c>
      <c r="V99" s="90">
        <f t="shared" si="42"/>
        <v>1356.3400000000001</v>
      </c>
      <c r="W99" s="90">
        <f t="shared" si="42"/>
        <v>1287.3400000000001</v>
      </c>
      <c r="X99" s="90">
        <f t="shared" si="42"/>
        <v>1263.6399999999999</v>
      </c>
      <c r="Y99" s="90">
        <f t="shared" si="42"/>
        <v>1312</v>
      </c>
      <c r="Z99" s="90">
        <f t="shared" si="42"/>
        <v>1430.4999999999998</v>
      </c>
      <c r="AA99" s="90">
        <f t="shared" si="42"/>
        <v>1369.24</v>
      </c>
      <c r="AB99" s="90">
        <f t="shared" si="42"/>
        <v>1573.04</v>
      </c>
      <c r="AC99" s="90">
        <f t="shared" si="42"/>
        <v>1571.04</v>
      </c>
      <c r="AD99" s="90">
        <f t="shared" si="42"/>
        <v>1532.04</v>
      </c>
      <c r="AE99" s="90">
        <f t="shared" si="42"/>
        <v>1449.6399999999999</v>
      </c>
      <c r="AF99" s="90">
        <f t="shared" si="42"/>
        <v>1317.24</v>
      </c>
      <c r="AG99" s="75">
        <f>AG96+AG92+AG80+AG76+AG58+AG98</f>
        <v>1693.71</v>
      </c>
      <c r="AH99" s="12">
        <f t="shared" si="38"/>
        <v>1573.04</v>
      </c>
      <c r="AI99" s="11">
        <f t="shared" si="39"/>
        <v>1236.2399999999998</v>
      </c>
      <c r="BF99" s="78"/>
      <c r="BG99" s="78">
        <v>60</v>
      </c>
      <c r="BH99" s="78">
        <v>0</v>
      </c>
      <c r="BI99" s="78">
        <v>460</v>
      </c>
      <c r="BJ99" s="78">
        <v>47</v>
      </c>
      <c r="BK99" s="78">
        <v>100</v>
      </c>
      <c r="BL99" s="78">
        <v>46</v>
      </c>
    </row>
    <row r="100" spans="1:64" ht="15.75" thickBot="1" x14ac:dyDescent="0.3">
      <c r="A100" s="77" t="s">
        <v>162</v>
      </c>
      <c r="B100" s="90">
        <f t="shared" ref="B100:AF100" si="43">B99-(B107)</f>
        <v>1318.34</v>
      </c>
      <c r="C100" s="90">
        <f t="shared" si="43"/>
        <v>1282.3399999999999</v>
      </c>
      <c r="D100" s="90">
        <f t="shared" si="43"/>
        <v>1274.8399999999999</v>
      </c>
      <c r="E100" s="90">
        <f t="shared" si="43"/>
        <v>1241.6399999999999</v>
      </c>
      <c r="F100" s="90">
        <f t="shared" si="43"/>
        <v>1236.2399999999998</v>
      </c>
      <c r="G100" s="90">
        <f t="shared" si="43"/>
        <v>1284.3399999999999</v>
      </c>
      <c r="H100" s="90">
        <f t="shared" si="43"/>
        <v>1343.44</v>
      </c>
      <c r="I100" s="90">
        <f t="shared" si="43"/>
        <v>1404.04</v>
      </c>
      <c r="J100" s="90">
        <f t="shared" si="43"/>
        <v>1413.84</v>
      </c>
      <c r="K100" s="90">
        <f t="shared" si="43"/>
        <v>1437.1399999999999</v>
      </c>
      <c r="L100" s="90">
        <f t="shared" si="43"/>
        <v>1462.94</v>
      </c>
      <c r="M100" s="90">
        <f t="shared" si="43"/>
        <v>1509.44</v>
      </c>
      <c r="N100" s="90">
        <f t="shared" si="43"/>
        <v>1494.2399999999998</v>
      </c>
      <c r="O100" s="90">
        <f t="shared" si="43"/>
        <v>1424.24</v>
      </c>
      <c r="P100" s="90">
        <f t="shared" si="43"/>
        <v>1410.4399999999998</v>
      </c>
      <c r="Q100" s="90">
        <f t="shared" si="43"/>
        <v>1367.7400000000002</v>
      </c>
      <c r="R100" s="90">
        <f t="shared" si="43"/>
        <v>1332.84</v>
      </c>
      <c r="S100" s="90">
        <f t="shared" si="43"/>
        <v>1408.1399999999999</v>
      </c>
      <c r="T100" s="90">
        <f t="shared" si="43"/>
        <v>1400.44</v>
      </c>
      <c r="U100" s="90">
        <f t="shared" si="43"/>
        <v>1347.94</v>
      </c>
      <c r="V100" s="90">
        <f t="shared" si="43"/>
        <v>1356.3400000000001</v>
      </c>
      <c r="W100" s="90">
        <f t="shared" si="43"/>
        <v>1287.3400000000001</v>
      </c>
      <c r="X100" s="90">
        <f t="shared" si="43"/>
        <v>1263.6399999999999</v>
      </c>
      <c r="Y100" s="90">
        <f t="shared" si="43"/>
        <v>1312</v>
      </c>
      <c r="Z100" s="90">
        <f t="shared" si="43"/>
        <v>1430.4999999999998</v>
      </c>
      <c r="AA100" s="90">
        <f t="shared" si="43"/>
        <v>1369.24</v>
      </c>
      <c r="AB100" s="90">
        <f t="shared" si="43"/>
        <v>1573.04</v>
      </c>
      <c r="AC100" s="90">
        <f t="shared" si="43"/>
        <v>1571.04</v>
      </c>
      <c r="AD100" s="90">
        <f t="shared" si="43"/>
        <v>1532.04</v>
      </c>
      <c r="AE100" s="90">
        <f t="shared" si="43"/>
        <v>1449.6399999999999</v>
      </c>
      <c r="AF100" s="90">
        <f t="shared" si="43"/>
        <v>1317.24</v>
      </c>
      <c r="AG100" s="75"/>
      <c r="AH100" s="12">
        <f t="shared" si="38"/>
        <v>1573.04</v>
      </c>
      <c r="AI100" s="11">
        <f t="shared" si="39"/>
        <v>1236.2399999999998</v>
      </c>
      <c r="BF100" s="78"/>
      <c r="BG100" s="78">
        <v>54</v>
      </c>
      <c r="BH100" s="78">
        <v>0</v>
      </c>
      <c r="BI100" s="78">
        <v>454</v>
      </c>
      <c r="BJ100" s="78">
        <v>43.6</v>
      </c>
      <c r="BK100" s="78">
        <v>98</v>
      </c>
      <c r="BL100" s="78">
        <v>47.2</v>
      </c>
    </row>
    <row r="101" spans="1:64" x14ac:dyDescent="0.25">
      <c r="A101" s="89" t="s">
        <v>161</v>
      </c>
      <c r="B101" s="85">
        <f t="shared" ref="B101:AF101" si="44">IF(B84&lt;0,B84*-1,0)</f>
        <v>0</v>
      </c>
      <c r="C101" s="85">
        <f t="shared" si="44"/>
        <v>0</v>
      </c>
      <c r="D101" s="85">
        <f t="shared" si="44"/>
        <v>0</v>
      </c>
      <c r="E101" s="85">
        <f t="shared" si="44"/>
        <v>0</v>
      </c>
      <c r="F101" s="85">
        <f t="shared" si="44"/>
        <v>0</v>
      </c>
      <c r="G101" s="85">
        <f t="shared" si="44"/>
        <v>0</v>
      </c>
      <c r="H101" s="85">
        <f t="shared" si="44"/>
        <v>0</v>
      </c>
      <c r="I101" s="85">
        <f t="shared" si="44"/>
        <v>0</v>
      </c>
      <c r="J101" s="85">
        <f t="shared" si="44"/>
        <v>0</v>
      </c>
      <c r="K101" s="85">
        <f t="shared" si="44"/>
        <v>0</v>
      </c>
      <c r="L101" s="85">
        <f t="shared" si="44"/>
        <v>0</v>
      </c>
      <c r="M101" s="85">
        <f t="shared" si="44"/>
        <v>0</v>
      </c>
      <c r="N101" s="85">
        <f t="shared" si="44"/>
        <v>0</v>
      </c>
      <c r="O101" s="85">
        <f t="shared" si="44"/>
        <v>0</v>
      </c>
      <c r="P101" s="85">
        <f t="shared" si="44"/>
        <v>0</v>
      </c>
      <c r="Q101" s="85">
        <f t="shared" si="44"/>
        <v>0</v>
      </c>
      <c r="R101" s="85">
        <f t="shared" si="44"/>
        <v>0</v>
      </c>
      <c r="S101" s="85">
        <f t="shared" si="44"/>
        <v>0</v>
      </c>
      <c r="T101" s="85">
        <f t="shared" si="44"/>
        <v>0</v>
      </c>
      <c r="U101" s="85">
        <f t="shared" si="44"/>
        <v>0</v>
      </c>
      <c r="V101" s="85">
        <f t="shared" si="44"/>
        <v>0</v>
      </c>
      <c r="W101" s="85">
        <f t="shared" si="44"/>
        <v>0</v>
      </c>
      <c r="X101" s="85">
        <f t="shared" si="44"/>
        <v>0</v>
      </c>
      <c r="Y101" s="85">
        <f t="shared" si="44"/>
        <v>0</v>
      </c>
      <c r="Z101" s="85">
        <f t="shared" si="44"/>
        <v>0</v>
      </c>
      <c r="AA101" s="85">
        <f t="shared" si="44"/>
        <v>0</v>
      </c>
      <c r="AB101" s="85">
        <f t="shared" si="44"/>
        <v>0</v>
      </c>
      <c r="AC101" s="85">
        <f t="shared" si="44"/>
        <v>0</v>
      </c>
      <c r="AD101" s="85">
        <f t="shared" si="44"/>
        <v>0</v>
      </c>
      <c r="AE101" s="85">
        <f t="shared" si="44"/>
        <v>0</v>
      </c>
      <c r="AF101" s="85">
        <f t="shared" si="44"/>
        <v>0</v>
      </c>
      <c r="AG101" s="88"/>
      <c r="AH101" s="12">
        <f t="shared" si="38"/>
        <v>0</v>
      </c>
      <c r="AI101" s="11">
        <f t="shared" si="39"/>
        <v>0</v>
      </c>
      <c r="BF101" s="83"/>
      <c r="BG101" s="78">
        <v>55.7</v>
      </c>
      <c r="BH101" s="78">
        <v>0</v>
      </c>
      <c r="BI101" s="78">
        <v>430</v>
      </c>
      <c r="BJ101" s="78">
        <v>30</v>
      </c>
      <c r="BK101" s="78">
        <v>61.5</v>
      </c>
      <c r="BL101" s="78">
        <v>26.9</v>
      </c>
    </row>
    <row r="102" spans="1:64" x14ac:dyDescent="0.25">
      <c r="A102" s="87" t="s">
        <v>160</v>
      </c>
      <c r="B102" s="85">
        <f t="shared" ref="B102:AF102" si="45">IF(B82&lt;0,B82*-1,0)</f>
        <v>0</v>
      </c>
      <c r="C102" s="85">
        <f t="shared" si="45"/>
        <v>0</v>
      </c>
      <c r="D102" s="85">
        <f t="shared" si="45"/>
        <v>0</v>
      </c>
      <c r="E102" s="85">
        <f t="shared" si="45"/>
        <v>0</v>
      </c>
      <c r="F102" s="85">
        <f t="shared" si="45"/>
        <v>0</v>
      </c>
      <c r="G102" s="85">
        <f t="shared" si="45"/>
        <v>0</v>
      </c>
      <c r="H102" s="85">
        <f t="shared" si="45"/>
        <v>0</v>
      </c>
      <c r="I102" s="85">
        <f t="shared" si="45"/>
        <v>0</v>
      </c>
      <c r="J102" s="85">
        <f t="shared" si="45"/>
        <v>0</v>
      </c>
      <c r="K102" s="85">
        <f t="shared" si="45"/>
        <v>0</v>
      </c>
      <c r="L102" s="85">
        <f t="shared" si="45"/>
        <v>0</v>
      </c>
      <c r="M102" s="85">
        <f t="shared" si="45"/>
        <v>0</v>
      </c>
      <c r="N102" s="85">
        <f t="shared" si="45"/>
        <v>0</v>
      </c>
      <c r="O102" s="85">
        <f t="shared" si="45"/>
        <v>0</v>
      </c>
      <c r="P102" s="85">
        <f t="shared" si="45"/>
        <v>0</v>
      </c>
      <c r="Q102" s="85">
        <f t="shared" si="45"/>
        <v>0</v>
      </c>
      <c r="R102" s="85">
        <f t="shared" si="45"/>
        <v>0</v>
      </c>
      <c r="S102" s="85">
        <f t="shared" si="45"/>
        <v>0</v>
      </c>
      <c r="T102" s="85">
        <f t="shared" si="45"/>
        <v>0</v>
      </c>
      <c r="U102" s="85">
        <f t="shared" si="45"/>
        <v>0</v>
      </c>
      <c r="V102" s="85">
        <f t="shared" si="45"/>
        <v>0</v>
      </c>
      <c r="W102" s="85">
        <f t="shared" si="45"/>
        <v>0</v>
      </c>
      <c r="X102" s="85">
        <f t="shared" si="45"/>
        <v>0</v>
      </c>
      <c r="Y102" s="85">
        <f t="shared" si="45"/>
        <v>0</v>
      </c>
      <c r="Z102" s="85">
        <f t="shared" si="45"/>
        <v>0</v>
      </c>
      <c r="AA102" s="85">
        <f t="shared" si="45"/>
        <v>0</v>
      </c>
      <c r="AB102" s="85">
        <f t="shared" si="45"/>
        <v>0</v>
      </c>
      <c r="AC102" s="85">
        <f t="shared" si="45"/>
        <v>0</v>
      </c>
      <c r="AD102" s="85">
        <f t="shared" si="45"/>
        <v>0</v>
      </c>
      <c r="AE102" s="85">
        <f t="shared" si="45"/>
        <v>0</v>
      </c>
      <c r="AF102" s="85">
        <f t="shared" si="45"/>
        <v>0</v>
      </c>
      <c r="AG102" s="86"/>
      <c r="AH102" s="12">
        <f t="shared" si="38"/>
        <v>0</v>
      </c>
      <c r="AI102" s="11">
        <f t="shared" si="39"/>
        <v>0</v>
      </c>
      <c r="BF102" s="83"/>
      <c r="BG102" s="78">
        <v>28.3</v>
      </c>
      <c r="BH102" s="78">
        <v>0</v>
      </c>
      <c r="BI102" s="78">
        <v>0</v>
      </c>
      <c r="BJ102" s="78">
        <v>0</v>
      </c>
      <c r="BK102" s="78">
        <v>0</v>
      </c>
      <c r="BL102" s="78">
        <v>27</v>
      </c>
    </row>
    <row r="103" spans="1:64" x14ac:dyDescent="0.25">
      <c r="A103" s="82" t="s">
        <v>159</v>
      </c>
      <c r="B103" s="85">
        <f t="shared" ref="B103:AF103" si="46">IF(B85&lt;0,B85*-1,0)</f>
        <v>0</v>
      </c>
      <c r="C103" s="85">
        <f t="shared" si="46"/>
        <v>0</v>
      </c>
      <c r="D103" s="85">
        <f t="shared" si="46"/>
        <v>0</v>
      </c>
      <c r="E103" s="85">
        <f t="shared" si="46"/>
        <v>0</v>
      </c>
      <c r="F103" s="85">
        <f t="shared" si="46"/>
        <v>0</v>
      </c>
      <c r="G103" s="85">
        <f t="shared" si="46"/>
        <v>0</v>
      </c>
      <c r="H103" s="85">
        <f t="shared" si="46"/>
        <v>0</v>
      </c>
      <c r="I103" s="85">
        <f t="shared" si="46"/>
        <v>0</v>
      </c>
      <c r="J103" s="85">
        <f t="shared" si="46"/>
        <v>0</v>
      </c>
      <c r="K103" s="85">
        <f t="shared" si="46"/>
        <v>0</v>
      </c>
      <c r="L103" s="85">
        <f t="shared" si="46"/>
        <v>0</v>
      </c>
      <c r="M103" s="85">
        <f t="shared" si="46"/>
        <v>0</v>
      </c>
      <c r="N103" s="85">
        <f t="shared" si="46"/>
        <v>0</v>
      </c>
      <c r="O103" s="85">
        <f t="shared" si="46"/>
        <v>0</v>
      </c>
      <c r="P103" s="85">
        <f t="shared" si="46"/>
        <v>0</v>
      </c>
      <c r="Q103" s="85">
        <f t="shared" si="46"/>
        <v>0</v>
      </c>
      <c r="R103" s="85">
        <f t="shared" si="46"/>
        <v>0</v>
      </c>
      <c r="S103" s="85">
        <f t="shared" si="46"/>
        <v>0</v>
      </c>
      <c r="T103" s="85">
        <f t="shared" si="46"/>
        <v>0</v>
      </c>
      <c r="U103" s="85">
        <f t="shared" si="46"/>
        <v>0</v>
      </c>
      <c r="V103" s="85">
        <f t="shared" si="46"/>
        <v>0</v>
      </c>
      <c r="W103" s="85">
        <f t="shared" si="46"/>
        <v>0</v>
      </c>
      <c r="X103" s="85">
        <f t="shared" si="46"/>
        <v>0</v>
      </c>
      <c r="Y103" s="85">
        <f t="shared" si="46"/>
        <v>0</v>
      </c>
      <c r="Z103" s="85">
        <f t="shared" si="46"/>
        <v>0</v>
      </c>
      <c r="AA103" s="85">
        <f t="shared" si="46"/>
        <v>0</v>
      </c>
      <c r="AB103" s="85">
        <f t="shared" si="46"/>
        <v>0</v>
      </c>
      <c r="AC103" s="85">
        <f t="shared" si="46"/>
        <v>0</v>
      </c>
      <c r="AD103" s="85">
        <f t="shared" si="46"/>
        <v>0</v>
      </c>
      <c r="AE103" s="85">
        <f t="shared" si="46"/>
        <v>0</v>
      </c>
      <c r="AF103" s="85">
        <f t="shared" si="46"/>
        <v>0</v>
      </c>
      <c r="AG103" s="84"/>
      <c r="AH103" s="12">
        <f t="shared" si="38"/>
        <v>0</v>
      </c>
      <c r="AI103" s="11">
        <f t="shared" si="39"/>
        <v>0</v>
      </c>
      <c r="BF103" s="83"/>
      <c r="BG103" s="78">
        <v>36.299999999999997</v>
      </c>
      <c r="BH103" s="78">
        <v>0</v>
      </c>
      <c r="BI103" s="78">
        <v>78</v>
      </c>
      <c r="BJ103" s="78">
        <v>0</v>
      </c>
      <c r="BK103" s="78">
        <v>0</v>
      </c>
      <c r="BL103" s="78">
        <v>33.299999999999997</v>
      </c>
    </row>
    <row r="104" spans="1:64" x14ac:dyDescent="0.25">
      <c r="A104" s="82" t="s">
        <v>158</v>
      </c>
      <c r="B104" s="85">
        <f t="shared" ref="B104:AF104" si="47">IF(B83&lt;0,B83*-1,0)</f>
        <v>0</v>
      </c>
      <c r="C104" s="85">
        <f t="shared" si="47"/>
        <v>0</v>
      </c>
      <c r="D104" s="85">
        <f t="shared" si="47"/>
        <v>0</v>
      </c>
      <c r="E104" s="85">
        <f t="shared" si="47"/>
        <v>0</v>
      </c>
      <c r="F104" s="85">
        <f t="shared" si="47"/>
        <v>0</v>
      </c>
      <c r="G104" s="85">
        <f t="shared" si="47"/>
        <v>0</v>
      </c>
      <c r="H104" s="85">
        <f t="shared" si="47"/>
        <v>0</v>
      </c>
      <c r="I104" s="85">
        <f t="shared" si="47"/>
        <v>0</v>
      </c>
      <c r="J104" s="85">
        <f t="shared" si="47"/>
        <v>0</v>
      </c>
      <c r="K104" s="85">
        <f t="shared" si="47"/>
        <v>0</v>
      </c>
      <c r="L104" s="85">
        <f t="shared" si="47"/>
        <v>0</v>
      </c>
      <c r="M104" s="85">
        <f t="shared" si="47"/>
        <v>0</v>
      </c>
      <c r="N104" s="85">
        <f t="shared" si="47"/>
        <v>0</v>
      </c>
      <c r="O104" s="85">
        <f t="shared" si="47"/>
        <v>0</v>
      </c>
      <c r="P104" s="85">
        <f t="shared" si="47"/>
        <v>0</v>
      </c>
      <c r="Q104" s="85">
        <f t="shared" si="47"/>
        <v>0</v>
      </c>
      <c r="R104" s="85">
        <f t="shared" si="47"/>
        <v>0</v>
      </c>
      <c r="S104" s="85">
        <f t="shared" si="47"/>
        <v>0</v>
      </c>
      <c r="T104" s="85">
        <f t="shared" si="47"/>
        <v>0</v>
      </c>
      <c r="U104" s="85">
        <f t="shared" si="47"/>
        <v>0</v>
      </c>
      <c r="V104" s="85">
        <f t="shared" si="47"/>
        <v>0</v>
      </c>
      <c r="W104" s="85">
        <f t="shared" si="47"/>
        <v>0</v>
      </c>
      <c r="X104" s="85">
        <f t="shared" si="47"/>
        <v>0</v>
      </c>
      <c r="Y104" s="85">
        <f t="shared" si="47"/>
        <v>0</v>
      </c>
      <c r="Z104" s="85">
        <f t="shared" si="47"/>
        <v>0</v>
      </c>
      <c r="AA104" s="85">
        <f t="shared" si="47"/>
        <v>0</v>
      </c>
      <c r="AB104" s="85">
        <f t="shared" si="47"/>
        <v>0</v>
      </c>
      <c r="AC104" s="85">
        <f t="shared" si="47"/>
        <v>0</v>
      </c>
      <c r="AD104" s="85">
        <f t="shared" si="47"/>
        <v>0</v>
      </c>
      <c r="AE104" s="85">
        <f t="shared" si="47"/>
        <v>0</v>
      </c>
      <c r="AF104" s="85">
        <f t="shared" si="47"/>
        <v>0</v>
      </c>
      <c r="AG104" s="84"/>
      <c r="AH104" s="12">
        <f t="shared" si="38"/>
        <v>0</v>
      </c>
      <c r="AI104" s="11">
        <f t="shared" si="39"/>
        <v>0</v>
      </c>
      <c r="BF104" s="83"/>
      <c r="BG104" s="78">
        <v>36.200000000000003</v>
      </c>
      <c r="BH104" s="78">
        <v>0</v>
      </c>
      <c r="BI104" s="78">
        <v>112.1</v>
      </c>
      <c r="BJ104" s="78">
        <v>0</v>
      </c>
      <c r="BK104" s="78">
        <v>0</v>
      </c>
      <c r="BL104" s="78">
        <v>37.9</v>
      </c>
    </row>
    <row r="105" spans="1:64" x14ac:dyDescent="0.25">
      <c r="A105" s="82" t="s">
        <v>157</v>
      </c>
      <c r="B105" s="85">
        <f t="shared" ref="B105:AF105" si="48">IF(B81&lt;0,B81*-1,0)</f>
        <v>0</v>
      </c>
      <c r="C105" s="85">
        <f t="shared" si="48"/>
        <v>0</v>
      </c>
      <c r="D105" s="85">
        <f t="shared" si="48"/>
        <v>0</v>
      </c>
      <c r="E105" s="85">
        <f t="shared" si="48"/>
        <v>0</v>
      </c>
      <c r="F105" s="85">
        <f t="shared" si="48"/>
        <v>0</v>
      </c>
      <c r="G105" s="85">
        <f t="shared" si="48"/>
        <v>0</v>
      </c>
      <c r="H105" s="85">
        <f t="shared" si="48"/>
        <v>0</v>
      </c>
      <c r="I105" s="85">
        <f t="shared" si="48"/>
        <v>0</v>
      </c>
      <c r="J105" s="85">
        <f t="shared" si="48"/>
        <v>0</v>
      </c>
      <c r="K105" s="85">
        <f t="shared" si="48"/>
        <v>0</v>
      </c>
      <c r="L105" s="85">
        <f t="shared" si="48"/>
        <v>0</v>
      </c>
      <c r="M105" s="85">
        <f t="shared" si="48"/>
        <v>0</v>
      </c>
      <c r="N105" s="85">
        <f t="shared" si="48"/>
        <v>0</v>
      </c>
      <c r="O105" s="85">
        <f t="shared" si="48"/>
        <v>0</v>
      </c>
      <c r="P105" s="85">
        <f t="shared" si="48"/>
        <v>0</v>
      </c>
      <c r="Q105" s="85">
        <f t="shared" si="48"/>
        <v>0</v>
      </c>
      <c r="R105" s="85">
        <f t="shared" si="48"/>
        <v>0</v>
      </c>
      <c r="S105" s="85">
        <f t="shared" si="48"/>
        <v>0</v>
      </c>
      <c r="T105" s="85">
        <f t="shared" si="48"/>
        <v>0</v>
      </c>
      <c r="U105" s="85">
        <f t="shared" si="48"/>
        <v>0</v>
      </c>
      <c r="V105" s="85">
        <f t="shared" si="48"/>
        <v>0</v>
      </c>
      <c r="W105" s="85">
        <f t="shared" si="48"/>
        <v>0</v>
      </c>
      <c r="X105" s="85">
        <f t="shared" si="48"/>
        <v>0</v>
      </c>
      <c r="Y105" s="85">
        <f t="shared" si="48"/>
        <v>0</v>
      </c>
      <c r="Z105" s="85">
        <f t="shared" si="48"/>
        <v>0</v>
      </c>
      <c r="AA105" s="85">
        <f t="shared" si="48"/>
        <v>0</v>
      </c>
      <c r="AB105" s="85">
        <f t="shared" si="48"/>
        <v>0</v>
      </c>
      <c r="AC105" s="85">
        <f t="shared" si="48"/>
        <v>0</v>
      </c>
      <c r="AD105" s="85">
        <f t="shared" si="48"/>
        <v>0</v>
      </c>
      <c r="AE105" s="85">
        <f t="shared" si="48"/>
        <v>0</v>
      </c>
      <c r="AF105" s="85">
        <f t="shared" si="48"/>
        <v>0</v>
      </c>
      <c r="AG105" s="84"/>
      <c r="AH105" s="12">
        <f t="shared" si="38"/>
        <v>0</v>
      </c>
      <c r="AI105" s="11">
        <f t="shared" si="39"/>
        <v>0</v>
      </c>
      <c r="BF105" s="83"/>
      <c r="BG105" s="78">
        <v>35.5</v>
      </c>
      <c r="BH105" s="78">
        <v>0</v>
      </c>
      <c r="BI105" s="78">
        <v>129.6</v>
      </c>
      <c r="BJ105" s="78">
        <v>0</v>
      </c>
      <c r="BK105" s="78">
        <v>0</v>
      </c>
      <c r="BL105" s="78">
        <v>37.799999999999997</v>
      </c>
    </row>
    <row r="106" spans="1:64" ht="15.75" thickBot="1" x14ac:dyDescent="0.3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38"/>
        <v>0</v>
      </c>
      <c r="AI106" s="11">
        <f t="shared" si="39"/>
        <v>0</v>
      </c>
      <c r="BG106" s="78">
        <v>32.1</v>
      </c>
      <c r="BH106" s="78">
        <v>0</v>
      </c>
      <c r="BI106" s="78">
        <v>108.3</v>
      </c>
      <c r="BJ106" s="78">
        <v>0</v>
      </c>
      <c r="BK106" s="78">
        <v>0</v>
      </c>
      <c r="BL106" s="78">
        <v>36.799999999999997</v>
      </c>
    </row>
    <row r="107" spans="1:64" ht="15.75" thickBot="1" x14ac:dyDescent="0.3">
      <c r="A107" s="79" t="s">
        <v>155</v>
      </c>
      <c r="B107" s="76">
        <f t="shared" ref="B107:AF107" si="49">SUM(B101:B106)</f>
        <v>0</v>
      </c>
      <c r="C107" s="76">
        <f t="shared" si="49"/>
        <v>0</v>
      </c>
      <c r="D107" s="76">
        <f t="shared" si="49"/>
        <v>0</v>
      </c>
      <c r="E107" s="76">
        <f t="shared" si="49"/>
        <v>0</v>
      </c>
      <c r="F107" s="76">
        <f t="shared" si="49"/>
        <v>0</v>
      </c>
      <c r="G107" s="76">
        <f t="shared" si="49"/>
        <v>0</v>
      </c>
      <c r="H107" s="76">
        <f t="shared" si="49"/>
        <v>0</v>
      </c>
      <c r="I107" s="76">
        <f t="shared" si="49"/>
        <v>0</v>
      </c>
      <c r="J107" s="76">
        <f t="shared" si="49"/>
        <v>0</v>
      </c>
      <c r="K107" s="76">
        <f t="shared" si="49"/>
        <v>0</v>
      </c>
      <c r="L107" s="76">
        <f t="shared" si="49"/>
        <v>0</v>
      </c>
      <c r="M107" s="76">
        <f t="shared" si="49"/>
        <v>0</v>
      </c>
      <c r="N107" s="76">
        <f t="shared" si="49"/>
        <v>0</v>
      </c>
      <c r="O107" s="76">
        <f t="shared" si="49"/>
        <v>0</v>
      </c>
      <c r="P107" s="76">
        <f t="shared" si="49"/>
        <v>0</v>
      </c>
      <c r="Q107" s="76">
        <f t="shared" si="49"/>
        <v>0</v>
      </c>
      <c r="R107" s="76">
        <f t="shared" si="49"/>
        <v>0</v>
      </c>
      <c r="S107" s="76">
        <f t="shared" si="49"/>
        <v>0</v>
      </c>
      <c r="T107" s="76">
        <f t="shared" si="49"/>
        <v>0</v>
      </c>
      <c r="U107" s="76">
        <f t="shared" si="49"/>
        <v>0</v>
      </c>
      <c r="V107" s="76">
        <f t="shared" si="49"/>
        <v>0</v>
      </c>
      <c r="W107" s="76">
        <f t="shared" si="49"/>
        <v>0</v>
      </c>
      <c r="X107" s="76">
        <f t="shared" si="49"/>
        <v>0</v>
      </c>
      <c r="Y107" s="76">
        <f t="shared" si="49"/>
        <v>0</v>
      </c>
      <c r="Z107" s="76">
        <f t="shared" si="49"/>
        <v>0</v>
      </c>
      <c r="AA107" s="76">
        <f t="shared" si="49"/>
        <v>0</v>
      </c>
      <c r="AB107" s="76">
        <f t="shared" si="49"/>
        <v>0</v>
      </c>
      <c r="AC107" s="76">
        <f t="shared" si="49"/>
        <v>0</v>
      </c>
      <c r="AD107" s="76">
        <f t="shared" si="49"/>
        <v>0</v>
      </c>
      <c r="AE107" s="76">
        <f t="shared" si="49"/>
        <v>0</v>
      </c>
      <c r="AF107" s="76">
        <f t="shared" si="49"/>
        <v>0</v>
      </c>
      <c r="AG107" s="75"/>
      <c r="AH107" s="12">
        <f t="shared" si="38"/>
        <v>0</v>
      </c>
      <c r="AI107" s="11">
        <f t="shared" si="39"/>
        <v>0</v>
      </c>
      <c r="AK107" s="19"/>
      <c r="BG107" s="78">
        <v>34</v>
      </c>
      <c r="BH107" s="78">
        <v>0</v>
      </c>
      <c r="BI107" s="78">
        <v>147</v>
      </c>
      <c r="BJ107" s="78">
        <v>0</v>
      </c>
      <c r="BK107" s="78">
        <v>0</v>
      </c>
      <c r="BL107" s="78">
        <v>51</v>
      </c>
    </row>
    <row r="108" spans="1:64" ht="15.75" thickBot="1" x14ac:dyDescent="0.3">
      <c r="A108" s="77" t="s">
        <v>154</v>
      </c>
      <c r="B108" s="76">
        <f t="shared" ref="B108:AF108" si="50">B92-B107</f>
        <v>232</v>
      </c>
      <c r="C108" s="76">
        <f t="shared" si="50"/>
        <v>216</v>
      </c>
      <c r="D108" s="76">
        <f t="shared" si="50"/>
        <v>216.5</v>
      </c>
      <c r="E108" s="76">
        <f t="shared" si="50"/>
        <v>123.3</v>
      </c>
      <c r="F108" s="76">
        <f t="shared" si="50"/>
        <v>132.9</v>
      </c>
      <c r="G108" s="76">
        <f t="shared" si="50"/>
        <v>137.9</v>
      </c>
      <c r="H108" s="76">
        <f t="shared" si="50"/>
        <v>150</v>
      </c>
      <c r="I108" s="76">
        <f t="shared" si="50"/>
        <v>168.2</v>
      </c>
      <c r="J108" s="76">
        <f t="shared" si="50"/>
        <v>580</v>
      </c>
      <c r="K108" s="76">
        <f t="shared" si="50"/>
        <v>709.4</v>
      </c>
      <c r="L108" s="76">
        <f t="shared" si="50"/>
        <v>759.6</v>
      </c>
      <c r="M108" s="76">
        <f t="shared" si="50"/>
        <v>780.6</v>
      </c>
      <c r="N108" s="76">
        <f t="shared" si="50"/>
        <v>764.59999999999991</v>
      </c>
      <c r="O108" s="76">
        <f t="shared" si="50"/>
        <v>702.8</v>
      </c>
      <c r="P108" s="76">
        <f t="shared" si="50"/>
        <v>761.3</v>
      </c>
      <c r="Q108" s="76">
        <f t="shared" si="50"/>
        <v>730.50000000000011</v>
      </c>
      <c r="R108" s="76">
        <f t="shared" si="50"/>
        <v>699.19999999999993</v>
      </c>
      <c r="S108" s="76">
        <f t="shared" si="50"/>
        <v>768.2</v>
      </c>
      <c r="T108" s="76">
        <f t="shared" si="50"/>
        <v>762.1</v>
      </c>
      <c r="U108" s="76">
        <f t="shared" si="50"/>
        <v>713</v>
      </c>
      <c r="V108" s="76">
        <f t="shared" si="50"/>
        <v>696.80000000000007</v>
      </c>
      <c r="W108" s="76">
        <f t="shared" si="50"/>
        <v>627.30000000000007</v>
      </c>
      <c r="X108" s="76">
        <f t="shared" si="50"/>
        <v>604.1</v>
      </c>
      <c r="Y108" s="76">
        <f t="shared" si="50"/>
        <v>65.5</v>
      </c>
      <c r="Z108" s="76">
        <f t="shared" si="50"/>
        <v>55.3</v>
      </c>
      <c r="AA108" s="76">
        <f t="shared" si="50"/>
        <v>87.8</v>
      </c>
      <c r="AB108" s="76">
        <f t="shared" si="50"/>
        <v>147.6</v>
      </c>
      <c r="AC108" s="76">
        <f t="shared" si="50"/>
        <v>143.6</v>
      </c>
      <c r="AD108" s="76">
        <f t="shared" si="50"/>
        <v>186.20000000000002</v>
      </c>
      <c r="AE108" s="76">
        <f t="shared" si="50"/>
        <v>202.89999999999998</v>
      </c>
      <c r="AF108" s="76">
        <f t="shared" si="50"/>
        <v>177.2</v>
      </c>
      <c r="AG108" s="75"/>
      <c r="AH108" s="12">
        <f t="shared" si="38"/>
        <v>780.6</v>
      </c>
      <c r="AI108" s="11">
        <f t="shared" si="39"/>
        <v>55.3</v>
      </c>
    </row>
    <row r="109" spans="1:64" x14ac:dyDescent="0.25">
      <c r="A109" s="25" t="s">
        <v>153</v>
      </c>
      <c r="B109" s="74">
        <v>50.029000000000003</v>
      </c>
      <c r="C109" s="74">
        <v>49.97</v>
      </c>
      <c r="D109" s="74">
        <v>49.97</v>
      </c>
      <c r="E109" s="74">
        <v>49.94</v>
      </c>
      <c r="F109" s="74">
        <v>49.954000000000001</v>
      </c>
      <c r="G109" s="74">
        <v>49.889000000000003</v>
      </c>
      <c r="H109" s="74">
        <v>49.927</v>
      </c>
      <c r="I109" s="74">
        <v>49.988999999999997</v>
      </c>
      <c r="J109" s="74">
        <v>50.07</v>
      </c>
      <c r="K109" s="74">
        <v>50.024000000000001</v>
      </c>
      <c r="L109" s="74">
        <v>50.036999999999999</v>
      </c>
      <c r="M109" s="74">
        <v>50.03</v>
      </c>
      <c r="N109" s="74">
        <v>50.006</v>
      </c>
      <c r="O109" s="74">
        <v>49.932000000000002</v>
      </c>
      <c r="P109" s="74">
        <v>49.981999999999999</v>
      </c>
      <c r="Q109" s="74">
        <v>50.072000000000003</v>
      </c>
      <c r="R109" s="74">
        <v>50.042999999999999</v>
      </c>
      <c r="S109" s="74">
        <v>49.936999999999998</v>
      </c>
      <c r="T109" s="74">
        <v>50.021000000000001</v>
      </c>
      <c r="U109" s="74">
        <v>50.021000000000001</v>
      </c>
      <c r="V109" s="74">
        <v>50.03</v>
      </c>
      <c r="W109" s="74">
        <v>49.936999999999998</v>
      </c>
      <c r="X109" s="74">
        <v>49.991999999999997</v>
      </c>
      <c r="Y109" s="74">
        <v>49.936999999999998</v>
      </c>
      <c r="Z109" s="74">
        <v>50.054000000000002</v>
      </c>
      <c r="AA109" s="74">
        <v>49.988999999999997</v>
      </c>
      <c r="AB109" s="74">
        <v>49.92</v>
      </c>
      <c r="AC109" s="74">
        <v>49.8</v>
      </c>
      <c r="AD109" s="74">
        <v>49.9</v>
      </c>
      <c r="AE109" s="74">
        <v>50.06</v>
      </c>
      <c r="AF109" s="74">
        <v>49.89</v>
      </c>
      <c r="AG109" s="73"/>
      <c r="AH109" s="12">
        <f t="shared" si="38"/>
        <v>50.072000000000003</v>
      </c>
      <c r="AI109" s="11">
        <f t="shared" si="39"/>
        <v>49.8</v>
      </c>
    </row>
    <row r="110" spans="1:64" x14ac:dyDescent="0.25">
      <c r="A110" s="22" t="s">
        <v>152</v>
      </c>
      <c r="B110" s="70">
        <v>130.9</v>
      </c>
      <c r="C110" s="70">
        <v>131.30000000000001</v>
      </c>
      <c r="D110" s="70">
        <v>131.4</v>
      </c>
      <c r="E110" s="70">
        <v>133.1</v>
      </c>
      <c r="F110" s="70">
        <v>132.6</v>
      </c>
      <c r="G110" s="70">
        <v>132.4</v>
      </c>
      <c r="H110" s="70">
        <v>132.1</v>
      </c>
      <c r="I110" s="70">
        <v>130.5</v>
      </c>
      <c r="J110" s="70">
        <v>129.4</v>
      </c>
      <c r="K110" s="70">
        <v>126.5</v>
      </c>
      <c r="L110" s="70">
        <v>124.5</v>
      </c>
      <c r="M110" s="70">
        <v>123.4</v>
      </c>
      <c r="N110" s="70">
        <v>124.3</v>
      </c>
      <c r="O110" s="70">
        <v>125.9</v>
      </c>
      <c r="P110" s="70">
        <v>123.6</v>
      </c>
      <c r="Q110" s="70">
        <v>124.9</v>
      </c>
      <c r="R110" s="70">
        <v>125.5</v>
      </c>
      <c r="S110" s="70">
        <v>122</v>
      </c>
      <c r="T110" s="70">
        <v>122</v>
      </c>
      <c r="U110" s="70">
        <v>122</v>
      </c>
      <c r="V110" s="70">
        <v>123</v>
      </c>
      <c r="W110" s="70">
        <v>125.5</v>
      </c>
      <c r="X110" s="70">
        <v>127.6</v>
      </c>
      <c r="Y110" s="70">
        <v>124.7</v>
      </c>
      <c r="Z110" s="70">
        <v>125.7</v>
      </c>
      <c r="AA110" s="70">
        <v>127.7</v>
      </c>
      <c r="AB110" s="70">
        <v>128.5</v>
      </c>
      <c r="AC110" s="70">
        <v>128.5</v>
      </c>
      <c r="AD110" s="70">
        <v>126.5</v>
      </c>
      <c r="AE110" s="70">
        <v>127.1</v>
      </c>
      <c r="AF110" s="70">
        <v>128.30000000000001</v>
      </c>
      <c r="AG110" s="69"/>
      <c r="AH110" s="12">
        <f t="shared" si="38"/>
        <v>133.1</v>
      </c>
      <c r="AI110" s="11">
        <f t="shared" si="39"/>
        <v>122</v>
      </c>
    </row>
    <row r="111" spans="1:64" x14ac:dyDescent="0.25">
      <c r="A111" s="22" t="s">
        <v>151</v>
      </c>
      <c r="B111" s="70">
        <v>134.5</v>
      </c>
      <c r="C111" s="70">
        <v>134.9</v>
      </c>
      <c r="D111" s="70">
        <v>135</v>
      </c>
      <c r="E111" s="70">
        <v>136.4</v>
      </c>
      <c r="F111" s="70">
        <v>136.19999999999999</v>
      </c>
      <c r="G111" s="70">
        <v>135.9</v>
      </c>
      <c r="H111" s="70">
        <v>135.30000000000001</v>
      </c>
      <c r="I111" s="70">
        <v>134</v>
      </c>
      <c r="J111" s="70">
        <v>132.6</v>
      </c>
      <c r="K111" s="70">
        <v>130.1</v>
      </c>
      <c r="L111" s="70">
        <v>128.19999999999999</v>
      </c>
      <c r="M111" s="70">
        <v>127.1</v>
      </c>
      <c r="N111" s="70">
        <v>128.19999999999999</v>
      </c>
      <c r="O111" s="70">
        <v>129.1</v>
      </c>
      <c r="P111" s="70">
        <v>127.5</v>
      </c>
      <c r="Q111" s="70">
        <v>129</v>
      </c>
      <c r="R111" s="70">
        <v>130</v>
      </c>
      <c r="S111" s="70">
        <v>127.2</v>
      </c>
      <c r="T111" s="70">
        <v>127.5</v>
      </c>
      <c r="U111" s="70">
        <v>127.5</v>
      </c>
      <c r="V111" s="70">
        <v>128.80000000000001</v>
      </c>
      <c r="W111" s="70">
        <v>130.4</v>
      </c>
      <c r="X111" s="70">
        <v>131.9</v>
      </c>
      <c r="Y111" s="70">
        <v>129.6</v>
      </c>
      <c r="Z111" s="70">
        <v>129.9</v>
      </c>
      <c r="AA111" s="70">
        <v>131.69999999999999</v>
      </c>
      <c r="AB111" s="70">
        <v>132.5</v>
      </c>
      <c r="AC111" s="70">
        <v>132.5</v>
      </c>
      <c r="AD111" s="70">
        <v>131.69999999999999</v>
      </c>
      <c r="AE111" s="70">
        <v>132.4</v>
      </c>
      <c r="AF111" s="70">
        <v>133.5</v>
      </c>
      <c r="AG111" s="69"/>
      <c r="AH111" s="12">
        <f t="shared" si="38"/>
        <v>136.4</v>
      </c>
      <c r="AI111" s="11">
        <f t="shared" si="39"/>
        <v>127.1</v>
      </c>
    </row>
    <row r="112" spans="1:64" x14ac:dyDescent="0.25">
      <c r="A112" s="22" t="s">
        <v>150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69"/>
      <c r="AH112" s="12">
        <f t="shared" si="38"/>
        <v>0</v>
      </c>
      <c r="AI112" s="11">
        <f t="shared" si="39"/>
        <v>0</v>
      </c>
    </row>
    <row r="113" spans="1:35" x14ac:dyDescent="0.25">
      <c r="A113" s="72" t="s">
        <v>149</v>
      </c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69"/>
      <c r="AH113" s="12">
        <f t="shared" si="38"/>
        <v>0</v>
      </c>
      <c r="AI113" s="11">
        <f t="shared" si="39"/>
        <v>0</v>
      </c>
    </row>
    <row r="114" spans="1:35" x14ac:dyDescent="0.25">
      <c r="A114" s="72" t="s">
        <v>148</v>
      </c>
      <c r="B114" s="56">
        <v>135.69999999999999</v>
      </c>
      <c r="C114" s="56">
        <v>135.19999999999999</v>
      </c>
      <c r="D114" s="56">
        <v>135.4</v>
      </c>
      <c r="E114" s="56">
        <v>135.80000000000001</v>
      </c>
      <c r="F114" s="56">
        <v>136.4</v>
      </c>
      <c r="G114" s="56">
        <v>135.5</v>
      </c>
      <c r="H114" s="56">
        <v>136.4</v>
      </c>
      <c r="I114" s="56">
        <v>134</v>
      </c>
      <c r="J114" s="56">
        <v>135.30000000000001</v>
      </c>
      <c r="K114" s="56">
        <v>133.1</v>
      </c>
      <c r="L114" s="56">
        <v>133.5</v>
      </c>
      <c r="M114" s="56">
        <v>132.1</v>
      </c>
      <c r="N114" s="56">
        <v>130.69999999999999</v>
      </c>
      <c r="O114" s="56">
        <v>134.1</v>
      </c>
      <c r="P114" s="56">
        <v>130.9</v>
      </c>
      <c r="Q114" s="56">
        <v>133.5</v>
      </c>
      <c r="R114" s="56">
        <v>136.19999999999999</v>
      </c>
      <c r="S114" s="56">
        <v>134.19999999999999</v>
      </c>
      <c r="T114" s="56">
        <v>133.4</v>
      </c>
      <c r="U114" s="56">
        <v>133.4</v>
      </c>
      <c r="V114" s="56">
        <v>132.5</v>
      </c>
      <c r="W114" s="56">
        <v>132.80000000000001</v>
      </c>
      <c r="X114" s="56">
        <v>136.19999999999999</v>
      </c>
      <c r="Y114" s="56">
        <v>135</v>
      </c>
      <c r="Z114" s="56">
        <v>134</v>
      </c>
      <c r="AA114" s="56">
        <v>134.1</v>
      </c>
      <c r="AB114" s="56">
        <v>136.19999999999999</v>
      </c>
      <c r="AC114" s="56">
        <v>136.19999999999999</v>
      </c>
      <c r="AD114" s="56">
        <v>134.30000000000001</v>
      </c>
      <c r="AE114" s="56">
        <v>133.4</v>
      </c>
      <c r="AF114" s="56">
        <v>133.9</v>
      </c>
      <c r="AG114" s="71"/>
      <c r="AH114" s="12">
        <f t="shared" ref="AH114:AH130" si="51">MAX(B114:AF114)</f>
        <v>136.4</v>
      </c>
      <c r="AI114" s="11">
        <f t="shared" ref="AI114:AI130" si="52">MIN(B114:AF114)</f>
        <v>130.69999999999999</v>
      </c>
    </row>
    <row r="115" spans="1:35" x14ac:dyDescent="0.25">
      <c r="A115" s="22" t="s">
        <v>147</v>
      </c>
      <c r="B115" s="70">
        <v>135.6</v>
      </c>
      <c r="C115" s="70">
        <v>136.1</v>
      </c>
      <c r="D115" s="70">
        <v>136</v>
      </c>
      <c r="E115" s="70">
        <v>131.19999999999999</v>
      </c>
      <c r="F115" s="70">
        <v>132</v>
      </c>
      <c r="G115" s="70">
        <v>129.4</v>
      </c>
      <c r="H115" s="70">
        <v>128.80000000000001</v>
      </c>
      <c r="I115" s="70">
        <v>125.8</v>
      </c>
      <c r="J115" s="70">
        <v>126.6</v>
      </c>
      <c r="K115" s="70">
        <v>130.5</v>
      </c>
      <c r="L115" s="70">
        <v>130.6</v>
      </c>
      <c r="M115" s="70">
        <v>129.69999999999999</v>
      </c>
      <c r="N115" s="70">
        <v>131</v>
      </c>
      <c r="O115" s="70">
        <v>134</v>
      </c>
      <c r="P115" s="70">
        <v>131</v>
      </c>
      <c r="Q115" s="70">
        <v>127.3</v>
      </c>
      <c r="R115" s="70">
        <v>130</v>
      </c>
      <c r="S115" s="70">
        <v>132.9</v>
      </c>
      <c r="T115" s="70">
        <v>130.30000000000001</v>
      </c>
      <c r="U115" s="70">
        <v>130.30000000000001</v>
      </c>
      <c r="V115" s="70">
        <v>133.30000000000001</v>
      </c>
      <c r="W115" s="70">
        <v>131.1</v>
      </c>
      <c r="X115" s="70">
        <v>131</v>
      </c>
      <c r="Y115" s="70">
        <v>131.30000000000001</v>
      </c>
      <c r="Z115" s="70">
        <v>126.4</v>
      </c>
      <c r="AA115" s="70">
        <v>125.4</v>
      </c>
      <c r="AB115" s="70">
        <v>133.9</v>
      </c>
      <c r="AC115" s="70">
        <v>133.9</v>
      </c>
      <c r="AD115" s="70">
        <v>131.5</v>
      </c>
      <c r="AE115" s="70">
        <v>130.69999999999999</v>
      </c>
      <c r="AF115" s="70">
        <v>131.69999999999999</v>
      </c>
      <c r="AG115" s="69"/>
      <c r="AH115" s="12">
        <f t="shared" si="51"/>
        <v>136.1</v>
      </c>
      <c r="AI115" s="11">
        <f t="shared" si="52"/>
        <v>125.4</v>
      </c>
    </row>
    <row r="116" spans="1:35" ht="15.75" thickBot="1" x14ac:dyDescent="0.3">
      <c r="A116" s="22" t="s">
        <v>146</v>
      </c>
      <c r="B116" s="67">
        <v>67.3</v>
      </c>
      <c r="C116" s="67">
        <v>67.5</v>
      </c>
      <c r="D116" s="67">
        <v>67.5</v>
      </c>
      <c r="E116" s="67">
        <v>68.400000000000006</v>
      </c>
      <c r="F116" s="67">
        <v>68.2</v>
      </c>
      <c r="G116" s="67">
        <v>68</v>
      </c>
      <c r="H116" s="67">
        <v>67.8</v>
      </c>
      <c r="I116" s="67">
        <v>67.099999999999994</v>
      </c>
      <c r="J116" s="67">
        <v>66.5</v>
      </c>
      <c r="K116" s="67">
        <v>65.3</v>
      </c>
      <c r="L116" s="67">
        <v>64.599999999999994</v>
      </c>
      <c r="M116" s="67">
        <v>64.3</v>
      </c>
      <c r="N116" s="67">
        <v>64.5</v>
      </c>
      <c r="O116" s="67">
        <v>65.2</v>
      </c>
      <c r="P116" s="67">
        <v>64.2</v>
      </c>
      <c r="Q116" s="67">
        <v>64.3</v>
      </c>
      <c r="R116" s="67">
        <v>65.400000000000006</v>
      </c>
      <c r="S116" s="67">
        <v>63.8</v>
      </c>
      <c r="T116" s="67">
        <v>64.099999999999994</v>
      </c>
      <c r="U116" s="67">
        <v>64.099999999999994</v>
      </c>
      <c r="V116" s="67">
        <v>64.8</v>
      </c>
      <c r="W116" s="67">
        <v>65.599999999999994</v>
      </c>
      <c r="X116" s="67">
        <v>66.099999999999994</v>
      </c>
      <c r="Y116" s="67">
        <v>65</v>
      </c>
      <c r="Z116" s="67">
        <v>65.099999999999994</v>
      </c>
      <c r="AA116" s="67">
        <v>66.099999999999994</v>
      </c>
      <c r="AB116" s="67">
        <v>66.599999999999994</v>
      </c>
      <c r="AC116" s="67">
        <v>66.599999999999994</v>
      </c>
      <c r="AD116" s="67">
        <v>66.3</v>
      </c>
      <c r="AE116" s="67">
        <v>66.7</v>
      </c>
      <c r="AF116" s="67">
        <v>67.2</v>
      </c>
      <c r="AG116" s="66"/>
      <c r="AH116" s="12">
        <f t="shared" si="51"/>
        <v>68.400000000000006</v>
      </c>
      <c r="AI116" s="11">
        <f t="shared" si="52"/>
        <v>63.8</v>
      </c>
    </row>
    <row r="117" spans="1:35" ht="15.75" thickBot="1" x14ac:dyDescent="0.3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51"/>
        <v>0</v>
      </c>
      <c r="AI117" s="11">
        <f t="shared" si="52"/>
        <v>0</v>
      </c>
    </row>
    <row r="118" spans="1:35" ht="15.75" thickBot="1" x14ac:dyDescent="0.3">
      <c r="A118" s="65" t="s">
        <v>144</v>
      </c>
      <c r="B118" s="64">
        <f t="shared" ref="B118:O118" si="53">SUM(B22,B28,B31:B32,B66,B68:B69,B71,B73,B119:B123,B155,B161,B167,B176,B178,B190,B197,B200:B201,B208,B210,B212,B216:B218,B220:B222,B227,B233:B234,B236:B238,B246,B251)</f>
        <v>134.83999999999997</v>
      </c>
      <c r="C118" s="64">
        <f t="shared" si="53"/>
        <v>126.53999999999999</v>
      </c>
      <c r="D118" s="64">
        <f t="shared" si="53"/>
        <v>124.94000000000001</v>
      </c>
      <c r="E118" s="64">
        <f t="shared" si="53"/>
        <v>118.14</v>
      </c>
      <c r="F118" s="64">
        <f t="shared" si="53"/>
        <v>122.64000000000001</v>
      </c>
      <c r="G118" s="64">
        <f t="shared" si="53"/>
        <v>155.13999999999999</v>
      </c>
      <c r="H118" s="64">
        <f t="shared" si="53"/>
        <v>180.74</v>
      </c>
      <c r="I118" s="64">
        <f t="shared" si="53"/>
        <v>200.34</v>
      </c>
      <c r="J118" s="64">
        <f t="shared" si="53"/>
        <v>247.44</v>
      </c>
      <c r="K118" s="64">
        <f t="shared" si="53"/>
        <v>256.74</v>
      </c>
      <c r="L118" s="64">
        <f t="shared" si="53"/>
        <v>271.64</v>
      </c>
      <c r="M118" s="64">
        <f t="shared" si="53"/>
        <v>263.54000000000002</v>
      </c>
      <c r="N118" s="64">
        <f t="shared" si="53"/>
        <v>286.24</v>
      </c>
      <c r="O118" s="64">
        <f t="shared" si="53"/>
        <v>282.83999999999997</v>
      </c>
      <c r="P118" s="64">
        <v>42</v>
      </c>
      <c r="Q118" s="64">
        <f t="shared" ref="Q118:X118" si="54">SUM(Q22,Q28,Q31:Q32,Q66,Q68:Q69,Q71,Q73,Q119:Q123,Q155,Q161,Q167,Q176,Q178,Q190,Q197,Q200:Q201,Q208,Q210,Q212,Q216:Q218,Q220:Q222,Q227,Q233:Q234,Q236:Q238,Q246,Q251)</f>
        <v>213.84</v>
      </c>
      <c r="R118" s="64">
        <f t="shared" si="54"/>
        <v>204.04000000000002</v>
      </c>
      <c r="S118" s="64">
        <f t="shared" si="54"/>
        <v>211.04</v>
      </c>
      <c r="T118" s="64">
        <f t="shared" si="54"/>
        <v>209.54000000000002</v>
      </c>
      <c r="U118" s="64">
        <f t="shared" si="54"/>
        <v>206.14</v>
      </c>
      <c r="V118" s="64">
        <f t="shared" si="54"/>
        <v>210.94</v>
      </c>
      <c r="W118" s="64">
        <f t="shared" si="54"/>
        <v>226.64</v>
      </c>
      <c r="X118" s="64">
        <f t="shared" si="54"/>
        <v>233.14</v>
      </c>
      <c r="Y118" s="64">
        <f>SUM(Y20,Y26,Y37:Y38,Y66,Y68:Y69,Y71,Y73,Y119:Y123,Y148,Y154,Y160,Y169,Y171,Y183,Y190,Y193:Y194,Y201,Y203,Y205,Y209:Y211,Y213:Y215,Y220,Y226:Y227,Y229:Y231,Y239,Y244)</f>
        <v>288.3</v>
      </c>
      <c r="Z118" s="64">
        <f>SUM(Z20,Z26,Z37:Z38,Z66,Z68:Z69,Z71,Z73,Z119:Z123,Z148,Z154,Z160,Z169,Z171,Z183,Z190,Z193:Z194,Z201,Z203,Z205,Z209:Z211,Z213:Z215,Z220,Z226:Z227,Z229:Z231,Z239,Z244)</f>
        <v>326.39999999999998</v>
      </c>
      <c r="AA118" s="64">
        <f t="shared" ref="AA118:AF118" si="55">SUM(AA22,AA28,AA31:AA32,AA66,AA68:AA69,AA71,AA73,AA119:AA123,AA155,AA161,AA167,AA176,AA178,AA190,AA197,AA200:AA201,AA208,AA210,AA212,AA216:AA218,AA220:AA222,AA227,AA233:AA234,AA236:AA238,AA246,AA251)</f>
        <v>302.64000000000004</v>
      </c>
      <c r="AB118" s="64">
        <f t="shared" si="55"/>
        <v>266.03999999999996</v>
      </c>
      <c r="AC118" s="64">
        <f t="shared" si="55"/>
        <v>265.03999999999996</v>
      </c>
      <c r="AD118" s="64">
        <f t="shared" si="55"/>
        <v>229.84</v>
      </c>
      <c r="AE118" s="64">
        <f t="shared" si="55"/>
        <v>174.14000000000001</v>
      </c>
      <c r="AF118" s="64">
        <f t="shared" si="55"/>
        <v>86.339999999999989</v>
      </c>
      <c r="AG118" s="63"/>
      <c r="AH118" s="12">
        <f t="shared" si="51"/>
        <v>326.39999999999998</v>
      </c>
      <c r="AI118" s="11">
        <f t="shared" si="52"/>
        <v>42</v>
      </c>
    </row>
    <row r="119" spans="1:35" x14ac:dyDescent="0.25">
      <c r="A119" s="59" t="s">
        <v>143</v>
      </c>
      <c r="B119" s="62">
        <v>3.1</v>
      </c>
      <c r="C119" s="62">
        <v>-0.9</v>
      </c>
      <c r="D119" s="62">
        <v>-3.6</v>
      </c>
      <c r="E119" s="62">
        <v>8.5</v>
      </c>
      <c r="F119" s="62">
        <v>4.4000000000000004</v>
      </c>
      <c r="G119" s="62">
        <v>13</v>
      </c>
      <c r="H119" s="62">
        <v>21</v>
      </c>
      <c r="I119" s="62">
        <v>23</v>
      </c>
      <c r="J119" s="62">
        <v>-10.4</v>
      </c>
      <c r="K119" s="62">
        <v>-11.2</v>
      </c>
      <c r="L119" s="62">
        <v>-8.4</v>
      </c>
      <c r="M119" s="62">
        <v>-21.1</v>
      </c>
      <c r="N119" s="62">
        <v>-19.7</v>
      </c>
      <c r="O119" s="62">
        <v>-11.6</v>
      </c>
      <c r="P119" s="62">
        <v>-26.6</v>
      </c>
      <c r="Q119" s="62">
        <v>-20.3</v>
      </c>
      <c r="R119" s="62">
        <v>-19.8</v>
      </c>
      <c r="S119" s="62">
        <v>-19.399999999999999</v>
      </c>
      <c r="T119" s="62">
        <v>-20.8</v>
      </c>
      <c r="U119" s="62">
        <v>-20.8</v>
      </c>
      <c r="V119" s="62">
        <v>-11</v>
      </c>
      <c r="W119" s="62">
        <v>-1.9</v>
      </c>
      <c r="X119" s="62">
        <v>0.8</v>
      </c>
      <c r="Y119" s="62">
        <v>52.4</v>
      </c>
      <c r="Z119" s="62">
        <v>49</v>
      </c>
      <c r="AA119" s="62">
        <v>51.8</v>
      </c>
      <c r="AB119" s="62">
        <v>51.4</v>
      </c>
      <c r="AC119" s="62">
        <v>55.2</v>
      </c>
      <c r="AD119" s="62">
        <v>49.8</v>
      </c>
      <c r="AE119" s="62">
        <v>43.5</v>
      </c>
      <c r="AF119" s="62">
        <v>33</v>
      </c>
      <c r="AG119" s="55">
        <v>75</v>
      </c>
      <c r="AH119" s="12">
        <f t="shared" si="51"/>
        <v>55.2</v>
      </c>
      <c r="AI119" s="11">
        <f t="shared" si="52"/>
        <v>-26.6</v>
      </c>
    </row>
    <row r="120" spans="1:35" x14ac:dyDescent="0.25">
      <c r="A120" s="57" t="s">
        <v>142</v>
      </c>
      <c r="B120" s="61">
        <v>10.6</v>
      </c>
      <c r="C120" s="61">
        <v>4.3</v>
      </c>
      <c r="D120" s="61">
        <v>-0.6</v>
      </c>
      <c r="E120" s="61">
        <v>18.2</v>
      </c>
      <c r="F120" s="61">
        <v>12</v>
      </c>
      <c r="G120" s="61">
        <v>24</v>
      </c>
      <c r="H120" s="61">
        <v>33.6</v>
      </c>
      <c r="I120" s="61">
        <v>35</v>
      </c>
      <c r="J120" s="61">
        <v>-20.399999999999999</v>
      </c>
      <c r="K120" s="61">
        <v>-23.5</v>
      </c>
      <c r="L120" s="61">
        <v>-19.5</v>
      </c>
      <c r="M120" s="61">
        <v>-36.4</v>
      </c>
      <c r="N120" s="61">
        <v>-35.799999999999997</v>
      </c>
      <c r="O120" s="61">
        <v>-23.1</v>
      </c>
      <c r="P120" s="61">
        <v>-44.6</v>
      </c>
      <c r="Q120" s="61">
        <v>-34.700000000000003</v>
      </c>
      <c r="R120" s="61">
        <v>-31.2</v>
      </c>
      <c r="S120" s="61">
        <v>-32.799999999999997</v>
      </c>
      <c r="T120" s="61">
        <v>-34.299999999999997</v>
      </c>
      <c r="U120" s="61">
        <v>-34.299999999999997</v>
      </c>
      <c r="V120" s="61">
        <v>-19.8</v>
      </c>
      <c r="W120" s="61">
        <v>-7.6</v>
      </c>
      <c r="X120" s="61">
        <v>8.9</v>
      </c>
      <c r="Y120" s="61">
        <v>78</v>
      </c>
      <c r="Z120" s="61">
        <v>71</v>
      </c>
      <c r="AA120" s="61">
        <v>76</v>
      </c>
      <c r="AB120" s="61">
        <v>77.3</v>
      </c>
      <c r="AC120" s="61">
        <v>80</v>
      </c>
      <c r="AD120" s="61">
        <v>73.400000000000006</v>
      </c>
      <c r="AE120" s="61">
        <v>66</v>
      </c>
      <c r="AF120" s="61">
        <v>51.4</v>
      </c>
      <c r="AG120" s="55">
        <v>240</v>
      </c>
      <c r="AH120" s="12">
        <f t="shared" si="51"/>
        <v>80</v>
      </c>
      <c r="AI120" s="11">
        <f t="shared" si="52"/>
        <v>-44.6</v>
      </c>
    </row>
    <row r="121" spans="1:35" x14ac:dyDescent="0.25">
      <c r="A121" s="57" t="s">
        <v>141</v>
      </c>
      <c r="B121" s="61">
        <v>-21</v>
      </c>
      <c r="C121" s="61">
        <v>-15</v>
      </c>
      <c r="D121" s="61">
        <v>-7</v>
      </c>
      <c r="E121" s="61">
        <v>-42</v>
      </c>
      <c r="F121" s="61">
        <v>-32</v>
      </c>
      <c r="G121" s="61">
        <v>-38</v>
      </c>
      <c r="H121" s="61">
        <v>-44</v>
      </c>
      <c r="I121" s="61">
        <v>-48</v>
      </c>
      <c r="J121" s="61">
        <v>76</v>
      </c>
      <c r="K121" s="61">
        <v>84</v>
      </c>
      <c r="L121" s="61">
        <v>55</v>
      </c>
      <c r="M121" s="61">
        <v>52</v>
      </c>
      <c r="N121" s="61">
        <f>37.6+36.1</f>
        <v>73.7</v>
      </c>
      <c r="O121" s="61">
        <v>62</v>
      </c>
      <c r="P121" s="61">
        <v>50</v>
      </c>
      <c r="Q121" s="61">
        <v>33</v>
      </c>
      <c r="R121" s="61">
        <v>27</v>
      </c>
      <c r="S121" s="61">
        <v>31</v>
      </c>
      <c r="T121" s="61">
        <v>35</v>
      </c>
      <c r="U121" s="61">
        <v>35</v>
      </c>
      <c r="V121" s="61">
        <v>27</v>
      </c>
      <c r="W121" s="61">
        <v>26</v>
      </c>
      <c r="X121" s="61">
        <v>16</v>
      </c>
      <c r="Y121" s="61">
        <v>-32</v>
      </c>
      <c r="Z121" s="61">
        <v>-16</v>
      </c>
      <c r="AA121" s="61">
        <v>-13</v>
      </c>
      <c r="AB121" s="61">
        <v>-20.6</v>
      </c>
      <c r="AC121" s="61">
        <v>-22</v>
      </c>
      <c r="AD121" s="61">
        <v>-43</v>
      </c>
      <c r="AE121" s="61">
        <v>-57</v>
      </c>
      <c r="AF121" s="61">
        <v>-68</v>
      </c>
      <c r="AG121" s="55">
        <v>240</v>
      </c>
      <c r="AH121" s="12">
        <f t="shared" si="51"/>
        <v>84</v>
      </c>
      <c r="AI121" s="11">
        <f t="shared" si="52"/>
        <v>-68</v>
      </c>
    </row>
    <row r="122" spans="1:35" ht="15.75" thickBot="1" x14ac:dyDescent="0.3">
      <c r="A122" s="57" t="s">
        <v>140</v>
      </c>
      <c r="B122" s="61">
        <v>28</v>
      </c>
      <c r="C122" s="61">
        <v>29</v>
      </c>
      <c r="D122" s="61">
        <v>29</v>
      </c>
      <c r="E122" s="61">
        <v>27</v>
      </c>
      <c r="F122" s="61">
        <v>29</v>
      </c>
      <c r="G122" s="61">
        <v>30</v>
      </c>
      <c r="H122" s="61">
        <v>29</v>
      </c>
      <c r="I122" s="61">
        <v>31</v>
      </c>
      <c r="J122" s="61">
        <v>28.5</v>
      </c>
      <c r="K122" s="61">
        <v>28</v>
      </c>
      <c r="L122" s="61">
        <v>12</v>
      </c>
      <c r="M122" s="61">
        <v>26.5</v>
      </c>
      <c r="N122" s="61">
        <v>34.1</v>
      </c>
      <c r="O122" s="61">
        <v>25.6</v>
      </c>
      <c r="P122" s="61">
        <v>13.5</v>
      </c>
      <c r="Q122" s="61">
        <v>7.4</v>
      </c>
      <c r="R122" s="61">
        <v>9.6999999999999993</v>
      </c>
      <c r="S122" s="61">
        <v>-3.2</v>
      </c>
      <c r="T122" s="61">
        <v>-1.2</v>
      </c>
      <c r="U122" s="61">
        <v>-1.2</v>
      </c>
      <c r="V122" s="61">
        <v>0</v>
      </c>
      <c r="W122" s="61">
        <v>8.1999999999999993</v>
      </c>
      <c r="X122" s="61">
        <v>7</v>
      </c>
      <c r="Y122" s="61">
        <v>4.5</v>
      </c>
      <c r="Z122" s="61">
        <v>24</v>
      </c>
      <c r="AA122" s="61">
        <v>37.4</v>
      </c>
      <c r="AB122" s="61">
        <v>35.1</v>
      </c>
      <c r="AC122" s="61">
        <v>33.200000000000003</v>
      </c>
      <c r="AD122" s="61">
        <v>30.2</v>
      </c>
      <c r="AE122" s="61">
        <v>24.8</v>
      </c>
      <c r="AF122" s="61">
        <v>-22.9</v>
      </c>
      <c r="AG122" s="55">
        <v>60</v>
      </c>
      <c r="AH122" s="12">
        <f t="shared" si="51"/>
        <v>37.4</v>
      </c>
      <c r="AI122" s="11">
        <f t="shared" si="52"/>
        <v>-22.9</v>
      </c>
    </row>
    <row r="123" spans="1:35" x14ac:dyDescent="0.25">
      <c r="A123" s="59" t="s">
        <v>139</v>
      </c>
      <c r="B123" s="58">
        <v>29</v>
      </c>
      <c r="C123" s="58">
        <v>24</v>
      </c>
      <c r="D123" s="58">
        <v>22</v>
      </c>
      <c r="E123" s="58">
        <v>21.3</v>
      </c>
      <c r="F123" s="58">
        <v>24.1</v>
      </c>
      <c r="G123" s="58">
        <v>41</v>
      </c>
      <c r="H123" s="58">
        <v>56</v>
      </c>
      <c r="I123" s="58">
        <v>74</v>
      </c>
      <c r="J123" s="58">
        <v>87.4</v>
      </c>
      <c r="K123" s="58">
        <v>92.3</v>
      </c>
      <c r="L123" s="58">
        <v>144.19999999999999</v>
      </c>
      <c r="M123" s="58">
        <v>150.5</v>
      </c>
      <c r="N123" s="58">
        <v>140</v>
      </c>
      <c r="O123" s="58">
        <v>132.30000000000001</v>
      </c>
      <c r="P123" s="58">
        <v>142.69999999999999</v>
      </c>
      <c r="Q123" s="58">
        <v>127.7</v>
      </c>
      <c r="R123" s="58">
        <v>121.2</v>
      </c>
      <c r="S123" s="58">
        <v>138</v>
      </c>
      <c r="T123" s="58">
        <v>135</v>
      </c>
      <c r="U123" s="58">
        <v>135</v>
      </c>
      <c r="V123" s="58">
        <v>126</v>
      </c>
      <c r="W123" s="58">
        <v>114</v>
      </c>
      <c r="X123" s="58">
        <v>113</v>
      </c>
      <c r="Y123" s="58">
        <v>87</v>
      </c>
      <c r="Z123" s="58">
        <v>100</v>
      </c>
      <c r="AA123" s="58">
        <v>63</v>
      </c>
      <c r="AB123" s="58">
        <v>35.4</v>
      </c>
      <c r="AC123" s="58">
        <v>31.2</v>
      </c>
      <c r="AD123" s="58">
        <v>32</v>
      </c>
      <c r="AE123" s="58">
        <v>9.4</v>
      </c>
      <c r="AF123" s="58">
        <v>5.7</v>
      </c>
      <c r="AG123" s="60">
        <v>120</v>
      </c>
      <c r="AH123" s="12">
        <f t="shared" si="51"/>
        <v>150.5</v>
      </c>
      <c r="AI123" s="11">
        <f t="shared" si="52"/>
        <v>5.7</v>
      </c>
    </row>
    <row r="124" spans="1:35" x14ac:dyDescent="0.25">
      <c r="A124" s="57" t="s">
        <v>138</v>
      </c>
      <c r="B124" s="58">
        <v>36</v>
      </c>
      <c r="C124" s="58">
        <v>33</v>
      </c>
      <c r="D124" s="58">
        <v>32</v>
      </c>
      <c r="E124" s="58">
        <v>31.5</v>
      </c>
      <c r="F124" s="58">
        <v>32.4</v>
      </c>
      <c r="G124" s="58">
        <v>42</v>
      </c>
      <c r="H124" s="58">
        <v>49</v>
      </c>
      <c r="I124" s="58">
        <v>58</v>
      </c>
      <c r="J124" s="58">
        <v>60</v>
      </c>
      <c r="K124" s="58">
        <v>66.099999999999994</v>
      </c>
      <c r="L124" s="58">
        <v>91</v>
      </c>
      <c r="M124" s="58">
        <v>93.8</v>
      </c>
      <c r="N124" s="58">
        <v>89.2</v>
      </c>
      <c r="O124" s="58">
        <v>85</v>
      </c>
      <c r="P124" s="58">
        <v>90.7</v>
      </c>
      <c r="Q124" s="58">
        <v>83.6</v>
      </c>
      <c r="R124" s="58">
        <v>78.400000000000006</v>
      </c>
      <c r="S124" s="58">
        <v>87</v>
      </c>
      <c r="T124" s="58">
        <v>86.1</v>
      </c>
      <c r="U124" s="58">
        <v>86.1</v>
      </c>
      <c r="V124" s="58">
        <v>82.3</v>
      </c>
      <c r="W124" s="58">
        <v>76</v>
      </c>
      <c r="X124" s="58">
        <v>78</v>
      </c>
      <c r="Y124" s="58">
        <v>60</v>
      </c>
      <c r="Z124" s="58">
        <v>66.099999999999994</v>
      </c>
      <c r="AA124" s="58">
        <v>48</v>
      </c>
      <c r="AB124" s="58">
        <v>35.6</v>
      </c>
      <c r="AC124" s="58">
        <v>32.9</v>
      </c>
      <c r="AD124" s="58">
        <v>34.200000000000003</v>
      </c>
      <c r="AE124" s="58">
        <v>26</v>
      </c>
      <c r="AF124" s="58">
        <v>24.3</v>
      </c>
      <c r="AG124" s="60"/>
      <c r="AH124" s="12">
        <f t="shared" si="51"/>
        <v>93.8</v>
      </c>
      <c r="AI124" s="11">
        <f t="shared" si="52"/>
        <v>24.3</v>
      </c>
    </row>
    <row r="125" spans="1:35" x14ac:dyDescent="0.25">
      <c r="A125" s="57" t="s">
        <v>137</v>
      </c>
      <c r="B125" s="58">
        <v>0.2</v>
      </c>
      <c r="C125" s="58">
        <v>1.2</v>
      </c>
      <c r="D125" s="58">
        <v>1.8</v>
      </c>
      <c r="E125" s="58">
        <v>1</v>
      </c>
      <c r="F125" s="58">
        <v>1.6</v>
      </c>
      <c r="G125" s="58">
        <v>-0.7</v>
      </c>
      <c r="H125" s="58">
        <v>-3</v>
      </c>
      <c r="I125" s="58">
        <v>-4</v>
      </c>
      <c r="J125" s="58">
        <v>-6.2</v>
      </c>
      <c r="K125" s="58">
        <v>-7.1</v>
      </c>
      <c r="L125" s="58">
        <v>28.4</v>
      </c>
      <c r="M125" s="58">
        <v>33</v>
      </c>
      <c r="N125" s="58">
        <v>27.8</v>
      </c>
      <c r="O125" s="58">
        <v>28.2</v>
      </c>
      <c r="P125" s="58">
        <v>57.7</v>
      </c>
      <c r="Q125" s="58">
        <v>54.2</v>
      </c>
      <c r="R125" s="58">
        <v>54.2</v>
      </c>
      <c r="S125" s="58">
        <v>65</v>
      </c>
      <c r="T125" s="58">
        <v>64.5</v>
      </c>
      <c r="U125" s="58">
        <v>64.5</v>
      </c>
      <c r="V125" s="58">
        <v>45.2</v>
      </c>
      <c r="W125" s="58">
        <v>25.4</v>
      </c>
      <c r="X125" s="58">
        <v>12</v>
      </c>
      <c r="Y125" s="58">
        <v>-42</v>
      </c>
      <c r="Z125" s="58">
        <v>-49</v>
      </c>
      <c r="AA125" s="58">
        <v>-76</v>
      </c>
      <c r="AB125" s="58">
        <v>-75.400000000000006</v>
      </c>
      <c r="AC125" s="58">
        <v>-72.400000000000006</v>
      </c>
      <c r="AD125" s="58">
        <v>-56.4</v>
      </c>
      <c r="AE125" s="58">
        <v>-42.7</v>
      </c>
      <c r="AF125" s="58">
        <v>-21.4</v>
      </c>
      <c r="AG125" s="60"/>
      <c r="AH125" s="12">
        <f t="shared" si="51"/>
        <v>65</v>
      </c>
      <c r="AI125" s="11">
        <f t="shared" si="52"/>
        <v>-76</v>
      </c>
    </row>
    <row r="126" spans="1:35" ht="15.75" thickBot="1" x14ac:dyDescent="0.3">
      <c r="A126" s="57" t="s">
        <v>136</v>
      </c>
      <c r="B126" s="58">
        <v>37</v>
      </c>
      <c r="C126" s="58">
        <v>42</v>
      </c>
      <c r="D126" s="58">
        <v>44</v>
      </c>
      <c r="E126" s="58">
        <v>17</v>
      </c>
      <c r="F126" s="58">
        <v>21.6</v>
      </c>
      <c r="G126" s="58">
        <v>17</v>
      </c>
      <c r="H126" s="58">
        <v>13</v>
      </c>
      <c r="I126" s="58">
        <v>21</v>
      </c>
      <c r="J126" s="58">
        <v>83</v>
      </c>
      <c r="K126" s="58">
        <v>104</v>
      </c>
      <c r="L126" s="58">
        <v>102</v>
      </c>
      <c r="M126" s="58">
        <v>104.5</v>
      </c>
      <c r="N126" s="58">
        <v>98</v>
      </c>
      <c r="O126" s="58">
        <v>91</v>
      </c>
      <c r="P126" s="58">
        <v>101.8</v>
      </c>
      <c r="Q126" s="58">
        <v>94.5</v>
      </c>
      <c r="R126" s="58">
        <v>94.8</v>
      </c>
      <c r="S126" s="58">
        <v>102</v>
      </c>
      <c r="T126" s="58">
        <v>98</v>
      </c>
      <c r="U126" s="58">
        <v>98</v>
      </c>
      <c r="V126" s="58">
        <v>95</v>
      </c>
      <c r="W126" s="58">
        <v>81.400000000000006</v>
      </c>
      <c r="X126" s="58">
        <v>86</v>
      </c>
      <c r="Y126" s="58">
        <v>46</v>
      </c>
      <c r="Z126" s="58">
        <v>48</v>
      </c>
      <c r="AA126" s="58">
        <v>26.3</v>
      </c>
      <c r="AB126" s="58">
        <v>23</v>
      </c>
      <c r="AC126" s="58">
        <v>22.2</v>
      </c>
      <c r="AD126" s="58">
        <v>30.7</v>
      </c>
      <c r="AE126" s="58">
        <v>26.4</v>
      </c>
      <c r="AF126" s="58">
        <v>29.3</v>
      </c>
      <c r="AG126" s="55"/>
      <c r="AH126" s="12">
        <f t="shared" si="51"/>
        <v>104.5</v>
      </c>
      <c r="AI126" s="11">
        <f t="shared" si="52"/>
        <v>13</v>
      </c>
    </row>
    <row r="127" spans="1:35" x14ac:dyDescent="0.25">
      <c r="A127" s="59" t="s">
        <v>135</v>
      </c>
      <c r="B127" s="58">
        <v>-51</v>
      </c>
      <c r="C127" s="58">
        <v>-54</v>
      </c>
      <c r="D127" s="58">
        <v>-55</v>
      </c>
      <c r="E127" s="58">
        <v>-54</v>
      </c>
      <c r="F127" s="58">
        <v>-52.1</v>
      </c>
      <c r="G127" s="58">
        <v>-48</v>
      </c>
      <c r="H127" s="58">
        <v>-45</v>
      </c>
      <c r="I127" s="58">
        <v>-52</v>
      </c>
      <c r="J127" s="58">
        <v>11.3</v>
      </c>
      <c r="K127" s="58">
        <v>14.2</v>
      </c>
      <c r="L127" s="58">
        <v>40</v>
      </c>
      <c r="M127" s="58">
        <v>42.7</v>
      </c>
      <c r="N127" s="58">
        <v>38.5</v>
      </c>
      <c r="O127" s="58">
        <v>33.9</v>
      </c>
      <c r="P127" s="58">
        <v>39.200000000000003</v>
      </c>
      <c r="Q127" s="58">
        <v>32.799999999999997</v>
      </c>
      <c r="R127" s="58">
        <v>29</v>
      </c>
      <c r="S127" s="58">
        <v>39</v>
      </c>
      <c r="T127" s="58">
        <v>38.299999999999997</v>
      </c>
      <c r="U127" s="58">
        <v>38.299999999999997</v>
      </c>
      <c r="V127" s="58">
        <v>31</v>
      </c>
      <c r="W127" s="58">
        <v>25.2</v>
      </c>
      <c r="X127" s="58">
        <v>25</v>
      </c>
      <c r="Y127" s="58">
        <v>-175</v>
      </c>
      <c r="Z127" s="58">
        <v>-197</v>
      </c>
      <c r="AA127" s="58">
        <v>-164</v>
      </c>
      <c r="AB127" s="58">
        <v>-114.7</v>
      </c>
      <c r="AC127" s="58">
        <v>-117.8</v>
      </c>
      <c r="AD127" s="58">
        <v>-107.3</v>
      </c>
      <c r="AE127" s="58">
        <v>-88.6</v>
      </c>
      <c r="AF127" s="58">
        <v>-83.1</v>
      </c>
      <c r="AG127" s="55"/>
      <c r="AH127" s="12">
        <f t="shared" si="51"/>
        <v>42.7</v>
      </c>
      <c r="AI127" s="11">
        <f t="shared" si="52"/>
        <v>-197</v>
      </c>
    </row>
    <row r="128" spans="1:35" x14ac:dyDescent="0.25">
      <c r="A128" s="57" t="s">
        <v>134</v>
      </c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5"/>
      <c r="AH128" s="12">
        <f t="shared" si="51"/>
        <v>0</v>
      </c>
      <c r="AI128" s="11">
        <f t="shared" si="52"/>
        <v>0</v>
      </c>
    </row>
    <row r="129" spans="1:37" x14ac:dyDescent="0.25">
      <c r="A129" s="57" t="s">
        <v>133</v>
      </c>
      <c r="B129" s="56">
        <v>55</v>
      </c>
      <c r="C129" s="56">
        <v>50</v>
      </c>
      <c r="D129" s="56">
        <v>50</v>
      </c>
      <c r="E129" s="56">
        <v>36.200000000000003</v>
      </c>
      <c r="F129" s="56">
        <v>35</v>
      </c>
      <c r="G129" s="56">
        <v>39</v>
      </c>
      <c r="H129" s="56">
        <v>39</v>
      </c>
      <c r="I129" s="56">
        <v>45</v>
      </c>
      <c r="J129" s="56">
        <v>29</v>
      </c>
      <c r="K129" s="56">
        <v>78.400000000000006</v>
      </c>
      <c r="L129" s="56">
        <v>85.1</v>
      </c>
      <c r="M129" s="56">
        <v>102.9</v>
      </c>
      <c r="N129" s="56">
        <v>92.1</v>
      </c>
      <c r="O129" s="56">
        <v>88.2</v>
      </c>
      <c r="P129" s="56">
        <v>83.4</v>
      </c>
      <c r="Q129" s="56">
        <v>94.5</v>
      </c>
      <c r="R129" s="56">
        <v>86.9</v>
      </c>
      <c r="S129" s="56">
        <v>90.1</v>
      </c>
      <c r="T129" s="56">
        <v>92.3</v>
      </c>
      <c r="U129" s="56">
        <v>92.3</v>
      </c>
      <c r="V129" s="56">
        <v>83</v>
      </c>
      <c r="W129" s="56">
        <v>81</v>
      </c>
      <c r="X129" s="56">
        <v>81</v>
      </c>
      <c r="Y129" s="56">
        <v>109</v>
      </c>
      <c r="Z129" s="56">
        <v>115</v>
      </c>
      <c r="AA129" s="56"/>
      <c r="AB129" s="56">
        <v>98.4</v>
      </c>
      <c r="AC129" s="56">
        <v>97.2</v>
      </c>
      <c r="AD129" s="56">
        <v>101.2</v>
      </c>
      <c r="AE129" s="56">
        <v>90.8</v>
      </c>
      <c r="AF129" s="56">
        <v>77.2</v>
      </c>
      <c r="AG129" s="55"/>
      <c r="AH129" s="12">
        <f t="shared" si="51"/>
        <v>115</v>
      </c>
      <c r="AI129" s="11">
        <f t="shared" si="52"/>
        <v>29</v>
      </c>
    </row>
    <row r="130" spans="1:37" ht="15.75" thickBot="1" x14ac:dyDescent="0.3">
      <c r="A130" s="57" t="s">
        <v>132</v>
      </c>
      <c r="B130" s="56">
        <v>69</v>
      </c>
      <c r="C130" s="56">
        <v>66</v>
      </c>
      <c r="D130" s="56">
        <v>65</v>
      </c>
      <c r="E130" s="56">
        <v>53</v>
      </c>
      <c r="F130" s="56">
        <v>52.5</v>
      </c>
      <c r="G130" s="56">
        <v>55</v>
      </c>
      <c r="H130" s="56">
        <v>54.2</v>
      </c>
      <c r="I130" s="56">
        <v>62</v>
      </c>
      <c r="J130" s="56">
        <v>43</v>
      </c>
      <c r="K130" s="56">
        <v>91</v>
      </c>
      <c r="L130" s="56">
        <v>93</v>
      </c>
      <c r="M130" s="56">
        <v>101.3</v>
      </c>
      <c r="N130" s="56">
        <v>90.5</v>
      </c>
      <c r="O130" s="56">
        <v>92.1</v>
      </c>
      <c r="P130" s="56">
        <v>86.9</v>
      </c>
      <c r="Q130" s="56">
        <v>99.2</v>
      </c>
      <c r="R130" s="56">
        <v>97.8</v>
      </c>
      <c r="S130" s="56">
        <v>95</v>
      </c>
      <c r="T130" s="56">
        <v>95</v>
      </c>
      <c r="U130" s="56">
        <v>95</v>
      </c>
      <c r="V130" s="56">
        <v>89.1</v>
      </c>
      <c r="W130" s="56">
        <v>89</v>
      </c>
      <c r="X130" s="56">
        <v>89</v>
      </c>
      <c r="Y130" s="56">
        <v>109</v>
      </c>
      <c r="Z130" s="56">
        <v>121</v>
      </c>
      <c r="AA130" s="56"/>
      <c r="AB130" s="56">
        <v>114.7</v>
      </c>
      <c r="AC130" s="56">
        <v>111.2</v>
      </c>
      <c r="AD130" s="56">
        <v>113.2</v>
      </c>
      <c r="AE130" s="56">
        <v>101</v>
      </c>
      <c r="AF130" s="56">
        <v>93.5</v>
      </c>
      <c r="AG130" s="55"/>
      <c r="AH130" s="12">
        <f t="shared" si="51"/>
        <v>121</v>
      </c>
      <c r="AI130" s="11">
        <f t="shared" si="52"/>
        <v>43</v>
      </c>
    </row>
    <row r="131" spans="1:37" x14ac:dyDescent="0.25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25">
      <c r="A132" s="47" t="s">
        <v>130</v>
      </c>
      <c r="B132" s="51">
        <v>1982.6</v>
      </c>
      <c r="C132" s="51">
        <v>1982.65</v>
      </c>
      <c r="D132" s="51">
        <v>1982.7</v>
      </c>
      <c r="E132" s="51">
        <v>1982.72</v>
      </c>
      <c r="F132" s="51">
        <v>1982.78</v>
      </c>
      <c r="G132" s="51">
        <v>1982.79</v>
      </c>
      <c r="H132" s="51"/>
      <c r="I132" s="51">
        <v>1982.77</v>
      </c>
      <c r="J132" s="51"/>
      <c r="K132" s="51">
        <v>1982.9</v>
      </c>
      <c r="L132" s="51"/>
      <c r="M132" s="51">
        <v>1983.15</v>
      </c>
      <c r="N132" s="51">
        <v>1983.42</v>
      </c>
      <c r="O132" s="51">
        <v>1983.63</v>
      </c>
      <c r="P132" s="51">
        <v>1983.9</v>
      </c>
      <c r="Q132" s="51">
        <v>1984.11</v>
      </c>
      <c r="R132" s="51">
        <v>1984.3</v>
      </c>
      <c r="S132" s="51">
        <v>1984.52</v>
      </c>
      <c r="T132" s="51">
        <v>1984.7</v>
      </c>
      <c r="U132" s="51">
        <v>1984.9</v>
      </c>
      <c r="V132" s="51">
        <v>1985.08</v>
      </c>
      <c r="W132" s="51"/>
      <c r="X132" s="51">
        <v>1985.28</v>
      </c>
      <c r="Y132" s="51"/>
      <c r="Z132" s="51">
        <v>1984.68</v>
      </c>
      <c r="AA132" s="51">
        <v>1984.1</v>
      </c>
      <c r="AB132" s="51">
        <v>1983.8</v>
      </c>
      <c r="AC132" s="51"/>
      <c r="AD132" s="51">
        <v>1983.46</v>
      </c>
      <c r="AE132" s="51">
        <v>1983.2</v>
      </c>
      <c r="AF132" s="50">
        <v>1983.1</v>
      </c>
      <c r="AG132" s="44"/>
      <c r="AH132" s="12"/>
      <c r="AI132" s="11"/>
    </row>
    <row r="133" spans="1:37" x14ac:dyDescent="0.25">
      <c r="A133" s="47" t="s">
        <v>129</v>
      </c>
      <c r="B133" s="49">
        <v>521.48</v>
      </c>
      <c r="C133" s="49">
        <v>521.52</v>
      </c>
      <c r="D133" s="49">
        <v>521.62</v>
      </c>
      <c r="E133" s="49">
        <v>521.75</v>
      </c>
      <c r="F133" s="49">
        <v>521.86</v>
      </c>
      <c r="G133" s="49">
        <v>521.94000000000005</v>
      </c>
      <c r="H133" s="49"/>
      <c r="I133" s="49">
        <v>521.91</v>
      </c>
      <c r="J133" s="49"/>
      <c r="K133" s="49">
        <v>521.91999999999996</v>
      </c>
      <c r="L133" s="49"/>
      <c r="M133" s="49">
        <v>522.04</v>
      </c>
      <c r="N133" s="49">
        <v>522.20000000000005</v>
      </c>
      <c r="O133" s="49">
        <v>522.37</v>
      </c>
      <c r="P133" s="49">
        <v>522.54999999999995</v>
      </c>
      <c r="Q133" s="49">
        <v>522.70000000000005</v>
      </c>
      <c r="R133" s="49">
        <v>522.9</v>
      </c>
      <c r="S133" s="49">
        <v>523.04999999999995</v>
      </c>
      <c r="T133" s="49">
        <v>523.16</v>
      </c>
      <c r="U133" s="49">
        <v>523.26</v>
      </c>
      <c r="V133" s="49">
        <v>523.36</v>
      </c>
      <c r="W133" s="49"/>
      <c r="X133" s="49">
        <v>523.41999999999996</v>
      </c>
      <c r="Y133" s="49"/>
      <c r="Z133" s="49">
        <v>523.11</v>
      </c>
      <c r="AA133" s="49"/>
      <c r="AB133" s="49">
        <v>522.58000000000004</v>
      </c>
      <c r="AC133" s="49"/>
      <c r="AD133" s="49">
        <v>522.1</v>
      </c>
      <c r="AE133" s="49">
        <v>621.62</v>
      </c>
      <c r="AF133" s="48">
        <v>621.62</v>
      </c>
      <c r="AG133" s="44"/>
      <c r="AH133" s="12"/>
      <c r="AI133" s="11"/>
    </row>
    <row r="134" spans="1:37" x14ac:dyDescent="0.25">
      <c r="A134" s="47" t="s">
        <v>128</v>
      </c>
      <c r="B134" s="49">
        <v>621.63</v>
      </c>
      <c r="C134" s="49">
        <v>621.5</v>
      </c>
      <c r="D134" s="49">
        <v>621.59</v>
      </c>
      <c r="E134" s="49">
        <v>621.79999999999995</v>
      </c>
      <c r="F134" s="49">
        <v>622.47</v>
      </c>
      <c r="G134" s="49">
        <v>622.84</v>
      </c>
      <c r="H134" s="49"/>
      <c r="I134" s="49">
        <v>622.78</v>
      </c>
      <c r="J134" s="49"/>
      <c r="K134" s="49">
        <v>622.79999999999995</v>
      </c>
      <c r="L134" s="49"/>
      <c r="M134" s="49">
        <v>622.89</v>
      </c>
      <c r="N134" s="49">
        <v>622.96</v>
      </c>
      <c r="O134" s="49">
        <v>623.03</v>
      </c>
      <c r="P134" s="49">
        <v>623.44000000000005</v>
      </c>
      <c r="Q134" s="49">
        <v>623.79</v>
      </c>
      <c r="R134" s="49">
        <v>624.20000000000005</v>
      </c>
      <c r="S134" s="49">
        <v>624.64</v>
      </c>
      <c r="T134" s="49">
        <v>624.79999999999995</v>
      </c>
      <c r="U134" s="49">
        <v>625.17999999999995</v>
      </c>
      <c r="V134" s="49">
        <v>625.5</v>
      </c>
      <c r="W134" s="49"/>
      <c r="X134" s="49">
        <v>625.52</v>
      </c>
      <c r="Y134" s="49"/>
      <c r="Z134" s="49">
        <v>625.29</v>
      </c>
      <c r="AA134" s="49"/>
      <c r="AB134" s="49">
        <v>624.79999999999995</v>
      </c>
      <c r="AC134" s="49"/>
      <c r="AD134" s="49">
        <v>624.22</v>
      </c>
      <c r="AE134" s="49">
        <v>623.80999999999995</v>
      </c>
      <c r="AF134" s="48">
        <v>623.44000000000005</v>
      </c>
      <c r="AG134" s="44"/>
      <c r="AH134" s="12"/>
      <c r="AI134" s="11"/>
    </row>
    <row r="135" spans="1:37" x14ac:dyDescent="0.25">
      <c r="A135" s="47" t="s">
        <v>127</v>
      </c>
      <c r="B135" s="49">
        <v>334.8</v>
      </c>
      <c r="C135" s="49">
        <v>335.02</v>
      </c>
      <c r="D135" s="49">
        <v>335.27</v>
      </c>
      <c r="E135" s="49">
        <v>335.4</v>
      </c>
      <c r="F135" s="49">
        <v>335.41</v>
      </c>
      <c r="G135" s="49">
        <v>335.35</v>
      </c>
      <c r="H135" s="49"/>
      <c r="I135" s="49">
        <v>335.21</v>
      </c>
      <c r="J135" s="49"/>
      <c r="K135" s="49">
        <v>335.18</v>
      </c>
      <c r="L135" s="49"/>
      <c r="M135" s="49">
        <v>335.19</v>
      </c>
      <c r="N135" s="49">
        <v>335.25</v>
      </c>
      <c r="O135" s="49">
        <v>335.34</v>
      </c>
      <c r="P135" s="49">
        <v>335.42</v>
      </c>
      <c r="Q135" s="49">
        <v>335.57</v>
      </c>
      <c r="R135" s="49">
        <v>335.79</v>
      </c>
      <c r="S135" s="49">
        <v>336.04</v>
      </c>
      <c r="T135" s="49">
        <v>336.32</v>
      </c>
      <c r="U135" s="49">
        <v>336.52</v>
      </c>
      <c r="V135" s="49">
        <v>336.74</v>
      </c>
      <c r="W135" s="49"/>
      <c r="X135" s="49">
        <v>336.91</v>
      </c>
      <c r="Y135" s="49"/>
      <c r="Z135" s="49">
        <v>336.81</v>
      </c>
      <c r="AA135" s="49"/>
      <c r="AB135" s="49">
        <v>336.27</v>
      </c>
      <c r="AC135" s="49"/>
      <c r="AD135" s="49">
        <v>335.71</v>
      </c>
      <c r="AE135" s="49">
        <v>335.06</v>
      </c>
      <c r="AF135" s="48">
        <v>334.6</v>
      </c>
      <c r="AG135" s="44"/>
      <c r="AH135" s="12"/>
      <c r="AI135" s="11"/>
    </row>
    <row r="136" spans="1:37" x14ac:dyDescent="0.25">
      <c r="A136" s="47" t="s">
        <v>126</v>
      </c>
      <c r="B136" s="49">
        <v>882.7</v>
      </c>
      <c r="C136" s="49">
        <v>883.3</v>
      </c>
      <c r="D136" s="49">
        <v>884.1</v>
      </c>
      <c r="E136" s="49">
        <v>884.8</v>
      </c>
      <c r="F136" s="49">
        <v>885.4</v>
      </c>
      <c r="G136" s="49">
        <v>885.9</v>
      </c>
      <c r="H136" s="49"/>
      <c r="I136" s="49">
        <v>886.5</v>
      </c>
      <c r="J136" s="49"/>
      <c r="K136" s="49">
        <v>886.7</v>
      </c>
      <c r="L136" s="49"/>
      <c r="M136" s="49">
        <v>886.3</v>
      </c>
      <c r="N136" s="49"/>
      <c r="O136" s="49"/>
      <c r="P136" s="49">
        <v>886.5</v>
      </c>
      <c r="Q136" s="49">
        <v>887</v>
      </c>
      <c r="R136" s="49">
        <v>887.4</v>
      </c>
      <c r="S136" s="49">
        <v>887.9</v>
      </c>
      <c r="T136" s="49">
        <v>887.8</v>
      </c>
      <c r="U136" s="49">
        <v>887.5</v>
      </c>
      <c r="V136" s="49">
        <v>887.3</v>
      </c>
      <c r="W136" s="49"/>
      <c r="X136" s="49">
        <v>887.3</v>
      </c>
      <c r="Y136" s="49"/>
      <c r="Z136" s="49">
        <v>886.3</v>
      </c>
      <c r="AA136" s="49"/>
      <c r="AB136" s="49">
        <v>885</v>
      </c>
      <c r="AC136" s="49"/>
      <c r="AD136" s="49">
        <v>883.8</v>
      </c>
      <c r="AE136" s="49">
        <v>882</v>
      </c>
      <c r="AF136" s="48">
        <v>882</v>
      </c>
      <c r="AG136" s="44"/>
      <c r="AH136" s="12"/>
      <c r="AI136" s="11"/>
    </row>
    <row r="137" spans="1:37" ht="15.75" thickBot="1" x14ac:dyDescent="0.3">
      <c r="A137" s="47" t="s">
        <v>125</v>
      </c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>
        <v>1514.65</v>
      </c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.75" thickBot="1" x14ac:dyDescent="0.3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25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25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25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25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25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25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25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25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25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25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25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25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25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25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25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25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25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25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25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25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25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25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25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25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25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25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25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25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25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25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25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25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25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25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25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25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25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25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25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25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25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25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25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25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25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25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25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25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25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25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25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25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25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25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25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25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25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25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25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25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25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25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25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25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25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25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25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25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25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25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25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25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25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25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25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25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25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25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25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25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25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25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25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25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25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25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25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25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25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25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25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25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25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25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25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25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25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25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25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25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25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25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25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25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.75" thickBot="1" x14ac:dyDescent="0.3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.75" thickBot="1" x14ac:dyDescent="0.3">
      <c r="A244" s="31" t="s">
        <v>17</v>
      </c>
      <c r="B244" s="30">
        <f t="shared" ref="B244:AG244" si="56">SUM(B139:B243)</f>
        <v>0</v>
      </c>
      <c r="C244" s="14">
        <f t="shared" si="56"/>
        <v>0</v>
      </c>
      <c r="D244" s="14">
        <f t="shared" si="56"/>
        <v>0</v>
      </c>
      <c r="E244" s="14">
        <f t="shared" si="56"/>
        <v>0</v>
      </c>
      <c r="F244" s="14">
        <f t="shared" si="56"/>
        <v>0</v>
      </c>
      <c r="G244" s="14">
        <f t="shared" si="56"/>
        <v>0</v>
      </c>
      <c r="H244" s="14">
        <f t="shared" si="56"/>
        <v>0</v>
      </c>
      <c r="I244" s="14">
        <f t="shared" si="56"/>
        <v>0</v>
      </c>
      <c r="J244" s="14">
        <f t="shared" si="56"/>
        <v>0</v>
      </c>
      <c r="K244" s="14">
        <f t="shared" si="56"/>
        <v>0</v>
      </c>
      <c r="L244" s="14">
        <f t="shared" si="56"/>
        <v>0</v>
      </c>
      <c r="M244" s="14">
        <f t="shared" si="56"/>
        <v>0</v>
      </c>
      <c r="N244" s="14">
        <f t="shared" si="56"/>
        <v>0</v>
      </c>
      <c r="O244" s="14">
        <f t="shared" si="56"/>
        <v>0</v>
      </c>
      <c r="P244" s="14">
        <f t="shared" si="56"/>
        <v>0</v>
      </c>
      <c r="Q244" s="14">
        <f t="shared" si="56"/>
        <v>0</v>
      </c>
      <c r="R244" s="14">
        <f t="shared" si="56"/>
        <v>0</v>
      </c>
      <c r="S244" s="14">
        <f t="shared" si="56"/>
        <v>0</v>
      </c>
      <c r="T244" s="14">
        <f t="shared" si="56"/>
        <v>0</v>
      </c>
      <c r="U244" s="14">
        <f t="shared" si="56"/>
        <v>0</v>
      </c>
      <c r="V244" s="14">
        <f t="shared" si="56"/>
        <v>0</v>
      </c>
      <c r="W244" s="14">
        <f t="shared" si="56"/>
        <v>0</v>
      </c>
      <c r="X244" s="14">
        <f t="shared" si="56"/>
        <v>0</v>
      </c>
      <c r="Y244" s="14">
        <f t="shared" si="56"/>
        <v>0</v>
      </c>
      <c r="Z244" s="14">
        <f t="shared" si="56"/>
        <v>0</v>
      </c>
      <c r="AA244" s="14">
        <f t="shared" si="56"/>
        <v>0</v>
      </c>
      <c r="AB244" s="14">
        <f t="shared" si="56"/>
        <v>0</v>
      </c>
      <c r="AC244" s="14">
        <f t="shared" si="56"/>
        <v>0</v>
      </c>
      <c r="AD244" s="14">
        <f t="shared" si="56"/>
        <v>0</v>
      </c>
      <c r="AE244" s="14">
        <f t="shared" si="56"/>
        <v>0</v>
      </c>
      <c r="AF244" s="29">
        <f t="shared" si="56"/>
        <v>0</v>
      </c>
      <c r="AG244" s="28">
        <f t="shared" si="56"/>
        <v>412.72299999999984</v>
      </c>
      <c r="AH244" s="12"/>
      <c r="AI244" s="11"/>
      <c r="AK244" s="19"/>
    </row>
    <row r="245" spans="1:37" ht="15.75" thickBot="1" x14ac:dyDescent="0.3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25">
      <c r="A246" s="25" t="s">
        <v>16</v>
      </c>
      <c r="B246" s="24">
        <f t="shared" ref="B246:B251" si="57">AF246</f>
        <v>0.3</v>
      </c>
      <c r="C246" s="24">
        <v>0.3</v>
      </c>
      <c r="D246" s="24">
        <f t="shared" ref="D246:AF246" si="58">C246</f>
        <v>0.3</v>
      </c>
      <c r="E246" s="24">
        <f t="shared" si="58"/>
        <v>0.3</v>
      </c>
      <c r="F246" s="24">
        <f t="shared" si="58"/>
        <v>0.3</v>
      </c>
      <c r="G246" s="24">
        <f t="shared" si="58"/>
        <v>0.3</v>
      </c>
      <c r="H246" s="24">
        <f t="shared" si="58"/>
        <v>0.3</v>
      </c>
      <c r="I246" s="24">
        <f t="shared" si="58"/>
        <v>0.3</v>
      </c>
      <c r="J246" s="24">
        <f t="shared" si="58"/>
        <v>0.3</v>
      </c>
      <c r="K246" s="24">
        <f t="shared" si="58"/>
        <v>0.3</v>
      </c>
      <c r="L246" s="24">
        <f t="shared" si="58"/>
        <v>0.3</v>
      </c>
      <c r="M246" s="24">
        <f t="shared" si="58"/>
        <v>0.3</v>
      </c>
      <c r="N246" s="24">
        <f t="shared" si="58"/>
        <v>0.3</v>
      </c>
      <c r="O246" s="24">
        <f t="shared" si="58"/>
        <v>0.3</v>
      </c>
      <c r="P246" s="24">
        <f t="shared" si="58"/>
        <v>0.3</v>
      </c>
      <c r="Q246" s="24">
        <f t="shared" si="58"/>
        <v>0.3</v>
      </c>
      <c r="R246" s="24">
        <f t="shared" si="58"/>
        <v>0.3</v>
      </c>
      <c r="S246" s="24">
        <f t="shared" si="58"/>
        <v>0.3</v>
      </c>
      <c r="T246" s="24">
        <f t="shared" si="58"/>
        <v>0.3</v>
      </c>
      <c r="U246" s="24">
        <f t="shared" si="58"/>
        <v>0.3</v>
      </c>
      <c r="V246" s="24">
        <f t="shared" si="58"/>
        <v>0.3</v>
      </c>
      <c r="W246" s="24">
        <f t="shared" si="58"/>
        <v>0.3</v>
      </c>
      <c r="X246" s="24">
        <f t="shared" si="58"/>
        <v>0.3</v>
      </c>
      <c r="Y246" s="24">
        <f t="shared" si="58"/>
        <v>0.3</v>
      </c>
      <c r="Z246" s="24">
        <f t="shared" si="58"/>
        <v>0.3</v>
      </c>
      <c r="AA246" s="24">
        <f t="shared" si="58"/>
        <v>0.3</v>
      </c>
      <c r="AB246" s="24">
        <f t="shared" si="58"/>
        <v>0.3</v>
      </c>
      <c r="AC246" s="24">
        <f t="shared" si="58"/>
        <v>0.3</v>
      </c>
      <c r="AD246" s="24">
        <f t="shared" si="58"/>
        <v>0.3</v>
      </c>
      <c r="AE246" s="24">
        <f t="shared" si="58"/>
        <v>0.3</v>
      </c>
      <c r="AF246" s="24">
        <f t="shared" si="58"/>
        <v>0.3</v>
      </c>
      <c r="AG246" s="23">
        <v>2.4</v>
      </c>
      <c r="AH246" s="12"/>
      <c r="AI246" s="11"/>
      <c r="AK246" s="19"/>
    </row>
    <row r="247" spans="1:37" x14ac:dyDescent="0.25">
      <c r="A247" s="22" t="s">
        <v>15</v>
      </c>
      <c r="B247" s="21">
        <f t="shared" si="57"/>
        <v>0.4</v>
      </c>
      <c r="C247" s="21">
        <v>0.4</v>
      </c>
      <c r="D247" s="21">
        <f t="shared" ref="D247:AF247" si="59">C247</f>
        <v>0.4</v>
      </c>
      <c r="E247" s="21">
        <f t="shared" si="59"/>
        <v>0.4</v>
      </c>
      <c r="F247" s="21">
        <f t="shared" si="59"/>
        <v>0.4</v>
      </c>
      <c r="G247" s="21">
        <f t="shared" si="59"/>
        <v>0.4</v>
      </c>
      <c r="H247" s="21">
        <f t="shared" si="59"/>
        <v>0.4</v>
      </c>
      <c r="I247" s="21">
        <f t="shared" si="59"/>
        <v>0.4</v>
      </c>
      <c r="J247" s="21">
        <f t="shared" si="59"/>
        <v>0.4</v>
      </c>
      <c r="K247" s="21">
        <f t="shared" si="59"/>
        <v>0.4</v>
      </c>
      <c r="L247" s="21">
        <f t="shared" si="59"/>
        <v>0.4</v>
      </c>
      <c r="M247" s="21">
        <f t="shared" si="59"/>
        <v>0.4</v>
      </c>
      <c r="N247" s="21">
        <f t="shared" si="59"/>
        <v>0.4</v>
      </c>
      <c r="O247" s="21">
        <f t="shared" si="59"/>
        <v>0.4</v>
      </c>
      <c r="P247" s="21">
        <f t="shared" si="59"/>
        <v>0.4</v>
      </c>
      <c r="Q247" s="21">
        <f t="shared" si="59"/>
        <v>0.4</v>
      </c>
      <c r="R247" s="21">
        <f t="shared" si="59"/>
        <v>0.4</v>
      </c>
      <c r="S247" s="21">
        <f t="shared" si="59"/>
        <v>0.4</v>
      </c>
      <c r="T247" s="21">
        <f t="shared" si="59"/>
        <v>0.4</v>
      </c>
      <c r="U247" s="21">
        <f t="shared" si="59"/>
        <v>0.4</v>
      </c>
      <c r="V247" s="21">
        <f t="shared" si="59"/>
        <v>0.4</v>
      </c>
      <c r="W247" s="21">
        <f t="shared" si="59"/>
        <v>0.4</v>
      </c>
      <c r="X247" s="21">
        <f t="shared" si="59"/>
        <v>0.4</v>
      </c>
      <c r="Y247" s="21">
        <f t="shared" si="59"/>
        <v>0.4</v>
      </c>
      <c r="Z247" s="21">
        <f t="shared" si="59"/>
        <v>0.4</v>
      </c>
      <c r="AA247" s="21">
        <f t="shared" si="59"/>
        <v>0.4</v>
      </c>
      <c r="AB247" s="21">
        <f t="shared" si="59"/>
        <v>0.4</v>
      </c>
      <c r="AC247" s="21">
        <f t="shared" si="59"/>
        <v>0.4</v>
      </c>
      <c r="AD247" s="21">
        <f t="shared" si="59"/>
        <v>0.4</v>
      </c>
      <c r="AE247" s="21">
        <f t="shared" si="59"/>
        <v>0.4</v>
      </c>
      <c r="AF247" s="21">
        <f t="shared" si="59"/>
        <v>0.4</v>
      </c>
      <c r="AG247" s="20">
        <v>2</v>
      </c>
      <c r="AH247" s="12"/>
      <c r="AI247" s="11"/>
      <c r="AK247" s="19"/>
    </row>
    <row r="248" spans="1:37" x14ac:dyDescent="0.25">
      <c r="A248" s="22" t="s">
        <v>14</v>
      </c>
      <c r="B248" s="21">
        <f t="shared" si="57"/>
        <v>1.5</v>
      </c>
      <c r="C248" s="21">
        <v>1.5</v>
      </c>
      <c r="D248" s="21">
        <f t="shared" ref="D248:AF248" si="60">C248</f>
        <v>1.5</v>
      </c>
      <c r="E248" s="21">
        <f t="shared" si="60"/>
        <v>1.5</v>
      </c>
      <c r="F248" s="21">
        <f t="shared" si="60"/>
        <v>1.5</v>
      </c>
      <c r="G248" s="21">
        <f t="shared" si="60"/>
        <v>1.5</v>
      </c>
      <c r="H248" s="21">
        <f t="shared" si="60"/>
        <v>1.5</v>
      </c>
      <c r="I248" s="21">
        <f t="shared" si="60"/>
        <v>1.5</v>
      </c>
      <c r="J248" s="21">
        <f t="shared" si="60"/>
        <v>1.5</v>
      </c>
      <c r="K248" s="21">
        <f t="shared" si="60"/>
        <v>1.5</v>
      </c>
      <c r="L248" s="21">
        <f t="shared" si="60"/>
        <v>1.5</v>
      </c>
      <c r="M248" s="21">
        <f t="shared" si="60"/>
        <v>1.5</v>
      </c>
      <c r="N248" s="21">
        <f t="shared" si="60"/>
        <v>1.5</v>
      </c>
      <c r="O248" s="21">
        <f t="shared" si="60"/>
        <v>1.5</v>
      </c>
      <c r="P248" s="21">
        <f t="shared" si="60"/>
        <v>1.5</v>
      </c>
      <c r="Q248" s="21">
        <f t="shared" si="60"/>
        <v>1.5</v>
      </c>
      <c r="R248" s="21">
        <f t="shared" si="60"/>
        <v>1.5</v>
      </c>
      <c r="S248" s="21">
        <f t="shared" si="60"/>
        <v>1.5</v>
      </c>
      <c r="T248" s="21">
        <f t="shared" si="60"/>
        <v>1.5</v>
      </c>
      <c r="U248" s="21">
        <f t="shared" si="60"/>
        <v>1.5</v>
      </c>
      <c r="V248" s="21">
        <f t="shared" si="60"/>
        <v>1.5</v>
      </c>
      <c r="W248" s="21">
        <f t="shared" si="60"/>
        <v>1.5</v>
      </c>
      <c r="X248" s="21">
        <f t="shared" si="60"/>
        <v>1.5</v>
      </c>
      <c r="Y248" s="21">
        <f t="shared" si="60"/>
        <v>1.5</v>
      </c>
      <c r="Z248" s="21">
        <f t="shared" si="60"/>
        <v>1.5</v>
      </c>
      <c r="AA248" s="21">
        <f t="shared" si="60"/>
        <v>1.5</v>
      </c>
      <c r="AB248" s="21">
        <f t="shared" si="60"/>
        <v>1.5</v>
      </c>
      <c r="AC248" s="21">
        <f t="shared" si="60"/>
        <v>1.5</v>
      </c>
      <c r="AD248" s="21">
        <f t="shared" si="60"/>
        <v>1.5</v>
      </c>
      <c r="AE248" s="21">
        <f t="shared" si="60"/>
        <v>1.5</v>
      </c>
      <c r="AF248" s="21">
        <f t="shared" si="60"/>
        <v>1.5</v>
      </c>
      <c r="AG248" s="20">
        <v>1.5</v>
      </c>
      <c r="AH248" s="12"/>
      <c r="AI248" s="11"/>
      <c r="AK248" s="19"/>
    </row>
    <row r="249" spans="1:37" x14ac:dyDescent="0.25">
      <c r="A249" s="22" t="s">
        <v>13</v>
      </c>
      <c r="B249" s="21">
        <f t="shared" si="57"/>
        <v>0.3</v>
      </c>
      <c r="C249" s="21">
        <v>0.3</v>
      </c>
      <c r="D249" s="21">
        <f t="shared" ref="D249:AF249" si="61">C249</f>
        <v>0.3</v>
      </c>
      <c r="E249" s="21">
        <f t="shared" si="61"/>
        <v>0.3</v>
      </c>
      <c r="F249" s="21">
        <f t="shared" si="61"/>
        <v>0.3</v>
      </c>
      <c r="G249" s="21">
        <f t="shared" si="61"/>
        <v>0.3</v>
      </c>
      <c r="H249" s="21">
        <f t="shared" si="61"/>
        <v>0.3</v>
      </c>
      <c r="I249" s="21">
        <f t="shared" si="61"/>
        <v>0.3</v>
      </c>
      <c r="J249" s="21">
        <f t="shared" si="61"/>
        <v>0.3</v>
      </c>
      <c r="K249" s="21">
        <f t="shared" si="61"/>
        <v>0.3</v>
      </c>
      <c r="L249" s="21">
        <f t="shared" si="61"/>
        <v>0.3</v>
      </c>
      <c r="M249" s="21">
        <f t="shared" si="61"/>
        <v>0.3</v>
      </c>
      <c r="N249" s="21">
        <f t="shared" si="61"/>
        <v>0.3</v>
      </c>
      <c r="O249" s="21">
        <f t="shared" si="61"/>
        <v>0.3</v>
      </c>
      <c r="P249" s="21">
        <f t="shared" si="61"/>
        <v>0.3</v>
      </c>
      <c r="Q249" s="21">
        <f t="shared" si="61"/>
        <v>0.3</v>
      </c>
      <c r="R249" s="21">
        <f t="shared" si="61"/>
        <v>0.3</v>
      </c>
      <c r="S249" s="21">
        <f t="shared" si="61"/>
        <v>0.3</v>
      </c>
      <c r="T249" s="21">
        <f t="shared" si="61"/>
        <v>0.3</v>
      </c>
      <c r="U249" s="21">
        <f t="shared" si="61"/>
        <v>0.3</v>
      </c>
      <c r="V249" s="21">
        <f t="shared" si="61"/>
        <v>0.3</v>
      </c>
      <c r="W249" s="21">
        <f t="shared" si="61"/>
        <v>0.3</v>
      </c>
      <c r="X249" s="21">
        <f t="shared" si="61"/>
        <v>0.3</v>
      </c>
      <c r="Y249" s="21">
        <f t="shared" si="61"/>
        <v>0.3</v>
      </c>
      <c r="Z249" s="21">
        <f t="shared" si="61"/>
        <v>0.3</v>
      </c>
      <c r="AA249" s="21">
        <f t="shared" si="61"/>
        <v>0.3</v>
      </c>
      <c r="AB249" s="21">
        <f t="shared" si="61"/>
        <v>0.3</v>
      </c>
      <c r="AC249" s="21">
        <f t="shared" si="61"/>
        <v>0.3</v>
      </c>
      <c r="AD249" s="21">
        <f t="shared" si="61"/>
        <v>0.3</v>
      </c>
      <c r="AE249" s="21">
        <f t="shared" si="61"/>
        <v>0.3</v>
      </c>
      <c r="AF249" s="21">
        <f t="shared" si="61"/>
        <v>0.3</v>
      </c>
      <c r="AG249" s="20">
        <v>1</v>
      </c>
      <c r="AH249" s="12"/>
      <c r="AI249" s="11"/>
      <c r="AK249" s="19"/>
    </row>
    <row r="250" spans="1:37" x14ac:dyDescent="0.25">
      <c r="A250" s="22" t="s">
        <v>12</v>
      </c>
      <c r="B250" s="21">
        <f t="shared" si="57"/>
        <v>0.4</v>
      </c>
      <c r="C250" s="21">
        <v>0.4</v>
      </c>
      <c r="D250" s="21">
        <f t="shared" ref="D250:AF250" si="62">C250</f>
        <v>0.4</v>
      </c>
      <c r="E250" s="21">
        <f t="shared" si="62"/>
        <v>0.4</v>
      </c>
      <c r="F250" s="21">
        <f t="shared" si="62"/>
        <v>0.4</v>
      </c>
      <c r="G250" s="21">
        <f t="shared" si="62"/>
        <v>0.4</v>
      </c>
      <c r="H250" s="21">
        <f t="shared" si="62"/>
        <v>0.4</v>
      </c>
      <c r="I250" s="21">
        <f t="shared" si="62"/>
        <v>0.4</v>
      </c>
      <c r="J250" s="21">
        <f t="shared" si="62"/>
        <v>0.4</v>
      </c>
      <c r="K250" s="21">
        <f t="shared" si="62"/>
        <v>0.4</v>
      </c>
      <c r="L250" s="21">
        <f t="shared" si="62"/>
        <v>0.4</v>
      </c>
      <c r="M250" s="21">
        <f t="shared" si="62"/>
        <v>0.4</v>
      </c>
      <c r="N250" s="21">
        <f t="shared" si="62"/>
        <v>0.4</v>
      </c>
      <c r="O250" s="21">
        <f t="shared" si="62"/>
        <v>0.4</v>
      </c>
      <c r="P250" s="21">
        <f t="shared" si="62"/>
        <v>0.4</v>
      </c>
      <c r="Q250" s="21">
        <f t="shared" si="62"/>
        <v>0.4</v>
      </c>
      <c r="R250" s="21">
        <f t="shared" si="62"/>
        <v>0.4</v>
      </c>
      <c r="S250" s="21">
        <f t="shared" si="62"/>
        <v>0.4</v>
      </c>
      <c r="T250" s="21">
        <f t="shared" si="62"/>
        <v>0.4</v>
      </c>
      <c r="U250" s="21">
        <f t="shared" si="62"/>
        <v>0.4</v>
      </c>
      <c r="V250" s="21">
        <f t="shared" si="62"/>
        <v>0.4</v>
      </c>
      <c r="W250" s="21">
        <f t="shared" si="62"/>
        <v>0.4</v>
      </c>
      <c r="X250" s="21">
        <f t="shared" si="62"/>
        <v>0.4</v>
      </c>
      <c r="Y250" s="21">
        <f t="shared" si="62"/>
        <v>0.4</v>
      </c>
      <c r="Z250" s="21">
        <f t="shared" si="62"/>
        <v>0.4</v>
      </c>
      <c r="AA250" s="21">
        <f t="shared" si="62"/>
        <v>0.4</v>
      </c>
      <c r="AB250" s="21">
        <f t="shared" si="62"/>
        <v>0.4</v>
      </c>
      <c r="AC250" s="21">
        <f t="shared" si="62"/>
        <v>0.4</v>
      </c>
      <c r="AD250" s="21">
        <f t="shared" si="62"/>
        <v>0.4</v>
      </c>
      <c r="AE250" s="21">
        <f t="shared" si="62"/>
        <v>0.4</v>
      </c>
      <c r="AF250" s="21">
        <f t="shared" si="62"/>
        <v>0.4</v>
      </c>
      <c r="AG250" s="20">
        <v>1</v>
      </c>
      <c r="AH250" s="12"/>
      <c r="AI250" s="11"/>
      <c r="AK250" s="19"/>
    </row>
    <row r="251" spans="1:37" ht="15.75" thickBot="1" x14ac:dyDescent="0.3">
      <c r="A251" s="18" t="s">
        <v>11</v>
      </c>
      <c r="B251" s="17">
        <f t="shared" si="57"/>
        <v>0.64</v>
      </c>
      <c r="C251" s="17">
        <v>0.64</v>
      </c>
      <c r="D251" s="17">
        <f t="shared" ref="D251:AF251" si="63">C251</f>
        <v>0.64</v>
      </c>
      <c r="E251" s="17">
        <f t="shared" si="63"/>
        <v>0.64</v>
      </c>
      <c r="F251" s="17">
        <f t="shared" si="63"/>
        <v>0.64</v>
      </c>
      <c r="G251" s="17">
        <f t="shared" si="63"/>
        <v>0.64</v>
      </c>
      <c r="H251" s="17">
        <f t="shared" si="63"/>
        <v>0.64</v>
      </c>
      <c r="I251" s="17">
        <f t="shared" si="63"/>
        <v>0.64</v>
      </c>
      <c r="J251" s="17">
        <f t="shared" si="63"/>
        <v>0.64</v>
      </c>
      <c r="K251" s="17">
        <f t="shared" si="63"/>
        <v>0.64</v>
      </c>
      <c r="L251" s="17">
        <f t="shared" si="63"/>
        <v>0.64</v>
      </c>
      <c r="M251" s="17">
        <f t="shared" si="63"/>
        <v>0.64</v>
      </c>
      <c r="N251" s="17">
        <f t="shared" si="63"/>
        <v>0.64</v>
      </c>
      <c r="O251" s="17">
        <f t="shared" si="63"/>
        <v>0.64</v>
      </c>
      <c r="P251" s="17">
        <f t="shared" si="63"/>
        <v>0.64</v>
      </c>
      <c r="Q251" s="17">
        <f t="shared" si="63"/>
        <v>0.64</v>
      </c>
      <c r="R251" s="17">
        <f t="shared" si="63"/>
        <v>0.64</v>
      </c>
      <c r="S251" s="17">
        <f t="shared" si="63"/>
        <v>0.64</v>
      </c>
      <c r="T251" s="17">
        <f t="shared" si="63"/>
        <v>0.64</v>
      </c>
      <c r="U251" s="17">
        <f t="shared" si="63"/>
        <v>0.64</v>
      </c>
      <c r="V251" s="17">
        <f t="shared" si="63"/>
        <v>0.64</v>
      </c>
      <c r="W251" s="17">
        <f t="shared" si="63"/>
        <v>0.64</v>
      </c>
      <c r="X251" s="17">
        <f t="shared" si="63"/>
        <v>0.64</v>
      </c>
      <c r="Y251" s="17">
        <f t="shared" si="63"/>
        <v>0.64</v>
      </c>
      <c r="Z251" s="17">
        <f t="shared" si="63"/>
        <v>0.64</v>
      </c>
      <c r="AA251" s="17">
        <f t="shared" si="63"/>
        <v>0.64</v>
      </c>
      <c r="AB251" s="17">
        <f t="shared" si="63"/>
        <v>0.64</v>
      </c>
      <c r="AC251" s="17">
        <f t="shared" si="63"/>
        <v>0.64</v>
      </c>
      <c r="AD251" s="17">
        <f t="shared" si="63"/>
        <v>0.64</v>
      </c>
      <c r="AE251" s="17">
        <f t="shared" si="63"/>
        <v>0.64</v>
      </c>
      <c r="AF251" s="17">
        <f t="shared" si="63"/>
        <v>0.64</v>
      </c>
      <c r="AG251" s="16">
        <v>0.66</v>
      </c>
      <c r="AH251" s="12"/>
      <c r="AI251" s="11"/>
    </row>
    <row r="252" spans="1:37" ht="15.75" thickBot="1" x14ac:dyDescent="0.3">
      <c r="A252" s="15" t="s">
        <v>10</v>
      </c>
      <c r="B252" s="14">
        <f t="shared" ref="B252:AG252" si="64">SUM(B246:B251)</f>
        <v>3.54</v>
      </c>
      <c r="C252" s="14">
        <f t="shared" si="64"/>
        <v>3.54</v>
      </c>
      <c r="D252" s="14">
        <f t="shared" si="64"/>
        <v>3.54</v>
      </c>
      <c r="E252" s="14">
        <f t="shared" si="64"/>
        <v>3.54</v>
      </c>
      <c r="F252" s="14">
        <f t="shared" si="64"/>
        <v>3.54</v>
      </c>
      <c r="G252" s="14">
        <f t="shared" si="64"/>
        <v>3.54</v>
      </c>
      <c r="H252" s="14">
        <f t="shared" si="64"/>
        <v>3.54</v>
      </c>
      <c r="I252" s="14">
        <f t="shared" si="64"/>
        <v>3.54</v>
      </c>
      <c r="J252" s="14">
        <f t="shared" si="64"/>
        <v>3.54</v>
      </c>
      <c r="K252" s="14">
        <f t="shared" si="64"/>
        <v>3.54</v>
      </c>
      <c r="L252" s="14">
        <f t="shared" si="64"/>
        <v>3.54</v>
      </c>
      <c r="M252" s="14">
        <f t="shared" si="64"/>
        <v>3.54</v>
      </c>
      <c r="N252" s="14">
        <f t="shared" si="64"/>
        <v>3.54</v>
      </c>
      <c r="O252" s="14">
        <f t="shared" si="64"/>
        <v>3.54</v>
      </c>
      <c r="P252" s="14">
        <f t="shared" si="64"/>
        <v>3.54</v>
      </c>
      <c r="Q252" s="14">
        <f t="shared" si="64"/>
        <v>3.54</v>
      </c>
      <c r="R252" s="14">
        <f t="shared" si="64"/>
        <v>3.54</v>
      </c>
      <c r="S252" s="14">
        <f t="shared" si="64"/>
        <v>3.54</v>
      </c>
      <c r="T252" s="14">
        <f t="shared" si="64"/>
        <v>3.54</v>
      </c>
      <c r="U252" s="14">
        <f t="shared" si="64"/>
        <v>3.54</v>
      </c>
      <c r="V252" s="14">
        <f t="shared" si="64"/>
        <v>3.54</v>
      </c>
      <c r="W252" s="14">
        <f t="shared" si="64"/>
        <v>3.54</v>
      </c>
      <c r="X252" s="14">
        <f t="shared" si="64"/>
        <v>3.54</v>
      </c>
      <c r="Y252" s="14">
        <f t="shared" si="64"/>
        <v>3.54</v>
      </c>
      <c r="Z252" s="14">
        <f t="shared" si="64"/>
        <v>3.54</v>
      </c>
      <c r="AA252" s="14">
        <f t="shared" si="64"/>
        <v>3.54</v>
      </c>
      <c r="AB252" s="14">
        <f t="shared" si="64"/>
        <v>3.54</v>
      </c>
      <c r="AC252" s="14">
        <f t="shared" si="64"/>
        <v>3.54</v>
      </c>
      <c r="AD252" s="14">
        <f t="shared" si="64"/>
        <v>3.54</v>
      </c>
      <c r="AE252" s="14">
        <f t="shared" si="64"/>
        <v>3.54</v>
      </c>
      <c r="AF252" s="14">
        <f t="shared" si="64"/>
        <v>3.54</v>
      </c>
      <c r="AG252" s="13">
        <f t="shared" si="64"/>
        <v>8.56</v>
      </c>
      <c r="AH252" s="12"/>
      <c r="AI252" s="11"/>
    </row>
    <row r="253" spans="1:37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25">
      <c r="A256" s="9" t="s">
        <v>9</v>
      </c>
      <c r="B256" s="8">
        <f>MAX(G99:N99)</f>
        <v>1509.44</v>
      </c>
      <c r="C256" s="7">
        <f>INDEX(G9:N9,1,MATCH(MAX(G99:N99),G99:N99,0))</f>
        <v>0.33333333333333331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25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2080/10/1)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25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25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25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25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25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25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25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25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25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25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25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25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25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25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S8:AA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Q9:Q10"/>
    <mergeCell ref="R9:R10"/>
    <mergeCell ref="S9:S10"/>
    <mergeCell ref="T9:T10"/>
    <mergeCell ref="U9:U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O9:O10"/>
    <mergeCell ref="X9:X10"/>
    <mergeCell ref="Y9:Y10"/>
    <mergeCell ref="Z9:Z10"/>
    <mergeCell ref="AA9:AA10"/>
    <mergeCell ref="P9:P10"/>
  </mergeCells>
  <conditionalFormatting sqref="A11:A130">
    <cfRule type="expression" dxfId="4269" priority="89">
      <formula>$AH11=0</formula>
    </cfRule>
  </conditionalFormatting>
  <conditionalFormatting sqref="A132:A253">
    <cfRule type="expression" dxfId="4268" priority="90">
      <formula>$AH132=0</formula>
    </cfRule>
  </conditionalFormatting>
  <conditionalFormatting sqref="B8">
    <cfRule type="expression" dxfId="4267" priority="144">
      <formula>AND(C$9&gt;=14/24,C$9&lt;20/24)</formula>
    </cfRule>
    <cfRule type="expression" dxfId="4266" priority="147">
      <formula>C$9&gt;=20/24</formula>
    </cfRule>
    <cfRule type="expression" dxfId="4265" priority="146">
      <formula>C$9&lt;8/24</formula>
    </cfRule>
    <cfRule type="expression" dxfId="4264" priority="145">
      <formula>AND(C$9&gt;=8/24,C$9&lt;14/24)</formula>
    </cfRule>
  </conditionalFormatting>
  <conditionalFormatting sqref="B11:M52 N12:AF52 E59:L61 B59:D74 E63:L74 M69:AF74 B77:AF99 B9:AF10 B101:AF117 B119:AF137 B244:AF244 B246:B252">
    <cfRule type="expression" dxfId="4263" priority="41">
      <formula>B$9&gt;=20/24</formula>
    </cfRule>
  </conditionalFormatting>
  <conditionalFormatting sqref="B9:AF10 B11:M52 N12:AF52 E59:L61 B59:D74 E63:L74 M69:AF74 B77:AF99 B101:AF117 B119:AF137 B244:AF244 B246:B252">
    <cfRule type="expression" dxfId="4262" priority="42">
      <formula>AND(B$9&gt;=14/24,B$9&lt;20/24)</formula>
    </cfRule>
    <cfRule type="expression" dxfId="4261" priority="43">
      <formula>AND(B$9&gt;=8/24,B$9&lt;14/24)</formula>
    </cfRule>
    <cfRule type="expression" dxfId="4260" priority="44">
      <formula>B$9&lt;8/24</formula>
    </cfRule>
  </conditionalFormatting>
  <conditionalFormatting sqref="B53:AF57">
    <cfRule type="expression" dxfId="4259" priority="53">
      <formula>B$9&lt;8/24</formula>
    </cfRule>
  </conditionalFormatting>
  <conditionalFormatting sqref="D246:AF252">
    <cfRule type="expression" dxfId="4258" priority="132">
      <formula>D$9&lt;8/24</formula>
    </cfRule>
    <cfRule type="expression" dxfId="4257" priority="129">
      <formula>D$9&gt;=20/24</formula>
    </cfRule>
    <cfRule type="expression" dxfId="4256" priority="131">
      <formula>AND(D$9&gt;=8/24,D$9&lt;14/24)</formula>
    </cfRule>
    <cfRule type="expression" dxfId="4255" priority="130">
      <formula>AND(D$9&gt;=14/24,D$9&lt;20/24)</formula>
    </cfRule>
  </conditionalFormatting>
  <conditionalFormatting sqref="E63:L68">
    <cfRule type="expression" dxfId="4254" priority="49">
      <formula>E$9&gt;=20/24</formula>
    </cfRule>
    <cfRule type="expression" dxfId="4253" priority="50">
      <formula>AND(E$9&gt;=14/24,E$9&lt;20/24)</formula>
    </cfRule>
    <cfRule type="expression" dxfId="4252" priority="52">
      <formula>E$9&lt;8/24</formula>
    </cfRule>
    <cfRule type="expression" dxfId="4251" priority="51">
      <formula>AND(E$9&gt;=8/24,E$9&lt;14/24)</formula>
    </cfRule>
  </conditionalFormatting>
  <conditionalFormatting sqref="E59:AF62">
    <cfRule type="expression" dxfId="4250" priority="67">
      <formula>E$9&gt;=20/24</formula>
    </cfRule>
    <cfRule type="expression" dxfId="4249" priority="68">
      <formula>AND(E$9&gt;=14/24,E$9&lt;20/24)</formula>
    </cfRule>
    <cfRule type="expression" dxfId="4248" priority="69">
      <formula>AND(E$9&gt;=8/24,E$9&lt;14/24)</formula>
    </cfRule>
    <cfRule type="expression" dxfId="4247" priority="70">
      <formula>E$9&lt;8/24</formula>
    </cfRule>
  </conditionalFormatting>
  <conditionalFormatting sqref="F63:L65">
    <cfRule type="expression" dxfId="4246" priority="84">
      <formula>F$9&lt;8/24</formula>
    </cfRule>
    <cfRule type="expression" dxfId="4245" priority="83">
      <formula>AND(F$9&gt;=8/24,F$9&lt;14/24)</formula>
    </cfRule>
    <cfRule type="expression" dxfId="4244" priority="82">
      <formula>AND(F$9&gt;=14/24,F$9&lt;20/24)</formula>
    </cfRule>
    <cfRule type="expression" dxfId="4243" priority="81">
      <formula>F$9&gt;=20/24</formula>
    </cfRule>
  </conditionalFormatting>
  <conditionalFormatting sqref="G11:M55 E11:F57 B11:D61 N12:AA55 AB12:AF80 G56:Z57 AA56:AA61 E58:Z61 AG62 B62:AA80 AG80">
    <cfRule type="expression" dxfId="4242" priority="40">
      <formula>B11&gt;$AG11</formula>
    </cfRule>
  </conditionalFormatting>
  <conditionalFormatting sqref="G53:AF55 B53:F57">
    <cfRule type="expression" dxfId="4241" priority="37">
      <formula>B$9&gt;=20/24</formula>
    </cfRule>
    <cfRule type="expression" dxfId="4240" priority="38">
      <formula>AND(B$9&gt;=14/24,B$9&lt;20/24)</formula>
    </cfRule>
    <cfRule type="expression" dxfId="4239" priority="39">
      <formula>AND(B$9&gt;=8/24,B$9&lt;14/24)</formula>
    </cfRule>
  </conditionalFormatting>
  <conditionalFormatting sqref="G56:AF57">
    <cfRule type="expression" dxfId="4238" priority="46">
      <formula>G$9&gt;=20/24</formula>
    </cfRule>
    <cfRule type="expression" dxfId="4237" priority="47">
      <formula>AND(G$9&gt;=14/24,G$9&lt;20/24)</formula>
    </cfRule>
    <cfRule type="expression" dxfId="4236" priority="48">
      <formula>AND(G$9&gt;=8/24,G$9&lt;14/24)</formula>
    </cfRule>
  </conditionalFormatting>
  <conditionalFormatting sqref="L68:Y68">
    <cfRule type="expression" dxfId="4235" priority="78">
      <formula>AND(L$9&gt;=14/24,L$9&lt;20/24)</formula>
    </cfRule>
    <cfRule type="expression" dxfId="4234" priority="79">
      <formula>AND(L$9&gt;=8/24,L$9&lt;14/24)</formula>
    </cfRule>
    <cfRule type="expression" dxfId="4233" priority="80">
      <formula>L$9&lt;8/24</formula>
    </cfRule>
    <cfRule type="expression" dxfId="4232" priority="77">
      <formula>L$9&gt;=20/24</formula>
    </cfRule>
  </conditionalFormatting>
  <conditionalFormatting sqref="M8 S8 AB8">
    <cfRule type="expression" dxfId="4231" priority="138">
      <formula>N$9&lt;8/24</formula>
    </cfRule>
    <cfRule type="expression" dxfId="4230" priority="137">
      <formula>AND(N$9&gt;=8/24,N$9&lt;14/24)</formula>
    </cfRule>
    <cfRule type="expression" dxfId="4229" priority="136">
      <formula>AND(N$9&gt;=14/24,N$9&lt;20/24)</formula>
    </cfRule>
  </conditionalFormatting>
  <conditionalFormatting sqref="M63:Y67 Z67:AF67">
    <cfRule type="expression" dxfId="4228" priority="85">
      <formula>M$9&gt;=20/24</formula>
    </cfRule>
    <cfRule type="expression" dxfId="4227" priority="86">
      <formula>AND(M$9&gt;=14/24,M$9&lt;20/24)</formula>
    </cfRule>
    <cfRule type="expression" dxfId="4226" priority="87">
      <formula>AND(M$9&gt;=8/24,M$9&lt;14/24)</formula>
    </cfRule>
    <cfRule type="expression" dxfId="4225" priority="88">
      <formula>M$9&lt;8/24</formula>
    </cfRule>
  </conditionalFormatting>
  <conditionalFormatting sqref="N11:AF11">
    <cfRule type="expression" dxfId="4224" priority="62">
      <formula>N$9&lt;8/24</formula>
    </cfRule>
    <cfRule type="expression" dxfId="4223" priority="61">
      <formula>AND(N$9&gt;=8/24,N$9&lt;14/24)</formula>
    </cfRule>
    <cfRule type="expression" dxfId="4222" priority="60">
      <formula>AND(N$9&gt;=14/24,N$9&lt;20/24)</formula>
    </cfRule>
    <cfRule type="expression" dxfId="4221" priority="58">
      <formula>N11&gt;$AG11</formula>
    </cfRule>
    <cfRule type="expression" dxfId="4220" priority="59">
      <formula>N$9&gt;=20/24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4219" priority="135">
      <formula>N$9&gt;=20/24</formula>
    </cfRule>
  </conditionalFormatting>
  <conditionalFormatting sqref="S8">
    <cfRule type="expression" dxfId="4218" priority="124">
      <formula>AND(U$9&gt;=8/24,U$9&lt;14/24)</formula>
    </cfRule>
    <cfRule type="expression" dxfId="4217" priority="122">
      <formula>U$9&gt;=20/24</formula>
    </cfRule>
    <cfRule type="expression" dxfId="4216" priority="123">
      <formula>AND(U$9&gt;=14/24,U$9&lt;20/24)</formula>
    </cfRule>
    <cfRule type="expression" dxfId="4215" priority="125">
      <formula>U$9&lt;8/24</formula>
    </cfRule>
  </conditionalFormatting>
  <conditionalFormatting sqref="T63:AF68">
    <cfRule type="expression" dxfId="4214" priority="74">
      <formula>T$9&lt;8/24</formula>
    </cfRule>
    <cfRule type="expression" dxfId="4213" priority="73">
      <formula>AND(T$9&gt;=8/24,T$9&lt;14/24)</formula>
    </cfRule>
    <cfRule type="expression" dxfId="4212" priority="72">
      <formula>AND(T$9&gt;=14/24,T$9&lt;20/24)</formula>
    </cfRule>
    <cfRule type="expression" dxfId="4211" priority="71">
      <formula>T$9&gt;=20/24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4210" priority="121">
      <formula>AD$9&lt;8/24</formula>
    </cfRule>
    <cfRule type="expression" dxfId="4209" priority="120">
      <formula>AND(AD$9&gt;=8/24,AD$9&lt;14/24)</formula>
    </cfRule>
    <cfRule type="expression" dxfId="4208" priority="119">
      <formula>AND(AD$9&gt;=14/24,AD$9&lt;20/24)</formula>
    </cfRule>
    <cfRule type="expression" dxfId="4207" priority="118">
      <formula>AD$9&gt;=20/24</formula>
    </cfRule>
  </conditionalFormatting>
  <conditionalFormatting sqref="AG58">
    <cfRule type="expression" dxfId="4206" priority="113">
      <formula>AG58&gt;$AG58</formula>
    </cfRule>
  </conditionalFormatting>
  <conditionalFormatting sqref="AG62">
    <cfRule type="expression" dxfId="4205" priority="98">
      <formula>AND(AG$9&gt;=8/24,AG$9&lt;14/24)</formula>
    </cfRule>
    <cfRule type="expression" dxfId="4204" priority="99">
      <formula>AG$9&lt;8/24</formula>
    </cfRule>
    <cfRule type="expression" dxfId="4203" priority="96">
      <formula>AG$9&gt;=20/24</formula>
    </cfRule>
    <cfRule type="expression" dxfId="4202" priority="97">
      <formula>AND(AG$9&gt;=14/24,AG$9&lt;20/24)</formula>
    </cfRule>
  </conditionalFormatting>
  <conditionalFormatting sqref="AG75:AG76">
    <cfRule type="expression" dxfId="4201" priority="91">
      <formula>AG75&gt;$AG75</formula>
    </cfRule>
  </conditionalFormatting>
  <conditionalFormatting sqref="AG80">
    <cfRule type="expression" dxfId="4200" priority="94">
      <formula>AND(AG$9&gt;=8/24,AG$9&lt;14/24)</formula>
    </cfRule>
    <cfRule type="expression" dxfId="4199" priority="92">
      <formula>AG$9&gt;=20/24</formula>
    </cfRule>
    <cfRule type="expression" dxfId="4198" priority="93">
      <formula>AND(AG$9&gt;=14/24,AG$9&lt;20/24)</formula>
    </cfRule>
    <cfRule type="expression" dxfId="4197" priority="95">
      <formula>AG$9&lt;8/24</formula>
    </cfRule>
  </conditionalFormatting>
  <conditionalFormatting sqref="AG97">
    <cfRule type="expression" dxfId="4196" priority="117">
      <formula>AG$9&lt;8/24</formula>
    </cfRule>
    <cfRule type="expression" dxfId="4195" priority="116">
      <formula>AND(AG$9&gt;=8/24,AG$9&lt;14/24)</formula>
    </cfRule>
    <cfRule type="expression" dxfId="4194" priority="115">
      <formula>AND(AG$9&gt;=14/24,AG$9&lt;20/24)</formula>
    </cfRule>
    <cfRule type="expression" dxfId="4193" priority="114">
      <formula>AG$9&gt;=20/24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4192" priority="139">
      <formula>AJ$9&gt;=20/24</formula>
    </cfRule>
    <cfRule type="expression" dxfId="4191" priority="140">
      <formula>AND(AJ$9&gt;=14/24,AJ$9&lt;20/24)</formula>
    </cfRule>
    <cfRule type="expression" dxfId="4190" priority="141">
      <formula>AND(AJ$9&gt;=8/24,AJ$9&lt;14/24)</formula>
    </cfRule>
    <cfRule type="expression" dxfId="4189" priority="142">
      <formula>AJ$9&lt;8/24</formula>
    </cfRule>
  </conditionalFormatting>
  <conditionalFormatting sqref="AL88:AN88 AL94:AN94">
    <cfRule type="expression" dxfId="4188" priority="107">
      <formula>AND(AL$9&gt;=14/24,AL$9&lt;20/24)</formula>
    </cfRule>
    <cfRule type="expression" dxfId="4187" priority="106">
      <formula>AL$9&gt;=20/24</formula>
    </cfRule>
    <cfRule type="expression" dxfId="4186" priority="108">
      <formula>AND(AL$9&gt;=8/24,AL$9&lt;14/24)</formula>
    </cfRule>
    <cfRule type="expression" dxfId="4185" priority="109">
      <formula>AL$9&lt;8/24</formula>
    </cfRule>
  </conditionalFormatting>
  <conditionalFormatting sqref="AM15:AM21 AN16:AR21">
    <cfRule type="expression" dxfId="4184" priority="16">
      <formula>AX$9&lt;8/24</formula>
    </cfRule>
    <cfRule type="expression" dxfId="4183" priority="15">
      <formula>AND(AX$9&gt;=8/24,AX$9&lt;14/24)</formula>
    </cfRule>
    <cfRule type="expression" dxfId="4182" priority="14">
      <formula>AND(AX$9&gt;=14/24,AX$9&lt;20/24)</formula>
    </cfRule>
    <cfRule type="expression" dxfId="4181" priority="13">
      <formula>AX$9&gt;=20/24</formula>
    </cfRule>
  </conditionalFormatting>
  <conditionalFormatting sqref="AN89:AN92">
    <cfRule type="expression" dxfId="4180" priority="102">
      <formula>AN$9&gt;=20/24</formula>
    </cfRule>
    <cfRule type="expression" dxfId="4179" priority="103">
      <formula>AND(AN$9&gt;=14/24,AN$9&lt;20/24)</formula>
    </cfRule>
    <cfRule type="expression" dxfId="4178" priority="104">
      <formula>AND(AN$9&gt;=8/24,AN$9&lt;14/24)</formula>
    </cfRule>
    <cfRule type="expression" dxfId="4177" priority="105">
      <formula>AN$9&lt;8/24</formula>
    </cfRule>
  </conditionalFormatting>
  <conditionalFormatting sqref="AN15:AR15">
    <cfRule type="expression" dxfId="4176" priority="2">
      <formula>AND(U$9&gt;=14/24,U$9&lt;20/24)</formula>
    </cfRule>
    <cfRule type="expression" dxfId="4175" priority="3">
      <formula>AND(U$9&gt;=8/24,U$9&lt;14/24)</formula>
    </cfRule>
    <cfRule type="expression" dxfId="4174" priority="4">
      <formula>U$9&lt;8/24</formula>
    </cfRule>
    <cfRule type="expression" dxfId="4173" priority="1">
      <formula>U$9&gt;=20/24</formula>
    </cfRule>
  </conditionalFormatting>
  <conditionalFormatting sqref="AS15">
    <cfRule type="expression" dxfId="4172" priority="10">
      <formula>AND(AA$9&gt;=14/24,AA$9&lt;20/24)</formula>
    </cfRule>
    <cfRule type="expression" dxfId="4171" priority="11">
      <formula>AND(AA$9&gt;=8/24,AA$9&lt;14/24)</formula>
    </cfRule>
    <cfRule type="expression" dxfId="4170" priority="12">
      <formula>AA$9&lt;8/24</formula>
    </cfRule>
    <cfRule type="expression" dxfId="4169" priority="9">
      <formula>AA$9&gt;=20/24</formula>
    </cfRule>
  </conditionalFormatting>
  <conditionalFormatting sqref="AS16:AS21">
    <cfRule type="expression" dxfId="4168" priority="20">
      <formula>BE$9&lt;8/24</formula>
    </cfRule>
    <cfRule type="expression" dxfId="4167" priority="19">
      <formula>AND(BE$9&gt;=8/24,BE$9&lt;14/24)</formula>
    </cfRule>
    <cfRule type="expression" dxfId="4166" priority="18">
      <formula>AND(BE$9&gt;=14/24,BE$9&lt;20/24)</formula>
    </cfRule>
    <cfRule type="expression" dxfId="4165" priority="17">
      <formula>BE$9&gt;=20/24</formula>
    </cfRule>
  </conditionalFormatting>
  <conditionalFormatting sqref="AT15 AX15:BJ15">
    <cfRule type="expression" dxfId="4164" priority="24">
      <formula>AC$9&lt;8/24</formula>
    </cfRule>
    <cfRule type="expression" dxfId="4163" priority="23">
      <formula>AND(AC$9&gt;=8/24,AC$9&lt;14/24)</formula>
    </cfRule>
    <cfRule type="expression" dxfId="4162" priority="22">
      <formula>AND(AC$9&gt;=14/24,AC$9&lt;20/24)</formula>
    </cfRule>
    <cfRule type="expression" dxfId="4161" priority="21">
      <formula>AC$9&gt;=20/24</formula>
    </cfRule>
  </conditionalFormatting>
  <conditionalFormatting sqref="AT16:AT21">
    <cfRule type="expression" dxfId="4160" priority="28">
      <formula>BG$9&lt;8/24</formula>
    </cfRule>
    <cfRule type="expression" dxfId="4159" priority="26">
      <formula>AND(BG$9&gt;=14/24,BG$9&lt;20/24)</formula>
    </cfRule>
    <cfRule type="expression" dxfId="4158" priority="25">
      <formula>BG$9&gt;=20/24</formula>
    </cfRule>
    <cfRule type="expression" dxfId="4157" priority="27">
      <formula>AND(BG$9&gt;=8/24,BG$9&lt;14/24)</formula>
    </cfRule>
  </conditionalFormatting>
  <conditionalFormatting sqref="AU15:AV15">
    <cfRule type="expression" dxfId="4156" priority="30">
      <formula>AND(AE$9&gt;=14/24,AE$9&lt;20/24)</formula>
    </cfRule>
    <cfRule type="expression" dxfId="4155" priority="29">
      <formula>AE$9&gt;=20/24</formula>
    </cfRule>
    <cfRule type="expression" dxfId="4154" priority="32">
      <formula>AE$9&lt;8/24</formula>
    </cfRule>
    <cfRule type="expression" dxfId="4153" priority="31">
      <formula>AND(AE$9&gt;=8/24,AE$9&lt;14/24)</formula>
    </cfRule>
  </conditionalFormatting>
  <conditionalFormatting sqref="AU16:BJ21">
    <cfRule type="expression" dxfId="4152" priority="36">
      <formula>BI$9&lt;8/24</formula>
    </cfRule>
    <cfRule type="expression" dxfId="4151" priority="35">
      <formula>AND(BI$9&gt;=8/24,BI$9&lt;14/24)</formula>
    </cfRule>
    <cfRule type="expression" dxfId="4150" priority="34">
      <formula>AND(BI$9&gt;=14/24,BI$9&lt;20/24)</formula>
    </cfRule>
    <cfRule type="expression" dxfId="4149" priority="33">
      <formula>BI$9&gt;=20/24</formula>
    </cfRule>
  </conditionalFormatting>
  <conditionalFormatting sqref="AW15">
    <cfRule type="expression" dxfId="4148" priority="5">
      <formula>B$9&gt;=20/24</formula>
    </cfRule>
    <cfRule type="expression" dxfId="4147" priority="8">
      <formula>B$9&lt;8/24</formula>
    </cfRule>
    <cfRule type="expression" dxfId="4146" priority="7">
      <formula>AND(B$9&gt;=8/24,B$9&lt;14/24)</formula>
    </cfRule>
    <cfRule type="expression" dxfId="4145" priority="6">
      <formula>AND(B$9&gt;=14/24,B$9&lt;20/24)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A03CD-4C38-418E-B7C1-4D4762C30C05}">
  <sheetPr codeName="Sheet3"/>
  <dimension ref="A1:CJ294"/>
  <sheetViews>
    <sheetView zoomScale="106" workbookViewId="0">
      <pane xSplit="1" ySplit="10" topLeftCell="B82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97" sqref="A97:AF10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20.25" hidden="1" x14ac:dyDescent="0.2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9.5" hidden="1" thickBot="1" x14ac:dyDescent="0.3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3">
      <c r="A4" s="162" t="s">
        <v>273</v>
      </c>
      <c r="B4" s="205" t="str">
        <f ca="1">"2080/"&amp;"10/"&amp;INT(MID(CELL("filename",D6),FIND("]",CELL("filename",D6))+1,200))</f>
        <v>2080/10/2</v>
      </c>
      <c r="C4" s="205"/>
      <c r="D4" s="205"/>
      <c r="E4" s="206" t="str">
        <f ca="1">"2080/"&amp;"10/"&amp;INT(MID(CELL("filename",G6),FIND("]",CELL("filename",G6))+1,200))</f>
        <v>2080/10/2</v>
      </c>
      <c r="F4" s="206"/>
      <c r="G4" s="206"/>
      <c r="H4" s="206" t="str">
        <f ca="1">TEXT(E4,"dddd")</f>
        <v>Wednesday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3">
      <c r="A5" s="158"/>
      <c r="B5" s="161">
        <f t="shared" ref="B5:AE5" si="0">C92</f>
        <v>188.2</v>
      </c>
      <c r="C5" s="161">
        <f t="shared" si="0"/>
        <v>159.69999999999999</v>
      </c>
      <c r="D5" s="161">
        <f t="shared" si="0"/>
        <v>208.40000000000003</v>
      </c>
      <c r="E5" s="161">
        <f t="shared" si="0"/>
        <v>209.59999999999997</v>
      </c>
      <c r="F5" s="161">
        <f t="shared" si="0"/>
        <v>253.3</v>
      </c>
      <c r="G5" s="161">
        <f t="shared" si="0"/>
        <v>263.60000000000002</v>
      </c>
      <c r="H5" s="161">
        <f t="shared" si="0"/>
        <v>280.60000000000002</v>
      </c>
      <c r="I5" s="161">
        <f t="shared" si="0"/>
        <v>532.1</v>
      </c>
      <c r="J5" s="161">
        <f t="shared" si="0"/>
        <v>706</v>
      </c>
      <c r="K5" s="161">
        <f t="shared" si="0"/>
        <v>720.1</v>
      </c>
      <c r="L5" s="161">
        <f t="shared" si="0"/>
        <v>750.3</v>
      </c>
      <c r="M5" s="161">
        <f t="shared" si="0"/>
        <v>784.8</v>
      </c>
      <c r="N5" s="161">
        <f t="shared" si="0"/>
        <v>813.09999999999991</v>
      </c>
      <c r="O5" s="161">
        <f t="shared" si="0"/>
        <v>786.69999999999993</v>
      </c>
      <c r="P5" s="161">
        <f t="shared" si="0"/>
        <v>839.40000000000009</v>
      </c>
      <c r="Q5" s="161">
        <f t="shared" si="0"/>
        <v>833.56999999999994</v>
      </c>
      <c r="R5" s="161">
        <f t="shared" si="0"/>
        <v>809.3</v>
      </c>
      <c r="S5" s="161">
        <f t="shared" si="0"/>
        <v>860.4</v>
      </c>
      <c r="T5" s="161">
        <f t="shared" si="0"/>
        <v>884.19999999999993</v>
      </c>
      <c r="U5" s="161">
        <f t="shared" si="0"/>
        <v>832.6</v>
      </c>
      <c r="V5" s="161">
        <f t="shared" si="0"/>
        <v>815.5</v>
      </c>
      <c r="W5" s="161">
        <f t="shared" si="0"/>
        <v>727.5</v>
      </c>
      <c r="X5" s="161">
        <f t="shared" si="0"/>
        <v>191.5</v>
      </c>
      <c r="Y5" s="161">
        <f t="shared" si="0"/>
        <v>169.7</v>
      </c>
      <c r="Z5" s="161">
        <f t="shared" si="0"/>
        <v>204.39999999999998</v>
      </c>
      <c r="AA5" s="161">
        <f t="shared" si="0"/>
        <v>159.80000000000001</v>
      </c>
      <c r="AB5" s="161">
        <f t="shared" si="0"/>
        <v>263.89999999999998</v>
      </c>
      <c r="AC5" s="161">
        <f t="shared" si="0"/>
        <v>283.5</v>
      </c>
      <c r="AD5" s="161">
        <f t="shared" si="0"/>
        <v>280.89999999999998</v>
      </c>
      <c r="AE5" s="161">
        <f t="shared" si="0"/>
        <v>303.8</v>
      </c>
      <c r="AF5" s="161">
        <f>B92</f>
        <v>152.89999999999998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3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1577MW at 9:00hr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5" thickBot="1" x14ac:dyDescent="0.3">
      <c r="A7" s="151" t="str">
        <f>"Base Load="&amp;ROUND(MIN($B$7:$AF$7),0)</f>
        <v>Base Load=1182</v>
      </c>
      <c r="B7" s="150">
        <f t="shared" ref="B7:AF7" si="1">B100</f>
        <v>1225.9399999999998</v>
      </c>
      <c r="C7" s="150">
        <f t="shared" si="1"/>
        <v>1209.2399999999998</v>
      </c>
      <c r="D7" s="150">
        <f t="shared" si="1"/>
        <v>1181.7399999999998</v>
      </c>
      <c r="E7" s="150">
        <f t="shared" si="1"/>
        <v>1227.5400000000002</v>
      </c>
      <c r="F7" s="150">
        <f t="shared" si="1"/>
        <v>1223.54</v>
      </c>
      <c r="G7" s="150">
        <f t="shared" si="1"/>
        <v>1267.44</v>
      </c>
      <c r="H7" s="150">
        <f t="shared" si="1"/>
        <v>1280.94</v>
      </c>
      <c r="I7" s="150">
        <f t="shared" si="1"/>
        <v>1354.44</v>
      </c>
      <c r="J7" s="150">
        <f t="shared" si="1"/>
        <v>1335.94</v>
      </c>
      <c r="K7" s="150">
        <f t="shared" si="1"/>
        <v>1439.8400000000001</v>
      </c>
      <c r="L7" s="150">
        <f t="shared" si="1"/>
        <v>1451.7399999999998</v>
      </c>
      <c r="M7" s="150">
        <f t="shared" si="1"/>
        <v>1514.44</v>
      </c>
      <c r="N7" s="150">
        <f t="shared" si="1"/>
        <v>1576.9399999999998</v>
      </c>
      <c r="O7" s="150">
        <f t="shared" si="1"/>
        <v>1611.6399999999999</v>
      </c>
      <c r="P7" s="150">
        <f t="shared" si="1"/>
        <v>1591.6399999999999</v>
      </c>
      <c r="Q7" s="150">
        <f t="shared" si="1"/>
        <v>1633.14</v>
      </c>
      <c r="R7" s="150">
        <f t="shared" si="1"/>
        <v>1630.9099999999999</v>
      </c>
      <c r="S7" s="150">
        <f t="shared" si="1"/>
        <v>1605.54</v>
      </c>
      <c r="T7" s="150">
        <f t="shared" si="1"/>
        <v>1656.6399999999999</v>
      </c>
      <c r="U7" s="150">
        <f t="shared" si="1"/>
        <v>1658.94</v>
      </c>
      <c r="V7" s="150">
        <f t="shared" si="1"/>
        <v>1602.94</v>
      </c>
      <c r="W7" s="150">
        <f t="shared" si="1"/>
        <v>1588.84</v>
      </c>
      <c r="X7" s="150">
        <f t="shared" si="1"/>
        <v>1461.24</v>
      </c>
      <c r="Y7" s="150">
        <f t="shared" si="1"/>
        <v>1701.9</v>
      </c>
      <c r="Z7" s="150">
        <f t="shared" si="1"/>
        <v>1869.9</v>
      </c>
      <c r="AA7" s="150">
        <f t="shared" si="1"/>
        <v>1856.94</v>
      </c>
      <c r="AB7" s="150">
        <f t="shared" si="1"/>
        <v>1775.84</v>
      </c>
      <c r="AC7" s="150">
        <f t="shared" si="1"/>
        <v>1703.8400000000001</v>
      </c>
      <c r="AD7" s="150">
        <f t="shared" si="1"/>
        <v>1647.54</v>
      </c>
      <c r="AE7" s="150">
        <f t="shared" si="1"/>
        <v>1553.04</v>
      </c>
      <c r="AF7" s="150">
        <f t="shared" si="1"/>
        <v>1450.1399999999999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7.25" thickTop="1" thickBot="1" x14ac:dyDescent="0.3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1869.9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2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1869.9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.75" thickBot="1" x14ac:dyDescent="0.3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25">
      <c r="A11" s="89" t="s">
        <v>264</v>
      </c>
      <c r="B11" s="102">
        <v>21.9</v>
      </c>
      <c r="C11" s="102">
        <v>21.9</v>
      </c>
      <c r="D11" s="102">
        <v>21.9</v>
      </c>
      <c r="E11" s="102">
        <v>28.1</v>
      </c>
      <c r="F11" s="102">
        <v>30.5</v>
      </c>
      <c r="G11" s="102">
        <v>28.4</v>
      </c>
      <c r="H11" s="102">
        <v>27.6</v>
      </c>
      <c r="I11" s="102">
        <v>27.6</v>
      </c>
      <c r="J11" s="102">
        <v>27.6</v>
      </c>
      <c r="K11" s="102">
        <v>25.5</v>
      </c>
      <c r="L11" s="102">
        <v>25.5</v>
      </c>
      <c r="M11" s="102">
        <v>25.5</v>
      </c>
      <c r="N11" s="102">
        <v>25.5</v>
      </c>
      <c r="O11" s="102">
        <v>25.5</v>
      </c>
      <c r="P11" s="102">
        <v>25.5</v>
      </c>
      <c r="Q11" s="102">
        <v>22.9</v>
      </c>
      <c r="R11" s="102">
        <v>23.8</v>
      </c>
      <c r="S11" s="102">
        <v>23.8</v>
      </c>
      <c r="T11" s="102">
        <v>23.8</v>
      </c>
      <c r="U11" s="102">
        <v>23.8</v>
      </c>
      <c r="V11" s="102">
        <v>23.8</v>
      </c>
      <c r="W11" s="102">
        <v>23.8</v>
      </c>
      <c r="X11" s="102">
        <v>23.8</v>
      </c>
      <c r="Y11" s="102">
        <v>23.8</v>
      </c>
      <c r="Z11" s="102">
        <v>23.8</v>
      </c>
      <c r="AA11" s="102">
        <v>23.8</v>
      </c>
      <c r="AB11" s="102">
        <v>24.1</v>
      </c>
      <c r="AC11" s="102">
        <v>24.1</v>
      </c>
      <c r="AD11" s="102">
        <v>24.1</v>
      </c>
      <c r="AE11" s="102">
        <v>24.5</v>
      </c>
      <c r="AF11" s="102">
        <v>24.5</v>
      </c>
      <c r="AG11" s="140">
        <v>86</v>
      </c>
      <c r="AH11" s="12">
        <f t="shared" ref="AH11:AH16" si="2">MAX(B11:AF11)</f>
        <v>30.5</v>
      </c>
      <c r="AI11" s="11">
        <f t="shared" ref="AI11:AI16" si="3">MIN(B11:AF11)</f>
        <v>21.9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25">
      <c r="A12" s="89" t="s">
        <v>263</v>
      </c>
      <c r="B12" s="102">
        <v>10</v>
      </c>
      <c r="C12" s="102">
        <v>10</v>
      </c>
      <c r="D12" s="102">
        <v>10</v>
      </c>
      <c r="E12" s="102">
        <v>10</v>
      </c>
      <c r="F12" s="102">
        <v>10</v>
      </c>
      <c r="G12" s="102">
        <v>10</v>
      </c>
      <c r="H12" s="102">
        <v>10</v>
      </c>
      <c r="I12" s="102">
        <v>10</v>
      </c>
      <c r="J12" s="102">
        <v>10</v>
      </c>
      <c r="K12" s="102">
        <v>10</v>
      </c>
      <c r="L12" s="102">
        <v>10</v>
      </c>
      <c r="M12" s="102">
        <v>10</v>
      </c>
      <c r="N12" s="102">
        <v>10</v>
      </c>
      <c r="O12" s="102">
        <v>10</v>
      </c>
      <c r="P12" s="102">
        <v>10</v>
      </c>
      <c r="Q12" s="102">
        <v>10</v>
      </c>
      <c r="R12" s="102">
        <v>10</v>
      </c>
      <c r="S12" s="102">
        <v>10</v>
      </c>
      <c r="T12" s="102">
        <v>10</v>
      </c>
      <c r="U12" s="102">
        <v>10</v>
      </c>
      <c r="V12" s="102">
        <v>10</v>
      </c>
      <c r="W12" s="102">
        <v>10</v>
      </c>
      <c r="X12" s="102">
        <v>10</v>
      </c>
      <c r="Y12" s="102">
        <v>10</v>
      </c>
      <c r="Z12" s="102">
        <v>10</v>
      </c>
      <c r="AA12" s="102">
        <v>10</v>
      </c>
      <c r="AB12" s="102">
        <v>10</v>
      </c>
      <c r="AC12" s="102">
        <v>10</v>
      </c>
      <c r="AD12" s="102">
        <v>10</v>
      </c>
      <c r="AE12" s="102">
        <v>10</v>
      </c>
      <c r="AF12" s="102">
        <v>10</v>
      </c>
      <c r="AG12" s="130">
        <v>54</v>
      </c>
      <c r="AH12" s="12">
        <f t="shared" si="2"/>
        <v>10</v>
      </c>
      <c r="AI12" s="11">
        <f t="shared" si="3"/>
        <v>10</v>
      </c>
      <c r="AK12" s="19"/>
      <c r="AL12" s="6" t="str">
        <f ca="1">MID(CELL("filename",C7),FIND("]",CELL("filename",C7))+1,600)</f>
        <v>02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25">
      <c r="A13" s="89" t="s">
        <v>262</v>
      </c>
      <c r="B13" s="102">
        <v>12</v>
      </c>
      <c r="C13" s="102">
        <v>12</v>
      </c>
      <c r="D13" s="102">
        <v>12</v>
      </c>
      <c r="E13" s="102">
        <v>12.4</v>
      </c>
      <c r="F13" s="102">
        <v>12.4</v>
      </c>
      <c r="G13" s="102">
        <v>12.4</v>
      </c>
      <c r="H13" s="102">
        <v>12.4</v>
      </c>
      <c r="I13" s="102">
        <v>12.4</v>
      </c>
      <c r="J13" s="102">
        <v>12.4</v>
      </c>
      <c r="K13" s="102">
        <v>12.4</v>
      </c>
      <c r="L13" s="102">
        <v>12.4</v>
      </c>
      <c r="M13" s="102">
        <v>12.4</v>
      </c>
      <c r="N13" s="102">
        <v>12.4</v>
      </c>
      <c r="O13" s="102">
        <v>12.4</v>
      </c>
      <c r="P13" s="102">
        <v>12.4</v>
      </c>
      <c r="Q13" s="102">
        <v>12.4</v>
      </c>
      <c r="R13" s="102">
        <v>12.4</v>
      </c>
      <c r="S13" s="102">
        <v>12.4</v>
      </c>
      <c r="T13" s="102">
        <v>12.4</v>
      </c>
      <c r="U13" s="102">
        <v>12.4</v>
      </c>
      <c r="V13" s="102">
        <v>12.4</v>
      </c>
      <c r="W13" s="102">
        <v>12.4</v>
      </c>
      <c r="X13" s="102">
        <v>12.4</v>
      </c>
      <c r="Y13" s="102">
        <v>12.4</v>
      </c>
      <c r="Z13" s="102">
        <v>12.4</v>
      </c>
      <c r="AA13" s="102">
        <v>12.4</v>
      </c>
      <c r="AB13" s="102">
        <v>12.4</v>
      </c>
      <c r="AC13" s="102">
        <v>12.4</v>
      </c>
      <c r="AD13" s="102">
        <v>12.4</v>
      </c>
      <c r="AE13" s="102">
        <v>12.4</v>
      </c>
      <c r="AF13" s="102">
        <v>12.4</v>
      </c>
      <c r="AG13" s="130">
        <v>54</v>
      </c>
      <c r="AH13" s="12">
        <f t="shared" si="2"/>
        <v>12.4</v>
      </c>
      <c r="AI13" s="11">
        <f t="shared" si="3"/>
        <v>12</v>
      </c>
      <c r="AK13" s="19"/>
      <c r="AL13" s="6" t="str">
        <f ca="1">"Daily Load Curve(Excluding of Export) of Nepal ("&amp;A4&amp;" "&amp;B4&amp;")"</f>
        <v>Daily Load Curve(Excluding of Export) of Nepal (Nepali Date: 2080/10/2)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.75" thickBot="1" x14ac:dyDescent="0.3">
      <c r="A14" s="89" t="s">
        <v>261</v>
      </c>
      <c r="B14" s="102">
        <v>12.2</v>
      </c>
      <c r="C14" s="102">
        <v>12.2</v>
      </c>
      <c r="D14" s="102">
        <v>12.2</v>
      </c>
      <c r="E14" s="102">
        <v>12.2</v>
      </c>
      <c r="F14" s="102">
        <v>12.2</v>
      </c>
      <c r="G14" s="102">
        <v>12.2</v>
      </c>
      <c r="H14" s="102">
        <v>12.2</v>
      </c>
      <c r="I14" s="102">
        <v>12.2</v>
      </c>
      <c r="J14" s="102">
        <v>12.2</v>
      </c>
      <c r="K14" s="102">
        <v>12.2</v>
      </c>
      <c r="L14" s="102">
        <v>12.2</v>
      </c>
      <c r="M14" s="102">
        <v>12.2</v>
      </c>
      <c r="N14" s="102">
        <v>12.2</v>
      </c>
      <c r="O14" s="102">
        <v>12.2</v>
      </c>
      <c r="P14" s="102">
        <v>12.2</v>
      </c>
      <c r="Q14" s="102">
        <v>12.2</v>
      </c>
      <c r="R14" s="102">
        <v>12.2</v>
      </c>
      <c r="S14" s="102">
        <v>12.2</v>
      </c>
      <c r="T14" s="102">
        <v>12.2</v>
      </c>
      <c r="U14" s="102">
        <v>12.2</v>
      </c>
      <c r="V14" s="102">
        <v>12.2</v>
      </c>
      <c r="W14" s="102">
        <v>12.2</v>
      </c>
      <c r="X14" s="102">
        <v>12.2</v>
      </c>
      <c r="Y14" s="102">
        <v>12.2</v>
      </c>
      <c r="Z14" s="102">
        <v>12.2</v>
      </c>
      <c r="AA14" s="102">
        <v>12.2</v>
      </c>
      <c r="AB14" s="102">
        <v>12.2</v>
      </c>
      <c r="AC14" s="102">
        <v>12.2</v>
      </c>
      <c r="AD14" s="102">
        <v>12.2</v>
      </c>
      <c r="AE14" s="102">
        <v>12.2</v>
      </c>
      <c r="AF14" s="102">
        <v>12.2</v>
      </c>
      <c r="AG14" s="140">
        <v>52.4</v>
      </c>
      <c r="AH14" s="12">
        <f t="shared" si="2"/>
        <v>12.2</v>
      </c>
      <c r="AI14" s="11">
        <f t="shared" si="3"/>
        <v>12.2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.75" thickTop="1" x14ac:dyDescent="0.25">
      <c r="A15" s="89" t="s">
        <v>260</v>
      </c>
      <c r="B15" s="102">
        <v>31.9</v>
      </c>
      <c r="C15" s="102">
        <v>31.9</v>
      </c>
      <c r="D15" s="102">
        <v>31.9</v>
      </c>
      <c r="E15" s="102">
        <v>31.9</v>
      </c>
      <c r="F15" s="102">
        <v>31.9</v>
      </c>
      <c r="G15" s="102">
        <v>31.9</v>
      </c>
      <c r="H15" s="102">
        <v>31.9</v>
      </c>
      <c r="I15" s="102">
        <v>31.9</v>
      </c>
      <c r="J15" s="102">
        <v>31.9</v>
      </c>
      <c r="K15" s="102">
        <v>31.9</v>
      </c>
      <c r="L15" s="102">
        <v>31.9</v>
      </c>
      <c r="M15" s="102">
        <v>31.9</v>
      </c>
      <c r="N15" s="102">
        <v>31.9</v>
      </c>
      <c r="O15" s="102">
        <v>31.9</v>
      </c>
      <c r="P15" s="102">
        <v>31.9</v>
      </c>
      <c r="Q15" s="102">
        <v>31.9</v>
      </c>
      <c r="R15" s="102">
        <v>31.9</v>
      </c>
      <c r="S15" s="102">
        <v>31.9</v>
      </c>
      <c r="T15" s="102">
        <v>31.9</v>
      </c>
      <c r="U15" s="102">
        <v>31.9</v>
      </c>
      <c r="V15" s="102">
        <v>31.9</v>
      </c>
      <c r="W15" s="102">
        <v>31.9</v>
      </c>
      <c r="X15" s="102">
        <v>31.9</v>
      </c>
      <c r="Y15" s="102">
        <v>31.9</v>
      </c>
      <c r="Z15" s="102">
        <v>31.9</v>
      </c>
      <c r="AA15" s="102">
        <v>31.9</v>
      </c>
      <c r="AB15" s="102">
        <v>31.9</v>
      </c>
      <c r="AC15" s="102">
        <v>31.9</v>
      </c>
      <c r="AD15" s="102">
        <v>31.9</v>
      </c>
      <c r="AE15" s="102">
        <v>31.4</v>
      </c>
      <c r="AF15" s="102">
        <v>33.700000000000003</v>
      </c>
      <c r="AG15" s="130">
        <v>50</v>
      </c>
      <c r="AH15" s="12">
        <f t="shared" si="2"/>
        <v>33.700000000000003</v>
      </c>
      <c r="AI15" s="11">
        <f t="shared" si="3"/>
        <v>31.4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25">
      <c r="A16" s="89" t="s">
        <v>258</v>
      </c>
      <c r="B16" s="102">
        <v>15</v>
      </c>
      <c r="C16" s="102">
        <v>15</v>
      </c>
      <c r="D16" s="102">
        <v>15</v>
      </c>
      <c r="E16" s="102">
        <v>15</v>
      </c>
      <c r="F16" s="102">
        <v>15</v>
      </c>
      <c r="G16" s="102">
        <v>15</v>
      </c>
      <c r="H16" s="102">
        <v>15</v>
      </c>
      <c r="I16" s="102">
        <v>15</v>
      </c>
      <c r="J16" s="102">
        <v>15</v>
      </c>
      <c r="K16" s="102">
        <v>15</v>
      </c>
      <c r="L16" s="102">
        <v>15</v>
      </c>
      <c r="M16" s="102">
        <v>15</v>
      </c>
      <c r="N16" s="102">
        <v>15</v>
      </c>
      <c r="O16" s="102">
        <v>15</v>
      </c>
      <c r="P16" s="102">
        <v>15</v>
      </c>
      <c r="Q16" s="102">
        <v>15</v>
      </c>
      <c r="R16" s="102">
        <v>15</v>
      </c>
      <c r="S16" s="102">
        <v>15</v>
      </c>
      <c r="T16" s="102">
        <v>15</v>
      </c>
      <c r="U16" s="102">
        <v>15</v>
      </c>
      <c r="V16" s="102">
        <v>15</v>
      </c>
      <c r="W16" s="102">
        <v>15</v>
      </c>
      <c r="X16" s="102">
        <v>15</v>
      </c>
      <c r="Y16" s="102">
        <v>15</v>
      </c>
      <c r="Z16" s="102">
        <v>15</v>
      </c>
      <c r="AA16" s="102">
        <v>15</v>
      </c>
      <c r="AB16" s="102">
        <v>15</v>
      </c>
      <c r="AC16" s="102">
        <v>15</v>
      </c>
      <c r="AD16" s="102">
        <v>15</v>
      </c>
      <c r="AE16" s="102">
        <v>15.1</v>
      </c>
      <c r="AF16" s="102">
        <v>15.1</v>
      </c>
      <c r="AG16" s="130">
        <v>45</v>
      </c>
      <c r="AH16" s="12">
        <f t="shared" si="2"/>
        <v>15.1</v>
      </c>
      <c r="AI16" s="11">
        <f t="shared" si="3"/>
        <v>15</v>
      </c>
      <c r="AK16" s="19"/>
      <c r="AL16" s="135" t="s">
        <v>7</v>
      </c>
      <c r="AM16" s="134">
        <f t="shared" ref="AM16:AR16" si="4">B58</f>
        <v>463.59999999999997</v>
      </c>
      <c r="AN16" s="134">
        <f t="shared" si="4"/>
        <v>463.59999999999997</v>
      </c>
      <c r="AO16" s="134">
        <f t="shared" si="4"/>
        <v>463.59999999999997</v>
      </c>
      <c r="AP16" s="134">
        <f t="shared" si="4"/>
        <v>472.7</v>
      </c>
      <c r="AQ16" s="134">
        <f t="shared" si="4"/>
        <v>475.09999999999997</v>
      </c>
      <c r="AR16" s="134">
        <f t="shared" si="4"/>
        <v>473</v>
      </c>
      <c r="AS16" s="134">
        <f>I58</f>
        <v>472.2</v>
      </c>
      <c r="AT16" s="134">
        <f>K58</f>
        <v>470.09999999999997</v>
      </c>
      <c r="AU16" s="134">
        <f t="shared" ref="AU16:BD16" si="5">M58</f>
        <v>470.09999999999997</v>
      </c>
      <c r="AV16" s="134">
        <f t="shared" si="5"/>
        <v>470.09999999999997</v>
      </c>
      <c r="AW16" s="134">
        <f t="shared" si="5"/>
        <v>470.09999999999997</v>
      </c>
      <c r="AX16" s="134">
        <f t="shared" si="5"/>
        <v>470.09999999999997</v>
      </c>
      <c r="AY16" s="134">
        <f t="shared" si="5"/>
        <v>467.5</v>
      </c>
      <c r="AZ16" s="134">
        <f t="shared" si="5"/>
        <v>468.4</v>
      </c>
      <c r="BA16" s="134">
        <f t="shared" si="5"/>
        <v>468.4</v>
      </c>
      <c r="BB16" s="134">
        <f t="shared" si="5"/>
        <v>468.4</v>
      </c>
      <c r="BC16" s="134">
        <f t="shared" si="5"/>
        <v>468.4</v>
      </c>
      <c r="BD16" s="134">
        <f t="shared" si="5"/>
        <v>468.4</v>
      </c>
      <c r="BE16" s="133">
        <f>X58</f>
        <v>468.4</v>
      </c>
      <c r="BF16" s="133">
        <f>Z58</f>
        <v>468.4</v>
      </c>
      <c r="BG16" s="133">
        <f>AB58</f>
        <v>468.7</v>
      </c>
      <c r="BH16" s="133">
        <f>AD58</f>
        <v>468.7</v>
      </c>
      <c r="BI16" s="133">
        <f>AE58</f>
        <v>480.09999999999997</v>
      </c>
      <c r="BJ16" s="133">
        <f>AF58</f>
        <v>483.79999999999995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25">
      <c r="A17" s="89" t="s">
        <v>257</v>
      </c>
      <c r="B17" s="102">
        <v>12</v>
      </c>
      <c r="C17" s="102">
        <v>12</v>
      </c>
      <c r="D17" s="102">
        <v>12</v>
      </c>
      <c r="E17" s="102">
        <v>12</v>
      </c>
      <c r="F17" s="102">
        <v>12</v>
      </c>
      <c r="G17" s="102">
        <v>12</v>
      </c>
      <c r="H17" s="102">
        <v>12</v>
      </c>
      <c r="I17" s="102">
        <v>12</v>
      </c>
      <c r="J17" s="102">
        <v>12</v>
      </c>
      <c r="K17" s="102">
        <v>12</v>
      </c>
      <c r="L17" s="102">
        <v>12</v>
      </c>
      <c r="M17" s="102">
        <v>12</v>
      </c>
      <c r="N17" s="102">
        <v>12</v>
      </c>
      <c r="O17" s="102">
        <v>12</v>
      </c>
      <c r="P17" s="102">
        <v>12</v>
      </c>
      <c r="Q17" s="102">
        <v>12</v>
      </c>
      <c r="R17" s="102">
        <v>12</v>
      </c>
      <c r="S17" s="102">
        <v>12</v>
      </c>
      <c r="T17" s="102">
        <v>12</v>
      </c>
      <c r="U17" s="102">
        <v>12</v>
      </c>
      <c r="V17" s="102">
        <v>12</v>
      </c>
      <c r="W17" s="102">
        <v>12</v>
      </c>
      <c r="X17" s="102">
        <v>12</v>
      </c>
      <c r="Y17" s="102">
        <v>12</v>
      </c>
      <c r="Z17" s="102">
        <v>12</v>
      </c>
      <c r="AA17" s="102">
        <v>12</v>
      </c>
      <c r="AB17" s="102">
        <v>12</v>
      </c>
      <c r="AC17" s="102">
        <v>12</v>
      </c>
      <c r="AD17" s="102">
        <v>12</v>
      </c>
      <c r="AE17" s="102">
        <v>12</v>
      </c>
      <c r="AF17" s="102">
        <v>12</v>
      </c>
      <c r="AG17" s="130">
        <v>44</v>
      </c>
      <c r="AH17" s="12">
        <f>MAX(B17:AG17)</f>
        <v>44</v>
      </c>
      <c r="AI17" s="11">
        <f>MIN(B17:AG17)</f>
        <v>12</v>
      </c>
      <c r="AK17" s="19"/>
      <c r="AL17" s="135" t="s">
        <v>256</v>
      </c>
      <c r="AM17" s="134">
        <f t="shared" ref="AM17:AR17" si="6">B62</f>
        <v>110</v>
      </c>
      <c r="AN17" s="134">
        <f t="shared" si="6"/>
        <v>104</v>
      </c>
      <c r="AO17" s="134">
        <f t="shared" si="6"/>
        <v>104</v>
      </c>
      <c r="AP17" s="134">
        <f t="shared" si="6"/>
        <v>133</v>
      </c>
      <c r="AQ17" s="134">
        <f t="shared" si="6"/>
        <v>126.7</v>
      </c>
      <c r="AR17" s="134">
        <f t="shared" si="6"/>
        <v>128.69999999999999</v>
      </c>
      <c r="AS17" s="134">
        <f>I62</f>
        <v>180.6</v>
      </c>
      <c r="AT17" s="134">
        <f>K62</f>
        <v>47.9</v>
      </c>
      <c r="AU17" s="134">
        <f t="shared" ref="AU17:BD17" si="7">M62</f>
        <v>43.3</v>
      </c>
      <c r="AV17" s="134">
        <f t="shared" si="7"/>
        <v>41.7</v>
      </c>
      <c r="AW17" s="134">
        <f t="shared" si="7"/>
        <v>40.1</v>
      </c>
      <c r="AX17" s="134">
        <f t="shared" si="7"/>
        <v>40.1</v>
      </c>
      <c r="AY17" s="134">
        <f t="shared" si="7"/>
        <v>38.700000000000003</v>
      </c>
      <c r="AZ17" s="134">
        <f t="shared" si="7"/>
        <v>38.799999999999997</v>
      </c>
      <c r="BA17" s="134">
        <f t="shared" si="7"/>
        <v>38.799999999999997</v>
      </c>
      <c r="BB17" s="134">
        <f t="shared" si="7"/>
        <v>38.799999999999997</v>
      </c>
      <c r="BC17" s="134">
        <f t="shared" si="7"/>
        <v>38.799999999999997</v>
      </c>
      <c r="BD17" s="134">
        <f t="shared" si="7"/>
        <v>38.799999999999997</v>
      </c>
      <c r="BE17" s="133">
        <f>X62</f>
        <v>38.799999999999997</v>
      </c>
      <c r="BF17" s="133">
        <f>Z62</f>
        <v>502.4</v>
      </c>
      <c r="BG17" s="133">
        <f>AB62</f>
        <v>423.59999999999997</v>
      </c>
      <c r="BH17" s="133">
        <f>AD62</f>
        <v>242.3</v>
      </c>
      <c r="BI17" s="133">
        <f>AE62</f>
        <v>196.79999999999998</v>
      </c>
      <c r="BJ17" s="133">
        <f>AF62</f>
        <v>137.4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25">
      <c r="A18" s="89" t="s">
        <v>255</v>
      </c>
      <c r="B18" s="102">
        <v>7.5</v>
      </c>
      <c r="C18" s="102">
        <v>7.5</v>
      </c>
      <c r="D18" s="102">
        <v>7.5</v>
      </c>
      <c r="E18" s="102">
        <v>10</v>
      </c>
      <c r="F18" s="102">
        <v>10</v>
      </c>
      <c r="G18" s="102">
        <v>10</v>
      </c>
      <c r="H18" s="102">
        <v>10</v>
      </c>
      <c r="I18" s="102">
        <v>10</v>
      </c>
      <c r="J18" s="102">
        <v>10</v>
      </c>
      <c r="K18" s="102">
        <v>10</v>
      </c>
      <c r="L18" s="102">
        <v>10</v>
      </c>
      <c r="M18" s="102">
        <v>10</v>
      </c>
      <c r="N18" s="102">
        <v>10</v>
      </c>
      <c r="O18" s="102">
        <v>10</v>
      </c>
      <c r="P18" s="102">
        <v>10</v>
      </c>
      <c r="Q18" s="102">
        <v>10</v>
      </c>
      <c r="R18" s="102">
        <v>10</v>
      </c>
      <c r="S18" s="102">
        <v>10</v>
      </c>
      <c r="T18" s="102">
        <v>10</v>
      </c>
      <c r="U18" s="102">
        <v>10</v>
      </c>
      <c r="V18" s="102">
        <v>10</v>
      </c>
      <c r="W18" s="102">
        <v>10</v>
      </c>
      <c r="X18" s="102">
        <v>10</v>
      </c>
      <c r="Y18" s="102">
        <v>10</v>
      </c>
      <c r="Z18" s="102">
        <v>10</v>
      </c>
      <c r="AA18" s="102">
        <v>10</v>
      </c>
      <c r="AB18" s="102">
        <v>10</v>
      </c>
      <c r="AC18" s="102">
        <v>10</v>
      </c>
      <c r="AD18" s="102">
        <v>10</v>
      </c>
      <c r="AE18" s="102">
        <v>10.5</v>
      </c>
      <c r="AF18" s="102">
        <v>10.5</v>
      </c>
      <c r="AG18" s="130">
        <v>42</v>
      </c>
      <c r="AH18" s="12">
        <f t="shared" ref="AH18:AH49" si="8">MAX(B18:AF18)</f>
        <v>10.5</v>
      </c>
      <c r="AI18" s="11">
        <f t="shared" ref="AI18:AI49" si="9">MIN(B18:AF18)</f>
        <v>7.5</v>
      </c>
      <c r="AK18" s="19"/>
      <c r="AL18" s="135" t="s">
        <v>254</v>
      </c>
      <c r="AM18" s="134">
        <f t="shared" ref="AM18:AR18" si="10">B76</f>
        <v>251.64</v>
      </c>
      <c r="AN18" s="134">
        <f t="shared" si="10"/>
        <v>205.64</v>
      </c>
      <c r="AO18" s="134">
        <f t="shared" si="10"/>
        <v>205.64</v>
      </c>
      <c r="AP18" s="134">
        <f t="shared" si="10"/>
        <v>166.33999999999997</v>
      </c>
      <c r="AQ18" s="134">
        <f t="shared" si="10"/>
        <v>165.14</v>
      </c>
      <c r="AR18" s="134">
        <f t="shared" si="10"/>
        <v>165.23999999999998</v>
      </c>
      <c r="AS18" s="134">
        <f>I76</f>
        <v>173.83999999999995</v>
      </c>
      <c r="AT18" s="134">
        <f>K76</f>
        <v>158.63999999999999</v>
      </c>
      <c r="AU18" s="134">
        <f t="shared" ref="AU18:BD18" si="11">M76</f>
        <v>203.63999999999996</v>
      </c>
      <c r="AV18" s="134">
        <f t="shared" si="11"/>
        <v>232.54</v>
      </c>
      <c r="AW18" s="134">
        <f t="shared" si="11"/>
        <v>240.93999999999997</v>
      </c>
      <c r="AX18" s="134">
        <f t="shared" si="11"/>
        <v>244.83999999999997</v>
      </c>
      <c r="AY18" s="134">
        <f t="shared" si="11"/>
        <v>238.73999999999995</v>
      </c>
      <c r="AZ18" s="134">
        <f t="shared" si="11"/>
        <v>241.34</v>
      </c>
      <c r="BA18" s="134">
        <f t="shared" si="11"/>
        <v>248.14000000000001</v>
      </c>
      <c r="BB18" s="134">
        <f t="shared" si="11"/>
        <v>248.14000000000001</v>
      </c>
      <c r="BC18" s="134">
        <f t="shared" si="11"/>
        <v>191.24</v>
      </c>
      <c r="BD18" s="134">
        <f t="shared" si="11"/>
        <v>186.84</v>
      </c>
      <c r="BE18" s="133">
        <f>X76</f>
        <v>172.14</v>
      </c>
      <c r="BF18" s="133">
        <f>Z76</f>
        <v>383.00000000000006</v>
      </c>
      <c r="BG18" s="133">
        <f>AB76</f>
        <v>376.94000000000005</v>
      </c>
      <c r="BH18" s="133">
        <f>AD76</f>
        <v>355.74</v>
      </c>
      <c r="BI18" s="133">
        <f>AE76</f>
        <v>297.33999999999997</v>
      </c>
      <c r="BJ18" s="133">
        <f>AF76</f>
        <v>227.53999999999996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25">
      <c r="A19" s="89" t="s">
        <v>253</v>
      </c>
      <c r="B19" s="102">
        <v>13</v>
      </c>
      <c r="C19" s="102">
        <v>13</v>
      </c>
      <c r="D19" s="102">
        <v>13</v>
      </c>
      <c r="E19" s="102">
        <v>13</v>
      </c>
      <c r="F19" s="102">
        <v>13</v>
      </c>
      <c r="G19" s="102">
        <v>13</v>
      </c>
      <c r="H19" s="102">
        <v>13</v>
      </c>
      <c r="I19" s="102">
        <v>13</v>
      </c>
      <c r="J19" s="102">
        <v>13</v>
      </c>
      <c r="K19" s="102">
        <v>13</v>
      </c>
      <c r="L19" s="102">
        <v>13</v>
      </c>
      <c r="M19" s="102">
        <v>13</v>
      </c>
      <c r="N19" s="102">
        <v>13</v>
      </c>
      <c r="O19" s="102">
        <v>13</v>
      </c>
      <c r="P19" s="102">
        <v>13</v>
      </c>
      <c r="Q19" s="102">
        <v>13</v>
      </c>
      <c r="R19" s="102">
        <v>13</v>
      </c>
      <c r="S19" s="102">
        <v>13</v>
      </c>
      <c r="T19" s="102">
        <v>13</v>
      </c>
      <c r="U19" s="102">
        <v>13</v>
      </c>
      <c r="V19" s="102">
        <v>13</v>
      </c>
      <c r="W19" s="102">
        <v>13</v>
      </c>
      <c r="X19" s="102">
        <v>13</v>
      </c>
      <c r="Y19" s="102">
        <v>13</v>
      </c>
      <c r="Z19" s="102">
        <v>13</v>
      </c>
      <c r="AA19" s="102">
        <v>13</v>
      </c>
      <c r="AB19" s="102">
        <v>13</v>
      </c>
      <c r="AC19" s="102">
        <v>13</v>
      </c>
      <c r="AD19" s="102">
        <v>13</v>
      </c>
      <c r="AE19" s="102">
        <v>13</v>
      </c>
      <c r="AF19" s="102">
        <v>14.6</v>
      </c>
      <c r="AG19" s="130">
        <v>38.46</v>
      </c>
      <c r="AH19" s="12">
        <f t="shared" si="8"/>
        <v>14.6</v>
      </c>
      <c r="AI19" s="11">
        <f t="shared" si="9"/>
        <v>13</v>
      </c>
      <c r="AK19" s="19"/>
      <c r="AL19" s="135" t="s">
        <v>252</v>
      </c>
      <c r="AM19" s="134">
        <f t="shared" ref="AM19:AR19" si="12">B92</f>
        <v>152.89999999999998</v>
      </c>
      <c r="AN19" s="134">
        <f t="shared" si="12"/>
        <v>188.2</v>
      </c>
      <c r="AO19" s="134">
        <f t="shared" si="12"/>
        <v>159.69999999999999</v>
      </c>
      <c r="AP19" s="134">
        <f t="shared" si="12"/>
        <v>208.40000000000003</v>
      </c>
      <c r="AQ19" s="134">
        <f t="shared" si="12"/>
        <v>209.59999999999997</v>
      </c>
      <c r="AR19" s="134">
        <f t="shared" si="12"/>
        <v>253.3</v>
      </c>
      <c r="AS19" s="134">
        <f>I92</f>
        <v>280.60000000000002</v>
      </c>
      <c r="AT19" s="134">
        <f>K92</f>
        <v>706</v>
      </c>
      <c r="AU19" s="134">
        <f t="shared" ref="AU19:BD19" si="13">M92</f>
        <v>750.3</v>
      </c>
      <c r="AV19" s="134">
        <f t="shared" si="13"/>
        <v>784.8</v>
      </c>
      <c r="AW19" s="134">
        <f t="shared" si="13"/>
        <v>813.09999999999991</v>
      </c>
      <c r="AX19" s="134">
        <f t="shared" si="13"/>
        <v>786.69999999999993</v>
      </c>
      <c r="AY19" s="134">
        <f t="shared" si="13"/>
        <v>839.40000000000009</v>
      </c>
      <c r="AZ19" s="134">
        <f t="shared" si="13"/>
        <v>833.56999999999994</v>
      </c>
      <c r="BA19" s="134">
        <f t="shared" si="13"/>
        <v>809.3</v>
      </c>
      <c r="BB19" s="134">
        <f t="shared" si="13"/>
        <v>860.4</v>
      </c>
      <c r="BC19" s="134">
        <f t="shared" si="13"/>
        <v>884.19999999999993</v>
      </c>
      <c r="BD19" s="134">
        <f t="shared" si="13"/>
        <v>832.6</v>
      </c>
      <c r="BE19" s="133">
        <f>X92</f>
        <v>727.5</v>
      </c>
      <c r="BF19" s="133">
        <f>Z92</f>
        <v>169.7</v>
      </c>
      <c r="BG19" s="133">
        <f>AB92</f>
        <v>159.80000000000001</v>
      </c>
      <c r="BH19" s="133">
        <f>AD92</f>
        <v>283.5</v>
      </c>
      <c r="BI19" s="133">
        <f>AE92</f>
        <v>280.89999999999998</v>
      </c>
      <c r="BJ19" s="133">
        <f>AF92</f>
        <v>303.8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25">
      <c r="A20" s="89" t="s">
        <v>251</v>
      </c>
      <c r="B20" s="102">
        <v>11.8</v>
      </c>
      <c r="C20" s="102">
        <v>11.8</v>
      </c>
      <c r="D20" s="102">
        <v>11.8</v>
      </c>
      <c r="E20" s="102">
        <v>11.8</v>
      </c>
      <c r="F20" s="102">
        <v>11.8</v>
      </c>
      <c r="G20" s="102">
        <v>11.8</v>
      </c>
      <c r="H20" s="102">
        <v>11.8</v>
      </c>
      <c r="I20" s="102">
        <v>11.8</v>
      </c>
      <c r="J20" s="102">
        <v>11.8</v>
      </c>
      <c r="K20" s="102">
        <v>11.8</v>
      </c>
      <c r="L20" s="102">
        <v>11.8</v>
      </c>
      <c r="M20" s="102">
        <v>11.8</v>
      </c>
      <c r="N20" s="102">
        <v>11.8</v>
      </c>
      <c r="O20" s="102">
        <v>11.8</v>
      </c>
      <c r="P20" s="102">
        <v>11.8</v>
      </c>
      <c r="Q20" s="102">
        <v>11.8</v>
      </c>
      <c r="R20" s="102">
        <v>11.8</v>
      </c>
      <c r="S20" s="102">
        <v>11.8</v>
      </c>
      <c r="T20" s="102">
        <v>11.8</v>
      </c>
      <c r="U20" s="102">
        <v>11.8</v>
      </c>
      <c r="V20" s="102">
        <v>11.8</v>
      </c>
      <c r="W20" s="102">
        <v>11.8</v>
      </c>
      <c r="X20" s="102">
        <v>11.8</v>
      </c>
      <c r="Y20" s="102">
        <v>11.8</v>
      </c>
      <c r="Z20" s="102">
        <v>11.8</v>
      </c>
      <c r="AA20" s="102">
        <v>11.8</v>
      </c>
      <c r="AB20" s="102">
        <v>11.8</v>
      </c>
      <c r="AC20" s="102">
        <v>11.8</v>
      </c>
      <c r="AD20" s="102">
        <v>11.8</v>
      </c>
      <c r="AE20" s="102">
        <v>11.8</v>
      </c>
      <c r="AF20" s="102">
        <v>11.8</v>
      </c>
      <c r="AG20" s="130">
        <v>38.46</v>
      </c>
      <c r="AH20" s="12">
        <f t="shared" si="8"/>
        <v>11.8</v>
      </c>
      <c r="AI20" s="11">
        <f t="shared" si="9"/>
        <v>11.8</v>
      </c>
      <c r="AK20" s="19"/>
      <c r="AL20" s="135" t="s">
        <v>250</v>
      </c>
      <c r="AM20" s="134">
        <f t="shared" ref="AM20:AR20" si="14">B80</f>
        <v>97.8</v>
      </c>
      <c r="AN20" s="134">
        <f t="shared" si="14"/>
        <v>97.8</v>
      </c>
      <c r="AO20" s="134">
        <f t="shared" si="14"/>
        <v>97.8</v>
      </c>
      <c r="AP20" s="134">
        <f t="shared" si="14"/>
        <v>97.1</v>
      </c>
      <c r="AQ20" s="134">
        <f t="shared" si="14"/>
        <v>97</v>
      </c>
      <c r="AR20" s="134">
        <f t="shared" si="14"/>
        <v>97.199999999999989</v>
      </c>
      <c r="AS20" s="134">
        <f>I80</f>
        <v>97.199999999999989</v>
      </c>
      <c r="AT20" s="134">
        <f>K80</f>
        <v>17.2</v>
      </c>
      <c r="AU20" s="134">
        <f t="shared" ref="AU20:BD20" si="15">M80</f>
        <v>47.1</v>
      </c>
      <c r="AV20" s="134">
        <f t="shared" si="15"/>
        <v>47.8</v>
      </c>
      <c r="AW20" s="134">
        <f t="shared" si="15"/>
        <v>47.4</v>
      </c>
      <c r="AX20" s="134">
        <f t="shared" si="15"/>
        <v>49.9</v>
      </c>
      <c r="AY20" s="134">
        <f t="shared" si="15"/>
        <v>48.800000000000004</v>
      </c>
      <c r="AZ20" s="134">
        <f t="shared" si="15"/>
        <v>48.800000000000004</v>
      </c>
      <c r="BA20" s="134">
        <f t="shared" si="15"/>
        <v>40.900000000000006</v>
      </c>
      <c r="BB20" s="134">
        <f t="shared" si="15"/>
        <v>40.900000000000006</v>
      </c>
      <c r="BC20" s="134">
        <f t="shared" si="15"/>
        <v>76.3</v>
      </c>
      <c r="BD20" s="134">
        <f t="shared" si="15"/>
        <v>76.3</v>
      </c>
      <c r="BE20" s="133">
        <f>X80</f>
        <v>54.4</v>
      </c>
      <c r="BF20" s="133">
        <f>Z80</f>
        <v>96.4</v>
      </c>
      <c r="BG20" s="133">
        <f>AB80</f>
        <v>96.8</v>
      </c>
      <c r="BH20" s="133">
        <f>AD80</f>
        <v>97.3</v>
      </c>
      <c r="BI20" s="133">
        <f>AE80</f>
        <v>97.899999999999991</v>
      </c>
      <c r="BJ20" s="133">
        <f>AF80</f>
        <v>97.6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25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>
        <v>11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>
        <v>11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11</v>
      </c>
      <c r="AG21" s="130">
        <v>36</v>
      </c>
      <c r="AH21" s="12">
        <f t="shared" si="8"/>
        <v>11</v>
      </c>
      <c r="AI21" s="11">
        <f t="shared" si="9"/>
        <v>11</v>
      </c>
      <c r="AK21" s="19"/>
      <c r="AL21" s="135" t="s">
        <v>248</v>
      </c>
      <c r="AM21" s="134">
        <f t="shared" ref="AM21:AR21" si="16">B98</f>
        <v>150</v>
      </c>
      <c r="AN21" s="134">
        <f t="shared" si="16"/>
        <v>150</v>
      </c>
      <c r="AO21" s="134">
        <f t="shared" si="16"/>
        <v>151</v>
      </c>
      <c r="AP21" s="134">
        <f t="shared" si="16"/>
        <v>150</v>
      </c>
      <c r="AQ21" s="134">
        <f t="shared" si="16"/>
        <v>150</v>
      </c>
      <c r="AR21" s="134">
        <f t="shared" si="16"/>
        <v>150</v>
      </c>
      <c r="AS21" s="134">
        <f>I98</f>
        <v>150</v>
      </c>
      <c r="AT21" s="134">
        <f>K98</f>
        <v>40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250</v>
      </c>
      <c r="BG21" s="133">
        <f>AB98</f>
        <v>250</v>
      </c>
      <c r="BH21" s="133">
        <f>AD98</f>
        <v>200</v>
      </c>
      <c r="BI21" s="133">
        <f>AE98</f>
        <v>200</v>
      </c>
      <c r="BJ21" s="133">
        <f>AF98</f>
        <v>200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25">
      <c r="A22" s="89" t="s">
        <v>247</v>
      </c>
      <c r="B22" s="102">
        <v>6.7</v>
      </c>
      <c r="C22" s="102">
        <v>6.7</v>
      </c>
      <c r="D22" s="102">
        <v>6.7</v>
      </c>
      <c r="E22" s="102">
        <v>6.7</v>
      </c>
      <c r="F22" s="102">
        <v>6.7</v>
      </c>
      <c r="G22" s="102">
        <v>6.7</v>
      </c>
      <c r="H22" s="102">
        <v>6.7</v>
      </c>
      <c r="I22" s="102">
        <v>6.7</v>
      </c>
      <c r="J22" s="102">
        <v>6.7</v>
      </c>
      <c r="K22" s="102">
        <v>6.7</v>
      </c>
      <c r="L22" s="102">
        <v>6.7</v>
      </c>
      <c r="M22" s="102">
        <v>6.7</v>
      </c>
      <c r="N22" s="102">
        <v>6.7</v>
      </c>
      <c r="O22" s="102">
        <v>6.7</v>
      </c>
      <c r="P22" s="102">
        <v>6.7</v>
      </c>
      <c r="Q22" s="102">
        <v>6.7</v>
      </c>
      <c r="R22" s="102">
        <v>6.7</v>
      </c>
      <c r="S22" s="102">
        <v>6.7</v>
      </c>
      <c r="T22" s="102">
        <v>6.7</v>
      </c>
      <c r="U22" s="102">
        <v>6.7</v>
      </c>
      <c r="V22" s="102">
        <v>6.7</v>
      </c>
      <c r="W22" s="102">
        <v>6.7</v>
      </c>
      <c r="X22" s="102">
        <v>6.7</v>
      </c>
      <c r="Y22" s="102">
        <v>6.7</v>
      </c>
      <c r="Z22" s="102">
        <v>6.7</v>
      </c>
      <c r="AA22" s="102">
        <v>6.7</v>
      </c>
      <c r="AB22" s="102">
        <v>6.7</v>
      </c>
      <c r="AC22" s="102">
        <v>6.7</v>
      </c>
      <c r="AD22" s="102">
        <v>6.7</v>
      </c>
      <c r="AE22" s="102">
        <v>9.4</v>
      </c>
      <c r="AF22" s="102">
        <v>9.4</v>
      </c>
      <c r="AG22" s="88">
        <v>30</v>
      </c>
      <c r="AH22" s="12">
        <f t="shared" si="8"/>
        <v>9.4</v>
      </c>
      <c r="AI22" s="11">
        <f t="shared" si="9"/>
        <v>6.7</v>
      </c>
      <c r="AK22" s="19"/>
      <c r="AL22" s="132" t="s">
        <v>246</v>
      </c>
      <c r="AM22" s="131">
        <f t="shared" ref="AM22:BJ22" si="18">SUM(AM16:AM21)</f>
        <v>1225.9399999999998</v>
      </c>
      <c r="AN22" s="131">
        <f t="shared" si="18"/>
        <v>1209.2399999999998</v>
      </c>
      <c r="AO22" s="131">
        <f t="shared" si="18"/>
        <v>1181.7399999999998</v>
      </c>
      <c r="AP22" s="131">
        <f t="shared" si="18"/>
        <v>1227.54</v>
      </c>
      <c r="AQ22" s="131">
        <f t="shared" si="18"/>
        <v>1223.54</v>
      </c>
      <c r="AR22" s="131">
        <f t="shared" si="18"/>
        <v>1267.44</v>
      </c>
      <c r="AS22" s="131">
        <f t="shared" si="18"/>
        <v>1354.4399999999998</v>
      </c>
      <c r="AT22" s="131">
        <f t="shared" si="18"/>
        <v>1439.84</v>
      </c>
      <c r="AU22" s="131">
        <f t="shared" si="18"/>
        <v>1514.4399999999998</v>
      </c>
      <c r="AV22" s="131">
        <f t="shared" si="18"/>
        <v>1576.9399999999998</v>
      </c>
      <c r="AW22" s="131">
        <f t="shared" si="18"/>
        <v>1611.6399999999999</v>
      </c>
      <c r="AX22" s="131">
        <f t="shared" si="18"/>
        <v>1591.6399999999999</v>
      </c>
      <c r="AY22" s="131">
        <f t="shared" si="18"/>
        <v>1633.14</v>
      </c>
      <c r="AZ22" s="131">
        <f t="shared" si="18"/>
        <v>1630.9099999999999</v>
      </c>
      <c r="BA22" s="131">
        <f t="shared" si="18"/>
        <v>1605.54</v>
      </c>
      <c r="BB22" s="131">
        <f t="shared" si="18"/>
        <v>1656.64</v>
      </c>
      <c r="BC22" s="131">
        <f t="shared" si="18"/>
        <v>1658.9399999999998</v>
      </c>
      <c r="BD22" s="131">
        <f t="shared" si="18"/>
        <v>1602.9399999999998</v>
      </c>
      <c r="BE22" s="131">
        <f t="shared" si="18"/>
        <v>1461.24</v>
      </c>
      <c r="BF22" s="131">
        <f t="shared" si="18"/>
        <v>1869.9</v>
      </c>
      <c r="BG22" s="131">
        <f t="shared" si="18"/>
        <v>1775.84</v>
      </c>
      <c r="BH22" s="131">
        <f t="shared" si="18"/>
        <v>1647.54</v>
      </c>
      <c r="BI22" s="131">
        <f t="shared" si="18"/>
        <v>1553.04</v>
      </c>
      <c r="BJ22" s="131">
        <f t="shared" si="18"/>
        <v>1450.1399999999999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25">
      <c r="A23" s="89" t="s">
        <v>245</v>
      </c>
      <c r="B23" s="102">
        <v>4.5</v>
      </c>
      <c r="C23" s="102">
        <v>4.5</v>
      </c>
      <c r="D23" s="102">
        <v>4.5</v>
      </c>
      <c r="E23" s="102">
        <v>4.5</v>
      </c>
      <c r="F23" s="102">
        <v>4.5</v>
      </c>
      <c r="G23" s="102">
        <v>4.5</v>
      </c>
      <c r="H23" s="102">
        <v>4.5</v>
      </c>
      <c r="I23" s="102">
        <v>4.5</v>
      </c>
      <c r="J23" s="102">
        <v>4.5</v>
      </c>
      <c r="K23" s="102">
        <v>4.5</v>
      </c>
      <c r="L23" s="102">
        <v>4.5</v>
      </c>
      <c r="M23" s="102">
        <v>4.5</v>
      </c>
      <c r="N23" s="102">
        <v>4.5</v>
      </c>
      <c r="O23" s="102">
        <v>4.5</v>
      </c>
      <c r="P23" s="102">
        <v>4.5</v>
      </c>
      <c r="Q23" s="102">
        <v>4.5</v>
      </c>
      <c r="R23" s="102">
        <v>4.5</v>
      </c>
      <c r="S23" s="102">
        <v>4.5</v>
      </c>
      <c r="T23" s="102">
        <v>4.5</v>
      </c>
      <c r="U23" s="102">
        <v>4.5</v>
      </c>
      <c r="V23" s="102">
        <v>4.5</v>
      </c>
      <c r="W23" s="102">
        <v>4.5</v>
      </c>
      <c r="X23" s="102">
        <v>4.5</v>
      </c>
      <c r="Y23" s="102">
        <v>4.5</v>
      </c>
      <c r="Z23" s="102">
        <v>4.5</v>
      </c>
      <c r="AA23" s="102">
        <v>4.5</v>
      </c>
      <c r="AB23" s="102">
        <v>4.5</v>
      </c>
      <c r="AC23" s="102">
        <v>4.5</v>
      </c>
      <c r="AD23" s="102">
        <v>4.5</v>
      </c>
      <c r="AE23" s="102">
        <v>4.5</v>
      </c>
      <c r="AF23" s="102">
        <v>4.5</v>
      </c>
      <c r="AG23" s="130">
        <v>24.2</v>
      </c>
      <c r="AH23" s="12">
        <f t="shared" si="8"/>
        <v>4.5</v>
      </c>
      <c r="AI23" s="11">
        <f t="shared" si="9"/>
        <v>4.5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25">
      <c r="A24" s="89" t="s">
        <v>244</v>
      </c>
      <c r="B24" s="102">
        <v>5.6</v>
      </c>
      <c r="C24" s="102">
        <v>5.6</v>
      </c>
      <c r="D24" s="102">
        <v>5.6</v>
      </c>
      <c r="E24" s="102">
        <v>5.6</v>
      </c>
      <c r="F24" s="102">
        <v>5.6</v>
      </c>
      <c r="G24" s="102">
        <v>5.6</v>
      </c>
      <c r="H24" s="102">
        <v>5.6</v>
      </c>
      <c r="I24" s="102">
        <v>5.6</v>
      </c>
      <c r="J24" s="102">
        <v>5.6</v>
      </c>
      <c r="K24" s="102">
        <v>5.6</v>
      </c>
      <c r="L24" s="102">
        <v>5.6</v>
      </c>
      <c r="M24" s="102">
        <v>5.6</v>
      </c>
      <c r="N24" s="102">
        <v>5.6</v>
      </c>
      <c r="O24" s="102">
        <v>5.6</v>
      </c>
      <c r="P24" s="102">
        <v>5.6</v>
      </c>
      <c r="Q24" s="102">
        <v>5.6</v>
      </c>
      <c r="R24" s="102">
        <v>5.6</v>
      </c>
      <c r="S24" s="102">
        <v>5.6</v>
      </c>
      <c r="T24" s="102">
        <v>5.6</v>
      </c>
      <c r="U24" s="102">
        <v>5.6</v>
      </c>
      <c r="V24" s="102">
        <v>5.6</v>
      </c>
      <c r="W24" s="102">
        <v>5.6</v>
      </c>
      <c r="X24" s="102">
        <v>5.6</v>
      </c>
      <c r="Y24" s="102">
        <v>5.6</v>
      </c>
      <c r="Z24" s="102">
        <v>5.6</v>
      </c>
      <c r="AA24" s="102">
        <v>5.6</v>
      </c>
      <c r="AB24" s="102">
        <v>5.6</v>
      </c>
      <c r="AC24" s="102">
        <v>5.6</v>
      </c>
      <c r="AD24" s="102">
        <v>5.6</v>
      </c>
      <c r="AE24" s="102">
        <v>6.7</v>
      </c>
      <c r="AF24" s="102">
        <v>6.7</v>
      </c>
      <c r="AG24" s="130">
        <v>28</v>
      </c>
      <c r="AH24" s="12">
        <f t="shared" si="8"/>
        <v>6.7</v>
      </c>
      <c r="AI24" s="11">
        <f t="shared" si="9"/>
        <v>5.6</v>
      </c>
      <c r="AK24" s="19"/>
      <c r="AL24" s="132" t="s">
        <v>243</v>
      </c>
      <c r="AM24" s="131">
        <f t="shared" ref="AM24:BJ24" si="21">AM22+AM23</f>
        <v>1225.9399999999998</v>
      </c>
      <c r="AN24" s="131">
        <f t="shared" si="21"/>
        <v>1209.2399999999998</v>
      </c>
      <c r="AO24" s="131">
        <f t="shared" si="21"/>
        <v>1181.7399999999998</v>
      </c>
      <c r="AP24" s="131">
        <f t="shared" si="21"/>
        <v>1227.54</v>
      </c>
      <c r="AQ24" s="131">
        <f t="shared" si="21"/>
        <v>1223.54</v>
      </c>
      <c r="AR24" s="131">
        <f t="shared" si="21"/>
        <v>1267.44</v>
      </c>
      <c r="AS24" s="131">
        <f t="shared" si="21"/>
        <v>1354.4399999999998</v>
      </c>
      <c r="AT24" s="131">
        <f t="shared" si="21"/>
        <v>1439.84</v>
      </c>
      <c r="AU24" s="131">
        <f t="shared" si="21"/>
        <v>1514.4399999999998</v>
      </c>
      <c r="AV24" s="131">
        <f t="shared" si="21"/>
        <v>1576.9399999999998</v>
      </c>
      <c r="AW24" s="131">
        <f t="shared" si="21"/>
        <v>1611.6399999999999</v>
      </c>
      <c r="AX24" s="131">
        <f t="shared" si="21"/>
        <v>1591.6399999999999</v>
      </c>
      <c r="AY24" s="131">
        <f t="shared" si="21"/>
        <v>1633.14</v>
      </c>
      <c r="AZ24" s="131">
        <f t="shared" si="21"/>
        <v>1630.9099999999999</v>
      </c>
      <c r="BA24" s="131">
        <f t="shared" si="21"/>
        <v>1605.54</v>
      </c>
      <c r="BB24" s="131">
        <f t="shared" si="21"/>
        <v>1656.64</v>
      </c>
      <c r="BC24" s="131">
        <f t="shared" si="21"/>
        <v>1658.9399999999998</v>
      </c>
      <c r="BD24" s="131">
        <f t="shared" si="21"/>
        <v>1602.9399999999998</v>
      </c>
      <c r="BE24" s="131">
        <f t="shared" si="21"/>
        <v>1461.24</v>
      </c>
      <c r="BF24" s="131">
        <f t="shared" si="21"/>
        <v>1869.9</v>
      </c>
      <c r="BG24" s="131">
        <f t="shared" si="21"/>
        <v>1775.84</v>
      </c>
      <c r="BH24" s="131">
        <f t="shared" si="21"/>
        <v>1647.54</v>
      </c>
      <c r="BI24" s="131">
        <f t="shared" si="21"/>
        <v>1553.04</v>
      </c>
      <c r="BJ24" s="131">
        <f t="shared" si="21"/>
        <v>1450.1399999999999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25">
      <c r="A25" s="89" t="s">
        <v>242</v>
      </c>
      <c r="B25" s="102">
        <v>5.3</v>
      </c>
      <c r="C25" s="102">
        <v>5.3</v>
      </c>
      <c r="D25" s="102">
        <v>5.3</v>
      </c>
      <c r="E25" s="102">
        <v>5.3</v>
      </c>
      <c r="F25" s="102">
        <v>5.3</v>
      </c>
      <c r="G25" s="102">
        <v>5.3</v>
      </c>
      <c r="H25" s="102">
        <v>5.3</v>
      </c>
      <c r="I25" s="102">
        <v>5.3</v>
      </c>
      <c r="J25" s="102">
        <v>5.3</v>
      </c>
      <c r="K25" s="102">
        <v>5.3</v>
      </c>
      <c r="L25" s="102">
        <v>5.3</v>
      </c>
      <c r="M25" s="102">
        <v>5.3</v>
      </c>
      <c r="N25" s="102">
        <v>5.3</v>
      </c>
      <c r="O25" s="102">
        <v>5.3</v>
      </c>
      <c r="P25" s="102">
        <v>5.3</v>
      </c>
      <c r="Q25" s="102">
        <v>5.3</v>
      </c>
      <c r="R25" s="102">
        <v>5.3</v>
      </c>
      <c r="S25" s="102">
        <v>5.3</v>
      </c>
      <c r="T25" s="102">
        <v>5.3</v>
      </c>
      <c r="U25" s="102">
        <v>5.3</v>
      </c>
      <c r="V25" s="102">
        <v>5.3</v>
      </c>
      <c r="W25" s="102">
        <v>5.3</v>
      </c>
      <c r="X25" s="102">
        <v>5.3</v>
      </c>
      <c r="Y25" s="102">
        <v>5.3</v>
      </c>
      <c r="Z25" s="102">
        <v>5.3</v>
      </c>
      <c r="AA25" s="102">
        <v>5.3</v>
      </c>
      <c r="AB25" s="102">
        <v>5.3</v>
      </c>
      <c r="AC25" s="102">
        <v>5.3</v>
      </c>
      <c r="AD25" s="102">
        <v>5.3</v>
      </c>
      <c r="AE25" s="102">
        <v>6.2</v>
      </c>
      <c r="AF25" s="102">
        <v>6.5</v>
      </c>
      <c r="AG25" s="88">
        <v>30</v>
      </c>
      <c r="AH25" s="12">
        <f t="shared" si="8"/>
        <v>6.5</v>
      </c>
      <c r="AI25" s="11">
        <f t="shared" si="9"/>
        <v>5.3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25">
      <c r="A26" s="89" t="s">
        <v>241</v>
      </c>
      <c r="B26" s="102">
        <v>8.4</v>
      </c>
      <c r="C26" s="102">
        <v>8.4</v>
      </c>
      <c r="D26" s="102">
        <v>8.4</v>
      </c>
      <c r="E26" s="102">
        <v>8.4</v>
      </c>
      <c r="F26" s="102">
        <v>8.4</v>
      </c>
      <c r="G26" s="102">
        <v>8.4</v>
      </c>
      <c r="H26" s="102">
        <v>8.4</v>
      </c>
      <c r="I26" s="102">
        <v>8.4</v>
      </c>
      <c r="J26" s="102">
        <v>8.4</v>
      </c>
      <c r="K26" s="102">
        <v>8.4</v>
      </c>
      <c r="L26" s="102">
        <v>8.4</v>
      </c>
      <c r="M26" s="102">
        <v>8.4</v>
      </c>
      <c r="N26" s="102">
        <v>8.4</v>
      </c>
      <c r="O26" s="102">
        <v>8.4</v>
      </c>
      <c r="P26" s="102">
        <v>8.4</v>
      </c>
      <c r="Q26" s="102">
        <v>8.4</v>
      </c>
      <c r="R26" s="102">
        <v>8.4</v>
      </c>
      <c r="S26" s="102">
        <v>8.4</v>
      </c>
      <c r="T26" s="102">
        <v>8.4</v>
      </c>
      <c r="U26" s="102">
        <v>8.4</v>
      </c>
      <c r="V26" s="102">
        <v>8.4</v>
      </c>
      <c r="W26" s="102">
        <v>8.4</v>
      </c>
      <c r="X26" s="102">
        <v>8.4</v>
      </c>
      <c r="Y26" s="102">
        <v>8.4</v>
      </c>
      <c r="Z26" s="102">
        <v>8.4</v>
      </c>
      <c r="AA26" s="102">
        <v>8.4</v>
      </c>
      <c r="AB26" s="102">
        <v>8.4</v>
      </c>
      <c r="AC26" s="102">
        <v>8.4</v>
      </c>
      <c r="AD26" s="102">
        <v>8.4</v>
      </c>
      <c r="AE26" s="102">
        <v>8.4</v>
      </c>
      <c r="AF26" s="102">
        <v>8.4</v>
      </c>
      <c r="AG26" s="130">
        <v>25</v>
      </c>
      <c r="AH26" s="12">
        <f t="shared" si="8"/>
        <v>8.4</v>
      </c>
      <c r="AI26" s="11">
        <f t="shared" si="9"/>
        <v>8.4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25">
      <c r="A27" s="89" t="s">
        <v>240</v>
      </c>
      <c r="B27" s="102">
        <v>5</v>
      </c>
      <c r="C27" s="102">
        <v>5</v>
      </c>
      <c r="D27" s="102">
        <v>5</v>
      </c>
      <c r="E27" s="102">
        <v>5</v>
      </c>
      <c r="F27" s="102">
        <v>5</v>
      </c>
      <c r="G27" s="102">
        <v>5</v>
      </c>
      <c r="H27" s="102">
        <v>5</v>
      </c>
      <c r="I27" s="102">
        <v>5</v>
      </c>
      <c r="J27" s="102">
        <v>5</v>
      </c>
      <c r="K27" s="102">
        <v>5</v>
      </c>
      <c r="L27" s="102">
        <v>5</v>
      </c>
      <c r="M27" s="102">
        <v>5</v>
      </c>
      <c r="N27" s="102">
        <v>5</v>
      </c>
      <c r="O27" s="102">
        <v>5</v>
      </c>
      <c r="P27" s="102">
        <v>5</v>
      </c>
      <c r="Q27" s="102">
        <v>5</v>
      </c>
      <c r="R27" s="102">
        <v>5</v>
      </c>
      <c r="S27" s="102">
        <v>5</v>
      </c>
      <c r="T27" s="102">
        <v>5</v>
      </c>
      <c r="U27" s="102">
        <v>5</v>
      </c>
      <c r="V27" s="102">
        <v>5</v>
      </c>
      <c r="W27" s="102">
        <v>5</v>
      </c>
      <c r="X27" s="102">
        <v>5</v>
      </c>
      <c r="Y27" s="102">
        <v>5</v>
      </c>
      <c r="Z27" s="102">
        <v>5</v>
      </c>
      <c r="AA27" s="102">
        <v>5</v>
      </c>
      <c r="AB27" s="102">
        <v>5</v>
      </c>
      <c r="AC27" s="102">
        <v>5</v>
      </c>
      <c r="AD27" s="102">
        <v>5</v>
      </c>
      <c r="AE27" s="102">
        <v>5</v>
      </c>
      <c r="AF27" s="102">
        <v>5</v>
      </c>
      <c r="AG27" s="130">
        <v>25</v>
      </c>
      <c r="AH27" s="12">
        <f t="shared" si="8"/>
        <v>5</v>
      </c>
      <c r="AI27" s="11">
        <f t="shared" si="9"/>
        <v>5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25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25">
      <c r="A29" s="89" t="s">
        <v>238</v>
      </c>
      <c r="B29" s="102">
        <v>7.2</v>
      </c>
      <c r="C29" s="102">
        <v>7.2</v>
      </c>
      <c r="D29" s="102">
        <v>7.2</v>
      </c>
      <c r="E29" s="102">
        <v>7.2</v>
      </c>
      <c r="F29" s="102">
        <v>7.2</v>
      </c>
      <c r="G29" s="102">
        <v>7.2</v>
      </c>
      <c r="H29" s="102">
        <v>7.2</v>
      </c>
      <c r="I29" s="102">
        <v>7.2</v>
      </c>
      <c r="J29" s="102">
        <v>7.2</v>
      </c>
      <c r="K29" s="102">
        <v>7.2</v>
      </c>
      <c r="L29" s="102">
        <v>7.2</v>
      </c>
      <c r="M29" s="102">
        <v>7.2</v>
      </c>
      <c r="N29" s="102">
        <v>7.2</v>
      </c>
      <c r="O29" s="102">
        <v>7.2</v>
      </c>
      <c r="P29" s="102">
        <v>7.2</v>
      </c>
      <c r="Q29" s="102">
        <v>7.2</v>
      </c>
      <c r="R29" s="102">
        <v>7.2</v>
      </c>
      <c r="S29" s="102">
        <v>7.2</v>
      </c>
      <c r="T29" s="102">
        <v>7.2</v>
      </c>
      <c r="U29" s="102">
        <v>7.2</v>
      </c>
      <c r="V29" s="102">
        <v>7.2</v>
      </c>
      <c r="W29" s="102">
        <v>7.2</v>
      </c>
      <c r="X29" s="102">
        <v>7.2</v>
      </c>
      <c r="Y29" s="102">
        <v>7.2</v>
      </c>
      <c r="Z29" s="102">
        <v>7.2</v>
      </c>
      <c r="AA29" s="102">
        <v>7.2</v>
      </c>
      <c r="AB29" s="102">
        <v>7.2</v>
      </c>
      <c r="AC29" s="102">
        <v>7.2</v>
      </c>
      <c r="AD29" s="102">
        <v>7.2</v>
      </c>
      <c r="AE29" s="102">
        <v>8.1</v>
      </c>
      <c r="AF29" s="102">
        <v>8.1999999999999993</v>
      </c>
      <c r="AG29" s="130">
        <v>25</v>
      </c>
      <c r="AH29" s="12">
        <f t="shared" si="8"/>
        <v>8.1999999999999993</v>
      </c>
      <c r="AI29" s="11">
        <f t="shared" si="9"/>
        <v>7.2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25">
      <c r="A30" s="89" t="s">
        <v>237</v>
      </c>
      <c r="B30" s="102">
        <v>6.5</v>
      </c>
      <c r="C30" s="102">
        <v>6.5</v>
      </c>
      <c r="D30" s="102">
        <v>6.5</v>
      </c>
      <c r="E30" s="102">
        <v>6.5</v>
      </c>
      <c r="F30" s="102">
        <v>6.5</v>
      </c>
      <c r="G30" s="102">
        <v>6.5</v>
      </c>
      <c r="H30" s="102">
        <v>6.5</v>
      </c>
      <c r="I30" s="102">
        <v>6.5</v>
      </c>
      <c r="J30" s="102">
        <v>6.5</v>
      </c>
      <c r="K30" s="102">
        <v>6.5</v>
      </c>
      <c r="L30" s="102">
        <v>6.5</v>
      </c>
      <c r="M30" s="102">
        <v>6.5</v>
      </c>
      <c r="N30" s="102">
        <v>6.5</v>
      </c>
      <c r="O30" s="102">
        <v>6.5</v>
      </c>
      <c r="P30" s="102">
        <v>6.5</v>
      </c>
      <c r="Q30" s="102">
        <v>6.5</v>
      </c>
      <c r="R30" s="102">
        <v>6.5</v>
      </c>
      <c r="S30" s="102">
        <v>6.5</v>
      </c>
      <c r="T30" s="102">
        <v>6.5</v>
      </c>
      <c r="U30" s="102">
        <v>6.5</v>
      </c>
      <c r="V30" s="102">
        <v>6.5</v>
      </c>
      <c r="W30" s="102">
        <v>6.5</v>
      </c>
      <c r="X30" s="102">
        <v>6.5</v>
      </c>
      <c r="Y30" s="102">
        <v>6.5</v>
      </c>
      <c r="Z30" s="102">
        <v>6.5</v>
      </c>
      <c r="AA30" s="102">
        <v>6.5</v>
      </c>
      <c r="AB30" s="102">
        <v>6.5</v>
      </c>
      <c r="AC30" s="102">
        <v>6.5</v>
      </c>
      <c r="AD30" s="102">
        <v>6.5</v>
      </c>
      <c r="AE30" s="102">
        <v>5.9</v>
      </c>
      <c r="AF30" s="102">
        <v>6.2</v>
      </c>
      <c r="AG30" s="130">
        <v>23.5</v>
      </c>
      <c r="AH30" s="12">
        <f t="shared" si="8"/>
        <v>6.5</v>
      </c>
      <c r="AI30" s="11">
        <f t="shared" si="9"/>
        <v>5.9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25">
      <c r="A31" s="89" t="s">
        <v>236</v>
      </c>
      <c r="B31" s="102">
        <v>3</v>
      </c>
      <c r="C31" s="102">
        <v>3</v>
      </c>
      <c r="D31" s="102">
        <v>3</v>
      </c>
      <c r="E31" s="102">
        <v>3</v>
      </c>
      <c r="F31" s="102">
        <v>3</v>
      </c>
      <c r="G31" s="102">
        <v>3</v>
      </c>
      <c r="H31" s="102">
        <v>3</v>
      </c>
      <c r="I31" s="102">
        <v>3</v>
      </c>
      <c r="J31" s="102">
        <v>3</v>
      </c>
      <c r="K31" s="102">
        <v>3</v>
      </c>
      <c r="L31" s="102">
        <v>3</v>
      </c>
      <c r="M31" s="102">
        <v>3</v>
      </c>
      <c r="N31" s="102">
        <v>3</v>
      </c>
      <c r="O31" s="102">
        <v>3</v>
      </c>
      <c r="P31" s="102">
        <v>3</v>
      </c>
      <c r="Q31" s="102">
        <v>3</v>
      </c>
      <c r="R31" s="102">
        <v>3</v>
      </c>
      <c r="S31" s="102">
        <v>3</v>
      </c>
      <c r="T31" s="102">
        <v>3</v>
      </c>
      <c r="U31" s="102">
        <v>3</v>
      </c>
      <c r="V31" s="102">
        <v>3</v>
      </c>
      <c r="W31" s="102">
        <v>3</v>
      </c>
      <c r="X31" s="102">
        <v>3</v>
      </c>
      <c r="Y31" s="102">
        <v>3</v>
      </c>
      <c r="Z31" s="102">
        <v>3</v>
      </c>
      <c r="AA31" s="102">
        <v>3</v>
      </c>
      <c r="AB31" s="102">
        <v>3</v>
      </c>
      <c r="AC31" s="102">
        <v>3</v>
      </c>
      <c r="AD31" s="102">
        <v>3</v>
      </c>
      <c r="AE31" s="102">
        <v>3</v>
      </c>
      <c r="AF31" s="102">
        <v>3</v>
      </c>
      <c r="AG31" s="130">
        <v>22.2</v>
      </c>
      <c r="AH31" s="12">
        <f t="shared" si="8"/>
        <v>3</v>
      </c>
      <c r="AI31" s="11">
        <f t="shared" si="9"/>
        <v>3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25">
      <c r="A32" s="89" t="s">
        <v>235</v>
      </c>
      <c r="B32" s="102">
        <v>5.5</v>
      </c>
      <c r="C32" s="102">
        <v>5.5</v>
      </c>
      <c r="D32" s="102">
        <v>5.5</v>
      </c>
      <c r="E32" s="102">
        <v>5.5</v>
      </c>
      <c r="F32" s="102">
        <v>5.5</v>
      </c>
      <c r="G32" s="102">
        <v>5.5</v>
      </c>
      <c r="H32" s="102">
        <v>5.5</v>
      </c>
      <c r="I32" s="102">
        <v>5.5</v>
      </c>
      <c r="J32" s="102">
        <v>5.5</v>
      </c>
      <c r="K32" s="102">
        <v>5.5</v>
      </c>
      <c r="L32" s="102">
        <v>5.5</v>
      </c>
      <c r="M32" s="102">
        <v>5.5</v>
      </c>
      <c r="N32" s="102">
        <v>5.5</v>
      </c>
      <c r="O32" s="102">
        <v>5.5</v>
      </c>
      <c r="P32" s="102">
        <v>5.5</v>
      </c>
      <c r="Q32" s="102">
        <v>5.5</v>
      </c>
      <c r="R32" s="102">
        <v>5.5</v>
      </c>
      <c r="S32" s="102">
        <v>5.5</v>
      </c>
      <c r="T32" s="102">
        <v>5.5</v>
      </c>
      <c r="U32" s="102">
        <v>5.5</v>
      </c>
      <c r="V32" s="102">
        <v>5.5</v>
      </c>
      <c r="W32" s="102">
        <v>5.5</v>
      </c>
      <c r="X32" s="102">
        <v>5.5</v>
      </c>
      <c r="Y32" s="102">
        <v>5.5</v>
      </c>
      <c r="Z32" s="102">
        <v>5.5</v>
      </c>
      <c r="AA32" s="102">
        <v>5.5</v>
      </c>
      <c r="AB32" s="102">
        <v>5.5</v>
      </c>
      <c r="AC32" s="102">
        <v>5.5</v>
      </c>
      <c r="AD32" s="102">
        <v>5.5</v>
      </c>
      <c r="AE32" s="102">
        <v>5.5</v>
      </c>
      <c r="AF32" s="102">
        <v>5.5</v>
      </c>
      <c r="AG32" s="130">
        <v>22.1</v>
      </c>
      <c r="AH32" s="12">
        <f t="shared" si="8"/>
        <v>5.5</v>
      </c>
      <c r="AI32" s="11">
        <f t="shared" si="9"/>
        <v>5.5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25">
      <c r="A33" s="89" t="s">
        <v>234</v>
      </c>
      <c r="B33" s="102">
        <v>5</v>
      </c>
      <c r="C33" s="102">
        <v>5</v>
      </c>
      <c r="D33" s="102">
        <v>5</v>
      </c>
      <c r="E33" s="102">
        <v>5</v>
      </c>
      <c r="F33" s="102">
        <v>5</v>
      </c>
      <c r="G33" s="102">
        <v>5</v>
      </c>
      <c r="H33" s="102">
        <v>5</v>
      </c>
      <c r="I33" s="102">
        <v>5</v>
      </c>
      <c r="J33" s="102">
        <v>5</v>
      </c>
      <c r="K33" s="102">
        <v>5</v>
      </c>
      <c r="L33" s="102">
        <v>5</v>
      </c>
      <c r="M33" s="102">
        <v>5</v>
      </c>
      <c r="N33" s="102">
        <v>5</v>
      </c>
      <c r="O33" s="102">
        <v>5</v>
      </c>
      <c r="P33" s="102">
        <v>5</v>
      </c>
      <c r="Q33" s="102">
        <v>5</v>
      </c>
      <c r="R33" s="102">
        <v>5</v>
      </c>
      <c r="S33" s="102">
        <v>5</v>
      </c>
      <c r="T33" s="102">
        <v>5</v>
      </c>
      <c r="U33" s="102">
        <v>5</v>
      </c>
      <c r="V33" s="102">
        <v>5</v>
      </c>
      <c r="W33" s="102">
        <v>5</v>
      </c>
      <c r="X33" s="102">
        <v>5</v>
      </c>
      <c r="Y33" s="102">
        <v>5</v>
      </c>
      <c r="Z33" s="102">
        <v>5</v>
      </c>
      <c r="AA33" s="102">
        <v>5</v>
      </c>
      <c r="AB33" s="102">
        <v>5</v>
      </c>
      <c r="AC33" s="102">
        <v>5</v>
      </c>
      <c r="AD33" s="102">
        <v>5</v>
      </c>
      <c r="AE33" s="102">
        <v>5</v>
      </c>
      <c r="AF33" s="102">
        <v>5</v>
      </c>
      <c r="AG33" s="130">
        <v>22</v>
      </c>
      <c r="AH33" s="12">
        <f t="shared" si="8"/>
        <v>5</v>
      </c>
      <c r="AI33" s="11">
        <f t="shared" si="9"/>
        <v>5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25">
      <c r="A34" s="89" t="s">
        <v>233</v>
      </c>
      <c r="B34" s="102">
        <v>4.2</v>
      </c>
      <c r="C34" s="102">
        <v>4.2</v>
      </c>
      <c r="D34" s="102">
        <v>4.2</v>
      </c>
      <c r="E34" s="102">
        <v>4.2</v>
      </c>
      <c r="F34" s="102">
        <v>4.2</v>
      </c>
      <c r="G34" s="102">
        <v>4.2</v>
      </c>
      <c r="H34" s="102">
        <v>4.2</v>
      </c>
      <c r="I34" s="102">
        <v>4.2</v>
      </c>
      <c r="J34" s="102">
        <v>4.2</v>
      </c>
      <c r="K34" s="102">
        <v>4.2</v>
      </c>
      <c r="L34" s="102">
        <v>4.2</v>
      </c>
      <c r="M34" s="102">
        <v>4.2</v>
      </c>
      <c r="N34" s="102">
        <v>4.2</v>
      </c>
      <c r="O34" s="102">
        <v>4.2</v>
      </c>
      <c r="P34" s="102">
        <v>4.2</v>
      </c>
      <c r="Q34" s="102">
        <v>4.2</v>
      </c>
      <c r="R34" s="102">
        <v>4.2</v>
      </c>
      <c r="S34" s="102">
        <v>4.2</v>
      </c>
      <c r="T34" s="102">
        <v>4.2</v>
      </c>
      <c r="U34" s="102">
        <v>4.2</v>
      </c>
      <c r="V34" s="102">
        <v>4.2</v>
      </c>
      <c r="W34" s="102">
        <v>4.2</v>
      </c>
      <c r="X34" s="102">
        <v>4.2</v>
      </c>
      <c r="Y34" s="102">
        <v>4.2</v>
      </c>
      <c r="Z34" s="102">
        <v>4.2</v>
      </c>
      <c r="AA34" s="102">
        <v>4.2</v>
      </c>
      <c r="AB34" s="102">
        <v>4.2</v>
      </c>
      <c r="AC34" s="102">
        <v>4.2</v>
      </c>
      <c r="AD34" s="102">
        <v>4.2</v>
      </c>
      <c r="AE34" s="102">
        <v>10.1</v>
      </c>
      <c r="AF34" s="102">
        <v>9.1999999999999993</v>
      </c>
      <c r="AG34" s="130">
        <v>22</v>
      </c>
      <c r="AH34" s="12">
        <f t="shared" si="8"/>
        <v>10.1</v>
      </c>
      <c r="AI34" s="11">
        <f t="shared" si="9"/>
        <v>4.2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25">
      <c r="A35" s="89" t="s">
        <v>232</v>
      </c>
      <c r="B35" s="102">
        <v>4</v>
      </c>
      <c r="C35" s="102">
        <v>4</v>
      </c>
      <c r="D35" s="102">
        <v>4</v>
      </c>
      <c r="E35" s="102">
        <v>4</v>
      </c>
      <c r="F35" s="102">
        <v>4</v>
      </c>
      <c r="G35" s="102">
        <v>4</v>
      </c>
      <c r="H35" s="102">
        <v>4</v>
      </c>
      <c r="I35" s="102">
        <v>4</v>
      </c>
      <c r="J35" s="102">
        <v>4</v>
      </c>
      <c r="K35" s="102">
        <v>4</v>
      </c>
      <c r="L35" s="102">
        <v>4</v>
      </c>
      <c r="M35" s="102">
        <v>4</v>
      </c>
      <c r="N35" s="102">
        <v>4</v>
      </c>
      <c r="O35" s="102">
        <v>4</v>
      </c>
      <c r="P35" s="102">
        <v>4</v>
      </c>
      <c r="Q35" s="102">
        <v>4</v>
      </c>
      <c r="R35" s="102">
        <v>4</v>
      </c>
      <c r="S35" s="102">
        <v>4</v>
      </c>
      <c r="T35" s="102">
        <v>4</v>
      </c>
      <c r="U35" s="102">
        <v>4</v>
      </c>
      <c r="V35" s="102">
        <v>4</v>
      </c>
      <c r="W35" s="102">
        <v>4</v>
      </c>
      <c r="X35" s="102">
        <v>4</v>
      </c>
      <c r="Y35" s="102">
        <v>4</v>
      </c>
      <c r="Z35" s="102">
        <v>4</v>
      </c>
      <c r="AA35" s="102">
        <v>4</v>
      </c>
      <c r="AB35" s="102">
        <v>4</v>
      </c>
      <c r="AC35" s="102">
        <v>4</v>
      </c>
      <c r="AD35" s="102">
        <v>4</v>
      </c>
      <c r="AE35" s="102">
        <v>4</v>
      </c>
      <c r="AF35" s="102">
        <v>4</v>
      </c>
      <c r="AG35" s="130">
        <v>20</v>
      </c>
      <c r="AH35" s="12">
        <f t="shared" si="8"/>
        <v>4</v>
      </c>
      <c r="AI35" s="11">
        <f t="shared" si="9"/>
        <v>4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25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25">
      <c r="A37" s="89" t="s">
        <v>230</v>
      </c>
      <c r="B37" s="102">
        <v>5.7</v>
      </c>
      <c r="C37" s="102">
        <v>5.7</v>
      </c>
      <c r="D37" s="102">
        <v>5.7</v>
      </c>
      <c r="E37" s="102">
        <v>5.7</v>
      </c>
      <c r="F37" s="102">
        <v>5.7</v>
      </c>
      <c r="G37" s="102">
        <v>5.7</v>
      </c>
      <c r="H37" s="102">
        <v>5.7</v>
      </c>
      <c r="I37" s="102">
        <v>5.7</v>
      </c>
      <c r="J37" s="102">
        <v>5.7</v>
      </c>
      <c r="K37" s="102">
        <v>5.7</v>
      </c>
      <c r="L37" s="102">
        <v>5.7</v>
      </c>
      <c r="M37" s="102">
        <v>5.7</v>
      </c>
      <c r="N37" s="102">
        <v>5.7</v>
      </c>
      <c r="O37" s="102">
        <v>5.7</v>
      </c>
      <c r="P37" s="102">
        <v>5.7</v>
      </c>
      <c r="Q37" s="102">
        <v>5.7</v>
      </c>
      <c r="R37" s="102">
        <v>5.7</v>
      </c>
      <c r="S37" s="102">
        <v>5.7</v>
      </c>
      <c r="T37" s="102">
        <v>5.7</v>
      </c>
      <c r="U37" s="102">
        <v>5.7</v>
      </c>
      <c r="V37" s="102">
        <v>5.7</v>
      </c>
      <c r="W37" s="102">
        <v>5.7</v>
      </c>
      <c r="X37" s="102">
        <v>5.7</v>
      </c>
      <c r="Y37" s="102">
        <v>5.7</v>
      </c>
      <c r="Z37" s="102">
        <v>5.7</v>
      </c>
      <c r="AA37" s="102">
        <v>5.7</v>
      </c>
      <c r="AB37" s="102">
        <v>5.7</v>
      </c>
      <c r="AC37" s="102">
        <v>5.7</v>
      </c>
      <c r="AD37" s="102">
        <v>5.7</v>
      </c>
      <c r="AE37" s="102">
        <v>5.7</v>
      </c>
      <c r="AF37" s="102">
        <v>5.7</v>
      </c>
      <c r="AG37" s="130">
        <v>18</v>
      </c>
      <c r="AH37" s="12">
        <f t="shared" si="8"/>
        <v>5.7</v>
      </c>
      <c r="AI37" s="11">
        <f t="shared" si="9"/>
        <v>5.7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25">
      <c r="A38" s="89" t="s">
        <v>229</v>
      </c>
      <c r="B38" s="102">
        <v>7.2</v>
      </c>
      <c r="C38" s="102">
        <v>7.2</v>
      </c>
      <c r="D38" s="102">
        <v>7.2</v>
      </c>
      <c r="E38" s="102">
        <v>7.2</v>
      </c>
      <c r="F38" s="102">
        <v>7.2</v>
      </c>
      <c r="G38" s="102">
        <v>7.2</v>
      </c>
      <c r="H38" s="102">
        <v>7.2</v>
      </c>
      <c r="I38" s="102">
        <v>7.2</v>
      </c>
      <c r="J38" s="102">
        <v>7.2</v>
      </c>
      <c r="K38" s="102">
        <v>7.2</v>
      </c>
      <c r="L38" s="102">
        <v>7.2</v>
      </c>
      <c r="M38" s="102">
        <v>7.2</v>
      </c>
      <c r="N38" s="102">
        <v>7.2</v>
      </c>
      <c r="O38" s="102">
        <v>7.2</v>
      </c>
      <c r="P38" s="102">
        <v>7.2</v>
      </c>
      <c r="Q38" s="102">
        <v>7.2</v>
      </c>
      <c r="R38" s="102">
        <v>7.2</v>
      </c>
      <c r="S38" s="102">
        <v>7.2</v>
      </c>
      <c r="T38" s="102">
        <v>7.2</v>
      </c>
      <c r="U38" s="102">
        <v>7.2</v>
      </c>
      <c r="V38" s="102">
        <v>7.2</v>
      </c>
      <c r="W38" s="102">
        <v>7.2</v>
      </c>
      <c r="X38" s="102">
        <v>7.2</v>
      </c>
      <c r="Y38" s="102">
        <v>7.2</v>
      </c>
      <c r="Z38" s="102">
        <v>7.2</v>
      </c>
      <c r="AA38" s="102">
        <v>7.2</v>
      </c>
      <c r="AB38" s="102">
        <v>7.2</v>
      </c>
      <c r="AC38" s="102">
        <v>7.2</v>
      </c>
      <c r="AD38" s="102">
        <v>7.2</v>
      </c>
      <c r="AE38" s="102">
        <v>7.2</v>
      </c>
      <c r="AF38" s="102">
        <v>7.2</v>
      </c>
      <c r="AG38" s="130">
        <v>14.9</v>
      </c>
      <c r="AH38" s="12">
        <f t="shared" si="8"/>
        <v>7.2</v>
      </c>
      <c r="AI38" s="11">
        <f t="shared" si="9"/>
        <v>7.2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25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25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25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25">
      <c r="A42" s="89" t="s">
        <v>225</v>
      </c>
      <c r="B42" s="102">
        <v>1.8</v>
      </c>
      <c r="C42" s="102">
        <v>1.8</v>
      </c>
      <c r="D42" s="102">
        <v>1.8</v>
      </c>
      <c r="E42" s="102">
        <v>1.8</v>
      </c>
      <c r="F42" s="102">
        <v>1.8</v>
      </c>
      <c r="G42" s="102">
        <v>1.8</v>
      </c>
      <c r="H42" s="102">
        <v>1.8</v>
      </c>
      <c r="I42" s="102">
        <v>1.8</v>
      </c>
      <c r="J42" s="102">
        <v>1.8</v>
      </c>
      <c r="K42" s="102">
        <v>1.8</v>
      </c>
      <c r="L42" s="102">
        <v>1.8</v>
      </c>
      <c r="M42" s="102">
        <v>1.8</v>
      </c>
      <c r="N42" s="102">
        <v>1.8</v>
      </c>
      <c r="O42" s="102">
        <v>1.8</v>
      </c>
      <c r="P42" s="102">
        <v>1.8</v>
      </c>
      <c r="Q42" s="102">
        <v>1.8</v>
      </c>
      <c r="R42" s="102">
        <v>1.8</v>
      </c>
      <c r="S42" s="102">
        <v>1.8</v>
      </c>
      <c r="T42" s="102">
        <v>1.8</v>
      </c>
      <c r="U42" s="102">
        <v>1.8</v>
      </c>
      <c r="V42" s="102">
        <v>1.8</v>
      </c>
      <c r="W42" s="102">
        <v>1.8</v>
      </c>
      <c r="X42" s="102">
        <v>1.8</v>
      </c>
      <c r="Y42" s="102">
        <v>1.8</v>
      </c>
      <c r="Z42" s="102">
        <v>1.8</v>
      </c>
      <c r="AA42" s="102">
        <v>1.8</v>
      </c>
      <c r="AB42" s="102">
        <v>1.8</v>
      </c>
      <c r="AC42" s="102">
        <v>1.8</v>
      </c>
      <c r="AD42" s="102">
        <v>1.8</v>
      </c>
      <c r="AE42" s="102">
        <v>1.8</v>
      </c>
      <c r="AF42" s="102">
        <v>1.8</v>
      </c>
      <c r="AG42" s="130">
        <v>13.6</v>
      </c>
      <c r="AH42" s="12">
        <f t="shared" si="8"/>
        <v>1.8</v>
      </c>
      <c r="AI42" s="11">
        <f t="shared" si="9"/>
        <v>1.8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25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25">
      <c r="A44" s="89" t="s">
        <v>223</v>
      </c>
      <c r="B44" s="102">
        <v>6.4</v>
      </c>
      <c r="C44" s="102">
        <v>6.4</v>
      </c>
      <c r="D44" s="102">
        <v>6.4</v>
      </c>
      <c r="E44" s="102">
        <v>6.4</v>
      </c>
      <c r="F44" s="102">
        <v>6.4</v>
      </c>
      <c r="G44" s="102">
        <v>6.4</v>
      </c>
      <c r="H44" s="102">
        <v>6.4</v>
      </c>
      <c r="I44" s="102">
        <v>6.4</v>
      </c>
      <c r="J44" s="102">
        <v>6.4</v>
      </c>
      <c r="K44" s="102">
        <v>6.4</v>
      </c>
      <c r="L44" s="102">
        <v>6.4</v>
      </c>
      <c r="M44" s="102">
        <v>6.4</v>
      </c>
      <c r="N44" s="102">
        <v>6.4</v>
      </c>
      <c r="O44" s="102">
        <v>6.4</v>
      </c>
      <c r="P44" s="102">
        <v>6.4</v>
      </c>
      <c r="Q44" s="102">
        <v>6.4</v>
      </c>
      <c r="R44" s="102">
        <v>6.4</v>
      </c>
      <c r="S44" s="102">
        <v>6.4</v>
      </c>
      <c r="T44" s="102">
        <v>6.4</v>
      </c>
      <c r="U44" s="102">
        <v>6.4</v>
      </c>
      <c r="V44" s="102">
        <v>6.4</v>
      </c>
      <c r="W44" s="102">
        <v>6.4</v>
      </c>
      <c r="X44" s="102">
        <v>6.4</v>
      </c>
      <c r="Y44" s="102">
        <v>6.4</v>
      </c>
      <c r="Z44" s="102">
        <v>6.4</v>
      </c>
      <c r="AA44" s="102">
        <v>6.4</v>
      </c>
      <c r="AB44" s="102">
        <v>6.4</v>
      </c>
      <c r="AC44" s="102">
        <v>6.4</v>
      </c>
      <c r="AD44" s="102">
        <v>6.4</v>
      </c>
      <c r="AE44" s="102">
        <v>6.4</v>
      </c>
      <c r="AF44" s="102">
        <v>6.4</v>
      </c>
      <c r="AG44" s="130">
        <v>12</v>
      </c>
      <c r="AH44" s="12">
        <f t="shared" si="8"/>
        <v>6.4</v>
      </c>
      <c r="AI44" s="11">
        <f t="shared" si="9"/>
        <v>6.4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25">
      <c r="A45" s="89" t="s">
        <v>222</v>
      </c>
      <c r="B45" s="102">
        <v>9</v>
      </c>
      <c r="C45" s="102">
        <v>9</v>
      </c>
      <c r="D45" s="102">
        <v>9</v>
      </c>
      <c r="E45" s="102">
        <v>9</v>
      </c>
      <c r="F45" s="102">
        <v>9</v>
      </c>
      <c r="G45" s="102">
        <v>9</v>
      </c>
      <c r="H45" s="102">
        <v>9</v>
      </c>
      <c r="I45" s="102">
        <v>9</v>
      </c>
      <c r="J45" s="102">
        <v>9</v>
      </c>
      <c r="K45" s="102">
        <v>9</v>
      </c>
      <c r="L45" s="102">
        <v>9</v>
      </c>
      <c r="M45" s="102">
        <v>9</v>
      </c>
      <c r="N45" s="102">
        <v>9</v>
      </c>
      <c r="O45" s="102">
        <v>9</v>
      </c>
      <c r="P45" s="102">
        <v>9</v>
      </c>
      <c r="Q45" s="102">
        <v>9</v>
      </c>
      <c r="R45" s="102">
        <v>9</v>
      </c>
      <c r="S45" s="102">
        <v>9</v>
      </c>
      <c r="T45" s="102">
        <v>9</v>
      </c>
      <c r="U45" s="102">
        <v>9</v>
      </c>
      <c r="V45" s="102">
        <v>9</v>
      </c>
      <c r="W45" s="102">
        <v>9</v>
      </c>
      <c r="X45" s="102">
        <v>9</v>
      </c>
      <c r="Y45" s="102">
        <v>9</v>
      </c>
      <c r="Z45" s="102">
        <v>9</v>
      </c>
      <c r="AA45" s="102">
        <v>9</v>
      </c>
      <c r="AB45" s="102">
        <v>9</v>
      </c>
      <c r="AC45" s="102">
        <v>9</v>
      </c>
      <c r="AD45" s="102">
        <v>9</v>
      </c>
      <c r="AE45" s="102">
        <v>9</v>
      </c>
      <c r="AF45" s="102">
        <v>9</v>
      </c>
      <c r="AG45" s="130">
        <v>12</v>
      </c>
      <c r="AH45" s="12">
        <f t="shared" si="8"/>
        <v>9</v>
      </c>
      <c r="AI45" s="11">
        <f t="shared" si="9"/>
        <v>9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25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25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25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25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25">
      <c r="A50" s="87" t="s">
        <v>217</v>
      </c>
      <c r="B50" s="102">
        <v>2.5</v>
      </c>
      <c r="C50" s="102">
        <v>2.5</v>
      </c>
      <c r="D50" s="102">
        <v>2.5</v>
      </c>
      <c r="E50" s="102">
        <v>2.5</v>
      </c>
      <c r="F50" s="102">
        <v>2.5</v>
      </c>
      <c r="G50" s="102">
        <v>2.5</v>
      </c>
      <c r="H50" s="102">
        <v>2.5</v>
      </c>
      <c r="I50" s="102">
        <v>2.5</v>
      </c>
      <c r="J50" s="102">
        <v>2.5</v>
      </c>
      <c r="K50" s="102">
        <v>2.5</v>
      </c>
      <c r="L50" s="102">
        <v>2.5</v>
      </c>
      <c r="M50" s="102">
        <v>2.5</v>
      </c>
      <c r="N50" s="102">
        <v>2.5</v>
      </c>
      <c r="O50" s="102">
        <v>2.5</v>
      </c>
      <c r="P50" s="102">
        <v>2.5</v>
      </c>
      <c r="Q50" s="102">
        <v>2.5</v>
      </c>
      <c r="R50" s="102">
        <v>2.5</v>
      </c>
      <c r="S50" s="102">
        <v>2.5</v>
      </c>
      <c r="T50" s="102">
        <v>2.5</v>
      </c>
      <c r="U50" s="102">
        <v>2.5</v>
      </c>
      <c r="V50" s="102">
        <v>2.5</v>
      </c>
      <c r="W50" s="102">
        <v>2.5</v>
      </c>
      <c r="X50" s="102">
        <v>2.5</v>
      </c>
      <c r="Y50" s="102">
        <v>2.5</v>
      </c>
      <c r="Z50" s="102">
        <v>2.5</v>
      </c>
      <c r="AA50" s="102">
        <v>2.5</v>
      </c>
      <c r="AB50" s="102">
        <v>2.5</v>
      </c>
      <c r="AC50" s="102">
        <v>2.5</v>
      </c>
      <c r="AD50" s="102">
        <v>2.5</v>
      </c>
      <c r="AE50" s="102">
        <v>2.5</v>
      </c>
      <c r="AF50" s="102">
        <v>2.5</v>
      </c>
      <c r="AG50" s="86">
        <v>11</v>
      </c>
      <c r="AH50" s="12">
        <f t="shared" ref="AH50:AH81" si="22">MAX(B50:AF50)</f>
        <v>2.5</v>
      </c>
      <c r="AI50" s="11">
        <f t="shared" ref="AI50:AI81" si="23">MIN(B50:AF50)</f>
        <v>2.5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25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22"/>
        <v>3</v>
      </c>
      <c r="AI51" s="11">
        <f t="shared" si="23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25">
      <c r="A52" s="87" t="s">
        <v>215</v>
      </c>
      <c r="B52" s="102">
        <v>4</v>
      </c>
      <c r="C52" s="102">
        <v>4</v>
      </c>
      <c r="D52" s="102">
        <v>4</v>
      </c>
      <c r="E52" s="102">
        <v>4</v>
      </c>
      <c r="F52" s="102">
        <v>4</v>
      </c>
      <c r="G52" s="102">
        <v>4</v>
      </c>
      <c r="H52" s="102">
        <v>4</v>
      </c>
      <c r="I52" s="102">
        <v>4</v>
      </c>
      <c r="J52" s="102">
        <v>4</v>
      </c>
      <c r="K52" s="102">
        <v>4</v>
      </c>
      <c r="L52" s="102">
        <v>4</v>
      </c>
      <c r="M52" s="102">
        <v>4</v>
      </c>
      <c r="N52" s="102">
        <v>4</v>
      </c>
      <c r="O52" s="102">
        <v>4</v>
      </c>
      <c r="P52" s="102">
        <v>4</v>
      </c>
      <c r="Q52" s="102">
        <v>4</v>
      </c>
      <c r="R52" s="102">
        <v>4</v>
      </c>
      <c r="S52" s="102">
        <v>4</v>
      </c>
      <c r="T52" s="102">
        <v>4</v>
      </c>
      <c r="U52" s="102">
        <v>4</v>
      </c>
      <c r="V52" s="102">
        <v>4</v>
      </c>
      <c r="W52" s="102">
        <v>4</v>
      </c>
      <c r="X52" s="102">
        <v>4</v>
      </c>
      <c r="Y52" s="102">
        <v>4</v>
      </c>
      <c r="Z52" s="102">
        <v>4</v>
      </c>
      <c r="AA52" s="102">
        <v>4</v>
      </c>
      <c r="AB52" s="102">
        <v>4</v>
      </c>
      <c r="AC52" s="102">
        <v>4</v>
      </c>
      <c r="AD52" s="102">
        <v>4</v>
      </c>
      <c r="AE52" s="102">
        <v>4</v>
      </c>
      <c r="AF52" s="102">
        <v>4</v>
      </c>
      <c r="AG52" s="86">
        <v>10</v>
      </c>
      <c r="AH52" s="12">
        <f t="shared" si="22"/>
        <v>4</v>
      </c>
      <c r="AI52" s="11">
        <f t="shared" si="23"/>
        <v>4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25">
      <c r="A53" s="87" t="s">
        <v>214</v>
      </c>
      <c r="B53" s="102">
        <v>4.5</v>
      </c>
      <c r="C53" s="102">
        <v>4.5</v>
      </c>
      <c r="D53" s="102">
        <v>4.5</v>
      </c>
      <c r="E53" s="102">
        <v>4.5</v>
      </c>
      <c r="F53" s="102">
        <v>4.5</v>
      </c>
      <c r="G53" s="102">
        <v>4.5</v>
      </c>
      <c r="H53" s="102">
        <v>4.5</v>
      </c>
      <c r="I53" s="102">
        <v>4.5</v>
      </c>
      <c r="J53" s="102">
        <v>4.5</v>
      </c>
      <c r="K53" s="102">
        <v>4.5</v>
      </c>
      <c r="L53" s="102">
        <v>4.5</v>
      </c>
      <c r="M53" s="102">
        <v>4.5</v>
      </c>
      <c r="N53" s="102">
        <v>4.5</v>
      </c>
      <c r="O53" s="102">
        <v>4.5</v>
      </c>
      <c r="P53" s="102">
        <v>4.5</v>
      </c>
      <c r="Q53" s="102">
        <v>4.5</v>
      </c>
      <c r="R53" s="102">
        <v>4.5</v>
      </c>
      <c r="S53" s="102">
        <v>4.5</v>
      </c>
      <c r="T53" s="102">
        <v>4.5</v>
      </c>
      <c r="U53" s="102">
        <v>4.5</v>
      </c>
      <c r="V53" s="102">
        <v>4.5</v>
      </c>
      <c r="W53" s="102">
        <v>4.5</v>
      </c>
      <c r="X53" s="102">
        <v>4.5</v>
      </c>
      <c r="Y53" s="102">
        <v>4.5</v>
      </c>
      <c r="Z53" s="102">
        <v>4.5</v>
      </c>
      <c r="AA53" s="102">
        <v>4.5</v>
      </c>
      <c r="AB53" s="102">
        <v>4.5</v>
      </c>
      <c r="AC53" s="102">
        <v>4.5</v>
      </c>
      <c r="AD53" s="102">
        <v>4.5</v>
      </c>
      <c r="AE53" s="102">
        <v>4.5</v>
      </c>
      <c r="AF53" s="102">
        <v>4.5</v>
      </c>
      <c r="AG53" s="86">
        <v>10</v>
      </c>
      <c r="AH53" s="12">
        <f t="shared" si="22"/>
        <v>4.5</v>
      </c>
      <c r="AI53" s="11">
        <f t="shared" si="23"/>
        <v>4.5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25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22"/>
        <v>0</v>
      </c>
      <c r="AI54" s="11">
        <f t="shared" si="23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25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22"/>
        <v>0</v>
      </c>
      <c r="AI55" s="11">
        <f t="shared" si="23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25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22"/>
        <v>150</v>
      </c>
      <c r="AI56" s="11">
        <f t="shared" si="23"/>
        <v>150</v>
      </c>
      <c r="AK56" s="19"/>
    </row>
    <row r="57" spans="1:88" ht="15.75" thickBot="1" x14ac:dyDescent="0.3">
      <c r="A57" s="124" t="s">
        <v>210</v>
      </c>
      <c r="B57" s="122"/>
      <c r="C57" s="122"/>
      <c r="D57" s="122"/>
      <c r="E57" s="122"/>
      <c r="F57" s="122"/>
      <c r="G57" s="122"/>
      <c r="H57" s="122"/>
      <c r="I57" s="122"/>
      <c r="J57" s="122"/>
      <c r="K57" s="123"/>
      <c r="L57" s="123"/>
      <c r="M57" s="123"/>
      <c r="N57" s="123"/>
      <c r="O57" s="123"/>
      <c r="P57" s="123">
        <v>40</v>
      </c>
      <c r="Q57" s="123">
        <v>40</v>
      </c>
      <c r="R57" s="123">
        <v>34.799999999999997</v>
      </c>
      <c r="S57" s="123">
        <v>30.8</v>
      </c>
      <c r="T57" s="123">
        <v>30.8</v>
      </c>
      <c r="U57" s="123">
        <v>26.1</v>
      </c>
      <c r="V57" s="123">
        <v>25</v>
      </c>
      <c r="W57" s="123">
        <v>25</v>
      </c>
      <c r="X57" s="123">
        <v>24</v>
      </c>
      <c r="Y57" s="123">
        <v>22.8</v>
      </c>
      <c r="Z57" s="123">
        <v>22.8</v>
      </c>
      <c r="AA57" s="123">
        <v>22.8</v>
      </c>
      <c r="AB57" s="122">
        <f>13.3+9.7</f>
        <v>23</v>
      </c>
      <c r="AC57" s="122">
        <f>14.7+10.9</f>
        <v>25.6</v>
      </c>
      <c r="AD57" s="122">
        <f>15.1+11.3</f>
        <v>26.4</v>
      </c>
      <c r="AE57" s="122">
        <f>13.2+17.6</f>
        <v>30.8</v>
      </c>
      <c r="AF57" s="122">
        <f>14.9+21</f>
        <v>35.9</v>
      </c>
      <c r="AG57" s="86">
        <v>240</v>
      </c>
      <c r="AH57" s="12">
        <f t="shared" si="22"/>
        <v>40</v>
      </c>
      <c r="AI57" s="11">
        <f t="shared" si="23"/>
        <v>22.8</v>
      </c>
      <c r="AK57" s="19"/>
    </row>
    <row r="58" spans="1:88" ht="15.75" thickBot="1" x14ac:dyDescent="0.3">
      <c r="A58" s="121" t="s">
        <v>209</v>
      </c>
      <c r="B58" s="76">
        <f t="shared" ref="B58:AF58" si="24">SUM(B11:B56)</f>
        <v>463.59999999999997</v>
      </c>
      <c r="C58" s="76">
        <f t="shared" si="24"/>
        <v>463.59999999999997</v>
      </c>
      <c r="D58" s="76">
        <f t="shared" si="24"/>
        <v>463.59999999999997</v>
      </c>
      <c r="E58" s="76">
        <f t="shared" si="24"/>
        <v>472.7</v>
      </c>
      <c r="F58" s="76">
        <f t="shared" si="24"/>
        <v>475.09999999999997</v>
      </c>
      <c r="G58" s="76">
        <f t="shared" si="24"/>
        <v>473</v>
      </c>
      <c r="H58" s="76">
        <f t="shared" si="24"/>
        <v>472.2</v>
      </c>
      <c r="I58" s="76">
        <f t="shared" si="24"/>
        <v>472.2</v>
      </c>
      <c r="J58" s="76">
        <f t="shared" si="24"/>
        <v>472.2</v>
      </c>
      <c r="K58" s="76">
        <f t="shared" si="24"/>
        <v>470.09999999999997</v>
      </c>
      <c r="L58" s="76">
        <f t="shared" si="24"/>
        <v>470.09999999999997</v>
      </c>
      <c r="M58" s="76">
        <f t="shared" si="24"/>
        <v>470.09999999999997</v>
      </c>
      <c r="N58" s="76">
        <f t="shared" si="24"/>
        <v>470.09999999999997</v>
      </c>
      <c r="O58" s="76">
        <f t="shared" si="24"/>
        <v>470.09999999999997</v>
      </c>
      <c r="P58" s="76">
        <f t="shared" si="24"/>
        <v>470.09999999999997</v>
      </c>
      <c r="Q58" s="76">
        <f t="shared" si="24"/>
        <v>467.5</v>
      </c>
      <c r="R58" s="76">
        <f t="shared" si="24"/>
        <v>468.4</v>
      </c>
      <c r="S58" s="76">
        <f t="shared" si="24"/>
        <v>468.4</v>
      </c>
      <c r="T58" s="76">
        <f t="shared" si="24"/>
        <v>468.4</v>
      </c>
      <c r="U58" s="76">
        <f t="shared" si="24"/>
        <v>468.4</v>
      </c>
      <c r="V58" s="76">
        <f t="shared" si="24"/>
        <v>468.4</v>
      </c>
      <c r="W58" s="76">
        <f t="shared" si="24"/>
        <v>468.4</v>
      </c>
      <c r="X58" s="76">
        <f t="shared" si="24"/>
        <v>468.4</v>
      </c>
      <c r="Y58" s="76">
        <f t="shared" si="24"/>
        <v>468.4</v>
      </c>
      <c r="Z58" s="76">
        <f t="shared" si="24"/>
        <v>468.4</v>
      </c>
      <c r="AA58" s="76">
        <f t="shared" si="24"/>
        <v>468.4</v>
      </c>
      <c r="AB58" s="76">
        <f t="shared" si="24"/>
        <v>468.7</v>
      </c>
      <c r="AC58" s="76">
        <f t="shared" si="24"/>
        <v>468.7</v>
      </c>
      <c r="AD58" s="76">
        <f t="shared" si="24"/>
        <v>468.7</v>
      </c>
      <c r="AE58" s="76">
        <f t="shared" si="24"/>
        <v>480.09999999999997</v>
      </c>
      <c r="AF58" s="76">
        <f t="shared" si="24"/>
        <v>483.79999999999995</v>
      </c>
      <c r="AG58" s="93">
        <f>SUM(AG14:AG56)</f>
        <v>1042.4000000000001</v>
      </c>
      <c r="AH58" s="12">
        <f t="shared" si="22"/>
        <v>483.79999999999995</v>
      </c>
      <c r="AI58" s="11">
        <f t="shared" si="23"/>
        <v>463.59999999999997</v>
      </c>
      <c r="AK58" s="19"/>
    </row>
    <row r="59" spans="1:88" x14ac:dyDescent="0.25">
      <c r="A59" s="120" t="s">
        <v>208</v>
      </c>
      <c r="B59" s="102">
        <v>76</v>
      </c>
      <c r="C59" s="102">
        <v>70</v>
      </c>
      <c r="D59" s="102">
        <v>70</v>
      </c>
      <c r="E59" s="102">
        <v>70</v>
      </c>
      <c r="F59" s="102">
        <v>70</v>
      </c>
      <c r="G59" s="102">
        <v>76</v>
      </c>
      <c r="H59" s="102">
        <v>80</v>
      </c>
      <c r="I59" s="102">
        <v>130</v>
      </c>
      <c r="J59" s="102">
        <v>0</v>
      </c>
      <c r="K59" s="102">
        <v>0</v>
      </c>
      <c r="L59" s="102">
        <v>0</v>
      </c>
      <c r="M59" s="102">
        <v>0</v>
      </c>
      <c r="N59" s="119">
        <v>0</v>
      </c>
      <c r="O59" s="119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19">
        <v>0</v>
      </c>
      <c r="X59" s="119">
        <v>0</v>
      </c>
      <c r="Y59" s="102">
        <v>307</v>
      </c>
      <c r="Z59" s="102">
        <v>457.7</v>
      </c>
      <c r="AA59" s="102">
        <v>415</v>
      </c>
      <c r="AB59" s="102">
        <v>379</v>
      </c>
      <c r="AC59" s="102">
        <v>253</v>
      </c>
      <c r="AD59" s="102">
        <v>202</v>
      </c>
      <c r="AE59" s="102">
        <v>160.19999999999999</v>
      </c>
      <c r="AF59" s="102">
        <v>100.7</v>
      </c>
      <c r="AG59" s="88">
        <v>456</v>
      </c>
      <c r="AH59" s="12">
        <f t="shared" si="22"/>
        <v>457.7</v>
      </c>
      <c r="AI59" s="11">
        <f t="shared" si="23"/>
        <v>0</v>
      </c>
      <c r="AK59" s="19"/>
    </row>
    <row r="60" spans="1:88" x14ac:dyDescent="0.25">
      <c r="A60" s="118" t="s">
        <v>207</v>
      </c>
      <c r="B60" s="70">
        <v>21.9</v>
      </c>
      <c r="C60" s="70">
        <v>21.9</v>
      </c>
      <c r="D60" s="70">
        <v>21.9</v>
      </c>
      <c r="E60" s="70">
        <v>48.8</v>
      </c>
      <c r="F60" s="70">
        <v>42.5</v>
      </c>
      <c r="G60" s="70">
        <v>38.6</v>
      </c>
      <c r="H60" s="70">
        <v>37.1</v>
      </c>
      <c r="I60" s="70">
        <v>36.5</v>
      </c>
      <c r="J60" s="70">
        <v>35</v>
      </c>
      <c r="K60" s="70">
        <v>33.799999999999997</v>
      </c>
      <c r="L60" s="70">
        <v>31.7</v>
      </c>
      <c r="M60" s="70">
        <v>32.9</v>
      </c>
      <c r="N60" s="70">
        <v>31.3</v>
      </c>
      <c r="O60" s="70">
        <v>29.8</v>
      </c>
      <c r="P60" s="70">
        <v>29.7</v>
      </c>
      <c r="Q60" s="70">
        <v>28.4</v>
      </c>
      <c r="R60" s="70">
        <v>28.4</v>
      </c>
      <c r="S60" s="70">
        <v>28.4</v>
      </c>
      <c r="T60" s="70">
        <v>28.4</v>
      </c>
      <c r="U60" s="70">
        <v>28.4</v>
      </c>
      <c r="V60" s="70">
        <v>28.4</v>
      </c>
      <c r="W60" s="70">
        <v>28.4</v>
      </c>
      <c r="X60" s="70">
        <v>28.4</v>
      </c>
      <c r="Y60" s="70">
        <v>28.4</v>
      </c>
      <c r="Z60" s="70">
        <v>28.4</v>
      </c>
      <c r="AA60" s="70">
        <v>28.4</v>
      </c>
      <c r="AB60" s="70">
        <v>28.4</v>
      </c>
      <c r="AC60" s="70">
        <v>28.4</v>
      </c>
      <c r="AD60" s="70">
        <v>28.4</v>
      </c>
      <c r="AE60" s="70">
        <v>24.4</v>
      </c>
      <c r="AF60" s="70">
        <v>24.5</v>
      </c>
      <c r="AG60" s="86">
        <v>60</v>
      </c>
      <c r="AH60" s="12">
        <f t="shared" si="22"/>
        <v>48.8</v>
      </c>
      <c r="AI60" s="11">
        <f t="shared" si="23"/>
        <v>21.9</v>
      </c>
      <c r="AK60" s="19"/>
    </row>
    <row r="61" spans="1:88" ht="15.75" thickBot="1" x14ac:dyDescent="0.3">
      <c r="A61" s="117" t="s">
        <v>206</v>
      </c>
      <c r="B61" s="110">
        <v>12.1</v>
      </c>
      <c r="C61" s="110">
        <v>12.1</v>
      </c>
      <c r="D61" s="110">
        <v>12.1</v>
      </c>
      <c r="E61" s="110">
        <v>14.2</v>
      </c>
      <c r="F61" s="110">
        <v>14.2</v>
      </c>
      <c r="G61" s="110">
        <v>14.1</v>
      </c>
      <c r="H61" s="110">
        <v>14.1</v>
      </c>
      <c r="I61" s="110">
        <v>14.1</v>
      </c>
      <c r="J61" s="110">
        <v>14.1</v>
      </c>
      <c r="K61" s="110">
        <v>14.1</v>
      </c>
      <c r="L61" s="110">
        <v>10.4</v>
      </c>
      <c r="M61" s="110">
        <v>10.4</v>
      </c>
      <c r="N61" s="110">
        <v>10.4</v>
      </c>
      <c r="O61" s="110">
        <v>10.3</v>
      </c>
      <c r="P61" s="110">
        <v>10.4</v>
      </c>
      <c r="Q61" s="110">
        <v>10.3</v>
      </c>
      <c r="R61" s="110">
        <v>10.4</v>
      </c>
      <c r="S61" s="110">
        <v>10.4</v>
      </c>
      <c r="T61" s="110">
        <v>10.4</v>
      </c>
      <c r="U61" s="110">
        <v>10.4</v>
      </c>
      <c r="V61" s="110">
        <v>10.4</v>
      </c>
      <c r="W61" s="110">
        <v>10.4</v>
      </c>
      <c r="X61" s="110">
        <v>10.4</v>
      </c>
      <c r="Y61" s="110">
        <v>15.2</v>
      </c>
      <c r="Z61" s="110">
        <v>16.3</v>
      </c>
      <c r="AA61" s="110">
        <v>16.3</v>
      </c>
      <c r="AB61" s="110">
        <v>16.2</v>
      </c>
      <c r="AC61" s="110">
        <v>16.2</v>
      </c>
      <c r="AD61" s="110">
        <v>11.9</v>
      </c>
      <c r="AE61" s="110">
        <v>12.2</v>
      </c>
      <c r="AF61" s="110">
        <v>12.2</v>
      </c>
      <c r="AG61" s="109">
        <v>22.1</v>
      </c>
      <c r="AH61" s="12">
        <f t="shared" si="22"/>
        <v>16.3</v>
      </c>
      <c r="AI61" s="11">
        <f t="shared" si="23"/>
        <v>10.3</v>
      </c>
      <c r="AK61" s="19"/>
    </row>
    <row r="62" spans="1:88" ht="15.75" thickBot="1" x14ac:dyDescent="0.3">
      <c r="A62" s="116" t="s">
        <v>205</v>
      </c>
      <c r="B62" s="76">
        <f t="shared" ref="B62:AG62" si="25">SUM(B59:B61)</f>
        <v>110</v>
      </c>
      <c r="C62" s="76">
        <f t="shared" si="25"/>
        <v>104</v>
      </c>
      <c r="D62" s="76">
        <f t="shared" si="25"/>
        <v>104</v>
      </c>
      <c r="E62" s="76">
        <f t="shared" si="25"/>
        <v>133</v>
      </c>
      <c r="F62" s="76">
        <f t="shared" si="25"/>
        <v>126.7</v>
      </c>
      <c r="G62" s="76">
        <f t="shared" si="25"/>
        <v>128.69999999999999</v>
      </c>
      <c r="H62" s="76">
        <f t="shared" si="25"/>
        <v>131.19999999999999</v>
      </c>
      <c r="I62" s="76">
        <f t="shared" si="25"/>
        <v>180.6</v>
      </c>
      <c r="J62" s="76">
        <f t="shared" si="25"/>
        <v>49.1</v>
      </c>
      <c r="K62" s="76">
        <f t="shared" si="25"/>
        <v>47.9</v>
      </c>
      <c r="L62" s="76">
        <f t="shared" si="25"/>
        <v>42.1</v>
      </c>
      <c r="M62" s="76">
        <f t="shared" si="25"/>
        <v>43.3</v>
      </c>
      <c r="N62" s="76">
        <f t="shared" si="25"/>
        <v>41.7</v>
      </c>
      <c r="O62" s="76">
        <f t="shared" si="25"/>
        <v>40.1</v>
      </c>
      <c r="P62" s="76">
        <f t="shared" si="25"/>
        <v>40.1</v>
      </c>
      <c r="Q62" s="76">
        <f t="shared" si="25"/>
        <v>38.700000000000003</v>
      </c>
      <c r="R62" s="76">
        <f t="shared" si="25"/>
        <v>38.799999999999997</v>
      </c>
      <c r="S62" s="76">
        <f t="shared" si="25"/>
        <v>38.799999999999997</v>
      </c>
      <c r="T62" s="76">
        <f t="shared" si="25"/>
        <v>38.799999999999997</v>
      </c>
      <c r="U62" s="76">
        <f t="shared" si="25"/>
        <v>38.799999999999997</v>
      </c>
      <c r="V62" s="76">
        <f t="shared" si="25"/>
        <v>38.799999999999997</v>
      </c>
      <c r="W62" s="76">
        <f t="shared" si="25"/>
        <v>38.799999999999997</v>
      </c>
      <c r="X62" s="76">
        <f t="shared" si="25"/>
        <v>38.799999999999997</v>
      </c>
      <c r="Y62" s="76">
        <f t="shared" si="25"/>
        <v>350.59999999999997</v>
      </c>
      <c r="Z62" s="76">
        <f t="shared" si="25"/>
        <v>502.4</v>
      </c>
      <c r="AA62" s="76">
        <f t="shared" si="25"/>
        <v>459.7</v>
      </c>
      <c r="AB62" s="76">
        <f t="shared" si="25"/>
        <v>423.59999999999997</v>
      </c>
      <c r="AC62" s="76">
        <f t="shared" si="25"/>
        <v>297.59999999999997</v>
      </c>
      <c r="AD62" s="76">
        <f t="shared" si="25"/>
        <v>242.3</v>
      </c>
      <c r="AE62" s="76">
        <f t="shared" si="25"/>
        <v>196.79999999999998</v>
      </c>
      <c r="AF62" s="76">
        <f t="shared" si="25"/>
        <v>137.4</v>
      </c>
      <c r="AG62" s="93">
        <f t="shared" si="25"/>
        <v>538.1</v>
      </c>
      <c r="AH62" s="12">
        <f t="shared" si="22"/>
        <v>502.4</v>
      </c>
      <c r="AI62" s="11">
        <f t="shared" si="23"/>
        <v>38.700000000000003</v>
      </c>
      <c r="AK62" s="19"/>
    </row>
    <row r="63" spans="1:88" x14ac:dyDescent="0.25">
      <c r="A63" s="89" t="s">
        <v>204</v>
      </c>
      <c r="B63" s="102">
        <v>80.400000000000006</v>
      </c>
      <c r="C63" s="102">
        <v>71.099999999999994</v>
      </c>
      <c r="D63" s="102">
        <v>71.099999999999994</v>
      </c>
      <c r="E63" s="102">
        <v>30.9</v>
      </c>
      <c r="F63" s="102">
        <v>29.8</v>
      </c>
      <c r="G63" s="102">
        <v>30.8</v>
      </c>
      <c r="H63" s="102">
        <v>30.9</v>
      </c>
      <c r="I63" s="102">
        <v>30.2</v>
      </c>
      <c r="J63" s="102">
        <v>60.5</v>
      </c>
      <c r="K63" s="102">
        <v>61</v>
      </c>
      <c r="L63" s="102">
        <v>70.8</v>
      </c>
      <c r="M63" s="102">
        <v>71</v>
      </c>
      <c r="N63" s="102">
        <v>61.7</v>
      </c>
      <c r="O63" s="102">
        <v>61.6</v>
      </c>
      <c r="P63" s="102">
        <v>62.3</v>
      </c>
      <c r="Q63" s="102">
        <v>61.5</v>
      </c>
      <c r="R63" s="102">
        <v>62.4</v>
      </c>
      <c r="S63" s="102">
        <v>86.1</v>
      </c>
      <c r="T63" s="102">
        <v>86.1</v>
      </c>
      <c r="U63" s="102">
        <v>65.400000000000006</v>
      </c>
      <c r="V63" s="102">
        <v>65.400000000000006</v>
      </c>
      <c r="W63" s="102">
        <v>65.400000000000006</v>
      </c>
      <c r="X63" s="102">
        <v>61.3</v>
      </c>
      <c r="Y63" s="102">
        <v>142.30000000000001</v>
      </c>
      <c r="Z63" s="102">
        <v>142.30000000000001</v>
      </c>
      <c r="AA63" s="102">
        <v>142.30000000000001</v>
      </c>
      <c r="AB63" s="102">
        <v>141.80000000000001</v>
      </c>
      <c r="AC63" s="102">
        <v>141.19999999999999</v>
      </c>
      <c r="AD63" s="102">
        <v>141.69999999999999</v>
      </c>
      <c r="AE63" s="102">
        <v>91.6</v>
      </c>
      <c r="AF63" s="102">
        <v>61.4</v>
      </c>
      <c r="AG63" s="88">
        <v>144</v>
      </c>
      <c r="AH63" s="12">
        <f t="shared" si="22"/>
        <v>142.30000000000001</v>
      </c>
      <c r="AI63" s="11">
        <f t="shared" si="23"/>
        <v>29.8</v>
      </c>
      <c r="AK63" s="19"/>
    </row>
    <row r="64" spans="1:88" x14ac:dyDescent="0.25">
      <c r="A64" s="87" t="s">
        <v>203</v>
      </c>
      <c r="B64" s="70">
        <v>49.4</v>
      </c>
      <c r="C64" s="70">
        <v>25.4</v>
      </c>
      <c r="D64" s="70">
        <v>25.4</v>
      </c>
      <c r="E64" s="70">
        <v>23</v>
      </c>
      <c r="F64" s="70">
        <v>22.8</v>
      </c>
      <c r="G64" s="70">
        <v>22.9</v>
      </c>
      <c r="H64" s="70">
        <v>24.2</v>
      </c>
      <c r="I64" s="70">
        <v>25.6</v>
      </c>
      <c r="J64" s="70">
        <v>0</v>
      </c>
      <c r="K64" s="70">
        <v>0</v>
      </c>
      <c r="L64" s="70">
        <v>0</v>
      </c>
      <c r="M64" s="70">
        <v>22.1</v>
      </c>
      <c r="N64" s="70">
        <v>33.200000000000003</v>
      </c>
      <c r="O64" s="70">
        <v>33.5</v>
      </c>
      <c r="P64" s="70">
        <v>33.799999999999997</v>
      </c>
      <c r="Q64" s="70">
        <v>33.9</v>
      </c>
      <c r="R64" s="70">
        <v>33.700000000000003</v>
      </c>
      <c r="S64" s="70">
        <v>33.700000000000003</v>
      </c>
      <c r="T64" s="70">
        <v>33.700000000000003</v>
      </c>
      <c r="U64" s="70">
        <v>33.700000000000003</v>
      </c>
      <c r="V64" s="70">
        <v>33.700000000000003</v>
      </c>
      <c r="W64" s="70">
        <v>25</v>
      </c>
      <c r="X64" s="70">
        <v>25</v>
      </c>
      <c r="Y64" s="70">
        <v>59.4</v>
      </c>
      <c r="Z64" s="102">
        <v>69.900000000000006</v>
      </c>
      <c r="AA64" s="102">
        <v>69.900000000000006</v>
      </c>
      <c r="AB64" s="102">
        <v>69.8</v>
      </c>
      <c r="AC64" s="102">
        <v>70.099999999999994</v>
      </c>
      <c r="AD64" s="102">
        <v>65.8</v>
      </c>
      <c r="AE64" s="102">
        <v>66.400000000000006</v>
      </c>
      <c r="AF64" s="102">
        <v>34.700000000000003</v>
      </c>
      <c r="AG64" s="86">
        <v>70</v>
      </c>
      <c r="AH64" s="12">
        <f t="shared" si="22"/>
        <v>70.099999999999994</v>
      </c>
      <c r="AI64" s="11">
        <f t="shared" si="23"/>
        <v>0</v>
      </c>
      <c r="AK64" s="19"/>
    </row>
    <row r="65" spans="1:75" x14ac:dyDescent="0.25">
      <c r="A65" s="87" t="s">
        <v>202</v>
      </c>
      <c r="B65" s="70">
        <v>45.1</v>
      </c>
      <c r="C65" s="70">
        <v>32.4</v>
      </c>
      <c r="D65" s="70">
        <v>32.4</v>
      </c>
      <c r="E65" s="70">
        <v>32.700000000000003</v>
      </c>
      <c r="F65" s="70">
        <v>32.799999999999997</v>
      </c>
      <c r="G65" s="70">
        <v>31.8</v>
      </c>
      <c r="H65" s="70">
        <v>31.9</v>
      </c>
      <c r="I65" s="70">
        <v>31.8</v>
      </c>
      <c r="J65" s="70">
        <v>17</v>
      </c>
      <c r="K65" s="70">
        <v>16.7</v>
      </c>
      <c r="L65" s="70">
        <v>16.5</v>
      </c>
      <c r="M65" s="70">
        <v>16.5</v>
      </c>
      <c r="N65" s="70">
        <v>39.6</v>
      </c>
      <c r="O65" s="70">
        <v>37.4</v>
      </c>
      <c r="P65" s="70">
        <v>37.200000000000003</v>
      </c>
      <c r="Q65" s="70">
        <v>37</v>
      </c>
      <c r="R65" s="70">
        <v>36.9</v>
      </c>
      <c r="S65" s="70">
        <v>23</v>
      </c>
      <c r="T65" s="70">
        <v>23</v>
      </c>
      <c r="U65" s="70">
        <v>0</v>
      </c>
      <c r="V65" s="70">
        <v>0</v>
      </c>
      <c r="W65" s="70">
        <v>0</v>
      </c>
      <c r="X65" s="70">
        <v>0</v>
      </c>
      <c r="Y65" s="70">
        <v>54.6</v>
      </c>
      <c r="Z65" s="102">
        <v>67</v>
      </c>
      <c r="AA65" s="102">
        <v>62</v>
      </c>
      <c r="AB65" s="102">
        <v>61.5</v>
      </c>
      <c r="AC65" s="102">
        <v>61.3</v>
      </c>
      <c r="AD65" s="102">
        <v>61.4</v>
      </c>
      <c r="AE65" s="102">
        <v>60.7</v>
      </c>
      <c r="AF65" s="102">
        <v>50.5</v>
      </c>
      <c r="AG65" s="86">
        <v>69</v>
      </c>
      <c r="AH65" s="12">
        <f t="shared" si="22"/>
        <v>67</v>
      </c>
      <c r="AI65" s="11">
        <f t="shared" si="23"/>
        <v>0</v>
      </c>
      <c r="AK65" s="19"/>
    </row>
    <row r="66" spans="1:75" x14ac:dyDescent="0.25">
      <c r="A66" s="87" t="s">
        <v>201</v>
      </c>
      <c r="B66" s="70">
        <v>36</v>
      </c>
      <c r="C66" s="70">
        <v>36</v>
      </c>
      <c r="D66" s="70">
        <v>36</v>
      </c>
      <c r="E66" s="70">
        <v>39</v>
      </c>
      <c r="F66" s="70">
        <v>39</v>
      </c>
      <c r="G66" s="70">
        <v>39</v>
      </c>
      <c r="H66" s="70">
        <v>39</v>
      </c>
      <c r="I66" s="70">
        <v>45.3</v>
      </c>
      <c r="J66" s="70">
        <v>42.8</v>
      </c>
      <c r="K66" s="122">
        <v>39.299999999999997</v>
      </c>
      <c r="L66" s="122">
        <v>39.299999999999997</v>
      </c>
      <c r="M66" s="70">
        <v>39.299999999999997</v>
      </c>
      <c r="N66" s="70">
        <v>39.299999999999997</v>
      </c>
      <c r="O66" s="70">
        <v>39.5</v>
      </c>
      <c r="P66" s="70">
        <v>39.5</v>
      </c>
      <c r="Q66" s="70">
        <v>39.299999999999997</v>
      </c>
      <c r="R66" s="70">
        <v>37.299999999999997</v>
      </c>
      <c r="S66" s="70">
        <v>37.299999999999997</v>
      </c>
      <c r="T66" s="70">
        <v>37.299999999999997</v>
      </c>
      <c r="U66" s="70">
        <v>36.299999999999997</v>
      </c>
      <c r="V66" s="70">
        <v>36.299999999999997</v>
      </c>
      <c r="W66" s="70">
        <v>36.299999999999997</v>
      </c>
      <c r="X66" s="70">
        <v>36.299999999999997</v>
      </c>
      <c r="Y66" s="70">
        <v>36.299999999999997</v>
      </c>
      <c r="Z66" s="102">
        <v>36.299999999999997</v>
      </c>
      <c r="AA66" s="102">
        <v>36.299999999999997</v>
      </c>
      <c r="AB66" s="102">
        <v>37.299999999999997</v>
      </c>
      <c r="AC66" s="102">
        <v>37.299999999999997</v>
      </c>
      <c r="AD66" s="102">
        <v>37.299999999999997</v>
      </c>
      <c r="AE66" s="102">
        <v>38.299999999999997</v>
      </c>
      <c r="AF66" s="102">
        <v>40.1</v>
      </c>
      <c r="AG66" s="86">
        <v>60</v>
      </c>
      <c r="AH66" s="12">
        <f t="shared" si="22"/>
        <v>45.3</v>
      </c>
      <c r="AI66" s="11">
        <f t="shared" si="23"/>
        <v>36</v>
      </c>
      <c r="AK66" s="19"/>
    </row>
    <row r="67" spans="1:75" x14ac:dyDescent="0.25">
      <c r="A67" s="87" t="s">
        <v>200</v>
      </c>
      <c r="B67" s="102">
        <v>0</v>
      </c>
      <c r="C67" s="102">
        <v>0</v>
      </c>
      <c r="D67" s="102">
        <v>0</v>
      </c>
      <c r="E67" s="70">
        <v>0</v>
      </c>
      <c r="F67" s="70">
        <v>0</v>
      </c>
      <c r="G67" s="70">
        <v>0</v>
      </c>
      <c r="H67" s="70">
        <v>0</v>
      </c>
      <c r="I67" s="70">
        <v>0</v>
      </c>
      <c r="J67" s="70">
        <v>0</v>
      </c>
      <c r="K67" s="70">
        <v>0</v>
      </c>
      <c r="L67" s="122">
        <v>10</v>
      </c>
      <c r="M67" s="70">
        <v>10.3</v>
      </c>
      <c r="N67" s="70">
        <v>10.3</v>
      </c>
      <c r="O67" s="70">
        <v>15.1</v>
      </c>
      <c r="P67" s="70">
        <v>15.1</v>
      </c>
      <c r="Q67" s="70">
        <v>10.1</v>
      </c>
      <c r="R67" s="70">
        <v>15</v>
      </c>
      <c r="S67" s="70">
        <v>15</v>
      </c>
      <c r="T67" s="70">
        <v>15</v>
      </c>
      <c r="U67" s="70">
        <v>10</v>
      </c>
      <c r="V67" s="70">
        <v>10</v>
      </c>
      <c r="W67" s="70">
        <v>10</v>
      </c>
      <c r="X67" s="70">
        <v>10</v>
      </c>
      <c r="Y67" s="70">
        <v>28</v>
      </c>
      <c r="Z67" s="102">
        <v>28</v>
      </c>
      <c r="AA67" s="102">
        <v>28</v>
      </c>
      <c r="AB67" s="102">
        <v>27</v>
      </c>
      <c r="AC67" s="102">
        <v>27</v>
      </c>
      <c r="AD67" s="102">
        <v>10</v>
      </c>
      <c r="AE67" s="102">
        <v>0</v>
      </c>
      <c r="AF67" s="102">
        <v>0</v>
      </c>
      <c r="AG67" s="86">
        <v>30</v>
      </c>
      <c r="AH67" s="12">
        <f t="shared" si="22"/>
        <v>28</v>
      </c>
      <c r="AI67" s="11">
        <f t="shared" si="23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25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0.2</v>
      </c>
      <c r="J68" s="102">
        <v>0.9</v>
      </c>
      <c r="K68" s="102">
        <v>0.9</v>
      </c>
      <c r="L68" s="102">
        <v>3.3</v>
      </c>
      <c r="M68" s="70">
        <v>4</v>
      </c>
      <c r="N68" s="70">
        <v>8</v>
      </c>
      <c r="O68" s="70">
        <v>13.4</v>
      </c>
      <c r="P68" s="70">
        <v>15.1</v>
      </c>
      <c r="Q68" s="70">
        <v>15.7</v>
      </c>
      <c r="R68" s="70">
        <v>14.8</v>
      </c>
      <c r="S68" s="70">
        <v>13.5</v>
      </c>
      <c r="T68" s="70">
        <v>13.5</v>
      </c>
      <c r="U68" s="70">
        <v>6.3</v>
      </c>
      <c r="V68" s="70">
        <v>1.9</v>
      </c>
      <c r="W68" s="70">
        <v>1.3</v>
      </c>
      <c r="X68" s="70">
        <v>0</v>
      </c>
      <c r="Y68" s="70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22"/>
        <v>15.7</v>
      </c>
      <c r="AI68" s="11">
        <f t="shared" si="23"/>
        <v>0</v>
      </c>
      <c r="AK68" s="19"/>
      <c r="AY68" s="1" t="s">
        <v>198</v>
      </c>
      <c r="AZ68" s="78">
        <f>ROUND(C81,0)</f>
        <v>39</v>
      </c>
      <c r="BA68" s="83">
        <f t="shared" ref="BA68:BD72" si="26">D81</f>
        <v>35.5</v>
      </c>
      <c r="BB68" s="83">
        <f t="shared" si="26"/>
        <v>32.200000000000003</v>
      </c>
      <c r="BC68" s="83">
        <f t="shared" si="26"/>
        <v>30.2</v>
      </c>
      <c r="BD68" s="83">
        <f t="shared" si="26"/>
        <v>29.6</v>
      </c>
      <c r="BE68" s="78">
        <f>I81</f>
        <v>31.4</v>
      </c>
      <c r="BF68" s="78">
        <f>K81</f>
        <v>64</v>
      </c>
      <c r="BG68" s="78">
        <f t="shared" ref="BG68:BP72" si="27">M81</f>
        <v>66.099999999999994</v>
      </c>
      <c r="BH68" s="78">
        <f t="shared" si="27"/>
        <v>65.900000000000006</v>
      </c>
      <c r="BI68" s="78">
        <f t="shared" si="27"/>
        <v>63.6</v>
      </c>
      <c r="BJ68" s="78">
        <f t="shared" si="27"/>
        <v>72.400000000000006</v>
      </c>
      <c r="BK68" s="78">
        <f t="shared" si="27"/>
        <v>70</v>
      </c>
      <c r="BL68" s="78">
        <f t="shared" si="27"/>
        <v>75</v>
      </c>
      <c r="BM68" s="78">
        <f t="shared" si="27"/>
        <v>65.5</v>
      </c>
      <c r="BN68" s="78">
        <f t="shared" si="27"/>
        <v>69.3</v>
      </c>
      <c r="BO68" s="78">
        <f t="shared" si="27"/>
        <v>56.6</v>
      </c>
      <c r="BP68" s="78">
        <f t="shared" si="27"/>
        <v>61.3</v>
      </c>
      <c r="BQ68" s="78">
        <f>X81</f>
        <v>61.5</v>
      </c>
      <c r="BR68" s="78">
        <f>Z81</f>
        <v>35.4</v>
      </c>
      <c r="BS68" s="83">
        <f>AB81</f>
        <v>43.1</v>
      </c>
      <c r="BT68" s="83">
        <f t="shared" ref="BT68:BV72" si="28">AD81</f>
        <v>58.7</v>
      </c>
      <c r="BU68" s="83">
        <f t="shared" si="28"/>
        <v>62.9</v>
      </c>
      <c r="BV68" s="83">
        <f t="shared" si="28"/>
        <v>54.2</v>
      </c>
      <c r="BW68" s="83">
        <f>B81</f>
        <v>42.9</v>
      </c>
    </row>
    <row r="69" spans="1:75" x14ac:dyDescent="0.25">
      <c r="A69" s="87" t="s">
        <v>197</v>
      </c>
      <c r="B69" s="70">
        <v>14.5</v>
      </c>
      <c r="C69" s="70">
        <v>14.5</v>
      </c>
      <c r="D69" s="70">
        <v>14.5</v>
      </c>
      <c r="E69" s="70">
        <v>14.5</v>
      </c>
      <c r="F69" s="70">
        <v>14.5</v>
      </c>
      <c r="G69" s="70">
        <v>14.5</v>
      </c>
      <c r="H69" s="70">
        <v>14.5</v>
      </c>
      <c r="I69" s="70">
        <v>14.5</v>
      </c>
      <c r="J69" s="70">
        <v>14.5</v>
      </c>
      <c r="K69" s="70">
        <v>14.5</v>
      </c>
      <c r="L69" s="70">
        <v>14.5</v>
      </c>
      <c r="M69" s="70">
        <v>14.5</v>
      </c>
      <c r="N69" s="70">
        <v>14.5</v>
      </c>
      <c r="O69" s="70">
        <v>14.5</v>
      </c>
      <c r="P69" s="70">
        <v>14.5</v>
      </c>
      <c r="Q69" s="70">
        <v>14.5</v>
      </c>
      <c r="R69" s="70">
        <v>14.5</v>
      </c>
      <c r="S69" s="70">
        <v>14.5</v>
      </c>
      <c r="T69" s="70">
        <v>14.5</v>
      </c>
      <c r="U69" s="70">
        <v>14.5</v>
      </c>
      <c r="V69" s="70">
        <v>14.5</v>
      </c>
      <c r="W69" s="70">
        <v>14.5</v>
      </c>
      <c r="X69" s="70">
        <v>14.5</v>
      </c>
      <c r="Y69" s="70">
        <v>14.5</v>
      </c>
      <c r="Z69" s="70">
        <v>14.5</v>
      </c>
      <c r="AA69" s="70">
        <v>14.5</v>
      </c>
      <c r="AB69" s="70">
        <v>14.5</v>
      </c>
      <c r="AC69" s="70">
        <v>14.5</v>
      </c>
      <c r="AD69" s="70">
        <v>14.5</v>
      </c>
      <c r="AE69" s="70">
        <v>14.5</v>
      </c>
      <c r="AF69" s="70">
        <v>14.5</v>
      </c>
      <c r="AG69" s="86">
        <v>24</v>
      </c>
      <c r="AH69" s="12">
        <f t="shared" si="22"/>
        <v>14.5</v>
      </c>
      <c r="AI69" s="11">
        <f t="shared" si="23"/>
        <v>14.5</v>
      </c>
      <c r="AK69" s="19"/>
      <c r="AY69" s="1" t="s">
        <v>196</v>
      </c>
      <c r="AZ69" s="78">
        <f>ROUND(C82,0)</f>
        <v>0</v>
      </c>
      <c r="BA69" s="83">
        <f t="shared" si="26"/>
        <v>0</v>
      </c>
      <c r="BB69" s="83">
        <f t="shared" si="26"/>
        <v>0</v>
      </c>
      <c r="BC69" s="83">
        <f t="shared" si="26"/>
        <v>0</v>
      </c>
      <c r="BD69" s="83">
        <f t="shared" si="26"/>
        <v>0</v>
      </c>
      <c r="BE69" s="78">
        <f>I82</f>
        <v>0</v>
      </c>
      <c r="BF69" s="78">
        <f>K82</f>
        <v>0</v>
      </c>
      <c r="BG69" s="78">
        <f t="shared" si="27"/>
        <v>0</v>
      </c>
      <c r="BH69" s="78">
        <f t="shared" si="27"/>
        <v>0</v>
      </c>
      <c r="BI69" s="78">
        <f t="shared" si="27"/>
        <v>0</v>
      </c>
      <c r="BJ69" s="78">
        <f t="shared" si="27"/>
        <v>0</v>
      </c>
      <c r="BK69" s="78">
        <f t="shared" si="27"/>
        <v>0</v>
      </c>
      <c r="BL69" s="78">
        <f t="shared" si="27"/>
        <v>0</v>
      </c>
      <c r="BM69" s="78">
        <f t="shared" si="27"/>
        <v>0</v>
      </c>
      <c r="BN69" s="78">
        <f t="shared" si="27"/>
        <v>90</v>
      </c>
      <c r="BO69" s="78">
        <f t="shared" si="27"/>
        <v>100</v>
      </c>
      <c r="BP69" s="78">
        <f t="shared" si="27"/>
        <v>100</v>
      </c>
      <c r="BQ69" s="78">
        <f>X82</f>
        <v>102</v>
      </c>
      <c r="BR69" s="78">
        <f>Z82</f>
        <v>0</v>
      </c>
      <c r="BS69" s="83">
        <f>AB82</f>
        <v>0</v>
      </c>
      <c r="BT69" s="83">
        <f t="shared" si="28"/>
        <v>0</v>
      </c>
      <c r="BU69" s="83">
        <f t="shared" si="28"/>
        <v>0</v>
      </c>
      <c r="BV69" s="83">
        <f t="shared" si="28"/>
        <v>0</v>
      </c>
      <c r="BW69" s="83">
        <f>B82</f>
        <v>0</v>
      </c>
    </row>
    <row r="70" spans="1:75" x14ac:dyDescent="0.25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22"/>
        <v>0</v>
      </c>
      <c r="AI70" s="11">
        <f t="shared" si="23"/>
        <v>0</v>
      </c>
      <c r="AK70" s="19"/>
      <c r="AL70" s="115"/>
      <c r="AO70" s="115"/>
      <c r="AY70" s="1" t="s">
        <v>194</v>
      </c>
      <c r="AZ70" s="78">
        <f>ROUND(C83,0)</f>
        <v>113</v>
      </c>
      <c r="BA70" s="83">
        <f t="shared" si="26"/>
        <v>88</v>
      </c>
      <c r="BB70" s="83">
        <f t="shared" si="26"/>
        <v>137.4</v>
      </c>
      <c r="BC70" s="83">
        <f t="shared" si="26"/>
        <v>141.69999999999999</v>
      </c>
      <c r="BD70" s="83">
        <f t="shared" si="26"/>
        <v>187</v>
      </c>
      <c r="BE70" s="78">
        <f>I83</f>
        <v>165</v>
      </c>
      <c r="BF70" s="78">
        <f>K83</f>
        <v>470</v>
      </c>
      <c r="BG70" s="78">
        <f t="shared" si="27"/>
        <v>478</v>
      </c>
      <c r="BH70" s="78">
        <f t="shared" si="27"/>
        <v>500.5</v>
      </c>
      <c r="BI70" s="78">
        <f t="shared" si="27"/>
        <v>539.9</v>
      </c>
      <c r="BJ70" s="78">
        <f t="shared" si="27"/>
        <v>522.4</v>
      </c>
      <c r="BK70" s="78">
        <f t="shared" si="27"/>
        <v>540.70000000000005</v>
      </c>
      <c r="BL70" s="78">
        <f t="shared" si="27"/>
        <v>539.37</v>
      </c>
      <c r="BM70" s="78">
        <f t="shared" si="27"/>
        <v>544</v>
      </c>
      <c r="BN70" s="78">
        <f t="shared" si="27"/>
        <v>472</v>
      </c>
      <c r="BO70" s="78">
        <f t="shared" si="27"/>
        <v>478</v>
      </c>
      <c r="BP70" s="78">
        <f t="shared" si="27"/>
        <v>449</v>
      </c>
      <c r="BQ70" s="78">
        <f>X83</f>
        <v>420</v>
      </c>
      <c r="BR70" s="78">
        <f>Z83</f>
        <v>95.1</v>
      </c>
      <c r="BS70" s="83">
        <f>AB83</f>
        <v>78.8</v>
      </c>
      <c r="BT70" s="83">
        <f t="shared" si="28"/>
        <v>186</v>
      </c>
      <c r="BU70" s="83">
        <f t="shared" si="28"/>
        <v>179</v>
      </c>
      <c r="BV70" s="83">
        <f t="shared" si="28"/>
        <v>208.6</v>
      </c>
      <c r="BW70" s="83">
        <f>B83</f>
        <v>73.8</v>
      </c>
    </row>
    <row r="71" spans="1:75" s="115" customFormat="1" x14ac:dyDescent="0.25">
      <c r="A71" s="87" t="s">
        <v>193</v>
      </c>
      <c r="B71" s="70">
        <v>10.5</v>
      </c>
      <c r="C71" s="70">
        <v>10.5</v>
      </c>
      <c r="D71" s="70">
        <v>10.5</v>
      </c>
      <c r="E71" s="70">
        <v>10.5</v>
      </c>
      <c r="F71" s="70">
        <v>10.5</v>
      </c>
      <c r="G71" s="70">
        <v>10.5</v>
      </c>
      <c r="H71" s="70">
        <v>10.5</v>
      </c>
      <c r="I71" s="70">
        <v>10.5</v>
      </c>
      <c r="J71" s="70">
        <v>10.5</v>
      </c>
      <c r="K71" s="70">
        <v>10.5</v>
      </c>
      <c r="L71" s="70">
        <v>10.5</v>
      </c>
      <c r="M71" s="70">
        <v>10.5</v>
      </c>
      <c r="N71" s="70">
        <v>10.5</v>
      </c>
      <c r="O71" s="70">
        <v>10.5</v>
      </c>
      <c r="P71" s="70">
        <v>11.5</v>
      </c>
      <c r="Q71" s="70">
        <v>11.5</v>
      </c>
      <c r="R71" s="70">
        <v>11.5</v>
      </c>
      <c r="S71" s="70">
        <v>9.8000000000000007</v>
      </c>
      <c r="T71" s="70">
        <v>9.8000000000000007</v>
      </c>
      <c r="U71" s="70">
        <v>9.8000000000000007</v>
      </c>
      <c r="V71" s="70">
        <v>9.8000000000000007</v>
      </c>
      <c r="W71" s="70">
        <v>9.8000000000000007</v>
      </c>
      <c r="X71" s="70">
        <v>9.8000000000000007</v>
      </c>
      <c r="Y71" s="70">
        <v>9.8000000000000007</v>
      </c>
      <c r="Z71" s="70">
        <v>9.8000000000000007</v>
      </c>
      <c r="AA71" s="70">
        <v>9.8000000000000007</v>
      </c>
      <c r="AB71" s="70">
        <v>9.8000000000000007</v>
      </c>
      <c r="AC71" s="70">
        <v>9.8000000000000007</v>
      </c>
      <c r="AD71" s="70">
        <v>9.8000000000000007</v>
      </c>
      <c r="AE71" s="70">
        <v>10.199999999999999</v>
      </c>
      <c r="AF71" s="70">
        <v>10.5</v>
      </c>
      <c r="AG71" s="86">
        <v>14.1</v>
      </c>
      <c r="AH71" s="12">
        <f t="shared" si="22"/>
        <v>11.5</v>
      </c>
      <c r="AI71" s="11">
        <f t="shared" si="23"/>
        <v>9.8000000000000007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26"/>
        <v>0</v>
      </c>
      <c r="BB71" s="83">
        <f t="shared" si="26"/>
        <v>0</v>
      </c>
      <c r="BC71" s="83">
        <f t="shared" si="26"/>
        <v>0</v>
      </c>
      <c r="BD71" s="83" t="str">
        <f t="shared" si="26"/>
        <v xml:space="preserve"> </v>
      </c>
      <c r="BE71" s="78">
        <f>I84</f>
        <v>45.4</v>
      </c>
      <c r="BF71" s="78">
        <f>K84</f>
        <v>40.799999999999997</v>
      </c>
      <c r="BG71" s="78">
        <f t="shared" si="27"/>
        <v>41.8</v>
      </c>
      <c r="BH71" s="78">
        <f t="shared" si="27"/>
        <v>41.4</v>
      </c>
      <c r="BI71" s="78">
        <f t="shared" si="27"/>
        <v>40.9</v>
      </c>
      <c r="BJ71" s="78">
        <f t="shared" si="27"/>
        <v>43.8</v>
      </c>
      <c r="BK71" s="78">
        <f t="shared" si="27"/>
        <v>43</v>
      </c>
      <c r="BL71" s="78">
        <f t="shared" si="27"/>
        <v>39.299999999999997</v>
      </c>
      <c r="BM71" s="78">
        <f t="shared" si="27"/>
        <v>45.3</v>
      </c>
      <c r="BN71" s="78">
        <f t="shared" si="27"/>
        <v>49</v>
      </c>
      <c r="BO71" s="78">
        <f t="shared" si="27"/>
        <v>48.3</v>
      </c>
      <c r="BP71" s="78">
        <f t="shared" si="27"/>
        <v>44.2</v>
      </c>
      <c r="BQ71" s="78">
        <f>X84</f>
        <v>24</v>
      </c>
      <c r="BR71" s="78">
        <f>Z84</f>
        <v>0</v>
      </c>
      <c r="BS71" s="83">
        <f>AB84</f>
        <v>0</v>
      </c>
      <c r="BT71" s="83">
        <f t="shared" si="28"/>
        <v>0</v>
      </c>
      <c r="BU71" s="83">
        <f t="shared" si="28"/>
        <v>0</v>
      </c>
      <c r="BV71" s="83">
        <f t="shared" si="28"/>
        <v>0</v>
      </c>
      <c r="BW71" s="83">
        <f>B84</f>
        <v>0</v>
      </c>
    </row>
    <row r="72" spans="1:75" x14ac:dyDescent="0.25">
      <c r="A72" s="111" t="s">
        <v>191</v>
      </c>
      <c r="B72" s="70">
        <v>6.7</v>
      </c>
      <c r="C72" s="70">
        <v>6.7</v>
      </c>
      <c r="D72" s="70">
        <v>6.7</v>
      </c>
      <c r="E72" s="70">
        <v>6.7</v>
      </c>
      <c r="F72" s="70">
        <v>6.7</v>
      </c>
      <c r="G72" s="70">
        <v>6.7</v>
      </c>
      <c r="H72" s="70">
        <v>6.7</v>
      </c>
      <c r="I72" s="70">
        <v>6.7</v>
      </c>
      <c r="J72" s="70">
        <v>6.7</v>
      </c>
      <c r="K72" s="70">
        <v>6.7</v>
      </c>
      <c r="L72" s="70">
        <v>6.7</v>
      </c>
      <c r="M72" s="70">
        <v>6.7</v>
      </c>
      <c r="N72" s="70">
        <v>6.7</v>
      </c>
      <c r="O72" s="70">
        <v>6.7</v>
      </c>
      <c r="P72" s="70">
        <v>7.1</v>
      </c>
      <c r="Q72" s="70">
        <v>6.5</v>
      </c>
      <c r="R72" s="70">
        <v>6.5</v>
      </c>
      <c r="S72" s="70">
        <v>6.5</v>
      </c>
      <c r="T72" s="70">
        <v>6.5</v>
      </c>
      <c r="U72" s="70">
        <v>6.5</v>
      </c>
      <c r="V72" s="70">
        <v>6.5</v>
      </c>
      <c r="W72" s="70">
        <v>6.5</v>
      </c>
      <c r="X72" s="70">
        <v>6.5</v>
      </c>
      <c r="Y72" s="70">
        <v>6.5</v>
      </c>
      <c r="Z72" s="70">
        <v>6.5</v>
      </c>
      <c r="AA72" s="70">
        <v>6.5</v>
      </c>
      <c r="AB72" s="70">
        <v>6.5</v>
      </c>
      <c r="AC72" s="70">
        <v>6.5</v>
      </c>
      <c r="AD72" s="70">
        <v>6.5</v>
      </c>
      <c r="AE72" s="70">
        <v>6.9</v>
      </c>
      <c r="AF72" s="70">
        <v>7.1</v>
      </c>
      <c r="AG72" s="86">
        <v>14</v>
      </c>
      <c r="AH72" s="12">
        <f t="shared" si="22"/>
        <v>7.1</v>
      </c>
      <c r="AI72" s="11">
        <f t="shared" si="23"/>
        <v>6.5</v>
      </c>
      <c r="AK72" s="19"/>
      <c r="AY72" s="1" t="s">
        <v>190</v>
      </c>
      <c r="AZ72" s="78">
        <f>ROUND(C85,0)</f>
        <v>0</v>
      </c>
      <c r="BA72" s="83">
        <f t="shared" si="26"/>
        <v>0</v>
      </c>
      <c r="BB72" s="83">
        <f t="shared" si="26"/>
        <v>0</v>
      </c>
      <c r="BC72" s="83">
        <f t="shared" si="26"/>
        <v>0</v>
      </c>
      <c r="BD72" s="83">
        <f t="shared" si="26"/>
        <v>0</v>
      </c>
      <c r="BE72" s="78">
        <f>I85</f>
        <v>0</v>
      </c>
      <c r="BF72" s="78">
        <f>K85</f>
        <v>90</v>
      </c>
      <c r="BG72" s="78">
        <f t="shared" si="27"/>
        <v>114.6</v>
      </c>
      <c r="BH72" s="78">
        <f t="shared" si="27"/>
        <v>126.2</v>
      </c>
      <c r="BI72" s="78">
        <f t="shared" si="27"/>
        <v>121.4</v>
      </c>
      <c r="BJ72" s="78">
        <f t="shared" si="27"/>
        <v>97.1</v>
      </c>
      <c r="BK72" s="78">
        <f t="shared" si="27"/>
        <v>135.69999999999999</v>
      </c>
      <c r="BL72" s="78">
        <f t="shared" si="27"/>
        <v>125.9</v>
      </c>
      <c r="BM72" s="78">
        <f t="shared" si="27"/>
        <v>109.2</v>
      </c>
      <c r="BN72" s="78">
        <f t="shared" si="27"/>
        <v>134</v>
      </c>
      <c r="BO72" s="78">
        <f t="shared" si="27"/>
        <v>148.19999999999999</v>
      </c>
      <c r="BP72" s="78">
        <f t="shared" si="27"/>
        <v>128</v>
      </c>
      <c r="BQ72" s="78">
        <f>X85</f>
        <v>82</v>
      </c>
      <c r="BR72" s="78">
        <f>Z85</f>
        <v>0</v>
      </c>
      <c r="BS72" s="83">
        <f>AB85</f>
        <v>0</v>
      </c>
      <c r="BT72" s="83">
        <f t="shared" si="28"/>
        <v>0</v>
      </c>
      <c r="BU72" s="83">
        <f t="shared" si="28"/>
        <v>0</v>
      </c>
      <c r="BV72" s="83">
        <f t="shared" si="28"/>
        <v>0</v>
      </c>
      <c r="BW72" s="83">
        <f>B85</f>
        <v>0</v>
      </c>
    </row>
    <row r="73" spans="1:75" x14ac:dyDescent="0.25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22"/>
        <v>4</v>
      </c>
      <c r="AI73" s="11">
        <f t="shared" si="23"/>
        <v>4</v>
      </c>
      <c r="AK73" s="19"/>
      <c r="AY73" s="1" t="s">
        <v>188</v>
      </c>
      <c r="AZ73" s="78">
        <f>ROUND(C91,0)</f>
        <v>36</v>
      </c>
      <c r="BA73" s="78">
        <f>D91</f>
        <v>36.200000000000003</v>
      </c>
      <c r="BB73" s="78">
        <f>E91</f>
        <v>38.799999999999997</v>
      </c>
      <c r="BC73" s="78">
        <f>F91</f>
        <v>37.700000000000003</v>
      </c>
      <c r="BD73" s="78">
        <f>G91</f>
        <v>36.700000000000003</v>
      </c>
      <c r="BE73" s="78">
        <f>I91</f>
        <v>38.799999999999997</v>
      </c>
      <c r="BF73" s="78">
        <f>K91</f>
        <v>41.2</v>
      </c>
      <c r="BG73" s="78">
        <f t="shared" ref="BG73:BP73" si="29">M91</f>
        <v>49.8</v>
      </c>
      <c r="BH73" s="78">
        <f t="shared" si="29"/>
        <v>50.8</v>
      </c>
      <c r="BI73" s="78">
        <f t="shared" si="29"/>
        <v>47.3</v>
      </c>
      <c r="BJ73" s="78">
        <f t="shared" si="29"/>
        <v>51</v>
      </c>
      <c r="BK73" s="78">
        <f t="shared" si="29"/>
        <v>50</v>
      </c>
      <c r="BL73" s="78">
        <f t="shared" si="29"/>
        <v>54</v>
      </c>
      <c r="BM73" s="78">
        <f t="shared" si="29"/>
        <v>45.3</v>
      </c>
      <c r="BN73" s="78">
        <f t="shared" si="29"/>
        <v>46.1</v>
      </c>
      <c r="BO73" s="78">
        <f t="shared" si="29"/>
        <v>53.1</v>
      </c>
      <c r="BP73" s="78">
        <f t="shared" si="29"/>
        <v>50.1</v>
      </c>
      <c r="BQ73" s="78">
        <f>X91</f>
        <v>38</v>
      </c>
      <c r="BR73" s="78">
        <f>Z91</f>
        <v>39.200000000000003</v>
      </c>
      <c r="BS73" s="78">
        <f>AB91</f>
        <v>37.9</v>
      </c>
      <c r="BT73" s="78">
        <f>AD91</f>
        <v>38.799999999999997</v>
      </c>
      <c r="BU73" s="78">
        <f>AE91</f>
        <v>39</v>
      </c>
      <c r="BV73" s="78">
        <f>AF91</f>
        <v>41</v>
      </c>
      <c r="BW73" s="78">
        <f>B91</f>
        <v>36.200000000000003</v>
      </c>
    </row>
    <row r="74" spans="1:75" x14ac:dyDescent="0.25">
      <c r="A74" s="87" t="s">
        <v>187</v>
      </c>
      <c r="B74" s="70">
        <v>1.5</v>
      </c>
      <c r="C74" s="70">
        <v>1.5</v>
      </c>
      <c r="D74" s="70">
        <v>1.5</v>
      </c>
      <c r="E74" s="70">
        <v>1.5</v>
      </c>
      <c r="F74" s="70">
        <v>1.5</v>
      </c>
      <c r="G74" s="70">
        <v>1.5</v>
      </c>
      <c r="H74" s="70">
        <v>1.5</v>
      </c>
      <c r="I74" s="70">
        <v>1.5</v>
      </c>
      <c r="J74" s="70">
        <v>1.5</v>
      </c>
      <c r="K74" s="70">
        <v>1.5</v>
      </c>
      <c r="L74" s="70">
        <v>1.5</v>
      </c>
      <c r="M74" s="70">
        <v>1.2</v>
      </c>
      <c r="N74" s="70">
        <v>1.2</v>
      </c>
      <c r="O74" s="70">
        <v>1.2</v>
      </c>
      <c r="P74" s="70">
        <v>1.2</v>
      </c>
      <c r="Q74" s="70">
        <v>1.2</v>
      </c>
      <c r="R74" s="70">
        <v>1.2</v>
      </c>
      <c r="S74" s="70">
        <v>1.2</v>
      </c>
      <c r="T74" s="70">
        <v>1.2</v>
      </c>
      <c r="U74" s="70">
        <v>1.2</v>
      </c>
      <c r="V74" s="70">
        <v>1.2</v>
      </c>
      <c r="W74" s="70">
        <v>1.2</v>
      </c>
      <c r="X74" s="70">
        <v>1.2</v>
      </c>
      <c r="Y74" s="70">
        <v>1.2</v>
      </c>
      <c r="Z74" s="70">
        <v>1.2</v>
      </c>
      <c r="AA74" s="70">
        <v>1.2</v>
      </c>
      <c r="AB74" s="70">
        <v>1.2</v>
      </c>
      <c r="AC74" s="70">
        <v>1.2</v>
      </c>
      <c r="AD74" s="70">
        <v>1.2</v>
      </c>
      <c r="AE74" s="70">
        <v>1.2</v>
      </c>
      <c r="AF74" s="70">
        <v>1.2</v>
      </c>
      <c r="AG74" s="86">
        <v>6.2</v>
      </c>
      <c r="AH74" s="12">
        <f t="shared" si="22"/>
        <v>1.5</v>
      </c>
      <c r="AI74" s="11">
        <f t="shared" si="23"/>
        <v>1.2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.75" thickBot="1" x14ac:dyDescent="0.3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3.5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22"/>
        <v>3.54</v>
      </c>
      <c r="AI75" s="11">
        <f t="shared" si="23"/>
        <v>3.5</v>
      </c>
      <c r="AK75" s="19"/>
      <c r="AZ75" s="78">
        <f t="shared" ref="AZ75:BW75" si="30">VALUE(AZ68)</f>
        <v>39</v>
      </c>
      <c r="BA75" s="78">
        <f t="shared" si="30"/>
        <v>35.5</v>
      </c>
      <c r="BB75" s="78">
        <f t="shared" si="30"/>
        <v>32.200000000000003</v>
      </c>
      <c r="BC75" s="78">
        <f t="shared" si="30"/>
        <v>30.2</v>
      </c>
      <c r="BD75" s="78">
        <f t="shared" si="30"/>
        <v>29.6</v>
      </c>
      <c r="BE75" s="78">
        <f t="shared" si="30"/>
        <v>31.4</v>
      </c>
      <c r="BF75" s="78">
        <f t="shared" si="30"/>
        <v>64</v>
      </c>
      <c r="BG75" s="78">
        <f t="shared" si="30"/>
        <v>66.099999999999994</v>
      </c>
      <c r="BH75" s="78">
        <f t="shared" si="30"/>
        <v>65.900000000000006</v>
      </c>
      <c r="BI75" s="78">
        <f t="shared" si="30"/>
        <v>63.6</v>
      </c>
      <c r="BJ75" s="78">
        <f t="shared" si="30"/>
        <v>72.400000000000006</v>
      </c>
      <c r="BK75" s="78">
        <f t="shared" si="30"/>
        <v>70</v>
      </c>
      <c r="BL75" s="78">
        <f t="shared" si="30"/>
        <v>75</v>
      </c>
      <c r="BM75" s="78">
        <f t="shared" si="30"/>
        <v>65.5</v>
      </c>
      <c r="BN75" s="78">
        <f t="shared" si="30"/>
        <v>69.3</v>
      </c>
      <c r="BO75" s="78">
        <f t="shared" si="30"/>
        <v>56.6</v>
      </c>
      <c r="BP75" s="78">
        <f t="shared" si="30"/>
        <v>61.3</v>
      </c>
      <c r="BQ75" s="78">
        <f t="shared" si="30"/>
        <v>61.5</v>
      </c>
      <c r="BR75" s="78">
        <f t="shared" si="30"/>
        <v>35.4</v>
      </c>
      <c r="BS75" s="78">
        <f t="shared" si="30"/>
        <v>43.1</v>
      </c>
      <c r="BT75" s="78">
        <f t="shared" si="30"/>
        <v>58.7</v>
      </c>
      <c r="BU75" s="78">
        <f t="shared" si="30"/>
        <v>62.9</v>
      </c>
      <c r="BV75" s="78">
        <f t="shared" si="30"/>
        <v>54.2</v>
      </c>
      <c r="BW75" s="78">
        <f t="shared" si="30"/>
        <v>42.9</v>
      </c>
    </row>
    <row r="76" spans="1:75" ht="15.75" thickBot="1" x14ac:dyDescent="0.3">
      <c r="A76" s="77" t="s">
        <v>186</v>
      </c>
      <c r="B76" s="76">
        <f t="shared" ref="B76:AG76" si="31">SUM(B63:B75)</f>
        <v>251.64</v>
      </c>
      <c r="C76" s="76">
        <f t="shared" si="31"/>
        <v>205.64</v>
      </c>
      <c r="D76" s="76">
        <f t="shared" si="31"/>
        <v>205.64</v>
      </c>
      <c r="E76" s="76">
        <f t="shared" si="31"/>
        <v>166.33999999999997</v>
      </c>
      <c r="F76" s="76">
        <f t="shared" si="31"/>
        <v>165.14</v>
      </c>
      <c r="G76" s="76">
        <f t="shared" si="31"/>
        <v>165.23999999999998</v>
      </c>
      <c r="H76" s="76">
        <f t="shared" si="31"/>
        <v>166.73999999999998</v>
      </c>
      <c r="I76" s="76">
        <f t="shared" si="31"/>
        <v>173.83999999999995</v>
      </c>
      <c r="J76" s="76">
        <f t="shared" si="31"/>
        <v>161.93999999999997</v>
      </c>
      <c r="K76" s="76">
        <f t="shared" si="31"/>
        <v>158.63999999999999</v>
      </c>
      <c r="L76" s="76">
        <f t="shared" si="31"/>
        <v>180.64</v>
      </c>
      <c r="M76" s="76">
        <f t="shared" si="31"/>
        <v>203.63999999999996</v>
      </c>
      <c r="N76" s="76">
        <f t="shared" si="31"/>
        <v>232.54</v>
      </c>
      <c r="O76" s="76">
        <f t="shared" si="31"/>
        <v>240.93999999999997</v>
      </c>
      <c r="P76" s="76">
        <f t="shared" si="31"/>
        <v>244.83999999999997</v>
      </c>
      <c r="Q76" s="76">
        <f t="shared" si="31"/>
        <v>238.73999999999995</v>
      </c>
      <c r="R76" s="76">
        <f t="shared" si="31"/>
        <v>241.34</v>
      </c>
      <c r="S76" s="76">
        <f t="shared" si="31"/>
        <v>248.14000000000001</v>
      </c>
      <c r="T76" s="76">
        <f t="shared" si="31"/>
        <v>248.14000000000001</v>
      </c>
      <c r="U76" s="76">
        <f t="shared" si="31"/>
        <v>191.24</v>
      </c>
      <c r="V76" s="76">
        <f t="shared" si="31"/>
        <v>186.84</v>
      </c>
      <c r="W76" s="76">
        <f t="shared" si="31"/>
        <v>177.54</v>
      </c>
      <c r="X76" s="76">
        <f t="shared" si="31"/>
        <v>172.14</v>
      </c>
      <c r="Y76" s="76">
        <f t="shared" si="31"/>
        <v>360.1</v>
      </c>
      <c r="Z76" s="76">
        <f t="shared" si="31"/>
        <v>383.00000000000006</v>
      </c>
      <c r="AA76" s="76">
        <f t="shared" si="31"/>
        <v>378.04000000000008</v>
      </c>
      <c r="AB76" s="76">
        <f t="shared" si="31"/>
        <v>376.94000000000005</v>
      </c>
      <c r="AC76" s="76">
        <f t="shared" si="31"/>
        <v>376.44</v>
      </c>
      <c r="AD76" s="76">
        <f t="shared" si="31"/>
        <v>355.74</v>
      </c>
      <c r="AE76" s="76">
        <f t="shared" si="31"/>
        <v>297.33999999999997</v>
      </c>
      <c r="AF76" s="76">
        <f t="shared" si="31"/>
        <v>227.53999999999996</v>
      </c>
      <c r="AG76" s="93">
        <f t="shared" si="31"/>
        <v>489.91</v>
      </c>
      <c r="AH76" s="12">
        <f t="shared" si="22"/>
        <v>383.00000000000006</v>
      </c>
      <c r="AI76" s="11">
        <f t="shared" si="23"/>
        <v>158.63999999999999</v>
      </c>
      <c r="AK76" s="19"/>
      <c r="AZ76" s="78">
        <f t="shared" ref="AZ76:BW76" si="32">VALUE(AZ69)</f>
        <v>0</v>
      </c>
      <c r="BA76" s="78">
        <f t="shared" si="32"/>
        <v>0</v>
      </c>
      <c r="BB76" s="78">
        <f t="shared" si="32"/>
        <v>0</v>
      </c>
      <c r="BC76" s="78">
        <f t="shared" si="32"/>
        <v>0</v>
      </c>
      <c r="BD76" s="78">
        <f t="shared" si="32"/>
        <v>0</v>
      </c>
      <c r="BE76" s="78">
        <f t="shared" si="32"/>
        <v>0</v>
      </c>
      <c r="BF76" s="78">
        <f t="shared" si="32"/>
        <v>0</v>
      </c>
      <c r="BG76" s="78">
        <f t="shared" si="32"/>
        <v>0</v>
      </c>
      <c r="BH76" s="78">
        <f t="shared" si="32"/>
        <v>0</v>
      </c>
      <c r="BI76" s="78">
        <f t="shared" si="32"/>
        <v>0</v>
      </c>
      <c r="BJ76" s="78">
        <f t="shared" si="32"/>
        <v>0</v>
      </c>
      <c r="BK76" s="78">
        <f t="shared" si="32"/>
        <v>0</v>
      </c>
      <c r="BL76" s="78">
        <f t="shared" si="32"/>
        <v>0</v>
      </c>
      <c r="BM76" s="78">
        <f t="shared" si="32"/>
        <v>0</v>
      </c>
      <c r="BN76" s="78">
        <f t="shared" si="32"/>
        <v>90</v>
      </c>
      <c r="BO76" s="78">
        <f t="shared" si="32"/>
        <v>100</v>
      </c>
      <c r="BP76" s="78">
        <f t="shared" si="32"/>
        <v>100</v>
      </c>
      <c r="BQ76" s="78">
        <f t="shared" si="32"/>
        <v>102</v>
      </c>
      <c r="BR76" s="78">
        <f t="shared" si="32"/>
        <v>0</v>
      </c>
      <c r="BS76" s="78">
        <f t="shared" si="32"/>
        <v>0</v>
      </c>
      <c r="BT76" s="78">
        <f t="shared" si="32"/>
        <v>0</v>
      </c>
      <c r="BU76" s="78">
        <f t="shared" si="32"/>
        <v>0</v>
      </c>
      <c r="BV76" s="78">
        <f t="shared" si="32"/>
        <v>0</v>
      </c>
      <c r="BW76" s="78">
        <f t="shared" si="32"/>
        <v>0</v>
      </c>
    </row>
    <row r="77" spans="1:75" x14ac:dyDescent="0.25">
      <c r="A77" s="89" t="s">
        <v>185</v>
      </c>
      <c r="B77" s="102">
        <v>59.4</v>
      </c>
      <c r="C77" s="102">
        <v>59.4</v>
      </c>
      <c r="D77" s="102">
        <v>59.4</v>
      </c>
      <c r="E77" s="102">
        <v>59.7</v>
      </c>
      <c r="F77" s="102">
        <v>59.6</v>
      </c>
      <c r="G77" s="102">
        <v>59.8</v>
      </c>
      <c r="H77" s="102">
        <v>59.8</v>
      </c>
      <c r="I77" s="102">
        <v>59.8</v>
      </c>
      <c r="J77" s="102">
        <v>10</v>
      </c>
      <c r="K77" s="102">
        <v>10.6</v>
      </c>
      <c r="L77" s="102">
        <v>25</v>
      </c>
      <c r="M77" s="102">
        <v>30</v>
      </c>
      <c r="N77" s="102">
        <v>29.2</v>
      </c>
      <c r="O77" s="102">
        <v>29.5</v>
      </c>
      <c r="P77" s="102">
        <v>29.7</v>
      </c>
      <c r="Q77" s="102">
        <v>29.7</v>
      </c>
      <c r="R77" s="102">
        <v>29.7</v>
      </c>
      <c r="S77" s="102">
        <v>25.3</v>
      </c>
      <c r="T77" s="102">
        <v>25.3</v>
      </c>
      <c r="U77" s="102">
        <v>54.6</v>
      </c>
      <c r="V77" s="102">
        <v>54.6</v>
      </c>
      <c r="W77" s="102">
        <v>54.6</v>
      </c>
      <c r="X77" s="102">
        <v>38.9</v>
      </c>
      <c r="Y77" s="102">
        <v>59.6</v>
      </c>
      <c r="Z77" s="102">
        <v>59.5</v>
      </c>
      <c r="AA77" s="102">
        <v>59.5</v>
      </c>
      <c r="AB77" s="102">
        <v>59.5</v>
      </c>
      <c r="AC77" s="102">
        <v>59.9</v>
      </c>
      <c r="AD77" s="102">
        <v>60</v>
      </c>
      <c r="AE77" s="102">
        <v>60</v>
      </c>
      <c r="AF77" s="102">
        <v>59.8</v>
      </c>
      <c r="AG77" s="88">
        <v>60</v>
      </c>
      <c r="AH77" s="12">
        <f t="shared" si="22"/>
        <v>60</v>
      </c>
      <c r="AI77" s="11">
        <f t="shared" si="23"/>
        <v>10</v>
      </c>
      <c r="AK77" s="19"/>
      <c r="AZ77" s="78">
        <f t="shared" ref="AZ77:BW77" si="33">VALUE(AZ70)</f>
        <v>113</v>
      </c>
      <c r="BA77" s="78">
        <f t="shared" si="33"/>
        <v>88</v>
      </c>
      <c r="BB77" s="78">
        <f t="shared" si="33"/>
        <v>137.4</v>
      </c>
      <c r="BC77" s="78">
        <f t="shared" si="33"/>
        <v>141.69999999999999</v>
      </c>
      <c r="BD77" s="78">
        <f t="shared" si="33"/>
        <v>187</v>
      </c>
      <c r="BE77" s="78">
        <f t="shared" si="33"/>
        <v>165</v>
      </c>
      <c r="BF77" s="78">
        <f t="shared" si="33"/>
        <v>470</v>
      </c>
      <c r="BG77" s="78">
        <f t="shared" si="33"/>
        <v>478</v>
      </c>
      <c r="BH77" s="78">
        <f t="shared" si="33"/>
        <v>500.5</v>
      </c>
      <c r="BI77" s="78">
        <f t="shared" si="33"/>
        <v>539.9</v>
      </c>
      <c r="BJ77" s="78">
        <f t="shared" si="33"/>
        <v>522.4</v>
      </c>
      <c r="BK77" s="78">
        <f t="shared" si="33"/>
        <v>540.70000000000005</v>
      </c>
      <c r="BL77" s="78">
        <f t="shared" si="33"/>
        <v>539.37</v>
      </c>
      <c r="BM77" s="78">
        <f t="shared" si="33"/>
        <v>544</v>
      </c>
      <c r="BN77" s="78">
        <f t="shared" si="33"/>
        <v>472</v>
      </c>
      <c r="BO77" s="78">
        <f t="shared" si="33"/>
        <v>478</v>
      </c>
      <c r="BP77" s="78">
        <f t="shared" si="33"/>
        <v>449</v>
      </c>
      <c r="BQ77" s="78">
        <f t="shared" si="33"/>
        <v>420</v>
      </c>
      <c r="BR77" s="78">
        <f t="shared" si="33"/>
        <v>95.1</v>
      </c>
      <c r="BS77" s="78">
        <f t="shared" si="33"/>
        <v>78.8</v>
      </c>
      <c r="BT77" s="78">
        <f t="shared" si="33"/>
        <v>186</v>
      </c>
      <c r="BU77" s="78">
        <f t="shared" si="33"/>
        <v>179</v>
      </c>
      <c r="BV77" s="78">
        <f t="shared" si="33"/>
        <v>208.6</v>
      </c>
      <c r="BW77" s="78">
        <f t="shared" si="33"/>
        <v>73.8</v>
      </c>
    </row>
    <row r="78" spans="1:75" x14ac:dyDescent="0.25">
      <c r="A78" s="87" t="s">
        <v>184</v>
      </c>
      <c r="B78" s="70">
        <v>28.1</v>
      </c>
      <c r="C78" s="70">
        <v>28.1</v>
      </c>
      <c r="D78" s="70">
        <v>28.1</v>
      </c>
      <c r="E78" s="70">
        <v>27.4</v>
      </c>
      <c r="F78" s="70">
        <v>27.4</v>
      </c>
      <c r="G78" s="70">
        <v>27.4</v>
      </c>
      <c r="H78" s="70">
        <v>27.4</v>
      </c>
      <c r="I78" s="70">
        <v>27.4</v>
      </c>
      <c r="J78" s="70">
        <v>7.8</v>
      </c>
      <c r="K78" s="70">
        <v>4.8</v>
      </c>
      <c r="L78" s="70">
        <v>10.1</v>
      </c>
      <c r="M78" s="70">
        <v>12.5</v>
      </c>
      <c r="N78" s="70">
        <v>13.6</v>
      </c>
      <c r="O78" s="70">
        <v>13.1</v>
      </c>
      <c r="P78" s="70">
        <v>14.8</v>
      </c>
      <c r="Q78" s="70">
        <v>14</v>
      </c>
      <c r="R78" s="70">
        <v>14</v>
      </c>
      <c r="S78" s="70">
        <v>11.4</v>
      </c>
      <c r="T78" s="70">
        <v>11.4</v>
      </c>
      <c r="U78" s="70">
        <v>15.9</v>
      </c>
      <c r="V78" s="70">
        <v>15.9</v>
      </c>
      <c r="W78" s="70">
        <v>24.9</v>
      </c>
      <c r="X78" s="70">
        <v>11.4</v>
      </c>
      <c r="Y78" s="70">
        <v>15.9</v>
      </c>
      <c r="Z78" s="70">
        <v>27</v>
      </c>
      <c r="AA78" s="70">
        <v>27</v>
      </c>
      <c r="AB78" s="70">
        <v>27.3</v>
      </c>
      <c r="AC78" s="70">
        <v>27.3</v>
      </c>
      <c r="AD78" s="70">
        <v>27.3</v>
      </c>
      <c r="AE78" s="70">
        <v>27.8</v>
      </c>
      <c r="AF78" s="70">
        <v>27.7</v>
      </c>
      <c r="AG78" s="86">
        <v>32</v>
      </c>
      <c r="AH78" s="12">
        <f t="shared" si="22"/>
        <v>28.1</v>
      </c>
      <c r="AI78" s="11">
        <f t="shared" si="23"/>
        <v>4.8</v>
      </c>
      <c r="AK78" s="19"/>
      <c r="AZ78" s="78">
        <f t="shared" ref="AZ78:BW78" si="34">VALUE(AZ71)</f>
        <v>0</v>
      </c>
      <c r="BA78" s="78">
        <f t="shared" si="34"/>
        <v>0</v>
      </c>
      <c r="BB78" s="78">
        <f t="shared" si="34"/>
        <v>0</v>
      </c>
      <c r="BC78" s="78">
        <f t="shared" si="34"/>
        <v>0</v>
      </c>
      <c r="BD78" s="78" t="e">
        <f t="shared" si="34"/>
        <v>#VALUE!</v>
      </c>
      <c r="BE78" s="78">
        <f t="shared" si="34"/>
        <v>45.4</v>
      </c>
      <c r="BF78" s="78">
        <f t="shared" si="34"/>
        <v>40.799999999999997</v>
      </c>
      <c r="BG78" s="78">
        <f t="shared" si="34"/>
        <v>41.8</v>
      </c>
      <c r="BH78" s="78">
        <f t="shared" si="34"/>
        <v>41.4</v>
      </c>
      <c r="BI78" s="78">
        <f t="shared" si="34"/>
        <v>40.9</v>
      </c>
      <c r="BJ78" s="78">
        <f t="shared" si="34"/>
        <v>43.8</v>
      </c>
      <c r="BK78" s="78">
        <f t="shared" si="34"/>
        <v>43</v>
      </c>
      <c r="BL78" s="78">
        <f t="shared" si="34"/>
        <v>39.299999999999997</v>
      </c>
      <c r="BM78" s="78">
        <f t="shared" si="34"/>
        <v>45.3</v>
      </c>
      <c r="BN78" s="78">
        <f t="shared" si="34"/>
        <v>49</v>
      </c>
      <c r="BO78" s="78">
        <f t="shared" si="34"/>
        <v>48.3</v>
      </c>
      <c r="BP78" s="78">
        <f t="shared" si="34"/>
        <v>44.2</v>
      </c>
      <c r="BQ78" s="78">
        <f t="shared" si="34"/>
        <v>24</v>
      </c>
      <c r="BR78" s="78">
        <f t="shared" si="34"/>
        <v>0</v>
      </c>
      <c r="BS78" s="78">
        <f t="shared" si="34"/>
        <v>0</v>
      </c>
      <c r="BT78" s="78">
        <f t="shared" si="34"/>
        <v>0</v>
      </c>
      <c r="BU78" s="78">
        <f t="shared" si="34"/>
        <v>0</v>
      </c>
      <c r="BV78" s="78">
        <f t="shared" si="34"/>
        <v>0</v>
      </c>
      <c r="BW78" s="78">
        <f t="shared" si="34"/>
        <v>0</v>
      </c>
    </row>
    <row r="79" spans="1:75" ht="15.75" thickBot="1" x14ac:dyDescent="0.3">
      <c r="A79" s="111" t="s">
        <v>183</v>
      </c>
      <c r="B79" s="110">
        <v>10.3</v>
      </c>
      <c r="C79" s="110">
        <v>10.3</v>
      </c>
      <c r="D79" s="110">
        <v>10.3</v>
      </c>
      <c r="E79" s="110">
        <v>10</v>
      </c>
      <c r="F79" s="110">
        <v>10</v>
      </c>
      <c r="G79" s="110">
        <v>10</v>
      </c>
      <c r="H79" s="110">
        <v>10</v>
      </c>
      <c r="I79" s="110">
        <v>10</v>
      </c>
      <c r="J79" s="110">
        <v>2.8</v>
      </c>
      <c r="K79" s="110">
        <v>1.8</v>
      </c>
      <c r="L79" s="110">
        <v>3.7</v>
      </c>
      <c r="M79" s="110">
        <v>4.5999999999999996</v>
      </c>
      <c r="N79" s="110">
        <v>5</v>
      </c>
      <c r="O79" s="110">
        <v>4.8</v>
      </c>
      <c r="P79" s="110">
        <v>5.4</v>
      </c>
      <c r="Q79" s="110">
        <v>5.0999999999999996</v>
      </c>
      <c r="R79" s="110">
        <v>5.0999999999999996</v>
      </c>
      <c r="S79" s="110">
        <v>4.2</v>
      </c>
      <c r="T79" s="110">
        <v>4.2</v>
      </c>
      <c r="U79" s="110">
        <v>5.8</v>
      </c>
      <c r="V79" s="110">
        <v>5.8</v>
      </c>
      <c r="W79" s="110">
        <v>9.1</v>
      </c>
      <c r="X79" s="110">
        <v>4.0999999999999996</v>
      </c>
      <c r="Y79" s="110">
        <v>5.8</v>
      </c>
      <c r="Z79" s="110">
        <v>9.9</v>
      </c>
      <c r="AA79" s="110">
        <v>9.9</v>
      </c>
      <c r="AB79" s="110">
        <v>10</v>
      </c>
      <c r="AC79" s="110">
        <v>10</v>
      </c>
      <c r="AD79" s="110">
        <v>10</v>
      </c>
      <c r="AE79" s="110">
        <v>10.1</v>
      </c>
      <c r="AF79" s="110">
        <v>10.1</v>
      </c>
      <c r="AG79" s="109">
        <v>14</v>
      </c>
      <c r="AH79" s="12">
        <f t="shared" si="22"/>
        <v>10.3</v>
      </c>
      <c r="AI79" s="11">
        <f t="shared" si="23"/>
        <v>1.8</v>
      </c>
      <c r="AK79" s="19"/>
      <c r="AZ79" s="78">
        <f t="shared" ref="AZ79:BW79" si="35">VALUE(AZ72)</f>
        <v>0</v>
      </c>
      <c r="BA79" s="78">
        <f t="shared" si="35"/>
        <v>0</v>
      </c>
      <c r="BB79" s="78">
        <f t="shared" si="35"/>
        <v>0</v>
      </c>
      <c r="BC79" s="78">
        <f t="shared" si="35"/>
        <v>0</v>
      </c>
      <c r="BD79" s="78">
        <f t="shared" si="35"/>
        <v>0</v>
      </c>
      <c r="BE79" s="78">
        <f t="shared" si="35"/>
        <v>0</v>
      </c>
      <c r="BF79" s="78">
        <f t="shared" si="35"/>
        <v>90</v>
      </c>
      <c r="BG79" s="78">
        <f t="shared" si="35"/>
        <v>114.6</v>
      </c>
      <c r="BH79" s="78">
        <f t="shared" si="35"/>
        <v>126.2</v>
      </c>
      <c r="BI79" s="78">
        <f t="shared" si="35"/>
        <v>121.4</v>
      </c>
      <c r="BJ79" s="78">
        <f t="shared" si="35"/>
        <v>97.1</v>
      </c>
      <c r="BK79" s="78">
        <f t="shared" si="35"/>
        <v>135.69999999999999</v>
      </c>
      <c r="BL79" s="78">
        <f t="shared" si="35"/>
        <v>125.9</v>
      </c>
      <c r="BM79" s="78">
        <f t="shared" si="35"/>
        <v>109.2</v>
      </c>
      <c r="BN79" s="78">
        <f t="shared" si="35"/>
        <v>134</v>
      </c>
      <c r="BO79" s="78">
        <f t="shared" si="35"/>
        <v>148.19999999999999</v>
      </c>
      <c r="BP79" s="78">
        <f t="shared" si="35"/>
        <v>128</v>
      </c>
      <c r="BQ79" s="78">
        <f t="shared" si="35"/>
        <v>82</v>
      </c>
      <c r="BR79" s="78">
        <f t="shared" si="35"/>
        <v>0</v>
      </c>
      <c r="BS79" s="78">
        <f t="shared" si="35"/>
        <v>0</v>
      </c>
      <c r="BT79" s="78">
        <f t="shared" si="35"/>
        <v>0</v>
      </c>
      <c r="BU79" s="78">
        <f t="shared" si="35"/>
        <v>0</v>
      </c>
      <c r="BV79" s="78">
        <f t="shared" si="35"/>
        <v>0</v>
      </c>
      <c r="BW79" s="78">
        <f t="shared" si="35"/>
        <v>0</v>
      </c>
    </row>
    <row r="80" spans="1:75" ht="15.75" thickBot="1" x14ac:dyDescent="0.3">
      <c r="A80" s="77" t="s">
        <v>182</v>
      </c>
      <c r="B80" s="76">
        <f t="shared" ref="B80:AF80" si="36">B77+B78+B79</f>
        <v>97.8</v>
      </c>
      <c r="C80" s="76">
        <f t="shared" si="36"/>
        <v>97.8</v>
      </c>
      <c r="D80" s="76">
        <f t="shared" si="36"/>
        <v>97.8</v>
      </c>
      <c r="E80" s="76">
        <f t="shared" si="36"/>
        <v>97.1</v>
      </c>
      <c r="F80" s="76">
        <f t="shared" si="36"/>
        <v>97</v>
      </c>
      <c r="G80" s="76">
        <f t="shared" si="36"/>
        <v>97.199999999999989</v>
      </c>
      <c r="H80" s="76">
        <f t="shared" si="36"/>
        <v>97.199999999999989</v>
      </c>
      <c r="I80" s="76">
        <f t="shared" si="36"/>
        <v>97.199999999999989</v>
      </c>
      <c r="J80" s="76">
        <f t="shared" si="36"/>
        <v>20.6</v>
      </c>
      <c r="K80" s="76">
        <f t="shared" si="36"/>
        <v>17.2</v>
      </c>
      <c r="L80" s="76">
        <f t="shared" si="36"/>
        <v>38.800000000000004</v>
      </c>
      <c r="M80" s="76">
        <f t="shared" si="36"/>
        <v>47.1</v>
      </c>
      <c r="N80" s="76">
        <f t="shared" si="36"/>
        <v>47.8</v>
      </c>
      <c r="O80" s="76">
        <f t="shared" si="36"/>
        <v>47.4</v>
      </c>
      <c r="P80" s="76">
        <f t="shared" si="36"/>
        <v>49.9</v>
      </c>
      <c r="Q80" s="76">
        <f t="shared" si="36"/>
        <v>48.800000000000004</v>
      </c>
      <c r="R80" s="76">
        <f t="shared" si="36"/>
        <v>48.800000000000004</v>
      </c>
      <c r="S80" s="76">
        <f t="shared" si="36"/>
        <v>40.900000000000006</v>
      </c>
      <c r="T80" s="76">
        <f t="shared" si="36"/>
        <v>40.900000000000006</v>
      </c>
      <c r="U80" s="76">
        <f t="shared" si="36"/>
        <v>76.3</v>
      </c>
      <c r="V80" s="76">
        <f t="shared" si="36"/>
        <v>76.3</v>
      </c>
      <c r="W80" s="76">
        <f t="shared" si="36"/>
        <v>88.6</v>
      </c>
      <c r="X80" s="76">
        <f t="shared" si="36"/>
        <v>54.4</v>
      </c>
      <c r="Y80" s="76">
        <f t="shared" si="36"/>
        <v>81.3</v>
      </c>
      <c r="Z80" s="76">
        <f t="shared" si="36"/>
        <v>96.4</v>
      </c>
      <c r="AA80" s="76">
        <f t="shared" si="36"/>
        <v>96.4</v>
      </c>
      <c r="AB80" s="76">
        <f t="shared" si="36"/>
        <v>96.8</v>
      </c>
      <c r="AC80" s="76">
        <f t="shared" si="36"/>
        <v>97.2</v>
      </c>
      <c r="AD80" s="76">
        <f t="shared" si="36"/>
        <v>97.3</v>
      </c>
      <c r="AE80" s="76">
        <f t="shared" si="36"/>
        <v>97.899999999999991</v>
      </c>
      <c r="AF80" s="76">
        <f t="shared" si="36"/>
        <v>97.6</v>
      </c>
      <c r="AG80" s="93">
        <f>SUM(AG77:AG79)</f>
        <v>106</v>
      </c>
      <c r="AH80" s="12">
        <f t="shared" si="22"/>
        <v>97.899999999999991</v>
      </c>
      <c r="AI80" s="11">
        <f t="shared" si="23"/>
        <v>17.2</v>
      </c>
      <c r="AK80" s="19"/>
      <c r="AZ80" s="78">
        <f t="shared" ref="AZ80:BW80" si="37">VALUE(AZ73)</f>
        <v>36</v>
      </c>
      <c r="BA80" s="78">
        <f t="shared" si="37"/>
        <v>36.200000000000003</v>
      </c>
      <c r="BB80" s="78">
        <f t="shared" si="37"/>
        <v>38.799999999999997</v>
      </c>
      <c r="BC80" s="78">
        <f t="shared" si="37"/>
        <v>37.700000000000003</v>
      </c>
      <c r="BD80" s="78">
        <f t="shared" si="37"/>
        <v>36.700000000000003</v>
      </c>
      <c r="BE80" s="78">
        <f t="shared" si="37"/>
        <v>38.799999999999997</v>
      </c>
      <c r="BF80" s="78">
        <f t="shared" si="37"/>
        <v>41.2</v>
      </c>
      <c r="BG80" s="78">
        <f t="shared" si="37"/>
        <v>49.8</v>
      </c>
      <c r="BH80" s="78">
        <f t="shared" si="37"/>
        <v>50.8</v>
      </c>
      <c r="BI80" s="78">
        <f t="shared" si="37"/>
        <v>47.3</v>
      </c>
      <c r="BJ80" s="78">
        <f t="shared" si="37"/>
        <v>51</v>
      </c>
      <c r="BK80" s="78">
        <f t="shared" si="37"/>
        <v>50</v>
      </c>
      <c r="BL80" s="78">
        <f t="shared" si="37"/>
        <v>54</v>
      </c>
      <c r="BM80" s="78">
        <f t="shared" si="37"/>
        <v>45.3</v>
      </c>
      <c r="BN80" s="78">
        <f t="shared" si="37"/>
        <v>46.1</v>
      </c>
      <c r="BO80" s="78">
        <f t="shared" si="37"/>
        <v>53.1</v>
      </c>
      <c r="BP80" s="78">
        <f t="shared" si="37"/>
        <v>50.1</v>
      </c>
      <c r="BQ80" s="78">
        <f t="shared" si="37"/>
        <v>38</v>
      </c>
      <c r="BR80" s="78">
        <f t="shared" si="37"/>
        <v>39.200000000000003</v>
      </c>
      <c r="BS80" s="78">
        <f t="shared" si="37"/>
        <v>37.9</v>
      </c>
      <c r="BT80" s="78">
        <f t="shared" si="37"/>
        <v>38.799999999999997</v>
      </c>
      <c r="BU80" s="78">
        <f t="shared" si="37"/>
        <v>39</v>
      </c>
      <c r="BV80" s="78">
        <f t="shared" si="37"/>
        <v>41</v>
      </c>
      <c r="BW80" s="78">
        <f t="shared" si="37"/>
        <v>36.200000000000003</v>
      </c>
    </row>
    <row r="81" spans="1:64" x14ac:dyDescent="0.25">
      <c r="A81" s="89" t="s">
        <v>157</v>
      </c>
      <c r="B81" s="102">
        <v>42.9</v>
      </c>
      <c r="C81" s="102">
        <v>38.9</v>
      </c>
      <c r="D81" s="102">
        <v>35.5</v>
      </c>
      <c r="E81" s="102">
        <v>32.200000000000003</v>
      </c>
      <c r="F81" s="102">
        <v>30.2</v>
      </c>
      <c r="G81" s="102">
        <v>29.6</v>
      </c>
      <c r="H81" s="102">
        <v>31.5</v>
      </c>
      <c r="I81" s="102">
        <v>31.4</v>
      </c>
      <c r="J81" s="102">
        <v>51.7</v>
      </c>
      <c r="K81" s="102">
        <v>64</v>
      </c>
      <c r="L81" s="102">
        <v>60</v>
      </c>
      <c r="M81" s="102">
        <v>66.099999999999994</v>
      </c>
      <c r="N81" s="102">
        <v>65.900000000000006</v>
      </c>
      <c r="O81" s="102">
        <v>63.6</v>
      </c>
      <c r="P81" s="102">
        <v>72.400000000000006</v>
      </c>
      <c r="Q81" s="102">
        <v>70</v>
      </c>
      <c r="R81" s="102">
        <v>75</v>
      </c>
      <c r="S81" s="102">
        <v>65.5</v>
      </c>
      <c r="T81" s="102">
        <v>69.3</v>
      </c>
      <c r="U81" s="102">
        <v>56.6</v>
      </c>
      <c r="V81" s="102">
        <v>61.3</v>
      </c>
      <c r="W81" s="102">
        <v>63.3</v>
      </c>
      <c r="X81" s="102">
        <v>61.5</v>
      </c>
      <c r="Y81" s="102">
        <v>24.2</v>
      </c>
      <c r="Z81" s="102">
        <v>35.4</v>
      </c>
      <c r="AA81" s="102">
        <v>43.6</v>
      </c>
      <c r="AB81" s="102">
        <v>43.1</v>
      </c>
      <c r="AC81" s="102">
        <v>56.4</v>
      </c>
      <c r="AD81" s="102">
        <v>58.7</v>
      </c>
      <c r="AE81" s="102">
        <v>62.9</v>
      </c>
      <c r="AF81" s="102">
        <v>54.2</v>
      </c>
      <c r="AG81" s="88"/>
      <c r="AH81" s="12">
        <f t="shared" si="22"/>
        <v>75</v>
      </c>
      <c r="AI81" s="11">
        <f t="shared" si="23"/>
        <v>24.2</v>
      </c>
      <c r="AK81" s="19"/>
      <c r="AY81" s="78"/>
    </row>
    <row r="82" spans="1:64" x14ac:dyDescent="0.25">
      <c r="A82" s="87" t="s">
        <v>160</v>
      </c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>
        <v>90</v>
      </c>
      <c r="U82" s="70">
        <v>100</v>
      </c>
      <c r="V82" s="70">
        <v>100</v>
      </c>
      <c r="W82" s="70">
        <v>102</v>
      </c>
      <c r="X82" s="70">
        <v>102</v>
      </c>
      <c r="Y82" s="70">
        <v>0</v>
      </c>
      <c r="Z82" s="70"/>
      <c r="AA82" s="70"/>
      <c r="AB82" s="70"/>
      <c r="AC82" s="70"/>
      <c r="AD82" s="70"/>
      <c r="AE82" s="70"/>
      <c r="AF82" s="70"/>
      <c r="AG82" s="86"/>
      <c r="AH82" s="12">
        <f t="shared" ref="AH82:AH113" si="38">MAX(B82:AF82)</f>
        <v>102</v>
      </c>
      <c r="AI82" s="11">
        <f t="shared" ref="AI82:AI113" si="39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25">
      <c r="A83" s="87" t="s">
        <v>181</v>
      </c>
      <c r="B83" s="70">
        <v>73.8</v>
      </c>
      <c r="C83" s="70">
        <v>113.1</v>
      </c>
      <c r="D83" s="70">
        <v>88</v>
      </c>
      <c r="E83" s="70">
        <v>137.4</v>
      </c>
      <c r="F83" s="70">
        <v>141.69999999999999</v>
      </c>
      <c r="G83" s="70">
        <v>187</v>
      </c>
      <c r="H83" s="70">
        <v>158.6</v>
      </c>
      <c r="I83" s="70">
        <v>165</v>
      </c>
      <c r="J83" s="70">
        <v>395</v>
      </c>
      <c r="K83" s="70">
        <v>470</v>
      </c>
      <c r="L83" s="70">
        <v>471.1</v>
      </c>
      <c r="M83" s="70">
        <v>478</v>
      </c>
      <c r="N83" s="70">
        <v>500.5</v>
      </c>
      <c r="O83" s="70">
        <v>539.9</v>
      </c>
      <c r="P83" s="70">
        <v>522.4</v>
      </c>
      <c r="Q83" s="70">
        <v>540.70000000000005</v>
      </c>
      <c r="R83" s="70">
        <v>539.37</v>
      </c>
      <c r="S83" s="70">
        <v>544</v>
      </c>
      <c r="T83" s="70">
        <v>472</v>
      </c>
      <c r="U83" s="70">
        <v>478</v>
      </c>
      <c r="V83" s="70">
        <v>449</v>
      </c>
      <c r="W83" s="70">
        <v>445</v>
      </c>
      <c r="X83" s="70">
        <v>420</v>
      </c>
      <c r="Y83" s="70">
        <v>127</v>
      </c>
      <c r="Z83" s="70">
        <v>95.1</v>
      </c>
      <c r="AA83" s="70">
        <v>122</v>
      </c>
      <c r="AB83" s="70">
        <v>78.8</v>
      </c>
      <c r="AC83" s="70">
        <v>169</v>
      </c>
      <c r="AD83" s="70">
        <v>186</v>
      </c>
      <c r="AE83" s="70">
        <v>179</v>
      </c>
      <c r="AF83" s="70">
        <v>208.6</v>
      </c>
      <c r="AG83" s="96"/>
      <c r="AH83" s="12">
        <f t="shared" si="38"/>
        <v>544</v>
      </c>
      <c r="AI83" s="11">
        <f t="shared" si="39"/>
        <v>73.8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25">
      <c r="A84" s="87" t="s">
        <v>161</v>
      </c>
      <c r="B84" s="70">
        <v>0</v>
      </c>
      <c r="C84" s="70">
        <v>0</v>
      </c>
      <c r="D84" s="70">
        <v>0</v>
      </c>
      <c r="E84" s="85">
        <v>0</v>
      </c>
      <c r="F84" s="85">
        <v>0</v>
      </c>
      <c r="G84" s="85" t="s">
        <v>123</v>
      </c>
      <c r="H84" s="85">
        <v>36</v>
      </c>
      <c r="I84" s="85">
        <v>45.4</v>
      </c>
      <c r="J84" s="85">
        <v>44</v>
      </c>
      <c r="K84" s="85">
        <v>40.799999999999997</v>
      </c>
      <c r="L84" s="85">
        <v>42.7</v>
      </c>
      <c r="M84" s="85">
        <v>41.8</v>
      </c>
      <c r="N84" s="85">
        <v>41.4</v>
      </c>
      <c r="O84" s="85">
        <v>40.9</v>
      </c>
      <c r="P84" s="85">
        <v>43.8</v>
      </c>
      <c r="Q84" s="85">
        <v>43</v>
      </c>
      <c r="R84" s="85">
        <v>39.299999999999997</v>
      </c>
      <c r="S84" s="85">
        <v>45.3</v>
      </c>
      <c r="T84" s="85">
        <v>49</v>
      </c>
      <c r="U84" s="85">
        <v>48.3</v>
      </c>
      <c r="V84" s="85">
        <v>44.2</v>
      </c>
      <c r="W84" s="85">
        <v>41.2</v>
      </c>
      <c r="X84" s="85">
        <v>24</v>
      </c>
      <c r="Y84" s="85">
        <v>0</v>
      </c>
      <c r="Z84" s="85"/>
      <c r="AA84" s="85"/>
      <c r="AB84" s="85"/>
      <c r="AC84" s="85"/>
      <c r="AD84" s="85"/>
      <c r="AE84" s="85"/>
      <c r="AF84" s="85"/>
      <c r="AG84" s="96"/>
      <c r="AH84" s="12">
        <f t="shared" si="38"/>
        <v>49</v>
      </c>
      <c r="AI84" s="11">
        <f t="shared" si="39"/>
        <v>0</v>
      </c>
      <c r="AK84" s="19"/>
      <c r="AY84" s="78"/>
      <c r="BF84" s="83"/>
      <c r="BG84" s="78">
        <f t="array" ref="BG84:BL107">TRANSPOSE(AZ68:BW73)</f>
        <v>39</v>
      </c>
      <c r="BH84" s="78">
        <v>0</v>
      </c>
      <c r="BI84" s="78">
        <v>113</v>
      </c>
      <c r="BJ84" s="78">
        <v>0</v>
      </c>
      <c r="BK84" s="78">
        <v>0</v>
      </c>
      <c r="BL84" s="78">
        <v>36</v>
      </c>
    </row>
    <row r="85" spans="1:64" x14ac:dyDescent="0.25">
      <c r="A85" s="87" t="s">
        <v>180</v>
      </c>
      <c r="B85" s="102"/>
      <c r="C85" s="102"/>
      <c r="D85" s="102"/>
      <c r="E85" s="102"/>
      <c r="F85" s="102"/>
      <c r="G85" s="102"/>
      <c r="H85" s="102"/>
      <c r="I85" s="102"/>
      <c r="J85" s="102"/>
      <c r="K85" s="102">
        <v>90</v>
      </c>
      <c r="L85" s="102">
        <v>97.9</v>
      </c>
      <c r="M85" s="102">
        <v>114.6</v>
      </c>
      <c r="N85" s="102">
        <v>126.2</v>
      </c>
      <c r="O85" s="102">
        <v>121.4</v>
      </c>
      <c r="P85" s="102">
        <v>97.1</v>
      </c>
      <c r="Q85" s="102">
        <v>135.69999999999999</v>
      </c>
      <c r="R85" s="102">
        <v>125.9</v>
      </c>
      <c r="S85" s="102">
        <v>109.2</v>
      </c>
      <c r="T85" s="102">
        <v>134</v>
      </c>
      <c r="U85" s="102">
        <v>148.19999999999999</v>
      </c>
      <c r="V85" s="102">
        <v>128</v>
      </c>
      <c r="W85" s="102">
        <v>117.2</v>
      </c>
      <c r="X85" s="102">
        <v>82</v>
      </c>
      <c r="Y85" s="102">
        <v>0</v>
      </c>
      <c r="Z85" s="102"/>
      <c r="AA85" s="102"/>
      <c r="AB85" s="102"/>
      <c r="AC85" s="102"/>
      <c r="AD85" s="102"/>
      <c r="AE85" s="102"/>
      <c r="AF85" s="102"/>
      <c r="AG85" s="96"/>
      <c r="AH85" s="12">
        <f t="shared" si="38"/>
        <v>148.19999999999999</v>
      </c>
      <c r="AI85" s="11">
        <f t="shared" si="39"/>
        <v>0</v>
      </c>
      <c r="AK85" s="19"/>
      <c r="AY85" s="78"/>
      <c r="BF85" s="83"/>
      <c r="BG85" s="78">
        <v>35.5</v>
      </c>
      <c r="BH85" s="78">
        <v>0</v>
      </c>
      <c r="BI85" s="78">
        <v>88</v>
      </c>
      <c r="BJ85" s="78">
        <v>0</v>
      </c>
      <c r="BK85" s="78">
        <v>0</v>
      </c>
      <c r="BL85" s="78">
        <v>36.200000000000003</v>
      </c>
    </row>
    <row r="86" spans="1:64" x14ac:dyDescent="0.25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38"/>
        <v>0</v>
      </c>
      <c r="AI86" s="11">
        <f t="shared" si="39"/>
        <v>0</v>
      </c>
      <c r="AK86" s="19"/>
      <c r="AY86" s="78"/>
      <c r="BF86" s="83"/>
      <c r="BG86" s="78">
        <v>32.200000000000003</v>
      </c>
      <c r="BH86" s="78">
        <v>0</v>
      </c>
      <c r="BI86" s="78">
        <v>137.4</v>
      </c>
      <c r="BJ86" s="78">
        <v>0</v>
      </c>
      <c r="BK86" s="78">
        <v>0</v>
      </c>
      <c r="BL86" s="78">
        <v>38.799999999999997</v>
      </c>
    </row>
    <row r="87" spans="1:64" ht="15.75" thickBot="1" x14ac:dyDescent="0.3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38"/>
        <v>0</v>
      </c>
      <c r="AI87" s="11">
        <f t="shared" si="39"/>
        <v>0</v>
      </c>
      <c r="AK87" s="19"/>
      <c r="AL87" s="108" t="s">
        <v>177</v>
      </c>
      <c r="AM87" s="108"/>
      <c r="AY87" s="78"/>
      <c r="BF87" s="78"/>
      <c r="BG87" s="78">
        <v>30.2</v>
      </c>
      <c r="BH87" s="78">
        <v>0</v>
      </c>
      <c r="BI87" s="78">
        <v>141.69999999999999</v>
      </c>
      <c r="BJ87" s="78">
        <v>0</v>
      </c>
      <c r="BK87" s="78">
        <v>0</v>
      </c>
      <c r="BL87" s="78">
        <v>37.700000000000003</v>
      </c>
    </row>
    <row r="88" spans="1:64" x14ac:dyDescent="0.25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38"/>
        <v>0</v>
      </c>
      <c r="AI88" s="11">
        <f t="shared" si="39"/>
        <v>0</v>
      </c>
      <c r="AK88" s="107"/>
      <c r="AL88" s="106"/>
      <c r="AM88" s="106"/>
      <c r="AN88" s="105"/>
      <c r="AY88" s="78"/>
      <c r="BF88" s="78"/>
      <c r="BG88" s="78">
        <v>29.6</v>
      </c>
      <c r="BH88" s="78">
        <v>0</v>
      </c>
      <c r="BI88" s="78">
        <v>187</v>
      </c>
      <c r="BJ88" s="78" t="str">
        <v xml:space="preserve"> </v>
      </c>
      <c r="BK88" s="78">
        <v>0</v>
      </c>
      <c r="BL88" s="78">
        <v>36.700000000000003</v>
      </c>
    </row>
    <row r="89" spans="1:64" x14ac:dyDescent="0.25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38"/>
        <v>0</v>
      </c>
      <c r="AI89" s="11">
        <f t="shared" si="39"/>
        <v>0</v>
      </c>
      <c r="AK89" s="104" t="s">
        <v>174</v>
      </c>
      <c r="AL89" s="70"/>
      <c r="AM89" s="85"/>
      <c r="AN89" s="103"/>
      <c r="AY89" s="78"/>
      <c r="BF89" s="78"/>
      <c r="BG89" s="78">
        <v>31.4</v>
      </c>
      <c r="BH89" s="78">
        <v>0</v>
      </c>
      <c r="BI89" s="78">
        <v>165</v>
      </c>
      <c r="BJ89" s="78">
        <v>45.4</v>
      </c>
      <c r="BK89" s="78">
        <v>0</v>
      </c>
      <c r="BL89" s="78">
        <v>38.799999999999997</v>
      </c>
    </row>
    <row r="90" spans="1:64" x14ac:dyDescent="0.25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38"/>
        <v>0</v>
      </c>
      <c r="AI90" s="11">
        <f t="shared" si="39"/>
        <v>0</v>
      </c>
      <c r="AK90" s="104" t="s">
        <v>172</v>
      </c>
      <c r="AL90" s="85"/>
      <c r="AM90" s="85"/>
      <c r="AN90" s="103"/>
      <c r="AY90" s="78"/>
      <c r="BF90" s="78"/>
      <c r="BG90" s="78">
        <v>64</v>
      </c>
      <c r="BH90" s="78">
        <v>0</v>
      </c>
      <c r="BI90" s="78">
        <v>470</v>
      </c>
      <c r="BJ90" s="78">
        <v>40.799999999999997</v>
      </c>
      <c r="BK90" s="78">
        <v>90</v>
      </c>
      <c r="BL90" s="78">
        <v>41.2</v>
      </c>
    </row>
    <row r="91" spans="1:64" ht="15.75" thickBot="1" x14ac:dyDescent="0.3">
      <c r="A91" s="82" t="s">
        <v>171</v>
      </c>
      <c r="B91" s="97">
        <v>36.200000000000003</v>
      </c>
      <c r="C91" s="97">
        <v>36.200000000000003</v>
      </c>
      <c r="D91" s="97">
        <v>36.200000000000003</v>
      </c>
      <c r="E91" s="97">
        <v>38.799999999999997</v>
      </c>
      <c r="F91" s="97">
        <v>37.700000000000003</v>
      </c>
      <c r="G91" s="97">
        <v>36.700000000000003</v>
      </c>
      <c r="H91" s="97">
        <v>37.5</v>
      </c>
      <c r="I91" s="97">
        <v>38.799999999999997</v>
      </c>
      <c r="J91" s="97">
        <v>41.4</v>
      </c>
      <c r="K91" s="97">
        <v>41.2</v>
      </c>
      <c r="L91" s="97">
        <v>48.4</v>
      </c>
      <c r="M91" s="97">
        <v>49.8</v>
      </c>
      <c r="N91" s="97">
        <v>50.8</v>
      </c>
      <c r="O91" s="97">
        <v>47.3</v>
      </c>
      <c r="P91" s="97">
        <v>51</v>
      </c>
      <c r="Q91" s="97">
        <v>50</v>
      </c>
      <c r="R91" s="97">
        <v>54</v>
      </c>
      <c r="S91" s="97">
        <v>45.3</v>
      </c>
      <c r="T91" s="97">
        <v>46.1</v>
      </c>
      <c r="U91" s="97">
        <v>53.1</v>
      </c>
      <c r="V91" s="97">
        <v>50.1</v>
      </c>
      <c r="W91" s="97">
        <v>46.8</v>
      </c>
      <c r="X91" s="97">
        <v>38</v>
      </c>
      <c r="Y91" s="97">
        <v>40.299999999999997</v>
      </c>
      <c r="Z91" s="97">
        <v>39.200000000000003</v>
      </c>
      <c r="AA91" s="97">
        <v>38.799999999999997</v>
      </c>
      <c r="AB91" s="97">
        <v>37.9</v>
      </c>
      <c r="AC91" s="97">
        <v>38.5</v>
      </c>
      <c r="AD91" s="97">
        <v>38.799999999999997</v>
      </c>
      <c r="AE91" s="97">
        <v>39</v>
      </c>
      <c r="AF91" s="97">
        <v>41</v>
      </c>
      <c r="AG91" s="80"/>
      <c r="AH91" s="12">
        <f t="shared" si="38"/>
        <v>54</v>
      </c>
      <c r="AI91" s="11">
        <f t="shared" si="39"/>
        <v>36.200000000000003</v>
      </c>
      <c r="AK91" s="98"/>
      <c r="AL91" s="102"/>
      <c r="AM91" s="102"/>
      <c r="AN91" s="101"/>
      <c r="AY91" s="78"/>
      <c r="BF91" s="78"/>
      <c r="BG91" s="78">
        <v>66.099999999999994</v>
      </c>
      <c r="BH91" s="78">
        <v>0</v>
      </c>
      <c r="BI91" s="78">
        <v>478</v>
      </c>
      <c r="BJ91" s="78">
        <v>41.8</v>
      </c>
      <c r="BK91" s="78">
        <v>114.6</v>
      </c>
      <c r="BL91" s="78">
        <v>49.8</v>
      </c>
    </row>
    <row r="92" spans="1:64" ht="15.75" thickBot="1" x14ac:dyDescent="0.3">
      <c r="A92" s="77" t="s">
        <v>170</v>
      </c>
      <c r="B92" s="76">
        <f t="shared" ref="B92:AF92" si="40">SUMIF(B81:B91,"&gt;0")</f>
        <v>152.89999999999998</v>
      </c>
      <c r="C92" s="76">
        <f t="shared" si="40"/>
        <v>188.2</v>
      </c>
      <c r="D92" s="76">
        <f t="shared" si="40"/>
        <v>159.69999999999999</v>
      </c>
      <c r="E92" s="76">
        <f t="shared" si="40"/>
        <v>208.40000000000003</v>
      </c>
      <c r="F92" s="76">
        <f t="shared" si="40"/>
        <v>209.59999999999997</v>
      </c>
      <c r="G92" s="76">
        <f t="shared" si="40"/>
        <v>253.3</v>
      </c>
      <c r="H92" s="76">
        <f t="shared" si="40"/>
        <v>263.60000000000002</v>
      </c>
      <c r="I92" s="76">
        <f t="shared" si="40"/>
        <v>280.60000000000002</v>
      </c>
      <c r="J92" s="76">
        <f t="shared" si="40"/>
        <v>532.1</v>
      </c>
      <c r="K92" s="76">
        <f t="shared" si="40"/>
        <v>706</v>
      </c>
      <c r="L92" s="76">
        <f t="shared" si="40"/>
        <v>720.1</v>
      </c>
      <c r="M92" s="76">
        <f t="shared" si="40"/>
        <v>750.3</v>
      </c>
      <c r="N92" s="76">
        <f t="shared" si="40"/>
        <v>784.8</v>
      </c>
      <c r="O92" s="76">
        <f t="shared" si="40"/>
        <v>813.09999999999991</v>
      </c>
      <c r="P92" s="76">
        <f t="shared" si="40"/>
        <v>786.69999999999993</v>
      </c>
      <c r="Q92" s="76">
        <f t="shared" si="40"/>
        <v>839.40000000000009</v>
      </c>
      <c r="R92" s="76">
        <f t="shared" si="40"/>
        <v>833.56999999999994</v>
      </c>
      <c r="S92" s="76">
        <f t="shared" si="40"/>
        <v>809.3</v>
      </c>
      <c r="T92" s="76">
        <f t="shared" si="40"/>
        <v>860.4</v>
      </c>
      <c r="U92" s="76">
        <f t="shared" si="40"/>
        <v>884.19999999999993</v>
      </c>
      <c r="V92" s="76">
        <f t="shared" si="40"/>
        <v>832.6</v>
      </c>
      <c r="W92" s="76">
        <f t="shared" si="40"/>
        <v>815.5</v>
      </c>
      <c r="X92" s="76">
        <f t="shared" si="40"/>
        <v>727.5</v>
      </c>
      <c r="Y92" s="76">
        <f t="shared" si="40"/>
        <v>191.5</v>
      </c>
      <c r="Z92" s="76">
        <f t="shared" si="40"/>
        <v>169.7</v>
      </c>
      <c r="AA92" s="76">
        <f t="shared" si="40"/>
        <v>204.39999999999998</v>
      </c>
      <c r="AB92" s="76">
        <f t="shared" si="40"/>
        <v>159.80000000000001</v>
      </c>
      <c r="AC92" s="76">
        <f t="shared" si="40"/>
        <v>263.89999999999998</v>
      </c>
      <c r="AD92" s="76">
        <f t="shared" si="40"/>
        <v>283.5</v>
      </c>
      <c r="AE92" s="76">
        <f t="shared" si="40"/>
        <v>280.89999999999998</v>
      </c>
      <c r="AF92" s="76">
        <f t="shared" si="40"/>
        <v>303.8</v>
      </c>
      <c r="AG92" s="75">
        <f>SUM(AG81:AG91)</f>
        <v>0</v>
      </c>
      <c r="AH92" s="12">
        <f t="shared" si="38"/>
        <v>884.19999999999993</v>
      </c>
      <c r="AI92" s="11">
        <f t="shared" si="39"/>
        <v>152.89999999999998</v>
      </c>
      <c r="AK92" s="98"/>
      <c r="AL92" s="97"/>
      <c r="AM92" s="100"/>
      <c r="AN92" s="220"/>
      <c r="AY92" s="78"/>
      <c r="BF92" s="78"/>
      <c r="BG92" s="78">
        <v>65.900000000000006</v>
      </c>
      <c r="BH92" s="78">
        <v>0</v>
      </c>
      <c r="BI92" s="78">
        <v>500.5</v>
      </c>
      <c r="BJ92" s="78">
        <v>41.4</v>
      </c>
      <c r="BK92" s="78">
        <v>126.2</v>
      </c>
      <c r="BL92" s="78">
        <v>50.8</v>
      </c>
    </row>
    <row r="93" spans="1:64" x14ac:dyDescent="0.25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38"/>
        <v>0</v>
      </c>
      <c r="AI93" s="11">
        <f t="shared" si="39"/>
        <v>0</v>
      </c>
      <c r="AK93" s="98"/>
      <c r="AL93" s="97"/>
      <c r="AM93" s="97"/>
      <c r="AN93" s="221"/>
      <c r="BF93" s="78"/>
      <c r="BG93" s="78">
        <v>63.6</v>
      </c>
      <c r="BH93" s="78">
        <v>0</v>
      </c>
      <c r="BI93" s="78">
        <v>539.9</v>
      </c>
      <c r="BJ93" s="78">
        <v>40.9</v>
      </c>
      <c r="BK93" s="78">
        <v>121.4</v>
      </c>
      <c r="BL93" s="78">
        <v>47.3</v>
      </c>
    </row>
    <row r="94" spans="1:64" ht="15.75" thickBot="1" x14ac:dyDescent="0.3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38"/>
        <v>0</v>
      </c>
      <c r="AI94" s="11">
        <f t="shared" si="39"/>
        <v>0</v>
      </c>
      <c r="AK94" s="95"/>
      <c r="AL94" s="67"/>
      <c r="AM94" s="67"/>
      <c r="AN94" s="94"/>
      <c r="BF94" s="78"/>
      <c r="BG94" s="78">
        <v>72.400000000000006</v>
      </c>
      <c r="BH94" s="78">
        <v>0</v>
      </c>
      <c r="BI94" s="78">
        <v>522.4</v>
      </c>
      <c r="BJ94" s="78">
        <v>43.8</v>
      </c>
      <c r="BK94" s="78">
        <v>97.1</v>
      </c>
      <c r="BL94" s="78">
        <v>51</v>
      </c>
    </row>
    <row r="95" spans="1:64" ht="15.75" thickBot="1" x14ac:dyDescent="0.3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38"/>
        <v>0</v>
      </c>
      <c r="AI95" s="11">
        <f t="shared" si="39"/>
        <v>0</v>
      </c>
      <c r="BF95" s="78"/>
      <c r="BG95" s="78">
        <v>70</v>
      </c>
      <c r="BH95" s="78">
        <v>0</v>
      </c>
      <c r="BI95" s="78">
        <v>540.70000000000005</v>
      </c>
      <c r="BJ95" s="78">
        <v>43</v>
      </c>
      <c r="BK95" s="78">
        <v>135.69999999999999</v>
      </c>
      <c r="BL95" s="78">
        <v>50</v>
      </c>
    </row>
    <row r="96" spans="1:64" ht="15.75" thickBot="1" x14ac:dyDescent="0.3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>
        <v>0</v>
      </c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38"/>
        <v>0</v>
      </c>
      <c r="AI96" s="11">
        <f t="shared" si="39"/>
        <v>0</v>
      </c>
      <c r="BF96" s="78"/>
      <c r="BG96" s="78">
        <v>75</v>
      </c>
      <c r="BH96" s="78">
        <v>0</v>
      </c>
      <c r="BI96" s="78">
        <v>539.37</v>
      </c>
      <c r="BJ96" s="78">
        <v>39.299999999999997</v>
      </c>
      <c r="BK96" s="78">
        <v>125.9</v>
      </c>
      <c r="BL96" s="78">
        <v>54</v>
      </c>
    </row>
    <row r="97" spans="1:64" ht="15.75" thickBot="1" x14ac:dyDescent="0.3">
      <c r="A97" s="77" t="s">
        <v>165</v>
      </c>
      <c r="B97" s="90">
        <f t="shared" ref="B97:AG97" si="41">B58+B62+B80+B76+B92+B96</f>
        <v>1075.9399999999998</v>
      </c>
      <c r="C97" s="90">
        <f t="shared" si="41"/>
        <v>1059.2399999999998</v>
      </c>
      <c r="D97" s="90">
        <f t="shared" si="41"/>
        <v>1030.7399999999998</v>
      </c>
      <c r="E97" s="90">
        <f t="shared" si="41"/>
        <v>1077.5400000000002</v>
      </c>
      <c r="F97" s="90">
        <f t="shared" si="41"/>
        <v>1073.54</v>
      </c>
      <c r="G97" s="90">
        <f t="shared" si="41"/>
        <v>1117.44</v>
      </c>
      <c r="H97" s="90">
        <f t="shared" si="41"/>
        <v>1130.94</v>
      </c>
      <c r="I97" s="90">
        <f t="shared" si="41"/>
        <v>1204.44</v>
      </c>
      <c r="J97" s="90">
        <f t="shared" si="41"/>
        <v>1235.94</v>
      </c>
      <c r="K97" s="90">
        <f t="shared" si="41"/>
        <v>1399.8400000000001</v>
      </c>
      <c r="L97" s="90">
        <f t="shared" si="41"/>
        <v>1451.7399999999998</v>
      </c>
      <c r="M97" s="90">
        <f t="shared" si="41"/>
        <v>1514.44</v>
      </c>
      <c r="N97" s="90">
        <f t="shared" si="41"/>
        <v>1576.9399999999998</v>
      </c>
      <c r="O97" s="90">
        <f t="shared" si="41"/>
        <v>1611.6399999999999</v>
      </c>
      <c r="P97" s="90">
        <f t="shared" si="41"/>
        <v>1591.6399999999999</v>
      </c>
      <c r="Q97" s="90">
        <f t="shared" si="41"/>
        <v>1633.14</v>
      </c>
      <c r="R97" s="90">
        <f t="shared" si="41"/>
        <v>1630.9099999999999</v>
      </c>
      <c r="S97" s="90">
        <f t="shared" si="41"/>
        <v>1605.54</v>
      </c>
      <c r="T97" s="90">
        <f t="shared" si="41"/>
        <v>1656.6399999999999</v>
      </c>
      <c r="U97" s="90">
        <f t="shared" si="41"/>
        <v>1658.94</v>
      </c>
      <c r="V97" s="90">
        <f t="shared" si="41"/>
        <v>1602.94</v>
      </c>
      <c r="W97" s="90">
        <f t="shared" si="41"/>
        <v>1588.84</v>
      </c>
      <c r="X97" s="90">
        <f t="shared" si="41"/>
        <v>1461.24</v>
      </c>
      <c r="Y97" s="90">
        <f t="shared" si="41"/>
        <v>1451.9</v>
      </c>
      <c r="Z97" s="90">
        <f t="shared" si="41"/>
        <v>1619.9</v>
      </c>
      <c r="AA97" s="90">
        <f t="shared" si="41"/>
        <v>1606.94</v>
      </c>
      <c r="AB97" s="90">
        <f t="shared" si="41"/>
        <v>1525.84</v>
      </c>
      <c r="AC97" s="90">
        <f t="shared" si="41"/>
        <v>1503.8400000000001</v>
      </c>
      <c r="AD97" s="90">
        <f t="shared" si="41"/>
        <v>1447.54</v>
      </c>
      <c r="AE97" s="90">
        <f t="shared" si="41"/>
        <v>1353.04</v>
      </c>
      <c r="AF97" s="90">
        <f t="shared" si="41"/>
        <v>1250.1399999999999</v>
      </c>
      <c r="AG97" s="93">
        <f t="shared" si="41"/>
        <v>2231.81</v>
      </c>
      <c r="AH97" s="12">
        <f t="shared" si="38"/>
        <v>1658.94</v>
      </c>
      <c r="AI97" s="11">
        <f t="shared" si="39"/>
        <v>1030.7399999999998</v>
      </c>
      <c r="BF97" s="78"/>
      <c r="BG97" s="78">
        <v>65.5</v>
      </c>
      <c r="BH97" s="78">
        <v>0</v>
      </c>
      <c r="BI97" s="78">
        <v>544</v>
      </c>
      <c r="BJ97" s="78">
        <v>45.3</v>
      </c>
      <c r="BK97" s="78">
        <v>109.2</v>
      </c>
      <c r="BL97" s="78">
        <v>45.3</v>
      </c>
    </row>
    <row r="98" spans="1:64" ht="15.75" thickBot="1" x14ac:dyDescent="0.3">
      <c r="A98" s="92" t="s">
        <v>164</v>
      </c>
      <c r="B98" s="91">
        <v>150</v>
      </c>
      <c r="C98" s="91">
        <v>150</v>
      </c>
      <c r="D98" s="91">
        <v>151</v>
      </c>
      <c r="E98" s="91">
        <v>150</v>
      </c>
      <c r="F98" s="91">
        <v>150</v>
      </c>
      <c r="G98" s="91">
        <v>150</v>
      </c>
      <c r="H98" s="91">
        <v>150</v>
      </c>
      <c r="I98" s="91">
        <v>150</v>
      </c>
      <c r="J98" s="91">
        <v>100</v>
      </c>
      <c r="K98" s="91">
        <v>40</v>
      </c>
      <c r="L98" s="91">
        <v>0</v>
      </c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>
        <v>250</v>
      </c>
      <c r="Z98" s="91">
        <v>250</v>
      </c>
      <c r="AA98" s="91">
        <v>250</v>
      </c>
      <c r="AB98" s="91">
        <v>250</v>
      </c>
      <c r="AC98" s="91">
        <v>200</v>
      </c>
      <c r="AD98" s="91">
        <v>200</v>
      </c>
      <c r="AE98" s="91">
        <v>200</v>
      </c>
      <c r="AF98" s="91">
        <v>200</v>
      </c>
      <c r="AG98" s="75"/>
      <c r="AH98" s="12">
        <f t="shared" si="38"/>
        <v>250</v>
      </c>
      <c r="AI98" s="11">
        <f t="shared" si="39"/>
        <v>0</v>
      </c>
      <c r="BF98" s="78"/>
      <c r="BG98" s="78">
        <v>69.3</v>
      </c>
      <c r="BH98" s="78">
        <v>90</v>
      </c>
      <c r="BI98" s="78">
        <v>472</v>
      </c>
      <c r="BJ98" s="78">
        <v>49</v>
      </c>
      <c r="BK98" s="78">
        <v>134</v>
      </c>
      <c r="BL98" s="78">
        <v>46.1</v>
      </c>
    </row>
    <row r="99" spans="1:64" ht="15.75" thickBot="1" x14ac:dyDescent="0.3">
      <c r="A99" s="77" t="s">
        <v>163</v>
      </c>
      <c r="B99" s="90">
        <f t="shared" ref="B99:AF99" si="42">B97+B98</f>
        <v>1225.9399999999998</v>
      </c>
      <c r="C99" s="90">
        <f t="shared" si="42"/>
        <v>1209.2399999999998</v>
      </c>
      <c r="D99" s="90">
        <f t="shared" si="42"/>
        <v>1181.7399999999998</v>
      </c>
      <c r="E99" s="90">
        <f t="shared" si="42"/>
        <v>1227.5400000000002</v>
      </c>
      <c r="F99" s="90">
        <f t="shared" si="42"/>
        <v>1223.54</v>
      </c>
      <c r="G99" s="90">
        <f t="shared" si="42"/>
        <v>1267.44</v>
      </c>
      <c r="H99" s="90">
        <f t="shared" si="42"/>
        <v>1280.94</v>
      </c>
      <c r="I99" s="90">
        <f t="shared" si="42"/>
        <v>1354.44</v>
      </c>
      <c r="J99" s="90">
        <f t="shared" si="42"/>
        <v>1335.94</v>
      </c>
      <c r="K99" s="90">
        <f t="shared" si="42"/>
        <v>1439.8400000000001</v>
      </c>
      <c r="L99" s="90">
        <f t="shared" si="42"/>
        <v>1451.7399999999998</v>
      </c>
      <c r="M99" s="90">
        <f t="shared" si="42"/>
        <v>1514.44</v>
      </c>
      <c r="N99" s="90">
        <f t="shared" si="42"/>
        <v>1576.9399999999998</v>
      </c>
      <c r="O99" s="90">
        <f t="shared" si="42"/>
        <v>1611.6399999999999</v>
      </c>
      <c r="P99" s="90">
        <f t="shared" si="42"/>
        <v>1591.6399999999999</v>
      </c>
      <c r="Q99" s="90">
        <f t="shared" si="42"/>
        <v>1633.14</v>
      </c>
      <c r="R99" s="90">
        <f t="shared" si="42"/>
        <v>1630.9099999999999</v>
      </c>
      <c r="S99" s="90">
        <f t="shared" si="42"/>
        <v>1605.54</v>
      </c>
      <c r="T99" s="90">
        <f t="shared" si="42"/>
        <v>1656.6399999999999</v>
      </c>
      <c r="U99" s="90">
        <f t="shared" si="42"/>
        <v>1658.94</v>
      </c>
      <c r="V99" s="90">
        <f t="shared" si="42"/>
        <v>1602.94</v>
      </c>
      <c r="W99" s="90">
        <f t="shared" si="42"/>
        <v>1588.84</v>
      </c>
      <c r="X99" s="90">
        <f t="shared" si="42"/>
        <v>1461.24</v>
      </c>
      <c r="Y99" s="90">
        <f t="shared" si="42"/>
        <v>1701.9</v>
      </c>
      <c r="Z99" s="90">
        <f t="shared" si="42"/>
        <v>1869.9</v>
      </c>
      <c r="AA99" s="90">
        <f t="shared" si="42"/>
        <v>1856.94</v>
      </c>
      <c r="AB99" s="90">
        <f t="shared" si="42"/>
        <v>1775.84</v>
      </c>
      <c r="AC99" s="90">
        <f t="shared" si="42"/>
        <v>1703.8400000000001</v>
      </c>
      <c r="AD99" s="90">
        <f t="shared" si="42"/>
        <v>1647.54</v>
      </c>
      <c r="AE99" s="90">
        <f t="shared" si="42"/>
        <v>1553.04</v>
      </c>
      <c r="AF99" s="90">
        <f t="shared" si="42"/>
        <v>1450.1399999999999</v>
      </c>
      <c r="AG99" s="75">
        <f>AG96+AG92+AG80+AG76+AG58+AG98</f>
        <v>1693.71</v>
      </c>
      <c r="AH99" s="12">
        <f t="shared" si="38"/>
        <v>1869.9</v>
      </c>
      <c r="AI99" s="11">
        <f t="shared" si="39"/>
        <v>1181.7399999999998</v>
      </c>
      <c r="BF99" s="78"/>
      <c r="BG99" s="78">
        <v>56.6</v>
      </c>
      <c r="BH99" s="78">
        <v>100</v>
      </c>
      <c r="BI99" s="78">
        <v>478</v>
      </c>
      <c r="BJ99" s="78">
        <v>48.3</v>
      </c>
      <c r="BK99" s="78">
        <v>148.19999999999999</v>
      </c>
      <c r="BL99" s="78">
        <v>53.1</v>
      </c>
    </row>
    <row r="100" spans="1:64" ht="15.75" thickBot="1" x14ac:dyDescent="0.3">
      <c r="A100" s="77" t="s">
        <v>162</v>
      </c>
      <c r="B100" s="90">
        <f t="shared" ref="B100:AF100" si="43">B99-(B107)</f>
        <v>1225.9399999999998</v>
      </c>
      <c r="C100" s="90">
        <f t="shared" si="43"/>
        <v>1209.2399999999998</v>
      </c>
      <c r="D100" s="90">
        <f t="shared" si="43"/>
        <v>1181.7399999999998</v>
      </c>
      <c r="E100" s="90">
        <f t="shared" si="43"/>
        <v>1227.5400000000002</v>
      </c>
      <c r="F100" s="90">
        <f t="shared" si="43"/>
        <v>1223.54</v>
      </c>
      <c r="G100" s="90">
        <f t="shared" si="43"/>
        <v>1267.44</v>
      </c>
      <c r="H100" s="90">
        <f t="shared" si="43"/>
        <v>1280.94</v>
      </c>
      <c r="I100" s="90">
        <f t="shared" si="43"/>
        <v>1354.44</v>
      </c>
      <c r="J100" s="90">
        <f t="shared" si="43"/>
        <v>1335.94</v>
      </c>
      <c r="K100" s="90">
        <f t="shared" si="43"/>
        <v>1439.8400000000001</v>
      </c>
      <c r="L100" s="90">
        <f t="shared" si="43"/>
        <v>1451.7399999999998</v>
      </c>
      <c r="M100" s="90">
        <f t="shared" si="43"/>
        <v>1514.44</v>
      </c>
      <c r="N100" s="90">
        <f t="shared" si="43"/>
        <v>1576.9399999999998</v>
      </c>
      <c r="O100" s="90">
        <f t="shared" si="43"/>
        <v>1611.6399999999999</v>
      </c>
      <c r="P100" s="90">
        <f t="shared" si="43"/>
        <v>1591.6399999999999</v>
      </c>
      <c r="Q100" s="90">
        <f t="shared" si="43"/>
        <v>1633.14</v>
      </c>
      <c r="R100" s="90">
        <f t="shared" si="43"/>
        <v>1630.9099999999999</v>
      </c>
      <c r="S100" s="90">
        <f t="shared" si="43"/>
        <v>1605.54</v>
      </c>
      <c r="T100" s="90">
        <f t="shared" si="43"/>
        <v>1656.6399999999999</v>
      </c>
      <c r="U100" s="90">
        <f t="shared" si="43"/>
        <v>1658.94</v>
      </c>
      <c r="V100" s="90">
        <f t="shared" si="43"/>
        <v>1602.94</v>
      </c>
      <c r="W100" s="90">
        <f t="shared" si="43"/>
        <v>1588.84</v>
      </c>
      <c r="X100" s="90">
        <f t="shared" si="43"/>
        <v>1461.24</v>
      </c>
      <c r="Y100" s="90">
        <f t="shared" si="43"/>
        <v>1701.9</v>
      </c>
      <c r="Z100" s="90">
        <f t="shared" si="43"/>
        <v>1869.9</v>
      </c>
      <c r="AA100" s="90">
        <f t="shared" si="43"/>
        <v>1856.94</v>
      </c>
      <c r="AB100" s="90">
        <f t="shared" si="43"/>
        <v>1775.84</v>
      </c>
      <c r="AC100" s="90">
        <f t="shared" si="43"/>
        <v>1703.8400000000001</v>
      </c>
      <c r="AD100" s="90">
        <f t="shared" si="43"/>
        <v>1647.54</v>
      </c>
      <c r="AE100" s="90">
        <f t="shared" si="43"/>
        <v>1553.04</v>
      </c>
      <c r="AF100" s="90">
        <f t="shared" si="43"/>
        <v>1450.1399999999999</v>
      </c>
      <c r="AG100" s="75"/>
      <c r="AH100" s="12">
        <f t="shared" si="38"/>
        <v>1869.9</v>
      </c>
      <c r="AI100" s="11">
        <f t="shared" si="39"/>
        <v>1181.7399999999998</v>
      </c>
      <c r="BF100" s="78"/>
      <c r="BG100" s="78">
        <v>61.3</v>
      </c>
      <c r="BH100" s="78">
        <v>100</v>
      </c>
      <c r="BI100" s="78">
        <v>449</v>
      </c>
      <c r="BJ100" s="78">
        <v>44.2</v>
      </c>
      <c r="BK100" s="78">
        <v>128</v>
      </c>
      <c r="BL100" s="78">
        <v>50.1</v>
      </c>
    </row>
    <row r="101" spans="1:64" x14ac:dyDescent="0.25">
      <c r="A101" s="89" t="s">
        <v>161</v>
      </c>
      <c r="B101" s="85">
        <f t="shared" ref="B101:AF101" si="44">IF(B84&lt;0,B84*-1,0)</f>
        <v>0</v>
      </c>
      <c r="C101" s="85">
        <f t="shared" si="44"/>
        <v>0</v>
      </c>
      <c r="D101" s="85">
        <f t="shared" si="44"/>
        <v>0</v>
      </c>
      <c r="E101" s="85">
        <f t="shared" si="44"/>
        <v>0</v>
      </c>
      <c r="F101" s="85">
        <f t="shared" si="44"/>
        <v>0</v>
      </c>
      <c r="G101" s="85">
        <f t="shared" si="44"/>
        <v>0</v>
      </c>
      <c r="H101" s="85">
        <f t="shared" si="44"/>
        <v>0</v>
      </c>
      <c r="I101" s="85">
        <f t="shared" si="44"/>
        <v>0</v>
      </c>
      <c r="J101" s="85">
        <f t="shared" si="44"/>
        <v>0</v>
      </c>
      <c r="K101" s="85">
        <f t="shared" si="44"/>
        <v>0</v>
      </c>
      <c r="L101" s="85">
        <f t="shared" si="44"/>
        <v>0</v>
      </c>
      <c r="M101" s="85">
        <f t="shared" si="44"/>
        <v>0</v>
      </c>
      <c r="N101" s="85">
        <f t="shared" si="44"/>
        <v>0</v>
      </c>
      <c r="O101" s="85">
        <f t="shared" si="44"/>
        <v>0</v>
      </c>
      <c r="P101" s="85">
        <f t="shared" si="44"/>
        <v>0</v>
      </c>
      <c r="Q101" s="85">
        <f t="shared" si="44"/>
        <v>0</v>
      </c>
      <c r="R101" s="85">
        <f t="shared" si="44"/>
        <v>0</v>
      </c>
      <c r="S101" s="85">
        <f t="shared" si="44"/>
        <v>0</v>
      </c>
      <c r="T101" s="85">
        <f t="shared" si="44"/>
        <v>0</v>
      </c>
      <c r="U101" s="85">
        <f t="shared" si="44"/>
        <v>0</v>
      </c>
      <c r="V101" s="85">
        <f t="shared" si="44"/>
        <v>0</v>
      </c>
      <c r="W101" s="85">
        <f t="shared" si="44"/>
        <v>0</v>
      </c>
      <c r="X101" s="85">
        <f t="shared" si="44"/>
        <v>0</v>
      </c>
      <c r="Y101" s="85">
        <f t="shared" si="44"/>
        <v>0</v>
      </c>
      <c r="Z101" s="85">
        <f t="shared" si="44"/>
        <v>0</v>
      </c>
      <c r="AA101" s="85">
        <f t="shared" si="44"/>
        <v>0</v>
      </c>
      <c r="AB101" s="85">
        <f t="shared" si="44"/>
        <v>0</v>
      </c>
      <c r="AC101" s="85">
        <f t="shared" si="44"/>
        <v>0</v>
      </c>
      <c r="AD101" s="85">
        <f t="shared" si="44"/>
        <v>0</v>
      </c>
      <c r="AE101" s="85">
        <f t="shared" si="44"/>
        <v>0</v>
      </c>
      <c r="AF101" s="85">
        <f t="shared" si="44"/>
        <v>0</v>
      </c>
      <c r="AG101" s="88"/>
      <c r="AH101" s="12">
        <f t="shared" si="38"/>
        <v>0</v>
      </c>
      <c r="AI101" s="11">
        <f t="shared" si="39"/>
        <v>0</v>
      </c>
      <c r="BF101" s="83"/>
      <c r="BG101" s="78">
        <v>61.5</v>
      </c>
      <c r="BH101" s="78">
        <v>102</v>
      </c>
      <c r="BI101" s="78">
        <v>420</v>
      </c>
      <c r="BJ101" s="78">
        <v>24</v>
      </c>
      <c r="BK101" s="78">
        <v>82</v>
      </c>
      <c r="BL101" s="78">
        <v>38</v>
      </c>
    </row>
    <row r="102" spans="1:64" x14ac:dyDescent="0.25">
      <c r="A102" s="87" t="s">
        <v>160</v>
      </c>
      <c r="B102" s="85">
        <f t="shared" ref="B102:AF102" si="45">IF(B82&lt;0,B82*-1,0)</f>
        <v>0</v>
      </c>
      <c r="C102" s="85">
        <f t="shared" si="45"/>
        <v>0</v>
      </c>
      <c r="D102" s="85">
        <f t="shared" si="45"/>
        <v>0</v>
      </c>
      <c r="E102" s="85">
        <f t="shared" si="45"/>
        <v>0</v>
      </c>
      <c r="F102" s="85">
        <f t="shared" si="45"/>
        <v>0</v>
      </c>
      <c r="G102" s="85">
        <f t="shared" si="45"/>
        <v>0</v>
      </c>
      <c r="H102" s="85">
        <f t="shared" si="45"/>
        <v>0</v>
      </c>
      <c r="I102" s="85">
        <f t="shared" si="45"/>
        <v>0</v>
      </c>
      <c r="J102" s="85">
        <f t="shared" si="45"/>
        <v>0</v>
      </c>
      <c r="K102" s="85">
        <f t="shared" si="45"/>
        <v>0</v>
      </c>
      <c r="L102" s="85">
        <f t="shared" si="45"/>
        <v>0</v>
      </c>
      <c r="M102" s="85">
        <f t="shared" si="45"/>
        <v>0</v>
      </c>
      <c r="N102" s="85">
        <f t="shared" si="45"/>
        <v>0</v>
      </c>
      <c r="O102" s="85">
        <f t="shared" si="45"/>
        <v>0</v>
      </c>
      <c r="P102" s="85">
        <f t="shared" si="45"/>
        <v>0</v>
      </c>
      <c r="Q102" s="85">
        <f t="shared" si="45"/>
        <v>0</v>
      </c>
      <c r="R102" s="85">
        <f t="shared" si="45"/>
        <v>0</v>
      </c>
      <c r="S102" s="85">
        <f t="shared" si="45"/>
        <v>0</v>
      </c>
      <c r="T102" s="85">
        <f t="shared" si="45"/>
        <v>0</v>
      </c>
      <c r="U102" s="85">
        <f t="shared" si="45"/>
        <v>0</v>
      </c>
      <c r="V102" s="85">
        <f t="shared" si="45"/>
        <v>0</v>
      </c>
      <c r="W102" s="85">
        <f t="shared" si="45"/>
        <v>0</v>
      </c>
      <c r="X102" s="85">
        <f t="shared" si="45"/>
        <v>0</v>
      </c>
      <c r="Y102" s="85">
        <f t="shared" si="45"/>
        <v>0</v>
      </c>
      <c r="Z102" s="85">
        <f t="shared" si="45"/>
        <v>0</v>
      </c>
      <c r="AA102" s="85">
        <f t="shared" si="45"/>
        <v>0</v>
      </c>
      <c r="AB102" s="85">
        <f t="shared" si="45"/>
        <v>0</v>
      </c>
      <c r="AC102" s="85">
        <f t="shared" si="45"/>
        <v>0</v>
      </c>
      <c r="AD102" s="85">
        <f t="shared" si="45"/>
        <v>0</v>
      </c>
      <c r="AE102" s="85">
        <f t="shared" si="45"/>
        <v>0</v>
      </c>
      <c r="AF102" s="85">
        <f t="shared" si="45"/>
        <v>0</v>
      </c>
      <c r="AG102" s="86"/>
      <c r="AH102" s="12">
        <f t="shared" si="38"/>
        <v>0</v>
      </c>
      <c r="AI102" s="11">
        <f t="shared" si="39"/>
        <v>0</v>
      </c>
      <c r="BF102" s="83"/>
      <c r="BG102" s="78">
        <v>35.4</v>
      </c>
      <c r="BH102" s="78">
        <v>0</v>
      </c>
      <c r="BI102" s="78">
        <v>95.1</v>
      </c>
      <c r="BJ102" s="78">
        <v>0</v>
      </c>
      <c r="BK102" s="78">
        <v>0</v>
      </c>
      <c r="BL102" s="78">
        <v>39.200000000000003</v>
      </c>
    </row>
    <row r="103" spans="1:64" x14ac:dyDescent="0.25">
      <c r="A103" s="82" t="s">
        <v>159</v>
      </c>
      <c r="B103" s="85">
        <f t="shared" ref="B103:AF103" si="46">IF(B85&lt;0,B85*-1,0)</f>
        <v>0</v>
      </c>
      <c r="C103" s="85">
        <f t="shared" si="46"/>
        <v>0</v>
      </c>
      <c r="D103" s="85">
        <f t="shared" si="46"/>
        <v>0</v>
      </c>
      <c r="E103" s="85">
        <f t="shared" si="46"/>
        <v>0</v>
      </c>
      <c r="F103" s="85">
        <f t="shared" si="46"/>
        <v>0</v>
      </c>
      <c r="G103" s="85">
        <f t="shared" si="46"/>
        <v>0</v>
      </c>
      <c r="H103" s="85">
        <f t="shared" si="46"/>
        <v>0</v>
      </c>
      <c r="I103" s="85">
        <f t="shared" si="46"/>
        <v>0</v>
      </c>
      <c r="J103" s="85">
        <f t="shared" si="46"/>
        <v>0</v>
      </c>
      <c r="K103" s="85">
        <f t="shared" si="46"/>
        <v>0</v>
      </c>
      <c r="L103" s="85">
        <f t="shared" si="46"/>
        <v>0</v>
      </c>
      <c r="M103" s="85">
        <f t="shared" si="46"/>
        <v>0</v>
      </c>
      <c r="N103" s="85">
        <f t="shared" si="46"/>
        <v>0</v>
      </c>
      <c r="O103" s="85">
        <f t="shared" si="46"/>
        <v>0</v>
      </c>
      <c r="P103" s="85">
        <f t="shared" si="46"/>
        <v>0</v>
      </c>
      <c r="Q103" s="85">
        <f t="shared" si="46"/>
        <v>0</v>
      </c>
      <c r="R103" s="85">
        <f t="shared" si="46"/>
        <v>0</v>
      </c>
      <c r="S103" s="85">
        <f t="shared" si="46"/>
        <v>0</v>
      </c>
      <c r="T103" s="85">
        <f t="shared" si="46"/>
        <v>0</v>
      </c>
      <c r="U103" s="85">
        <f t="shared" si="46"/>
        <v>0</v>
      </c>
      <c r="V103" s="85">
        <f t="shared" si="46"/>
        <v>0</v>
      </c>
      <c r="W103" s="85">
        <f t="shared" si="46"/>
        <v>0</v>
      </c>
      <c r="X103" s="85">
        <f t="shared" si="46"/>
        <v>0</v>
      </c>
      <c r="Y103" s="85">
        <f t="shared" si="46"/>
        <v>0</v>
      </c>
      <c r="Z103" s="85">
        <f t="shared" si="46"/>
        <v>0</v>
      </c>
      <c r="AA103" s="85">
        <f t="shared" si="46"/>
        <v>0</v>
      </c>
      <c r="AB103" s="85">
        <f t="shared" si="46"/>
        <v>0</v>
      </c>
      <c r="AC103" s="85">
        <f t="shared" si="46"/>
        <v>0</v>
      </c>
      <c r="AD103" s="85">
        <f t="shared" si="46"/>
        <v>0</v>
      </c>
      <c r="AE103" s="85">
        <f t="shared" si="46"/>
        <v>0</v>
      </c>
      <c r="AF103" s="85">
        <f t="shared" si="46"/>
        <v>0</v>
      </c>
      <c r="AG103" s="84"/>
      <c r="AH103" s="12">
        <f t="shared" si="38"/>
        <v>0</v>
      </c>
      <c r="AI103" s="11">
        <f t="shared" si="39"/>
        <v>0</v>
      </c>
      <c r="BF103" s="83"/>
      <c r="BG103" s="78">
        <v>43.1</v>
      </c>
      <c r="BH103" s="78">
        <v>0</v>
      </c>
      <c r="BI103" s="78">
        <v>78.8</v>
      </c>
      <c r="BJ103" s="78">
        <v>0</v>
      </c>
      <c r="BK103" s="78">
        <v>0</v>
      </c>
      <c r="BL103" s="78">
        <v>37.9</v>
      </c>
    </row>
    <row r="104" spans="1:64" x14ac:dyDescent="0.25">
      <c r="A104" s="82" t="s">
        <v>158</v>
      </c>
      <c r="B104" s="85">
        <f t="shared" ref="B104:AF104" si="47">IF(B83&lt;0,B83*-1,0)</f>
        <v>0</v>
      </c>
      <c r="C104" s="85">
        <f t="shared" si="47"/>
        <v>0</v>
      </c>
      <c r="D104" s="85">
        <f t="shared" si="47"/>
        <v>0</v>
      </c>
      <c r="E104" s="85">
        <f t="shared" si="47"/>
        <v>0</v>
      </c>
      <c r="F104" s="85">
        <f t="shared" si="47"/>
        <v>0</v>
      </c>
      <c r="G104" s="85">
        <f t="shared" si="47"/>
        <v>0</v>
      </c>
      <c r="H104" s="85">
        <f t="shared" si="47"/>
        <v>0</v>
      </c>
      <c r="I104" s="85">
        <f t="shared" si="47"/>
        <v>0</v>
      </c>
      <c r="J104" s="85">
        <f t="shared" si="47"/>
        <v>0</v>
      </c>
      <c r="K104" s="85">
        <f t="shared" si="47"/>
        <v>0</v>
      </c>
      <c r="L104" s="85">
        <f t="shared" si="47"/>
        <v>0</v>
      </c>
      <c r="M104" s="85">
        <f t="shared" si="47"/>
        <v>0</v>
      </c>
      <c r="N104" s="85">
        <f t="shared" si="47"/>
        <v>0</v>
      </c>
      <c r="O104" s="85">
        <f t="shared" si="47"/>
        <v>0</v>
      </c>
      <c r="P104" s="85">
        <f t="shared" si="47"/>
        <v>0</v>
      </c>
      <c r="Q104" s="85">
        <f t="shared" si="47"/>
        <v>0</v>
      </c>
      <c r="R104" s="85">
        <f t="shared" si="47"/>
        <v>0</v>
      </c>
      <c r="S104" s="85">
        <f t="shared" si="47"/>
        <v>0</v>
      </c>
      <c r="T104" s="85">
        <f t="shared" si="47"/>
        <v>0</v>
      </c>
      <c r="U104" s="85">
        <f t="shared" si="47"/>
        <v>0</v>
      </c>
      <c r="V104" s="85">
        <f t="shared" si="47"/>
        <v>0</v>
      </c>
      <c r="W104" s="85">
        <f t="shared" si="47"/>
        <v>0</v>
      </c>
      <c r="X104" s="85">
        <f t="shared" si="47"/>
        <v>0</v>
      </c>
      <c r="Y104" s="85">
        <f t="shared" si="47"/>
        <v>0</v>
      </c>
      <c r="Z104" s="85">
        <f t="shared" si="47"/>
        <v>0</v>
      </c>
      <c r="AA104" s="85">
        <f t="shared" si="47"/>
        <v>0</v>
      </c>
      <c r="AB104" s="85">
        <f t="shared" si="47"/>
        <v>0</v>
      </c>
      <c r="AC104" s="85">
        <f t="shared" si="47"/>
        <v>0</v>
      </c>
      <c r="AD104" s="85">
        <f t="shared" si="47"/>
        <v>0</v>
      </c>
      <c r="AE104" s="85">
        <f t="shared" si="47"/>
        <v>0</v>
      </c>
      <c r="AF104" s="85">
        <f t="shared" si="47"/>
        <v>0</v>
      </c>
      <c r="AG104" s="84"/>
      <c r="AH104" s="12">
        <f t="shared" si="38"/>
        <v>0</v>
      </c>
      <c r="AI104" s="11">
        <f t="shared" si="39"/>
        <v>0</v>
      </c>
      <c r="BF104" s="83"/>
      <c r="BG104" s="78">
        <v>58.7</v>
      </c>
      <c r="BH104" s="78">
        <v>0</v>
      </c>
      <c r="BI104" s="78">
        <v>186</v>
      </c>
      <c r="BJ104" s="78">
        <v>0</v>
      </c>
      <c r="BK104" s="78">
        <v>0</v>
      </c>
      <c r="BL104" s="78">
        <v>38.799999999999997</v>
      </c>
    </row>
    <row r="105" spans="1:64" x14ac:dyDescent="0.25">
      <c r="A105" s="82" t="s">
        <v>157</v>
      </c>
      <c r="B105" s="85">
        <f t="shared" ref="B105:AF105" si="48">IF(B81&lt;0,B81*-1,0)</f>
        <v>0</v>
      </c>
      <c r="C105" s="85">
        <f t="shared" si="48"/>
        <v>0</v>
      </c>
      <c r="D105" s="85">
        <f t="shared" si="48"/>
        <v>0</v>
      </c>
      <c r="E105" s="85">
        <f t="shared" si="48"/>
        <v>0</v>
      </c>
      <c r="F105" s="85">
        <f t="shared" si="48"/>
        <v>0</v>
      </c>
      <c r="G105" s="85">
        <f t="shared" si="48"/>
        <v>0</v>
      </c>
      <c r="H105" s="85">
        <f t="shared" si="48"/>
        <v>0</v>
      </c>
      <c r="I105" s="85">
        <f t="shared" si="48"/>
        <v>0</v>
      </c>
      <c r="J105" s="85">
        <f t="shared" si="48"/>
        <v>0</v>
      </c>
      <c r="K105" s="85">
        <f t="shared" si="48"/>
        <v>0</v>
      </c>
      <c r="L105" s="85">
        <f t="shared" si="48"/>
        <v>0</v>
      </c>
      <c r="M105" s="85">
        <f t="shared" si="48"/>
        <v>0</v>
      </c>
      <c r="N105" s="85">
        <f t="shared" si="48"/>
        <v>0</v>
      </c>
      <c r="O105" s="85">
        <f t="shared" si="48"/>
        <v>0</v>
      </c>
      <c r="P105" s="85">
        <f t="shared" si="48"/>
        <v>0</v>
      </c>
      <c r="Q105" s="85">
        <f t="shared" si="48"/>
        <v>0</v>
      </c>
      <c r="R105" s="85">
        <f t="shared" si="48"/>
        <v>0</v>
      </c>
      <c r="S105" s="85">
        <f t="shared" si="48"/>
        <v>0</v>
      </c>
      <c r="T105" s="85">
        <f t="shared" si="48"/>
        <v>0</v>
      </c>
      <c r="U105" s="85">
        <f t="shared" si="48"/>
        <v>0</v>
      </c>
      <c r="V105" s="85">
        <f t="shared" si="48"/>
        <v>0</v>
      </c>
      <c r="W105" s="85">
        <f t="shared" si="48"/>
        <v>0</v>
      </c>
      <c r="X105" s="85">
        <f t="shared" si="48"/>
        <v>0</v>
      </c>
      <c r="Y105" s="85">
        <f t="shared" si="48"/>
        <v>0</v>
      </c>
      <c r="Z105" s="85">
        <f t="shared" si="48"/>
        <v>0</v>
      </c>
      <c r="AA105" s="85">
        <f t="shared" si="48"/>
        <v>0</v>
      </c>
      <c r="AB105" s="85">
        <f t="shared" si="48"/>
        <v>0</v>
      </c>
      <c r="AC105" s="85">
        <f t="shared" si="48"/>
        <v>0</v>
      </c>
      <c r="AD105" s="85">
        <f t="shared" si="48"/>
        <v>0</v>
      </c>
      <c r="AE105" s="85">
        <f t="shared" si="48"/>
        <v>0</v>
      </c>
      <c r="AF105" s="85">
        <f t="shared" si="48"/>
        <v>0</v>
      </c>
      <c r="AG105" s="84"/>
      <c r="AH105" s="12">
        <f t="shared" si="38"/>
        <v>0</v>
      </c>
      <c r="AI105" s="11">
        <f t="shared" si="39"/>
        <v>0</v>
      </c>
      <c r="BF105" s="83"/>
      <c r="BG105" s="78">
        <v>62.9</v>
      </c>
      <c r="BH105" s="78">
        <v>0</v>
      </c>
      <c r="BI105" s="78">
        <v>179</v>
      </c>
      <c r="BJ105" s="78">
        <v>0</v>
      </c>
      <c r="BK105" s="78">
        <v>0</v>
      </c>
      <c r="BL105" s="78">
        <v>39</v>
      </c>
    </row>
    <row r="106" spans="1:64" ht="15.75" thickBot="1" x14ac:dyDescent="0.3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38"/>
        <v>0</v>
      </c>
      <c r="AI106" s="11">
        <f t="shared" si="39"/>
        <v>0</v>
      </c>
      <c r="BG106" s="78">
        <v>54.2</v>
      </c>
      <c r="BH106" s="78">
        <v>0</v>
      </c>
      <c r="BI106" s="78">
        <v>208.6</v>
      </c>
      <c r="BJ106" s="78">
        <v>0</v>
      </c>
      <c r="BK106" s="78">
        <v>0</v>
      </c>
      <c r="BL106" s="78">
        <v>41</v>
      </c>
    </row>
    <row r="107" spans="1:64" ht="15.75" thickBot="1" x14ac:dyDescent="0.3">
      <c r="A107" s="79" t="s">
        <v>155</v>
      </c>
      <c r="B107" s="76">
        <f t="shared" ref="B107:AF107" si="49">SUM(B101:B106)</f>
        <v>0</v>
      </c>
      <c r="C107" s="76">
        <f t="shared" si="49"/>
        <v>0</v>
      </c>
      <c r="D107" s="76">
        <f t="shared" si="49"/>
        <v>0</v>
      </c>
      <c r="E107" s="76">
        <f t="shared" si="49"/>
        <v>0</v>
      </c>
      <c r="F107" s="76">
        <f t="shared" si="49"/>
        <v>0</v>
      </c>
      <c r="G107" s="76">
        <f t="shared" si="49"/>
        <v>0</v>
      </c>
      <c r="H107" s="76">
        <f t="shared" si="49"/>
        <v>0</v>
      </c>
      <c r="I107" s="76">
        <f t="shared" si="49"/>
        <v>0</v>
      </c>
      <c r="J107" s="76">
        <f t="shared" si="49"/>
        <v>0</v>
      </c>
      <c r="K107" s="76">
        <f t="shared" si="49"/>
        <v>0</v>
      </c>
      <c r="L107" s="76">
        <f t="shared" si="49"/>
        <v>0</v>
      </c>
      <c r="M107" s="76">
        <f t="shared" si="49"/>
        <v>0</v>
      </c>
      <c r="N107" s="76">
        <f t="shared" si="49"/>
        <v>0</v>
      </c>
      <c r="O107" s="76">
        <f t="shared" si="49"/>
        <v>0</v>
      </c>
      <c r="P107" s="76">
        <f t="shared" si="49"/>
        <v>0</v>
      </c>
      <c r="Q107" s="76">
        <f t="shared" si="49"/>
        <v>0</v>
      </c>
      <c r="R107" s="76">
        <f t="shared" si="49"/>
        <v>0</v>
      </c>
      <c r="S107" s="76">
        <f t="shared" si="49"/>
        <v>0</v>
      </c>
      <c r="T107" s="76">
        <f t="shared" si="49"/>
        <v>0</v>
      </c>
      <c r="U107" s="76">
        <f t="shared" si="49"/>
        <v>0</v>
      </c>
      <c r="V107" s="76">
        <f t="shared" si="49"/>
        <v>0</v>
      </c>
      <c r="W107" s="76">
        <f t="shared" si="49"/>
        <v>0</v>
      </c>
      <c r="X107" s="76">
        <f t="shared" si="49"/>
        <v>0</v>
      </c>
      <c r="Y107" s="76">
        <f t="shared" si="49"/>
        <v>0</v>
      </c>
      <c r="Z107" s="76">
        <f t="shared" si="49"/>
        <v>0</v>
      </c>
      <c r="AA107" s="76">
        <f t="shared" si="49"/>
        <v>0</v>
      </c>
      <c r="AB107" s="76">
        <f t="shared" si="49"/>
        <v>0</v>
      </c>
      <c r="AC107" s="76">
        <f t="shared" si="49"/>
        <v>0</v>
      </c>
      <c r="AD107" s="76">
        <f t="shared" si="49"/>
        <v>0</v>
      </c>
      <c r="AE107" s="76">
        <f t="shared" si="49"/>
        <v>0</v>
      </c>
      <c r="AF107" s="76">
        <f t="shared" si="49"/>
        <v>0</v>
      </c>
      <c r="AG107" s="75"/>
      <c r="AH107" s="12">
        <f t="shared" si="38"/>
        <v>0</v>
      </c>
      <c r="AI107" s="11">
        <f t="shared" si="39"/>
        <v>0</v>
      </c>
      <c r="AK107" s="19"/>
      <c r="BG107" s="78">
        <v>42.9</v>
      </c>
      <c r="BH107" s="78">
        <v>0</v>
      </c>
      <c r="BI107" s="78">
        <v>73.8</v>
      </c>
      <c r="BJ107" s="78">
        <v>0</v>
      </c>
      <c r="BK107" s="78">
        <v>0</v>
      </c>
      <c r="BL107" s="78">
        <v>36.200000000000003</v>
      </c>
    </row>
    <row r="108" spans="1:64" ht="15.75" thickBot="1" x14ac:dyDescent="0.3">
      <c r="A108" s="77" t="s">
        <v>154</v>
      </c>
      <c r="B108" s="76">
        <f t="shared" ref="B108:AF108" si="50">B92-B107</f>
        <v>152.89999999999998</v>
      </c>
      <c r="C108" s="76">
        <f t="shared" si="50"/>
        <v>188.2</v>
      </c>
      <c r="D108" s="76">
        <f t="shared" si="50"/>
        <v>159.69999999999999</v>
      </c>
      <c r="E108" s="76">
        <f t="shared" si="50"/>
        <v>208.40000000000003</v>
      </c>
      <c r="F108" s="76">
        <f t="shared" si="50"/>
        <v>209.59999999999997</v>
      </c>
      <c r="G108" s="76">
        <f t="shared" si="50"/>
        <v>253.3</v>
      </c>
      <c r="H108" s="76">
        <f t="shared" si="50"/>
        <v>263.60000000000002</v>
      </c>
      <c r="I108" s="76">
        <f t="shared" si="50"/>
        <v>280.60000000000002</v>
      </c>
      <c r="J108" s="76">
        <f t="shared" si="50"/>
        <v>532.1</v>
      </c>
      <c r="K108" s="76">
        <f t="shared" si="50"/>
        <v>706</v>
      </c>
      <c r="L108" s="76">
        <f t="shared" si="50"/>
        <v>720.1</v>
      </c>
      <c r="M108" s="76">
        <f t="shared" si="50"/>
        <v>750.3</v>
      </c>
      <c r="N108" s="76">
        <f t="shared" si="50"/>
        <v>784.8</v>
      </c>
      <c r="O108" s="76">
        <f t="shared" si="50"/>
        <v>813.09999999999991</v>
      </c>
      <c r="P108" s="76">
        <f t="shared" si="50"/>
        <v>786.69999999999993</v>
      </c>
      <c r="Q108" s="76">
        <f t="shared" si="50"/>
        <v>839.40000000000009</v>
      </c>
      <c r="R108" s="76">
        <f t="shared" si="50"/>
        <v>833.56999999999994</v>
      </c>
      <c r="S108" s="76">
        <f t="shared" si="50"/>
        <v>809.3</v>
      </c>
      <c r="T108" s="76">
        <f t="shared" si="50"/>
        <v>860.4</v>
      </c>
      <c r="U108" s="76">
        <f t="shared" si="50"/>
        <v>884.19999999999993</v>
      </c>
      <c r="V108" s="76">
        <f t="shared" si="50"/>
        <v>832.6</v>
      </c>
      <c r="W108" s="76">
        <f t="shared" si="50"/>
        <v>815.5</v>
      </c>
      <c r="X108" s="76">
        <f t="shared" si="50"/>
        <v>727.5</v>
      </c>
      <c r="Y108" s="76">
        <f t="shared" si="50"/>
        <v>191.5</v>
      </c>
      <c r="Z108" s="76">
        <f t="shared" si="50"/>
        <v>169.7</v>
      </c>
      <c r="AA108" s="76">
        <f t="shared" si="50"/>
        <v>204.39999999999998</v>
      </c>
      <c r="AB108" s="76">
        <f t="shared" si="50"/>
        <v>159.80000000000001</v>
      </c>
      <c r="AC108" s="76">
        <f t="shared" si="50"/>
        <v>263.89999999999998</v>
      </c>
      <c r="AD108" s="76">
        <f t="shared" si="50"/>
        <v>283.5</v>
      </c>
      <c r="AE108" s="76">
        <f t="shared" si="50"/>
        <v>280.89999999999998</v>
      </c>
      <c r="AF108" s="76">
        <f t="shared" si="50"/>
        <v>303.8</v>
      </c>
      <c r="AG108" s="75"/>
      <c r="AH108" s="12">
        <f t="shared" si="38"/>
        <v>884.19999999999993</v>
      </c>
      <c r="AI108" s="11">
        <f t="shared" si="39"/>
        <v>152.89999999999998</v>
      </c>
    </row>
    <row r="109" spans="1:64" x14ac:dyDescent="0.25">
      <c r="A109" s="25" t="s">
        <v>153</v>
      </c>
      <c r="B109" s="74">
        <v>50</v>
      </c>
      <c r="C109" s="74">
        <v>50</v>
      </c>
      <c r="D109" s="74">
        <v>49.98</v>
      </c>
      <c r="E109" s="74">
        <v>50.003999999999998</v>
      </c>
      <c r="F109" s="74">
        <v>50.018000000000001</v>
      </c>
      <c r="G109" s="74">
        <v>50.002000000000002</v>
      </c>
      <c r="H109" s="74">
        <v>49.948</v>
      </c>
      <c r="I109" s="74">
        <v>49.965000000000003</v>
      </c>
      <c r="J109" s="74">
        <v>49.936999999999998</v>
      </c>
      <c r="K109" s="74">
        <v>50.042999999999999</v>
      </c>
      <c r="L109" s="74">
        <v>50.048000000000002</v>
      </c>
      <c r="M109" s="74">
        <v>50.1</v>
      </c>
      <c r="N109" s="74">
        <v>50.031999999999996</v>
      </c>
      <c r="O109" s="74">
        <v>50.029000000000003</v>
      </c>
      <c r="P109" s="74">
        <v>49.997999999999998</v>
      </c>
      <c r="Q109" s="74">
        <v>50.018000000000001</v>
      </c>
      <c r="R109" s="74">
        <v>49.996000000000002</v>
      </c>
      <c r="S109" s="74">
        <v>50.021000000000001</v>
      </c>
      <c r="T109" s="74">
        <v>49.965000000000003</v>
      </c>
      <c r="U109" s="74">
        <v>50.043999999999997</v>
      </c>
      <c r="V109" s="74">
        <v>50.043999999999997</v>
      </c>
      <c r="W109" s="74">
        <v>49.988</v>
      </c>
      <c r="X109" s="74">
        <v>50.037999999999997</v>
      </c>
      <c r="Y109" s="74">
        <v>50.029000000000003</v>
      </c>
      <c r="Z109" s="74">
        <v>50.009</v>
      </c>
      <c r="AA109" s="74">
        <v>49.932000000000002</v>
      </c>
      <c r="AB109" s="74">
        <v>49.975000000000001</v>
      </c>
      <c r="AC109" s="74">
        <v>50.031999999999996</v>
      </c>
      <c r="AD109" s="74">
        <v>49.963000000000001</v>
      </c>
      <c r="AE109" s="74">
        <v>49.96</v>
      </c>
      <c r="AF109" s="74">
        <v>50</v>
      </c>
      <c r="AG109" s="73"/>
      <c r="AH109" s="12">
        <f t="shared" si="38"/>
        <v>50.1</v>
      </c>
      <c r="AI109" s="11">
        <f t="shared" si="39"/>
        <v>49.932000000000002</v>
      </c>
    </row>
    <row r="110" spans="1:64" x14ac:dyDescent="0.25">
      <c r="A110" s="22" t="s">
        <v>152</v>
      </c>
      <c r="B110" s="70">
        <v>129.6</v>
      </c>
      <c r="C110" s="70">
        <v>129.6</v>
      </c>
      <c r="D110" s="70">
        <v>129.6</v>
      </c>
      <c r="E110" s="70">
        <v>130.1</v>
      </c>
      <c r="F110" s="70">
        <v>130.30000000000001</v>
      </c>
      <c r="G110" s="70">
        <v>129.80000000000001</v>
      </c>
      <c r="H110" s="70">
        <v>129.5</v>
      </c>
      <c r="I110" s="70">
        <v>128</v>
      </c>
      <c r="J110" s="70">
        <v>128.19999999999999</v>
      </c>
      <c r="K110" s="70">
        <v>125.3</v>
      </c>
      <c r="L110" s="70">
        <v>125.3</v>
      </c>
      <c r="M110" s="70">
        <v>124.2</v>
      </c>
      <c r="N110" s="70">
        <v>123.9</v>
      </c>
      <c r="O110" s="70">
        <v>123</v>
      </c>
      <c r="P110" s="70">
        <v>123.2</v>
      </c>
      <c r="Q110" s="70">
        <v>123.4</v>
      </c>
      <c r="R110" s="70">
        <v>123.4</v>
      </c>
      <c r="S110" s="70">
        <v>125.1</v>
      </c>
      <c r="T110" s="70"/>
      <c r="U110" s="70">
        <v>125.2</v>
      </c>
      <c r="V110" s="70">
        <v>125.2</v>
      </c>
      <c r="W110" s="70">
        <v>126.7</v>
      </c>
      <c r="X110" s="70">
        <v>127.1</v>
      </c>
      <c r="Y110" s="70">
        <v>128.19999999999999</v>
      </c>
      <c r="Z110" s="70">
        <v>126.5</v>
      </c>
      <c r="AA110" s="70">
        <v>125.4</v>
      </c>
      <c r="AB110" s="70">
        <v>128.4</v>
      </c>
      <c r="AC110" s="70">
        <v>129.4</v>
      </c>
      <c r="AD110" s="70">
        <v>129.30000000000001</v>
      </c>
      <c r="AE110" s="70">
        <v>130</v>
      </c>
      <c r="AF110" s="70">
        <v>130.69999999999999</v>
      </c>
      <c r="AG110" s="69"/>
      <c r="AH110" s="12">
        <f t="shared" si="38"/>
        <v>130.69999999999999</v>
      </c>
      <c r="AI110" s="11">
        <f t="shared" si="39"/>
        <v>123</v>
      </c>
    </row>
    <row r="111" spans="1:64" x14ac:dyDescent="0.25">
      <c r="A111" s="22" t="s">
        <v>151</v>
      </c>
      <c r="B111" s="70">
        <v>134.1</v>
      </c>
      <c r="C111" s="70">
        <v>134.1</v>
      </c>
      <c r="D111" s="70">
        <v>134.1</v>
      </c>
      <c r="E111" s="70">
        <v>134.6</v>
      </c>
      <c r="F111" s="70">
        <v>134.80000000000001</v>
      </c>
      <c r="G111" s="70">
        <v>134.1</v>
      </c>
      <c r="H111" s="70">
        <v>133.80000000000001</v>
      </c>
      <c r="I111" s="70">
        <v>132.1</v>
      </c>
      <c r="J111" s="70">
        <v>130.9</v>
      </c>
      <c r="K111" s="70">
        <v>128.4</v>
      </c>
      <c r="L111" s="70">
        <v>128.1</v>
      </c>
      <c r="M111" s="70">
        <v>127.3</v>
      </c>
      <c r="N111" s="70">
        <v>127.3</v>
      </c>
      <c r="O111" s="70">
        <v>126.8</v>
      </c>
      <c r="P111" s="70">
        <v>126.9</v>
      </c>
      <c r="Q111" s="70">
        <v>127.4</v>
      </c>
      <c r="R111" s="70">
        <v>127.4</v>
      </c>
      <c r="S111" s="70">
        <v>128.1</v>
      </c>
      <c r="T111" s="70"/>
      <c r="U111" s="70">
        <v>127.9</v>
      </c>
      <c r="V111" s="70">
        <v>127.9</v>
      </c>
      <c r="W111" s="70">
        <v>129.30000000000001</v>
      </c>
      <c r="X111" s="70">
        <v>129.5</v>
      </c>
      <c r="Y111" s="70">
        <v>130.4</v>
      </c>
      <c r="Z111" s="70">
        <v>129</v>
      </c>
      <c r="AA111" s="70">
        <v>128.5</v>
      </c>
      <c r="AB111" s="70">
        <v>131.1</v>
      </c>
      <c r="AC111" s="70">
        <v>132.1</v>
      </c>
      <c r="AD111" s="70">
        <v>132.30000000000001</v>
      </c>
      <c r="AE111" s="70">
        <v>133.5</v>
      </c>
      <c r="AF111" s="70">
        <v>133.80000000000001</v>
      </c>
      <c r="AG111" s="69"/>
      <c r="AH111" s="12">
        <f t="shared" si="38"/>
        <v>134.80000000000001</v>
      </c>
      <c r="AI111" s="11">
        <f t="shared" si="39"/>
        <v>126.8</v>
      </c>
    </row>
    <row r="112" spans="1:64" x14ac:dyDescent="0.25">
      <c r="A112" s="22" t="s">
        <v>150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>
        <v>124.5</v>
      </c>
      <c r="Q112" s="70">
        <v>126.5</v>
      </c>
      <c r="R112" s="70">
        <v>126.5</v>
      </c>
      <c r="S112" s="70">
        <v>127.5</v>
      </c>
      <c r="T112" s="70">
        <v>128</v>
      </c>
      <c r="U112" s="70">
        <v>126.6</v>
      </c>
      <c r="V112" s="70">
        <v>126.6</v>
      </c>
      <c r="W112" s="70">
        <v>127.9</v>
      </c>
      <c r="X112" s="70">
        <v>125.4</v>
      </c>
      <c r="Y112" s="70">
        <v>124.5</v>
      </c>
      <c r="Z112" s="70">
        <v>130</v>
      </c>
      <c r="AA112" s="70">
        <v>127.7</v>
      </c>
      <c r="AB112" s="70">
        <v>132.69999999999999</v>
      </c>
      <c r="AC112" s="70">
        <v>131.19999999999999</v>
      </c>
      <c r="AD112" s="70">
        <v>132.1</v>
      </c>
      <c r="AE112" s="70">
        <v>131.5</v>
      </c>
      <c r="AF112" s="70">
        <v>130.4</v>
      </c>
      <c r="AG112" s="69"/>
      <c r="AH112" s="12">
        <f t="shared" si="38"/>
        <v>132.69999999999999</v>
      </c>
      <c r="AI112" s="11">
        <f t="shared" si="39"/>
        <v>124.5</v>
      </c>
    </row>
    <row r="113" spans="1:35" x14ac:dyDescent="0.25">
      <c r="A113" s="72" t="s">
        <v>149</v>
      </c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>
        <v>125.8</v>
      </c>
      <c r="Q113" s="70">
        <v>126.5</v>
      </c>
      <c r="R113" s="70">
        <v>126.5</v>
      </c>
      <c r="S113" s="70">
        <v>128.80000000000001</v>
      </c>
      <c r="T113" s="70">
        <v>127.4</v>
      </c>
      <c r="U113" s="70">
        <v>125</v>
      </c>
      <c r="V113" s="70">
        <v>125</v>
      </c>
      <c r="W113" s="70">
        <v>126.1</v>
      </c>
      <c r="X113" s="70">
        <v>122.8</v>
      </c>
      <c r="Y113" s="70">
        <v>123.8</v>
      </c>
      <c r="Z113" s="70">
        <v>127.7</v>
      </c>
      <c r="AA113" s="70">
        <v>126.2</v>
      </c>
      <c r="AB113" s="70">
        <v>131.69999999999999</v>
      </c>
      <c r="AC113" s="70">
        <v>131.5</v>
      </c>
      <c r="AD113" s="70">
        <v>132.5</v>
      </c>
      <c r="AE113" s="70">
        <v>131.69999999999999</v>
      </c>
      <c r="AF113" s="70">
        <v>132.1</v>
      </c>
      <c r="AG113" s="69"/>
      <c r="AH113" s="12">
        <f t="shared" si="38"/>
        <v>132.5</v>
      </c>
      <c r="AI113" s="11">
        <f t="shared" si="39"/>
        <v>122.8</v>
      </c>
    </row>
    <row r="114" spans="1:35" x14ac:dyDescent="0.25">
      <c r="A114" s="72" t="s">
        <v>148</v>
      </c>
      <c r="B114" s="56">
        <v>134.30000000000001</v>
      </c>
      <c r="C114" s="56">
        <v>134.30000000000001</v>
      </c>
      <c r="D114" s="56">
        <v>134.30000000000001</v>
      </c>
      <c r="E114" s="56">
        <v>134.5</v>
      </c>
      <c r="F114" s="56">
        <v>136.1</v>
      </c>
      <c r="G114" s="56">
        <v>134.5</v>
      </c>
      <c r="H114" s="56">
        <v>135.69999999999999</v>
      </c>
      <c r="I114" s="56">
        <v>132.4</v>
      </c>
      <c r="J114" s="56">
        <v>134.69999999999999</v>
      </c>
      <c r="K114" s="56">
        <v>132.80000000000001</v>
      </c>
      <c r="L114" s="56">
        <v>131.69999999999999</v>
      </c>
      <c r="M114" s="56">
        <v>132.5</v>
      </c>
      <c r="N114" s="56">
        <v>133.1</v>
      </c>
      <c r="O114" s="56">
        <v>130.19999999999999</v>
      </c>
      <c r="P114" s="56">
        <v>127.8</v>
      </c>
      <c r="Q114" s="56">
        <v>132.80000000000001</v>
      </c>
      <c r="R114" s="56">
        <v>132.80000000000001</v>
      </c>
      <c r="S114" s="56">
        <v>133.4</v>
      </c>
      <c r="T114" s="56"/>
      <c r="U114" s="56">
        <v>131.5</v>
      </c>
      <c r="V114" s="56">
        <v>131.5</v>
      </c>
      <c r="W114" s="56">
        <v>132.69999999999999</v>
      </c>
      <c r="X114" s="56">
        <v>135.30000000000001</v>
      </c>
      <c r="Y114" s="56">
        <v>135</v>
      </c>
      <c r="Z114" s="56">
        <v>134.30000000000001</v>
      </c>
      <c r="AA114" s="56">
        <v>134.19999999999999</v>
      </c>
      <c r="AB114" s="56">
        <v>134.5</v>
      </c>
      <c r="AC114" s="56">
        <v>135.1</v>
      </c>
      <c r="AD114" s="56">
        <v>135.80000000000001</v>
      </c>
      <c r="AE114" s="56">
        <v>136.69999999999999</v>
      </c>
      <c r="AF114" s="56">
        <v>135.30000000000001</v>
      </c>
      <c r="AG114" s="71"/>
      <c r="AH114" s="12">
        <f t="shared" ref="AH114:AH130" si="51">MAX(B114:AF114)</f>
        <v>136.69999999999999</v>
      </c>
      <c r="AI114" s="11">
        <f t="shared" ref="AI114:AI130" si="52">MIN(B114:AF114)</f>
        <v>127.8</v>
      </c>
    </row>
    <row r="115" spans="1:35" x14ac:dyDescent="0.25">
      <c r="A115" s="22" t="s">
        <v>147</v>
      </c>
      <c r="B115" s="70">
        <v>132.5</v>
      </c>
      <c r="C115" s="70">
        <v>132.5</v>
      </c>
      <c r="D115" s="70">
        <v>132.5</v>
      </c>
      <c r="E115" s="70">
        <v>131.6</v>
      </c>
      <c r="F115" s="70">
        <v>133.9</v>
      </c>
      <c r="G115" s="70">
        <v>132.19999999999999</v>
      </c>
      <c r="H115" s="70">
        <v>132.5</v>
      </c>
      <c r="I115" s="70">
        <v>135.19999999999999</v>
      </c>
      <c r="J115" s="70">
        <v>126.9</v>
      </c>
      <c r="K115" s="70">
        <v>128.1</v>
      </c>
      <c r="L115" s="70">
        <v>133</v>
      </c>
      <c r="M115" s="70">
        <v>129.9</v>
      </c>
      <c r="N115" s="70">
        <v>125.8</v>
      </c>
      <c r="O115" s="70">
        <v>127.6</v>
      </c>
      <c r="P115" s="70">
        <v>127.6</v>
      </c>
      <c r="Q115" s="70">
        <v>126.5</v>
      </c>
      <c r="R115" s="70">
        <v>126.5</v>
      </c>
      <c r="S115" s="70">
        <v>130.30000000000001</v>
      </c>
      <c r="T115" s="70">
        <v>132.5</v>
      </c>
      <c r="U115" s="70">
        <v>132.6</v>
      </c>
      <c r="V115" s="70">
        <v>132.6</v>
      </c>
      <c r="W115" s="70">
        <v>129.6</v>
      </c>
      <c r="X115" s="70">
        <v>128.5</v>
      </c>
      <c r="Y115" s="70">
        <v>130.80000000000001</v>
      </c>
      <c r="Z115" s="70">
        <v>129</v>
      </c>
      <c r="AA115" s="70">
        <v>127.4</v>
      </c>
      <c r="AB115" s="70">
        <v>130</v>
      </c>
      <c r="AC115" s="70">
        <v>131.1</v>
      </c>
      <c r="AD115" s="70">
        <v>133.1</v>
      </c>
      <c r="AE115" s="70">
        <v>133.80000000000001</v>
      </c>
      <c r="AF115" s="70">
        <v>133.1</v>
      </c>
      <c r="AG115" s="69"/>
      <c r="AH115" s="12">
        <f t="shared" si="51"/>
        <v>135.19999999999999</v>
      </c>
      <c r="AI115" s="11">
        <f t="shared" si="52"/>
        <v>125.8</v>
      </c>
    </row>
    <row r="116" spans="1:35" ht="15.75" thickBot="1" x14ac:dyDescent="0.3">
      <c r="A116" s="22" t="s">
        <v>146</v>
      </c>
      <c r="B116" s="67">
        <v>67.5</v>
      </c>
      <c r="C116" s="67">
        <v>67.5</v>
      </c>
      <c r="D116" s="67">
        <v>67.5</v>
      </c>
      <c r="E116" s="67">
        <v>67.7</v>
      </c>
      <c r="F116" s="67">
        <v>67.8</v>
      </c>
      <c r="G116" s="67">
        <v>67.400000000000006</v>
      </c>
      <c r="H116" s="67">
        <v>67.3</v>
      </c>
      <c r="I116" s="67">
        <v>66.5</v>
      </c>
      <c r="J116" s="67">
        <v>65.7</v>
      </c>
      <c r="K116" s="67">
        <v>64.400000000000006</v>
      </c>
      <c r="L116" s="67">
        <v>64.599999999999994</v>
      </c>
      <c r="M116" s="67">
        <v>64.2</v>
      </c>
      <c r="N116" s="67">
        <v>63.9</v>
      </c>
      <c r="O116" s="67">
        <v>64.2</v>
      </c>
      <c r="P116" s="67">
        <v>63.9</v>
      </c>
      <c r="Q116" s="67">
        <v>64.3</v>
      </c>
      <c r="R116" s="67">
        <v>64.3</v>
      </c>
      <c r="S116" s="67">
        <v>64.400000000000006</v>
      </c>
      <c r="T116" s="67"/>
      <c r="U116" s="67">
        <v>64.2</v>
      </c>
      <c r="V116" s="67">
        <v>64.2</v>
      </c>
      <c r="W116" s="67">
        <v>65.099999999999994</v>
      </c>
      <c r="X116" s="67">
        <v>65.2</v>
      </c>
      <c r="Y116" s="67">
        <v>65.400000000000006</v>
      </c>
      <c r="Z116" s="67">
        <v>64.8</v>
      </c>
      <c r="AA116" s="67">
        <v>64.599999999999994</v>
      </c>
      <c r="AB116" s="67">
        <v>66</v>
      </c>
      <c r="AC116" s="67">
        <v>66.400000000000006</v>
      </c>
      <c r="AD116" s="67">
        <v>66.5</v>
      </c>
      <c r="AE116" s="67">
        <v>67.099999999999994</v>
      </c>
      <c r="AF116" s="67">
        <v>67.099999999999994</v>
      </c>
      <c r="AG116" s="66"/>
      <c r="AH116" s="12">
        <f t="shared" si="51"/>
        <v>67.8</v>
      </c>
      <c r="AI116" s="11">
        <f t="shared" si="52"/>
        <v>63.9</v>
      </c>
    </row>
    <row r="117" spans="1:35" ht="15.75" thickBot="1" x14ac:dyDescent="0.3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51"/>
        <v>0</v>
      </c>
      <c r="AI117" s="11">
        <f t="shared" si="52"/>
        <v>0</v>
      </c>
    </row>
    <row r="118" spans="1:35" ht="15.75" thickBot="1" x14ac:dyDescent="0.3">
      <c r="A118" s="65" t="s">
        <v>144</v>
      </c>
      <c r="B118" s="64">
        <f t="shared" ref="B118:O118" si="53">SUM(B22,B28,B31:B32,B66,B68:B69,B71,B73,B119:B123,B155,B161,B167,B176,B178,B190,B197,B200:B201,B208,B210,B212,B216:B218,B220:B222,B227,B233:B234,B236:B238,B246,B251)</f>
        <v>66.940000000000012</v>
      </c>
      <c r="C118" s="64">
        <f t="shared" si="53"/>
        <v>104.14</v>
      </c>
      <c r="D118" s="64">
        <f t="shared" si="53"/>
        <v>89.240000000000009</v>
      </c>
      <c r="E118" s="64">
        <f t="shared" si="53"/>
        <v>99.04000000000002</v>
      </c>
      <c r="F118" s="64">
        <f t="shared" si="53"/>
        <v>103.74000000000001</v>
      </c>
      <c r="G118" s="64">
        <f t="shared" si="53"/>
        <v>123.74</v>
      </c>
      <c r="H118" s="64">
        <f t="shared" si="53"/>
        <v>145.44</v>
      </c>
      <c r="I118" s="64">
        <f t="shared" si="53"/>
        <v>186.74</v>
      </c>
      <c r="J118" s="64">
        <f t="shared" si="53"/>
        <v>229.54000000000002</v>
      </c>
      <c r="K118" s="64">
        <f t="shared" si="53"/>
        <v>257.14</v>
      </c>
      <c r="L118" s="64">
        <f t="shared" si="53"/>
        <v>287.44</v>
      </c>
      <c r="M118" s="64">
        <f t="shared" si="53"/>
        <v>285.64000000000004</v>
      </c>
      <c r="N118" s="64">
        <f t="shared" si="53"/>
        <v>280.44</v>
      </c>
      <c r="O118" s="64">
        <f t="shared" si="53"/>
        <v>281.54000000000002</v>
      </c>
      <c r="P118" s="64">
        <v>42</v>
      </c>
      <c r="Q118" s="64">
        <f t="shared" ref="Q118:X118" si="54">SUM(Q22,Q28,Q31:Q32,Q66,Q68:Q69,Q71,Q73,Q119:Q123,Q155,Q161,Q167,Q176,Q178,Q190,Q197,Q200:Q201,Q208,Q210,Q212,Q216:Q218,Q220:Q222,Q227,Q233:Q234,Q236:Q238,Q246,Q251)</f>
        <v>264.44</v>
      </c>
      <c r="R118" s="64">
        <f t="shared" si="54"/>
        <v>278.04000000000002</v>
      </c>
      <c r="S118" s="64">
        <f t="shared" si="54"/>
        <v>280.54000000000002</v>
      </c>
      <c r="T118" s="64">
        <f t="shared" si="54"/>
        <v>235.83999999999997</v>
      </c>
      <c r="U118" s="64">
        <f t="shared" si="54"/>
        <v>281.73999999999995</v>
      </c>
      <c r="V118" s="64">
        <f t="shared" si="54"/>
        <v>277.33999999999997</v>
      </c>
      <c r="W118" s="64">
        <f t="shared" si="54"/>
        <v>283.74</v>
      </c>
      <c r="X118" s="64">
        <f t="shared" si="54"/>
        <v>292.74</v>
      </c>
      <c r="Y118" s="64">
        <f>SUM(Y20,Y26,Y37:Y38,Y66,Y68:Y69,Y71,Y73,Y119:Y123,Y148,Y154,Y160,Y169,Y171,Y183,Y190,Y193:Y194,Y201,Y203,Y205,Y209:Y211,Y213:Y215,Y220,Y226:Y227,Y229:Y231,Y239,Y244)</f>
        <v>323.39999999999998</v>
      </c>
      <c r="Z118" s="64">
        <f>SUM(Z20,Z26,Z37:Z38,Z66,Z68:Z69,Z71,Z73,Z119:Z123,Z148,Z154,Z160,Z169,Z171,Z183,Z190,Z193:Z194,Z201,Z203,Z205,Z209:Z211,Z213:Z215,Z220,Z226:Z227,Z229:Z231,Z239,Z244)</f>
        <v>362.8</v>
      </c>
      <c r="AA118" s="64">
        <f t="shared" ref="AA118:AF118" si="55">SUM(AA22,AA28,AA31:AA32,AA66,AA68:AA69,AA71,AA73,AA119:AA123,AA155,AA161,AA167,AA176,AA178,AA190,AA197,AA200:AA201,AA208,AA210,AA212,AA216:AA218,AA220:AA222,AA227,AA233:AA234,AA236:AA238,AA246,AA251)</f>
        <v>337.14000000000004</v>
      </c>
      <c r="AB118" s="64">
        <f t="shared" si="55"/>
        <v>299.24</v>
      </c>
      <c r="AC118" s="64">
        <f t="shared" si="55"/>
        <v>273.54000000000002</v>
      </c>
      <c r="AD118" s="64">
        <f t="shared" si="55"/>
        <v>256.64</v>
      </c>
      <c r="AE118" s="64">
        <f t="shared" si="55"/>
        <v>198.33999999999997</v>
      </c>
      <c r="AF118" s="64">
        <f t="shared" si="55"/>
        <v>153.13999999999999</v>
      </c>
      <c r="AG118" s="63"/>
      <c r="AH118" s="12">
        <f t="shared" si="51"/>
        <v>362.8</v>
      </c>
      <c r="AI118" s="11">
        <f t="shared" si="52"/>
        <v>42</v>
      </c>
    </row>
    <row r="119" spans="1:35" x14ac:dyDescent="0.25">
      <c r="A119" s="59" t="s">
        <v>143</v>
      </c>
      <c r="B119" s="62">
        <v>23.6</v>
      </c>
      <c r="C119" s="62">
        <v>9.1999999999999993</v>
      </c>
      <c r="D119" s="62">
        <v>12</v>
      </c>
      <c r="E119" s="62">
        <v>-0.1</v>
      </c>
      <c r="F119" s="62">
        <v>3.8</v>
      </c>
      <c r="G119" s="62">
        <v>0.3</v>
      </c>
      <c r="H119" s="62">
        <v>9.1</v>
      </c>
      <c r="I119" s="62">
        <v>9.6</v>
      </c>
      <c r="J119" s="62">
        <v>5.7</v>
      </c>
      <c r="K119" s="62">
        <v>4.0999999999999996</v>
      </c>
      <c r="L119" s="62">
        <v>4.4000000000000004</v>
      </c>
      <c r="M119" s="62">
        <v>10.1</v>
      </c>
      <c r="N119" s="62">
        <v>11.6</v>
      </c>
      <c r="O119" s="62">
        <v>10.7</v>
      </c>
      <c r="P119" s="62">
        <v>13</v>
      </c>
      <c r="Q119" s="62">
        <v>8.1</v>
      </c>
      <c r="R119" s="62">
        <v>7.8</v>
      </c>
      <c r="S119" s="62">
        <v>4.8</v>
      </c>
      <c r="T119" s="62"/>
      <c r="U119" s="62">
        <v>-6.4</v>
      </c>
      <c r="V119" s="62">
        <v>-6.4</v>
      </c>
      <c r="W119" s="62">
        <v>-7.1</v>
      </c>
      <c r="X119" s="62">
        <v>-7.1</v>
      </c>
      <c r="Y119" s="62">
        <v>22.5</v>
      </c>
      <c r="Z119" s="62">
        <v>21.9</v>
      </c>
      <c r="AA119" s="62">
        <v>23.4</v>
      </c>
      <c r="AB119" s="62">
        <v>27.3</v>
      </c>
      <c r="AC119" s="62">
        <v>30.2</v>
      </c>
      <c r="AD119" s="62">
        <v>31.8</v>
      </c>
      <c r="AE119" s="62">
        <v>22.4</v>
      </c>
      <c r="AF119" s="62">
        <v>9.9</v>
      </c>
      <c r="AG119" s="55">
        <v>75</v>
      </c>
      <c r="AH119" s="12">
        <f t="shared" si="51"/>
        <v>31.8</v>
      </c>
      <c r="AI119" s="11">
        <f t="shared" si="52"/>
        <v>-7.1</v>
      </c>
    </row>
    <row r="120" spans="1:35" x14ac:dyDescent="0.25">
      <c r="A120" s="57" t="s">
        <v>142</v>
      </c>
      <c r="B120" s="61">
        <v>39.9</v>
      </c>
      <c r="C120" s="61">
        <v>19.5</v>
      </c>
      <c r="D120" s="61">
        <v>23.1</v>
      </c>
      <c r="E120" s="61">
        <v>7.2</v>
      </c>
      <c r="F120" s="61">
        <v>11.5</v>
      </c>
      <c r="G120" s="61">
        <v>7.8</v>
      </c>
      <c r="H120" s="61">
        <v>19.399999999999999</v>
      </c>
      <c r="I120" s="61">
        <v>13.9</v>
      </c>
      <c r="J120" s="61">
        <v>2.7</v>
      </c>
      <c r="K120" s="61">
        <v>0.6</v>
      </c>
      <c r="L120" s="61">
        <v>0</v>
      </c>
      <c r="M120" s="61">
        <v>8.4</v>
      </c>
      <c r="N120" s="61">
        <v>10.5</v>
      </c>
      <c r="O120" s="61">
        <v>9.8000000000000007</v>
      </c>
      <c r="P120" s="61">
        <v>13.6</v>
      </c>
      <c r="Q120" s="61">
        <v>6</v>
      </c>
      <c r="R120" s="61">
        <v>6.1</v>
      </c>
      <c r="S120" s="61">
        <v>3.1</v>
      </c>
      <c r="T120" s="61"/>
      <c r="U120" s="61">
        <v>-12.9</v>
      </c>
      <c r="V120" s="61">
        <v>-12.9</v>
      </c>
      <c r="W120" s="61">
        <v>-14.2</v>
      </c>
      <c r="X120" s="61">
        <v>-14.2</v>
      </c>
      <c r="Y120" s="61">
        <v>35</v>
      </c>
      <c r="Z120" s="61">
        <v>33</v>
      </c>
      <c r="AA120" s="61">
        <v>35.9</v>
      </c>
      <c r="AB120" s="61">
        <v>42.7</v>
      </c>
      <c r="AC120" s="61">
        <v>47.8</v>
      </c>
      <c r="AD120" s="61">
        <v>49.6</v>
      </c>
      <c r="AE120" s="61">
        <v>37.5</v>
      </c>
      <c r="AF120" s="61">
        <v>19.100000000000001</v>
      </c>
      <c r="AG120" s="55">
        <v>240</v>
      </c>
      <c r="AH120" s="12">
        <f t="shared" si="51"/>
        <v>49.6</v>
      </c>
      <c r="AI120" s="11">
        <f t="shared" si="52"/>
        <v>-14.2</v>
      </c>
    </row>
    <row r="121" spans="1:35" x14ac:dyDescent="0.25">
      <c r="A121" s="57" t="s">
        <v>141</v>
      </c>
      <c r="B121" s="61">
        <v>-68</v>
      </c>
      <c r="C121" s="61">
        <v>-61</v>
      </c>
      <c r="D121" s="61">
        <v>-73</v>
      </c>
      <c r="E121" s="61">
        <f>-22.9-33</f>
        <v>-55.9</v>
      </c>
      <c r="F121" s="61">
        <f>-23.3-33.3</f>
        <v>-56.599999999999994</v>
      </c>
      <c r="G121" s="61">
        <f>-18.3-28.8</f>
        <v>-47.1</v>
      </c>
      <c r="H121" s="61">
        <f>-16-26.3</f>
        <v>-42.3</v>
      </c>
      <c r="I121" s="61">
        <f>-9.8-19.6</f>
        <v>-29.400000000000002</v>
      </c>
      <c r="J121" s="61">
        <f>6.9+4.8</f>
        <v>11.7</v>
      </c>
      <c r="K121" s="61">
        <f>11.4+10.9</f>
        <v>22.3</v>
      </c>
      <c r="L121" s="61">
        <f>16.4+14.6</f>
        <v>31</v>
      </c>
      <c r="M121" s="61">
        <v>12.7</v>
      </c>
      <c r="N121" s="61">
        <v>3.6</v>
      </c>
      <c r="O121" s="61">
        <v>3.2</v>
      </c>
      <c r="P121" s="61">
        <v>-4</v>
      </c>
      <c r="Q121" s="61">
        <v>-5</v>
      </c>
      <c r="R121" s="61">
        <v>12.9</v>
      </c>
      <c r="S121" s="61">
        <v>21</v>
      </c>
      <c r="T121" s="61"/>
      <c r="U121" s="61">
        <v>40</v>
      </c>
      <c r="V121" s="61">
        <v>40</v>
      </c>
      <c r="W121" s="61">
        <v>47</v>
      </c>
      <c r="X121" s="61">
        <v>48</v>
      </c>
      <c r="Y121" s="61">
        <v>9</v>
      </c>
      <c r="Z121" s="61">
        <v>16</v>
      </c>
      <c r="AA121" s="61">
        <v>5</v>
      </c>
      <c r="AB121" s="61">
        <v>-5</v>
      </c>
      <c r="AC121" s="61">
        <f>-2.6-11.3</f>
        <v>-13.9</v>
      </c>
      <c r="AD121" s="61">
        <v>-20.2</v>
      </c>
      <c r="AE121" s="61">
        <f>-12.6-22.3</f>
        <v>-34.9</v>
      </c>
      <c r="AF121" s="61">
        <f>-16.4-26.5</f>
        <v>-42.9</v>
      </c>
      <c r="AG121" s="55">
        <v>240</v>
      </c>
      <c r="AH121" s="12">
        <f t="shared" si="51"/>
        <v>48</v>
      </c>
      <c r="AI121" s="11">
        <f t="shared" si="52"/>
        <v>-73</v>
      </c>
    </row>
    <row r="122" spans="1:35" ht="15.75" thickBot="1" x14ac:dyDescent="0.3">
      <c r="A122" s="57" t="s">
        <v>140</v>
      </c>
      <c r="B122" s="61">
        <v>-22.8</v>
      </c>
      <c r="C122" s="61">
        <v>20.5</v>
      </c>
      <c r="D122" s="61">
        <v>20.5</v>
      </c>
      <c r="E122" s="61">
        <v>21.3</v>
      </c>
      <c r="F122" s="61">
        <v>21.4</v>
      </c>
      <c r="G122" s="61">
        <v>22.4</v>
      </c>
      <c r="H122" s="61">
        <v>24.2</v>
      </c>
      <c r="I122" s="61">
        <v>25.2</v>
      </c>
      <c r="J122" s="61">
        <v>9.6999999999999993</v>
      </c>
      <c r="K122" s="61">
        <v>11.7</v>
      </c>
      <c r="L122" s="61">
        <v>21.4</v>
      </c>
      <c r="M122" s="61">
        <v>19.100000000000001</v>
      </c>
      <c r="N122" s="61">
        <v>18.600000000000001</v>
      </c>
      <c r="O122" s="61">
        <v>18.8</v>
      </c>
      <c r="P122" s="61">
        <v>13</v>
      </c>
      <c r="Q122" s="61">
        <v>15.7</v>
      </c>
      <c r="R122" s="61">
        <v>12</v>
      </c>
      <c r="S122" s="61">
        <v>12.4</v>
      </c>
      <c r="T122" s="61"/>
      <c r="U122" s="61">
        <v>29</v>
      </c>
      <c r="V122" s="61">
        <v>29</v>
      </c>
      <c r="W122" s="61">
        <v>33</v>
      </c>
      <c r="X122" s="61">
        <v>34.299999999999997</v>
      </c>
      <c r="Y122" s="61">
        <v>40.1</v>
      </c>
      <c r="Z122" s="61">
        <v>43.2</v>
      </c>
      <c r="AA122" s="61">
        <v>41.7</v>
      </c>
      <c r="AB122" s="61">
        <v>38.5</v>
      </c>
      <c r="AC122" s="61">
        <v>37.1</v>
      </c>
      <c r="AD122" s="61">
        <v>35.700000000000003</v>
      </c>
      <c r="AE122" s="61">
        <v>31.4</v>
      </c>
      <c r="AF122" s="61">
        <v>27.6</v>
      </c>
      <c r="AG122" s="55">
        <v>60</v>
      </c>
      <c r="AH122" s="12">
        <f t="shared" si="51"/>
        <v>43.2</v>
      </c>
      <c r="AI122" s="11">
        <f t="shared" si="52"/>
        <v>-22.8</v>
      </c>
    </row>
    <row r="123" spans="1:35" x14ac:dyDescent="0.25">
      <c r="A123" s="59" t="s">
        <v>139</v>
      </c>
      <c r="B123" s="58">
        <v>7.1</v>
      </c>
      <c r="C123" s="58">
        <v>28.8</v>
      </c>
      <c r="D123" s="58">
        <v>19.5</v>
      </c>
      <c r="E123" s="58">
        <v>36.4</v>
      </c>
      <c r="F123" s="58">
        <v>33.5</v>
      </c>
      <c r="G123" s="58">
        <v>50.2</v>
      </c>
      <c r="H123" s="58">
        <v>44.9</v>
      </c>
      <c r="I123" s="58">
        <v>70.8</v>
      </c>
      <c r="J123" s="58">
        <v>104.9</v>
      </c>
      <c r="K123" s="58">
        <v>127.1</v>
      </c>
      <c r="L123" s="58">
        <v>136.9</v>
      </c>
      <c r="M123" s="58">
        <v>140.9</v>
      </c>
      <c r="N123" s="58">
        <v>137.69999999999999</v>
      </c>
      <c r="O123" s="58">
        <v>135</v>
      </c>
      <c r="P123" s="58">
        <v>133.9</v>
      </c>
      <c r="Q123" s="58">
        <v>132.5</v>
      </c>
      <c r="R123" s="58">
        <v>135</v>
      </c>
      <c r="S123" s="58">
        <v>138</v>
      </c>
      <c r="T123" s="58">
        <v>134.6</v>
      </c>
      <c r="U123" s="58">
        <v>139</v>
      </c>
      <c r="V123" s="58">
        <v>139</v>
      </c>
      <c r="W123" s="58">
        <v>137</v>
      </c>
      <c r="X123" s="58">
        <v>145</v>
      </c>
      <c r="Y123" s="58">
        <v>119.1</v>
      </c>
      <c r="Z123" s="58">
        <v>151</v>
      </c>
      <c r="AA123" s="58">
        <v>144.4</v>
      </c>
      <c r="AB123" s="58">
        <v>108</v>
      </c>
      <c r="AC123" s="58">
        <v>84.6</v>
      </c>
      <c r="AD123" s="58">
        <v>72</v>
      </c>
      <c r="AE123" s="58">
        <v>50.1</v>
      </c>
      <c r="AF123" s="58">
        <v>45.5</v>
      </c>
      <c r="AG123" s="60">
        <v>120</v>
      </c>
      <c r="AH123" s="12">
        <f t="shared" si="51"/>
        <v>151</v>
      </c>
      <c r="AI123" s="11">
        <f t="shared" si="52"/>
        <v>7.1</v>
      </c>
    </row>
    <row r="124" spans="1:35" x14ac:dyDescent="0.25">
      <c r="A124" s="57" t="s">
        <v>138</v>
      </c>
      <c r="B124" s="58">
        <v>24.9</v>
      </c>
      <c r="C124" s="58">
        <v>35.700000000000003</v>
      </c>
      <c r="D124" s="58">
        <v>32.1</v>
      </c>
      <c r="E124" s="58">
        <v>41.7</v>
      </c>
      <c r="F124" s="58">
        <v>39.1</v>
      </c>
      <c r="G124" s="58">
        <v>46.5</v>
      </c>
      <c r="H124" s="58">
        <v>45</v>
      </c>
      <c r="I124" s="58">
        <v>57.4</v>
      </c>
      <c r="J124" s="58">
        <v>74.5</v>
      </c>
      <c r="K124" s="58">
        <v>85.8</v>
      </c>
      <c r="L124" s="58">
        <v>90.2</v>
      </c>
      <c r="M124" s="58">
        <v>91.2</v>
      </c>
      <c r="N124" s="58">
        <v>89.9</v>
      </c>
      <c r="O124" s="58">
        <v>89.2</v>
      </c>
      <c r="P124" s="58">
        <v>87.4</v>
      </c>
      <c r="Q124" s="58">
        <v>97.5</v>
      </c>
      <c r="R124" s="58">
        <v>87.4</v>
      </c>
      <c r="S124" s="58">
        <v>89</v>
      </c>
      <c r="T124" s="58"/>
      <c r="U124" s="58">
        <v>89.1</v>
      </c>
      <c r="V124" s="58">
        <v>89.1</v>
      </c>
      <c r="W124" s="58">
        <v>88.3</v>
      </c>
      <c r="X124" s="58">
        <v>91.3</v>
      </c>
      <c r="Y124" s="58">
        <v>79.400000000000006</v>
      </c>
      <c r="Z124" s="58">
        <v>95</v>
      </c>
      <c r="AA124" s="58">
        <v>91.5</v>
      </c>
      <c r="AB124" s="58">
        <v>75.3</v>
      </c>
      <c r="AC124" s="58">
        <v>63.5</v>
      </c>
      <c r="AD124" s="58">
        <v>56.9</v>
      </c>
      <c r="AE124" s="58">
        <v>47.1</v>
      </c>
      <c r="AF124" s="58">
        <v>46.1</v>
      </c>
      <c r="AG124" s="60"/>
      <c r="AH124" s="12">
        <f t="shared" si="51"/>
        <v>97.5</v>
      </c>
      <c r="AI124" s="11">
        <f t="shared" si="52"/>
        <v>24.9</v>
      </c>
    </row>
    <row r="125" spans="1:35" x14ac:dyDescent="0.25">
      <c r="A125" s="57" t="s">
        <v>137</v>
      </c>
      <c r="B125" s="58">
        <v>-10.3</v>
      </c>
      <c r="C125" s="58">
        <v>15.3</v>
      </c>
      <c r="D125" s="58">
        <v>9</v>
      </c>
      <c r="E125" s="58">
        <v>26.4</v>
      </c>
      <c r="F125" s="58">
        <v>21.2</v>
      </c>
      <c r="G125" s="58">
        <v>23</v>
      </c>
      <c r="H125" s="58">
        <v>6.9</v>
      </c>
      <c r="I125" s="58">
        <v>10.5</v>
      </c>
      <c r="J125" s="58">
        <v>16.5</v>
      </c>
      <c r="K125" s="58">
        <v>22.1</v>
      </c>
      <c r="L125" s="58">
        <v>17.899999999999999</v>
      </c>
      <c r="M125" s="58">
        <v>14.5</v>
      </c>
      <c r="N125" s="58">
        <v>19.3</v>
      </c>
      <c r="O125" s="58">
        <v>24.4</v>
      </c>
      <c r="P125" s="58">
        <v>30.8</v>
      </c>
      <c r="Q125" s="58">
        <v>33.799999999999997</v>
      </c>
      <c r="R125" s="58">
        <v>38.299999999999997</v>
      </c>
      <c r="S125" s="58">
        <v>39.299999999999997</v>
      </c>
      <c r="T125" s="58"/>
      <c r="U125" s="58">
        <v>37</v>
      </c>
      <c r="V125" s="58">
        <v>37</v>
      </c>
      <c r="W125" s="58"/>
      <c r="X125" s="58"/>
      <c r="Y125" s="58">
        <v>-21</v>
      </c>
      <c r="Z125" s="58">
        <v>-11</v>
      </c>
      <c r="AA125" s="58">
        <v>-16.2</v>
      </c>
      <c r="AB125" s="58">
        <v>-21.8</v>
      </c>
      <c r="AC125" s="58">
        <v>-30.4</v>
      </c>
      <c r="AD125" s="58">
        <v>-32.799999999999997</v>
      </c>
      <c r="AE125" s="58">
        <v>-15.4</v>
      </c>
      <c r="AF125" s="58">
        <v>9</v>
      </c>
      <c r="AG125" s="60"/>
      <c r="AH125" s="12">
        <f t="shared" si="51"/>
        <v>39.299999999999997</v>
      </c>
      <c r="AI125" s="11">
        <f t="shared" si="52"/>
        <v>-32.799999999999997</v>
      </c>
    </row>
    <row r="126" spans="1:35" ht="15.75" thickBot="1" x14ac:dyDescent="0.3">
      <c r="A126" s="57" t="s">
        <v>136</v>
      </c>
      <c r="B126" s="58">
        <v>30.2</v>
      </c>
      <c r="C126" s="58">
        <v>43.2</v>
      </c>
      <c r="D126" s="58">
        <v>37.1</v>
      </c>
      <c r="E126" s="58">
        <v>47.1</v>
      </c>
      <c r="F126" s="58">
        <v>49.3</v>
      </c>
      <c r="G126" s="58">
        <v>55.7</v>
      </c>
      <c r="H126" s="58">
        <v>51</v>
      </c>
      <c r="I126" s="58">
        <v>66.099999999999994</v>
      </c>
      <c r="J126" s="58">
        <v>76.5</v>
      </c>
      <c r="K126" s="58">
        <v>95.3</v>
      </c>
      <c r="L126" s="58">
        <v>101.5</v>
      </c>
      <c r="M126" s="58">
        <v>103.5</v>
      </c>
      <c r="N126" s="58">
        <v>96.5</v>
      </c>
      <c r="O126" s="58">
        <v>100.2</v>
      </c>
      <c r="P126" s="58">
        <v>100</v>
      </c>
      <c r="Q126" s="58">
        <v>101.5</v>
      </c>
      <c r="R126" s="58">
        <v>102</v>
      </c>
      <c r="S126" s="58">
        <v>106</v>
      </c>
      <c r="T126" s="58">
        <v>98.3</v>
      </c>
      <c r="U126" s="58">
        <v>101</v>
      </c>
      <c r="V126" s="58">
        <v>101</v>
      </c>
      <c r="W126" s="58">
        <v>100</v>
      </c>
      <c r="X126" s="58">
        <v>104</v>
      </c>
      <c r="Y126" s="58">
        <v>65</v>
      </c>
      <c r="Z126" s="58">
        <v>88</v>
      </c>
      <c r="AA126" s="58">
        <v>92.4</v>
      </c>
      <c r="AB126" s="58">
        <v>66</v>
      </c>
      <c r="AC126" s="58">
        <v>59</v>
      </c>
      <c r="AD126" s="58">
        <v>53.8</v>
      </c>
      <c r="AE126" s="58">
        <v>51.5</v>
      </c>
      <c r="AF126" s="58">
        <v>53.3</v>
      </c>
      <c r="AG126" s="55"/>
      <c r="AH126" s="12">
        <f t="shared" si="51"/>
        <v>106</v>
      </c>
      <c r="AI126" s="11">
        <f t="shared" si="52"/>
        <v>30.2</v>
      </c>
    </row>
    <row r="127" spans="1:35" x14ac:dyDescent="0.25">
      <c r="A127" s="59" t="s">
        <v>135</v>
      </c>
      <c r="B127" s="58">
        <v>-82.7</v>
      </c>
      <c r="C127" s="58">
        <v>-79.099999999999994</v>
      </c>
      <c r="D127" s="58">
        <v>-81.099999999999994</v>
      </c>
      <c r="E127" s="58">
        <v>-70.5</v>
      </c>
      <c r="F127" s="58">
        <v>-69</v>
      </c>
      <c r="G127" s="58">
        <v>-61</v>
      </c>
      <c r="H127" s="58">
        <v>-61.7</v>
      </c>
      <c r="I127" s="58">
        <v>-57.2</v>
      </c>
      <c r="J127" s="58">
        <v>9.8000000000000007</v>
      </c>
      <c r="K127" s="58">
        <v>23.6</v>
      </c>
      <c r="L127" s="58">
        <v>28.9</v>
      </c>
      <c r="M127" s="58">
        <v>28.7</v>
      </c>
      <c r="N127" s="58">
        <v>30.4</v>
      </c>
      <c r="O127" s="58">
        <v>33.4</v>
      </c>
      <c r="P127" s="58">
        <v>32.6</v>
      </c>
      <c r="Q127" s="58">
        <v>31.1</v>
      </c>
      <c r="R127" s="58">
        <v>33</v>
      </c>
      <c r="S127" s="58">
        <v>33.1</v>
      </c>
      <c r="T127" s="58">
        <v>31</v>
      </c>
      <c r="U127" s="58">
        <v>35</v>
      </c>
      <c r="V127" s="58">
        <v>35</v>
      </c>
      <c r="W127" s="58">
        <v>36</v>
      </c>
      <c r="X127" s="58">
        <v>38</v>
      </c>
      <c r="Y127" s="58">
        <v>-163</v>
      </c>
      <c r="Z127" s="58">
        <v>-181</v>
      </c>
      <c r="AA127" s="58">
        <v>-166</v>
      </c>
      <c r="AB127" s="58">
        <v>-165</v>
      </c>
      <c r="AC127" s="58">
        <v>-117.5</v>
      </c>
      <c r="AD127" s="58">
        <v>-99.2</v>
      </c>
      <c r="AE127" s="58">
        <v>-85.4</v>
      </c>
      <c r="AF127" s="58">
        <v>-64.400000000000006</v>
      </c>
      <c r="AG127" s="55"/>
      <c r="AH127" s="12">
        <f t="shared" si="51"/>
        <v>38</v>
      </c>
      <c r="AI127" s="11">
        <f t="shared" si="52"/>
        <v>-181</v>
      </c>
    </row>
    <row r="128" spans="1:35" x14ac:dyDescent="0.25">
      <c r="A128" s="57" t="s">
        <v>134</v>
      </c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>
        <v>-25.6</v>
      </c>
      <c r="R128" s="56">
        <v>-32.200000000000003</v>
      </c>
      <c r="S128" s="56">
        <v>-27</v>
      </c>
      <c r="T128" s="56">
        <v>-34.299999999999997</v>
      </c>
      <c r="U128" s="56">
        <v>-49</v>
      </c>
      <c r="V128" s="56">
        <v>-49</v>
      </c>
      <c r="W128" s="56">
        <v>-53</v>
      </c>
      <c r="X128" s="56">
        <v>-58</v>
      </c>
      <c r="Y128" s="56">
        <v>-67</v>
      </c>
      <c r="Z128" s="56">
        <v>-66</v>
      </c>
      <c r="AA128" s="56">
        <v>-64</v>
      </c>
      <c r="AB128" s="56">
        <v>-60</v>
      </c>
      <c r="AC128" s="56">
        <v>-51.3</v>
      </c>
      <c r="AD128" s="56">
        <v>-46.6</v>
      </c>
      <c r="AE128" s="56">
        <v>-32</v>
      </c>
      <c r="AF128" s="56">
        <v>-23.2</v>
      </c>
      <c r="AG128" s="55"/>
      <c r="AH128" s="12">
        <f t="shared" si="51"/>
        <v>-23.2</v>
      </c>
      <c r="AI128" s="11">
        <f t="shared" si="52"/>
        <v>-67</v>
      </c>
    </row>
    <row r="129" spans="1:37" x14ac:dyDescent="0.25">
      <c r="A129" s="57" t="s">
        <v>133</v>
      </c>
      <c r="B129" s="56">
        <v>56.2</v>
      </c>
      <c r="C129" s="56">
        <v>59.2</v>
      </c>
      <c r="D129" s="56">
        <v>57.5</v>
      </c>
      <c r="E129" s="56">
        <v>60.9</v>
      </c>
      <c r="F129" s="56">
        <v>57.9</v>
      </c>
      <c r="G129" s="56">
        <v>59.9</v>
      </c>
      <c r="H129" s="56">
        <v>59.4</v>
      </c>
      <c r="I129" s="56">
        <v>58.6</v>
      </c>
      <c r="J129" s="56">
        <v>79.400000000000006</v>
      </c>
      <c r="K129" s="56">
        <v>87.3</v>
      </c>
      <c r="L129" s="56">
        <v>90.7</v>
      </c>
      <c r="M129" s="56">
        <v>95.8</v>
      </c>
      <c r="N129" s="56">
        <v>105.9</v>
      </c>
      <c r="O129" s="56">
        <v>116.8</v>
      </c>
      <c r="P129" s="56">
        <v>114.6</v>
      </c>
      <c r="Q129" s="56">
        <v>116.5</v>
      </c>
      <c r="R129" s="56">
        <v>118</v>
      </c>
      <c r="S129" s="56">
        <v>54</v>
      </c>
      <c r="T129" s="56"/>
      <c r="U129" s="56">
        <v>75</v>
      </c>
      <c r="V129" s="56">
        <v>75</v>
      </c>
      <c r="W129" s="56">
        <v>64.2</v>
      </c>
      <c r="X129" s="56">
        <v>107</v>
      </c>
      <c r="Y129" s="56">
        <v>122</v>
      </c>
      <c r="Z129" s="56">
        <v>107</v>
      </c>
      <c r="AA129" s="56">
        <v>102.6</v>
      </c>
      <c r="AB129" s="56">
        <v>100.6</v>
      </c>
      <c r="AC129" s="56">
        <v>105.9</v>
      </c>
      <c r="AD129" s="56">
        <v>102.2</v>
      </c>
      <c r="AE129" s="56">
        <v>93.8</v>
      </c>
      <c r="AF129" s="56">
        <v>78.8</v>
      </c>
      <c r="AG129" s="55"/>
      <c r="AH129" s="12">
        <f t="shared" si="51"/>
        <v>122</v>
      </c>
      <c r="AI129" s="11">
        <f t="shared" si="52"/>
        <v>54</v>
      </c>
    </row>
    <row r="130" spans="1:37" ht="15.75" thickBot="1" x14ac:dyDescent="0.3">
      <c r="A130" s="57" t="s">
        <v>132</v>
      </c>
      <c r="B130" s="56">
        <v>80</v>
      </c>
      <c r="C130" s="56">
        <v>77.400000000000006</v>
      </c>
      <c r="D130" s="56">
        <v>78.5</v>
      </c>
      <c r="E130" s="56">
        <v>74.3</v>
      </c>
      <c r="F130" s="56">
        <v>73.2</v>
      </c>
      <c r="G130" s="56">
        <v>72</v>
      </c>
      <c r="H130" s="56">
        <v>71.599999999999994</v>
      </c>
      <c r="I130" s="56">
        <v>72.900000000000006</v>
      </c>
      <c r="J130" s="56">
        <v>88.8</v>
      </c>
      <c r="K130" s="56">
        <v>96.7</v>
      </c>
      <c r="L130" s="56">
        <v>101.6</v>
      </c>
      <c r="M130" s="56">
        <v>113.8</v>
      </c>
      <c r="N130" s="56">
        <v>112</v>
      </c>
      <c r="O130" s="56">
        <v>124.4</v>
      </c>
      <c r="P130" s="56">
        <v>125</v>
      </c>
      <c r="Q130" s="56">
        <v>122</v>
      </c>
      <c r="R130" s="56">
        <v>125.6</v>
      </c>
      <c r="S130" s="56">
        <v>122.1</v>
      </c>
      <c r="T130" s="56"/>
      <c r="U130" s="56">
        <v>83</v>
      </c>
      <c r="V130" s="56">
        <v>83</v>
      </c>
      <c r="W130" s="56"/>
      <c r="X130" s="56">
        <v>47</v>
      </c>
      <c r="Y130" s="56">
        <v>127</v>
      </c>
      <c r="Z130" s="56">
        <v>118</v>
      </c>
      <c r="AA130" s="56">
        <v>113</v>
      </c>
      <c r="AB130" s="56">
        <v>108.7</v>
      </c>
      <c r="AC130" s="56">
        <v>113.8</v>
      </c>
      <c r="AD130" s="56">
        <v>110.2</v>
      </c>
      <c r="AE130" s="56">
        <v>103.2</v>
      </c>
      <c r="AF130" s="56">
        <v>91.7</v>
      </c>
      <c r="AG130" s="55"/>
      <c r="AH130" s="12">
        <f t="shared" si="51"/>
        <v>127</v>
      </c>
      <c r="AI130" s="11">
        <f t="shared" si="52"/>
        <v>47</v>
      </c>
    </row>
    <row r="131" spans="1:37" x14ac:dyDescent="0.25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25">
      <c r="A132" s="47" t="s">
        <v>130</v>
      </c>
      <c r="B132" s="51">
        <v>1983.08</v>
      </c>
      <c r="C132" s="51">
        <v>1983.11</v>
      </c>
      <c r="D132" s="51">
        <v>1983.15</v>
      </c>
      <c r="E132" s="51">
        <v>1983.18</v>
      </c>
      <c r="F132" s="51">
        <v>1983.2</v>
      </c>
      <c r="G132" s="51">
        <v>1983.27</v>
      </c>
      <c r="H132" s="51"/>
      <c r="I132" s="51">
        <v>1983.22</v>
      </c>
      <c r="J132" s="51"/>
      <c r="K132" s="51">
        <v>1983.35</v>
      </c>
      <c r="L132" s="51"/>
      <c r="M132" s="51">
        <v>1983.6</v>
      </c>
      <c r="N132" s="51">
        <v>1983.88</v>
      </c>
      <c r="O132" s="51">
        <v>1984.1</v>
      </c>
      <c r="P132" s="51">
        <v>1984.33</v>
      </c>
      <c r="Q132" s="51">
        <v>1984.54</v>
      </c>
      <c r="R132" s="51">
        <v>1984.8</v>
      </c>
      <c r="S132" s="51">
        <v>1984.98</v>
      </c>
      <c r="T132" s="51">
        <v>1985.18</v>
      </c>
      <c r="U132" s="51">
        <v>1985.4</v>
      </c>
      <c r="V132" s="51">
        <v>1985.58</v>
      </c>
      <c r="W132" s="51"/>
      <c r="X132" s="51">
        <v>1985.75</v>
      </c>
      <c r="Y132" s="51">
        <v>1985.75</v>
      </c>
      <c r="Z132" s="51">
        <v>1984.9</v>
      </c>
      <c r="AA132" s="51">
        <v>1984.75</v>
      </c>
      <c r="AB132" s="51">
        <v>1984.25</v>
      </c>
      <c r="AC132" s="51"/>
      <c r="AD132" s="51">
        <v>1983.5</v>
      </c>
      <c r="AE132" s="51">
        <v>1983.15</v>
      </c>
      <c r="AF132" s="50">
        <v>1982.88</v>
      </c>
      <c r="AG132" s="44"/>
      <c r="AH132" s="12"/>
      <c r="AI132" s="11"/>
    </row>
    <row r="133" spans="1:37" x14ac:dyDescent="0.25">
      <c r="A133" s="47" t="s">
        <v>129</v>
      </c>
      <c r="B133" s="49">
        <v>520.96</v>
      </c>
      <c r="C133" s="49">
        <v>520.9</v>
      </c>
      <c r="D133" s="49">
        <v>520.88</v>
      </c>
      <c r="E133" s="49">
        <v>521</v>
      </c>
      <c r="F133" s="49">
        <v>521.23</v>
      </c>
      <c r="G133" s="49">
        <v>521.46</v>
      </c>
      <c r="H133" s="49"/>
      <c r="I133" s="49">
        <v>521.72</v>
      </c>
      <c r="J133" s="49"/>
      <c r="K133" s="49">
        <v>521.85</v>
      </c>
      <c r="L133" s="49"/>
      <c r="M133" s="49">
        <v>521.88</v>
      </c>
      <c r="N133" s="49">
        <v>521.94000000000005</v>
      </c>
      <c r="O133" s="49">
        <v>522.02</v>
      </c>
      <c r="P133" s="49">
        <v>522.11</v>
      </c>
      <c r="Q133" s="49">
        <v>522.21</v>
      </c>
      <c r="R133" s="49">
        <v>522.28</v>
      </c>
      <c r="S133" s="49">
        <v>522.27</v>
      </c>
      <c r="T133" s="49">
        <v>522.20000000000005</v>
      </c>
      <c r="U133" s="49">
        <v>522.17999999999995</v>
      </c>
      <c r="V133" s="49">
        <v>522.19000000000005</v>
      </c>
      <c r="W133" s="49"/>
      <c r="X133" s="49">
        <v>522.22</v>
      </c>
      <c r="Y133" s="49"/>
      <c r="Z133" s="49">
        <v>521.94000000000005</v>
      </c>
      <c r="AA133" s="49"/>
      <c r="AB133" s="49">
        <v>521.45000000000005</v>
      </c>
      <c r="AC133" s="49"/>
      <c r="AD133" s="49">
        <v>521.88</v>
      </c>
      <c r="AE133" s="49">
        <v>520.54</v>
      </c>
      <c r="AF133" s="48">
        <v>520.41999999999996</v>
      </c>
      <c r="AG133" s="44"/>
      <c r="AH133" s="12"/>
      <c r="AI133" s="11"/>
    </row>
    <row r="134" spans="1:37" x14ac:dyDescent="0.25">
      <c r="A134" s="47" t="s">
        <v>128</v>
      </c>
      <c r="B134" s="49">
        <v>623.12</v>
      </c>
      <c r="C134" s="49">
        <v>623.22</v>
      </c>
      <c r="D134" s="49">
        <v>623.30999999999995</v>
      </c>
      <c r="E134" s="49">
        <v>623.44000000000005</v>
      </c>
      <c r="F134" s="49">
        <v>623.5</v>
      </c>
      <c r="G134" s="49">
        <v>623.6</v>
      </c>
      <c r="H134" s="49"/>
      <c r="I134" s="49">
        <v>623.72</v>
      </c>
      <c r="J134" s="49"/>
      <c r="K134" s="49">
        <v>624.04</v>
      </c>
      <c r="L134" s="49"/>
      <c r="M134" s="49">
        <v>624.37</v>
      </c>
      <c r="N134" s="49">
        <v>624.5</v>
      </c>
      <c r="O134" s="49">
        <v>624.54</v>
      </c>
      <c r="P134" s="49">
        <v>624.54999999999995</v>
      </c>
      <c r="Q134" s="49">
        <v>624.59</v>
      </c>
      <c r="R134" s="49">
        <v>624.62</v>
      </c>
      <c r="S134" s="49">
        <v>624.62</v>
      </c>
      <c r="T134" s="49">
        <v>624.64</v>
      </c>
      <c r="U134" s="49">
        <v>624.67999999999995</v>
      </c>
      <c r="V134" s="49">
        <v>624.69000000000005</v>
      </c>
      <c r="W134" s="49"/>
      <c r="X134" s="49">
        <v>624.75</v>
      </c>
      <c r="Y134" s="49"/>
      <c r="Z134" s="49">
        <v>624.38</v>
      </c>
      <c r="AA134" s="49"/>
      <c r="AB134" s="49">
        <v>623.92999999999995</v>
      </c>
      <c r="AC134" s="49"/>
      <c r="AD134" s="49">
        <v>623.45000000000005</v>
      </c>
      <c r="AE134" s="49">
        <v>622.9</v>
      </c>
      <c r="AF134" s="48">
        <v>622.75</v>
      </c>
      <c r="AG134" s="44"/>
      <c r="AH134" s="12"/>
      <c r="AI134" s="11"/>
    </row>
    <row r="135" spans="1:37" x14ac:dyDescent="0.25">
      <c r="A135" s="47" t="s">
        <v>127</v>
      </c>
      <c r="B135" s="49">
        <v>334.06</v>
      </c>
      <c r="C135" s="49">
        <v>334.26</v>
      </c>
      <c r="D135" s="49">
        <v>334.68</v>
      </c>
      <c r="E135" s="49">
        <v>335.08</v>
      </c>
      <c r="F135" s="49">
        <v>335.28</v>
      </c>
      <c r="G135" s="49">
        <v>335.48</v>
      </c>
      <c r="H135" s="49"/>
      <c r="I135" s="49">
        <v>335.57</v>
      </c>
      <c r="J135" s="49"/>
      <c r="K135" s="49">
        <v>335.64</v>
      </c>
      <c r="L135" s="49"/>
      <c r="M135" s="49">
        <v>335.75</v>
      </c>
      <c r="N135" s="49">
        <v>335.87</v>
      </c>
      <c r="O135" s="49">
        <v>335.85</v>
      </c>
      <c r="P135" s="49">
        <v>335.75</v>
      </c>
      <c r="Q135" s="49">
        <v>335.68</v>
      </c>
      <c r="R135" s="49">
        <v>335.58</v>
      </c>
      <c r="S135" s="49">
        <v>335.54</v>
      </c>
      <c r="T135" s="49">
        <v>335.51</v>
      </c>
      <c r="U135" s="49">
        <v>335.59</v>
      </c>
      <c r="V135" s="49">
        <v>335.91</v>
      </c>
      <c r="W135" s="49"/>
      <c r="X135" s="49">
        <v>336.2</v>
      </c>
      <c r="Y135" s="49"/>
      <c r="Z135" s="49">
        <v>336.17</v>
      </c>
      <c r="AA135" s="49"/>
      <c r="AB135" s="49">
        <v>335.86</v>
      </c>
      <c r="AC135" s="49"/>
      <c r="AD135" s="49">
        <v>335.5</v>
      </c>
      <c r="AE135" s="49">
        <v>335.22</v>
      </c>
      <c r="AF135" s="48">
        <v>335</v>
      </c>
      <c r="AG135" s="44"/>
      <c r="AH135" s="12"/>
      <c r="AI135" s="11"/>
    </row>
    <row r="136" spans="1:37" x14ac:dyDescent="0.25">
      <c r="A136" s="47" t="s">
        <v>126</v>
      </c>
      <c r="B136" s="49">
        <v>881.4</v>
      </c>
      <c r="C136" s="49">
        <v>882.4</v>
      </c>
      <c r="D136" s="49">
        <v>883.4</v>
      </c>
      <c r="E136" s="49">
        <v>884.2</v>
      </c>
      <c r="F136" s="49">
        <v>885</v>
      </c>
      <c r="G136" s="49">
        <v>885.7</v>
      </c>
      <c r="H136" s="49"/>
      <c r="I136" s="49">
        <v>886.3</v>
      </c>
      <c r="J136" s="49"/>
      <c r="K136" s="49">
        <v>886.7</v>
      </c>
      <c r="L136" s="49"/>
      <c r="M136" s="49">
        <v>886.8</v>
      </c>
      <c r="N136" s="49">
        <v>886.8</v>
      </c>
      <c r="O136" s="49">
        <v>886.8</v>
      </c>
      <c r="P136" s="49">
        <v>886.6</v>
      </c>
      <c r="Q136" s="49">
        <v>886.4</v>
      </c>
      <c r="R136" s="49">
        <v>886.2</v>
      </c>
      <c r="S136" s="49">
        <v>886</v>
      </c>
      <c r="T136" s="49">
        <v>885.8</v>
      </c>
      <c r="U136" s="49">
        <v>885.7</v>
      </c>
      <c r="V136" s="49">
        <v>885.7</v>
      </c>
      <c r="W136" s="49"/>
      <c r="X136" s="49">
        <v>885.6</v>
      </c>
      <c r="Y136" s="49"/>
      <c r="Z136" s="49">
        <v>884.8</v>
      </c>
      <c r="AA136" s="49"/>
      <c r="AB136" s="49">
        <v>883.2</v>
      </c>
      <c r="AC136" s="49"/>
      <c r="AD136" s="49">
        <v>881.7</v>
      </c>
      <c r="AE136" s="49">
        <v>882.8</v>
      </c>
      <c r="AF136" s="48">
        <v>883.6</v>
      </c>
      <c r="AG136" s="44"/>
      <c r="AH136" s="12"/>
      <c r="AI136" s="11"/>
    </row>
    <row r="137" spans="1:37" ht="15.75" thickBot="1" x14ac:dyDescent="0.3">
      <c r="A137" s="47" t="s">
        <v>125</v>
      </c>
      <c r="B137" s="46">
        <v>1514.47</v>
      </c>
      <c r="C137" s="46" t="s">
        <v>123</v>
      </c>
      <c r="D137" s="46"/>
      <c r="E137" s="46"/>
      <c r="F137" s="46"/>
      <c r="G137" s="46"/>
      <c r="H137" s="46"/>
      <c r="I137" s="46"/>
      <c r="J137" s="46"/>
      <c r="K137" s="46"/>
      <c r="L137" s="46"/>
      <c r="M137" s="46">
        <v>1514.3</v>
      </c>
      <c r="N137" s="46"/>
      <c r="O137" s="46"/>
      <c r="P137" s="46"/>
      <c r="Q137" s="46"/>
      <c r="R137" s="46">
        <v>1514.24</v>
      </c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.75" thickBot="1" x14ac:dyDescent="0.3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25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25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25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25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25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25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25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25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25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25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25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25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25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25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25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25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25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25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25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25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25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25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25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25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25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25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25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25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25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25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25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25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25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25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25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25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25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25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25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25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25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25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25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25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25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25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25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25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25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25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25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25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25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25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25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25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25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25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25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25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25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25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25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25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25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25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25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25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25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25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25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25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25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25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25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25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25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25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25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25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25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25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25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25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25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25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25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25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25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25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25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25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25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25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25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25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25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25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25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25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25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25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25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25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.75" thickBot="1" x14ac:dyDescent="0.3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.75" thickBot="1" x14ac:dyDescent="0.3">
      <c r="A244" s="31" t="s">
        <v>17</v>
      </c>
      <c r="B244" s="30">
        <f t="shared" ref="B244:AG244" si="56">SUM(B139:B243)</f>
        <v>0</v>
      </c>
      <c r="C244" s="14">
        <f t="shared" si="56"/>
        <v>0</v>
      </c>
      <c r="D244" s="14">
        <f t="shared" si="56"/>
        <v>0</v>
      </c>
      <c r="E244" s="14">
        <f t="shared" si="56"/>
        <v>0</v>
      </c>
      <c r="F244" s="14">
        <f t="shared" si="56"/>
        <v>0</v>
      </c>
      <c r="G244" s="14">
        <f t="shared" si="56"/>
        <v>0</v>
      </c>
      <c r="H244" s="14">
        <f t="shared" si="56"/>
        <v>0</v>
      </c>
      <c r="I244" s="14">
        <f t="shared" si="56"/>
        <v>0</v>
      </c>
      <c r="J244" s="14">
        <f t="shared" si="56"/>
        <v>0</v>
      </c>
      <c r="K244" s="14">
        <f t="shared" si="56"/>
        <v>0</v>
      </c>
      <c r="L244" s="14">
        <f t="shared" si="56"/>
        <v>0</v>
      </c>
      <c r="M244" s="14">
        <f t="shared" si="56"/>
        <v>0</v>
      </c>
      <c r="N244" s="14">
        <f t="shared" si="56"/>
        <v>0</v>
      </c>
      <c r="O244" s="14">
        <f t="shared" si="56"/>
        <v>0</v>
      </c>
      <c r="P244" s="14">
        <f t="shared" si="56"/>
        <v>0</v>
      </c>
      <c r="Q244" s="14">
        <f t="shared" si="56"/>
        <v>0</v>
      </c>
      <c r="R244" s="14">
        <f t="shared" si="56"/>
        <v>0</v>
      </c>
      <c r="S244" s="14">
        <f t="shared" si="56"/>
        <v>0</v>
      </c>
      <c r="T244" s="14">
        <f t="shared" si="56"/>
        <v>0</v>
      </c>
      <c r="U244" s="14">
        <f t="shared" si="56"/>
        <v>0</v>
      </c>
      <c r="V244" s="14">
        <f t="shared" si="56"/>
        <v>0</v>
      </c>
      <c r="W244" s="14">
        <f t="shared" si="56"/>
        <v>0</v>
      </c>
      <c r="X244" s="14">
        <f t="shared" si="56"/>
        <v>0</v>
      </c>
      <c r="Y244" s="14">
        <f t="shared" si="56"/>
        <v>0</v>
      </c>
      <c r="Z244" s="14">
        <f t="shared" si="56"/>
        <v>0</v>
      </c>
      <c r="AA244" s="14">
        <f t="shared" si="56"/>
        <v>0</v>
      </c>
      <c r="AB244" s="14">
        <f t="shared" si="56"/>
        <v>0</v>
      </c>
      <c r="AC244" s="14">
        <f t="shared" si="56"/>
        <v>0</v>
      </c>
      <c r="AD244" s="14">
        <f t="shared" si="56"/>
        <v>0</v>
      </c>
      <c r="AE244" s="14">
        <f t="shared" si="56"/>
        <v>0</v>
      </c>
      <c r="AF244" s="29">
        <f t="shared" si="56"/>
        <v>0</v>
      </c>
      <c r="AG244" s="28">
        <f t="shared" si="56"/>
        <v>412.72299999999984</v>
      </c>
      <c r="AH244" s="12"/>
      <c r="AI244" s="11"/>
      <c r="AK244" s="19"/>
    </row>
    <row r="245" spans="1:37" ht="15.75" thickBot="1" x14ac:dyDescent="0.3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25">
      <c r="A246" s="25" t="s">
        <v>16</v>
      </c>
      <c r="B246" s="24">
        <f t="shared" ref="B246:B251" si="57">AF246</f>
        <v>0.3</v>
      </c>
      <c r="C246" s="24">
        <v>0.3</v>
      </c>
      <c r="D246" s="24">
        <f t="shared" ref="D246:AF246" si="58">C246</f>
        <v>0.3</v>
      </c>
      <c r="E246" s="24">
        <f t="shared" si="58"/>
        <v>0.3</v>
      </c>
      <c r="F246" s="24">
        <f t="shared" si="58"/>
        <v>0.3</v>
      </c>
      <c r="G246" s="24">
        <f t="shared" si="58"/>
        <v>0.3</v>
      </c>
      <c r="H246" s="24">
        <f t="shared" si="58"/>
        <v>0.3</v>
      </c>
      <c r="I246" s="24">
        <f t="shared" si="58"/>
        <v>0.3</v>
      </c>
      <c r="J246" s="24">
        <f t="shared" si="58"/>
        <v>0.3</v>
      </c>
      <c r="K246" s="24">
        <f t="shared" si="58"/>
        <v>0.3</v>
      </c>
      <c r="L246" s="24">
        <f t="shared" si="58"/>
        <v>0.3</v>
      </c>
      <c r="M246" s="24">
        <f t="shared" si="58"/>
        <v>0.3</v>
      </c>
      <c r="N246" s="24">
        <f t="shared" si="58"/>
        <v>0.3</v>
      </c>
      <c r="O246" s="24">
        <f t="shared" si="58"/>
        <v>0.3</v>
      </c>
      <c r="P246" s="24">
        <f t="shared" si="58"/>
        <v>0.3</v>
      </c>
      <c r="Q246" s="24">
        <f t="shared" si="58"/>
        <v>0.3</v>
      </c>
      <c r="R246" s="24">
        <f t="shared" si="58"/>
        <v>0.3</v>
      </c>
      <c r="S246" s="24">
        <f t="shared" si="58"/>
        <v>0.3</v>
      </c>
      <c r="T246" s="24">
        <f t="shared" si="58"/>
        <v>0.3</v>
      </c>
      <c r="U246" s="24">
        <f t="shared" si="58"/>
        <v>0.3</v>
      </c>
      <c r="V246" s="24">
        <f t="shared" si="58"/>
        <v>0.3</v>
      </c>
      <c r="W246" s="24">
        <f t="shared" si="58"/>
        <v>0.3</v>
      </c>
      <c r="X246" s="24">
        <f t="shared" si="58"/>
        <v>0.3</v>
      </c>
      <c r="Y246" s="24">
        <f t="shared" si="58"/>
        <v>0.3</v>
      </c>
      <c r="Z246" s="24">
        <f t="shared" si="58"/>
        <v>0.3</v>
      </c>
      <c r="AA246" s="24">
        <f t="shared" si="58"/>
        <v>0.3</v>
      </c>
      <c r="AB246" s="24">
        <f t="shared" si="58"/>
        <v>0.3</v>
      </c>
      <c r="AC246" s="24">
        <f t="shared" si="58"/>
        <v>0.3</v>
      </c>
      <c r="AD246" s="24">
        <f t="shared" si="58"/>
        <v>0.3</v>
      </c>
      <c r="AE246" s="24">
        <f t="shared" si="58"/>
        <v>0.3</v>
      </c>
      <c r="AF246" s="24">
        <f t="shared" si="58"/>
        <v>0.3</v>
      </c>
      <c r="AG246" s="23">
        <v>2.4</v>
      </c>
      <c r="AH246" s="12"/>
      <c r="AI246" s="11"/>
      <c r="AK246" s="19"/>
    </row>
    <row r="247" spans="1:37" x14ac:dyDescent="0.25">
      <c r="A247" s="22" t="s">
        <v>15</v>
      </c>
      <c r="B247" s="21">
        <f t="shared" si="57"/>
        <v>0.4</v>
      </c>
      <c r="C247" s="21">
        <v>0.4</v>
      </c>
      <c r="D247" s="21">
        <f t="shared" ref="D247:AF247" si="59">C247</f>
        <v>0.4</v>
      </c>
      <c r="E247" s="21">
        <f t="shared" si="59"/>
        <v>0.4</v>
      </c>
      <c r="F247" s="21">
        <f t="shared" si="59"/>
        <v>0.4</v>
      </c>
      <c r="G247" s="21">
        <f t="shared" si="59"/>
        <v>0.4</v>
      </c>
      <c r="H247" s="21">
        <f t="shared" si="59"/>
        <v>0.4</v>
      </c>
      <c r="I247" s="21">
        <f t="shared" si="59"/>
        <v>0.4</v>
      </c>
      <c r="J247" s="21">
        <f t="shared" si="59"/>
        <v>0.4</v>
      </c>
      <c r="K247" s="21">
        <f t="shared" si="59"/>
        <v>0.4</v>
      </c>
      <c r="L247" s="21">
        <f t="shared" si="59"/>
        <v>0.4</v>
      </c>
      <c r="M247" s="21">
        <f t="shared" si="59"/>
        <v>0.4</v>
      </c>
      <c r="N247" s="21">
        <f t="shared" si="59"/>
        <v>0.4</v>
      </c>
      <c r="O247" s="21">
        <f t="shared" si="59"/>
        <v>0.4</v>
      </c>
      <c r="P247" s="21">
        <f t="shared" si="59"/>
        <v>0.4</v>
      </c>
      <c r="Q247" s="21">
        <f t="shared" si="59"/>
        <v>0.4</v>
      </c>
      <c r="R247" s="21">
        <f t="shared" si="59"/>
        <v>0.4</v>
      </c>
      <c r="S247" s="21">
        <f t="shared" si="59"/>
        <v>0.4</v>
      </c>
      <c r="T247" s="21">
        <f t="shared" si="59"/>
        <v>0.4</v>
      </c>
      <c r="U247" s="21">
        <f t="shared" si="59"/>
        <v>0.4</v>
      </c>
      <c r="V247" s="21">
        <f t="shared" si="59"/>
        <v>0.4</v>
      </c>
      <c r="W247" s="21">
        <f t="shared" si="59"/>
        <v>0.4</v>
      </c>
      <c r="X247" s="21">
        <f t="shared" si="59"/>
        <v>0.4</v>
      </c>
      <c r="Y247" s="21">
        <f t="shared" si="59"/>
        <v>0.4</v>
      </c>
      <c r="Z247" s="21">
        <f t="shared" si="59"/>
        <v>0.4</v>
      </c>
      <c r="AA247" s="21">
        <f t="shared" si="59"/>
        <v>0.4</v>
      </c>
      <c r="AB247" s="21">
        <f t="shared" si="59"/>
        <v>0.4</v>
      </c>
      <c r="AC247" s="21">
        <f t="shared" si="59"/>
        <v>0.4</v>
      </c>
      <c r="AD247" s="21">
        <f t="shared" si="59"/>
        <v>0.4</v>
      </c>
      <c r="AE247" s="21">
        <f t="shared" si="59"/>
        <v>0.4</v>
      </c>
      <c r="AF247" s="21">
        <f t="shared" si="59"/>
        <v>0.4</v>
      </c>
      <c r="AG247" s="20">
        <v>2</v>
      </c>
      <c r="AH247" s="12"/>
      <c r="AI247" s="11"/>
      <c r="AK247" s="19"/>
    </row>
    <row r="248" spans="1:37" x14ac:dyDescent="0.25">
      <c r="A248" s="22" t="s">
        <v>14</v>
      </c>
      <c r="B248" s="21">
        <f t="shared" si="57"/>
        <v>1.5</v>
      </c>
      <c r="C248" s="21">
        <v>1.5</v>
      </c>
      <c r="D248" s="21">
        <f t="shared" ref="D248:AF248" si="60">C248</f>
        <v>1.5</v>
      </c>
      <c r="E248" s="21">
        <f t="shared" si="60"/>
        <v>1.5</v>
      </c>
      <c r="F248" s="21">
        <f t="shared" si="60"/>
        <v>1.5</v>
      </c>
      <c r="G248" s="21">
        <f t="shared" si="60"/>
        <v>1.5</v>
      </c>
      <c r="H248" s="21">
        <f t="shared" si="60"/>
        <v>1.5</v>
      </c>
      <c r="I248" s="21">
        <f t="shared" si="60"/>
        <v>1.5</v>
      </c>
      <c r="J248" s="21">
        <f t="shared" si="60"/>
        <v>1.5</v>
      </c>
      <c r="K248" s="21">
        <f t="shared" si="60"/>
        <v>1.5</v>
      </c>
      <c r="L248" s="21">
        <f t="shared" si="60"/>
        <v>1.5</v>
      </c>
      <c r="M248" s="21">
        <f t="shared" si="60"/>
        <v>1.5</v>
      </c>
      <c r="N248" s="21">
        <f t="shared" si="60"/>
        <v>1.5</v>
      </c>
      <c r="O248" s="21">
        <f t="shared" si="60"/>
        <v>1.5</v>
      </c>
      <c r="P248" s="21">
        <f t="shared" si="60"/>
        <v>1.5</v>
      </c>
      <c r="Q248" s="21">
        <f t="shared" si="60"/>
        <v>1.5</v>
      </c>
      <c r="R248" s="21">
        <f t="shared" si="60"/>
        <v>1.5</v>
      </c>
      <c r="S248" s="21">
        <f t="shared" si="60"/>
        <v>1.5</v>
      </c>
      <c r="T248" s="21">
        <f t="shared" si="60"/>
        <v>1.5</v>
      </c>
      <c r="U248" s="21">
        <f t="shared" si="60"/>
        <v>1.5</v>
      </c>
      <c r="V248" s="21">
        <f t="shared" si="60"/>
        <v>1.5</v>
      </c>
      <c r="W248" s="21">
        <f t="shared" si="60"/>
        <v>1.5</v>
      </c>
      <c r="X248" s="21">
        <f t="shared" si="60"/>
        <v>1.5</v>
      </c>
      <c r="Y248" s="21">
        <f t="shared" si="60"/>
        <v>1.5</v>
      </c>
      <c r="Z248" s="21">
        <f t="shared" si="60"/>
        <v>1.5</v>
      </c>
      <c r="AA248" s="21">
        <f t="shared" si="60"/>
        <v>1.5</v>
      </c>
      <c r="AB248" s="21">
        <f t="shared" si="60"/>
        <v>1.5</v>
      </c>
      <c r="AC248" s="21">
        <f t="shared" si="60"/>
        <v>1.5</v>
      </c>
      <c r="AD248" s="21">
        <f t="shared" si="60"/>
        <v>1.5</v>
      </c>
      <c r="AE248" s="21">
        <f t="shared" si="60"/>
        <v>1.5</v>
      </c>
      <c r="AF248" s="21">
        <f t="shared" si="60"/>
        <v>1.5</v>
      </c>
      <c r="AG248" s="20">
        <v>1.5</v>
      </c>
      <c r="AH248" s="12"/>
      <c r="AI248" s="11"/>
      <c r="AK248" s="19"/>
    </row>
    <row r="249" spans="1:37" x14ac:dyDescent="0.25">
      <c r="A249" s="22" t="s">
        <v>13</v>
      </c>
      <c r="B249" s="21">
        <f t="shared" si="57"/>
        <v>0.3</v>
      </c>
      <c r="C249" s="21">
        <v>0.3</v>
      </c>
      <c r="D249" s="21">
        <f t="shared" ref="D249:AF249" si="61">C249</f>
        <v>0.3</v>
      </c>
      <c r="E249" s="21">
        <f t="shared" si="61"/>
        <v>0.3</v>
      </c>
      <c r="F249" s="21">
        <f t="shared" si="61"/>
        <v>0.3</v>
      </c>
      <c r="G249" s="21">
        <f t="shared" si="61"/>
        <v>0.3</v>
      </c>
      <c r="H249" s="21">
        <f t="shared" si="61"/>
        <v>0.3</v>
      </c>
      <c r="I249" s="21">
        <f t="shared" si="61"/>
        <v>0.3</v>
      </c>
      <c r="J249" s="21">
        <f t="shared" si="61"/>
        <v>0.3</v>
      </c>
      <c r="K249" s="21">
        <f t="shared" si="61"/>
        <v>0.3</v>
      </c>
      <c r="L249" s="21">
        <f t="shared" si="61"/>
        <v>0.3</v>
      </c>
      <c r="M249" s="21">
        <f t="shared" si="61"/>
        <v>0.3</v>
      </c>
      <c r="N249" s="21">
        <f t="shared" si="61"/>
        <v>0.3</v>
      </c>
      <c r="O249" s="21">
        <f t="shared" si="61"/>
        <v>0.3</v>
      </c>
      <c r="P249" s="21">
        <f t="shared" si="61"/>
        <v>0.3</v>
      </c>
      <c r="Q249" s="21">
        <f t="shared" si="61"/>
        <v>0.3</v>
      </c>
      <c r="R249" s="21">
        <f t="shared" si="61"/>
        <v>0.3</v>
      </c>
      <c r="S249" s="21">
        <f t="shared" si="61"/>
        <v>0.3</v>
      </c>
      <c r="T249" s="21">
        <f t="shared" si="61"/>
        <v>0.3</v>
      </c>
      <c r="U249" s="21">
        <f t="shared" si="61"/>
        <v>0.3</v>
      </c>
      <c r="V249" s="21">
        <f t="shared" si="61"/>
        <v>0.3</v>
      </c>
      <c r="W249" s="21">
        <f t="shared" si="61"/>
        <v>0.3</v>
      </c>
      <c r="X249" s="21">
        <f t="shared" si="61"/>
        <v>0.3</v>
      </c>
      <c r="Y249" s="21">
        <f t="shared" si="61"/>
        <v>0.3</v>
      </c>
      <c r="Z249" s="21">
        <f t="shared" si="61"/>
        <v>0.3</v>
      </c>
      <c r="AA249" s="21">
        <f t="shared" si="61"/>
        <v>0.3</v>
      </c>
      <c r="AB249" s="21">
        <f t="shared" si="61"/>
        <v>0.3</v>
      </c>
      <c r="AC249" s="21">
        <f t="shared" si="61"/>
        <v>0.3</v>
      </c>
      <c r="AD249" s="21">
        <f t="shared" si="61"/>
        <v>0.3</v>
      </c>
      <c r="AE249" s="21">
        <f t="shared" si="61"/>
        <v>0.3</v>
      </c>
      <c r="AF249" s="21">
        <f t="shared" si="61"/>
        <v>0.3</v>
      </c>
      <c r="AG249" s="20">
        <v>1</v>
      </c>
      <c r="AH249" s="12"/>
      <c r="AI249" s="11"/>
      <c r="AK249" s="19"/>
    </row>
    <row r="250" spans="1:37" x14ac:dyDescent="0.25">
      <c r="A250" s="22" t="s">
        <v>12</v>
      </c>
      <c r="B250" s="21">
        <f t="shared" si="57"/>
        <v>0.4</v>
      </c>
      <c r="C250" s="21">
        <v>0.4</v>
      </c>
      <c r="D250" s="21">
        <f t="shared" ref="D250:AF250" si="62">C250</f>
        <v>0.4</v>
      </c>
      <c r="E250" s="21">
        <f t="shared" si="62"/>
        <v>0.4</v>
      </c>
      <c r="F250" s="21">
        <f t="shared" si="62"/>
        <v>0.4</v>
      </c>
      <c r="G250" s="21">
        <f t="shared" si="62"/>
        <v>0.4</v>
      </c>
      <c r="H250" s="21">
        <f t="shared" si="62"/>
        <v>0.4</v>
      </c>
      <c r="I250" s="21">
        <f t="shared" si="62"/>
        <v>0.4</v>
      </c>
      <c r="J250" s="21">
        <f t="shared" si="62"/>
        <v>0.4</v>
      </c>
      <c r="K250" s="21">
        <f t="shared" si="62"/>
        <v>0.4</v>
      </c>
      <c r="L250" s="21">
        <f t="shared" si="62"/>
        <v>0.4</v>
      </c>
      <c r="M250" s="21">
        <f t="shared" si="62"/>
        <v>0.4</v>
      </c>
      <c r="N250" s="21">
        <f t="shared" si="62"/>
        <v>0.4</v>
      </c>
      <c r="O250" s="21">
        <f t="shared" si="62"/>
        <v>0.4</v>
      </c>
      <c r="P250" s="21">
        <f t="shared" si="62"/>
        <v>0.4</v>
      </c>
      <c r="Q250" s="21">
        <f t="shared" si="62"/>
        <v>0.4</v>
      </c>
      <c r="R250" s="21">
        <f t="shared" si="62"/>
        <v>0.4</v>
      </c>
      <c r="S250" s="21">
        <f t="shared" si="62"/>
        <v>0.4</v>
      </c>
      <c r="T250" s="21">
        <f t="shared" si="62"/>
        <v>0.4</v>
      </c>
      <c r="U250" s="21">
        <f t="shared" si="62"/>
        <v>0.4</v>
      </c>
      <c r="V250" s="21">
        <f t="shared" si="62"/>
        <v>0.4</v>
      </c>
      <c r="W250" s="21">
        <f t="shared" si="62"/>
        <v>0.4</v>
      </c>
      <c r="X250" s="21">
        <f t="shared" si="62"/>
        <v>0.4</v>
      </c>
      <c r="Y250" s="21">
        <f t="shared" si="62"/>
        <v>0.4</v>
      </c>
      <c r="Z250" s="21">
        <f t="shared" si="62"/>
        <v>0.4</v>
      </c>
      <c r="AA250" s="21">
        <f t="shared" si="62"/>
        <v>0.4</v>
      </c>
      <c r="AB250" s="21">
        <f t="shared" si="62"/>
        <v>0.4</v>
      </c>
      <c r="AC250" s="21">
        <f t="shared" si="62"/>
        <v>0.4</v>
      </c>
      <c r="AD250" s="21">
        <f t="shared" si="62"/>
        <v>0.4</v>
      </c>
      <c r="AE250" s="21">
        <f t="shared" si="62"/>
        <v>0.4</v>
      </c>
      <c r="AF250" s="21">
        <f t="shared" si="62"/>
        <v>0.4</v>
      </c>
      <c r="AG250" s="20">
        <v>1</v>
      </c>
      <c r="AH250" s="12"/>
      <c r="AI250" s="11"/>
      <c r="AK250" s="19"/>
    </row>
    <row r="251" spans="1:37" ht="15.75" thickBot="1" x14ac:dyDescent="0.3">
      <c r="A251" s="18" t="s">
        <v>11</v>
      </c>
      <c r="B251" s="17">
        <f t="shared" si="57"/>
        <v>0.64</v>
      </c>
      <c r="C251" s="17">
        <v>0.64</v>
      </c>
      <c r="D251" s="17">
        <f t="shared" ref="D251:AF251" si="63">C251</f>
        <v>0.64</v>
      </c>
      <c r="E251" s="17">
        <f t="shared" si="63"/>
        <v>0.64</v>
      </c>
      <c r="F251" s="17">
        <f t="shared" si="63"/>
        <v>0.64</v>
      </c>
      <c r="G251" s="17">
        <f t="shared" si="63"/>
        <v>0.64</v>
      </c>
      <c r="H251" s="17">
        <f t="shared" si="63"/>
        <v>0.64</v>
      </c>
      <c r="I251" s="17">
        <f t="shared" si="63"/>
        <v>0.64</v>
      </c>
      <c r="J251" s="17">
        <f t="shared" si="63"/>
        <v>0.64</v>
      </c>
      <c r="K251" s="17">
        <f t="shared" si="63"/>
        <v>0.64</v>
      </c>
      <c r="L251" s="17">
        <f t="shared" si="63"/>
        <v>0.64</v>
      </c>
      <c r="M251" s="17">
        <f t="shared" si="63"/>
        <v>0.64</v>
      </c>
      <c r="N251" s="17">
        <f t="shared" si="63"/>
        <v>0.64</v>
      </c>
      <c r="O251" s="17">
        <f t="shared" si="63"/>
        <v>0.64</v>
      </c>
      <c r="P251" s="17">
        <f t="shared" si="63"/>
        <v>0.64</v>
      </c>
      <c r="Q251" s="17">
        <f t="shared" si="63"/>
        <v>0.64</v>
      </c>
      <c r="R251" s="17">
        <f t="shared" si="63"/>
        <v>0.64</v>
      </c>
      <c r="S251" s="17">
        <f t="shared" si="63"/>
        <v>0.64</v>
      </c>
      <c r="T251" s="17">
        <f t="shared" si="63"/>
        <v>0.64</v>
      </c>
      <c r="U251" s="17">
        <f t="shared" si="63"/>
        <v>0.64</v>
      </c>
      <c r="V251" s="17">
        <f t="shared" si="63"/>
        <v>0.64</v>
      </c>
      <c r="W251" s="17">
        <f t="shared" si="63"/>
        <v>0.64</v>
      </c>
      <c r="X251" s="17">
        <f t="shared" si="63"/>
        <v>0.64</v>
      </c>
      <c r="Y251" s="17">
        <f t="shared" si="63"/>
        <v>0.64</v>
      </c>
      <c r="Z251" s="17">
        <f t="shared" si="63"/>
        <v>0.64</v>
      </c>
      <c r="AA251" s="17">
        <f t="shared" si="63"/>
        <v>0.64</v>
      </c>
      <c r="AB251" s="17">
        <f t="shared" si="63"/>
        <v>0.64</v>
      </c>
      <c r="AC251" s="17">
        <f t="shared" si="63"/>
        <v>0.64</v>
      </c>
      <c r="AD251" s="17">
        <f t="shared" si="63"/>
        <v>0.64</v>
      </c>
      <c r="AE251" s="17">
        <f t="shared" si="63"/>
        <v>0.64</v>
      </c>
      <c r="AF251" s="17">
        <f t="shared" si="63"/>
        <v>0.64</v>
      </c>
      <c r="AG251" s="16">
        <v>0.66</v>
      </c>
      <c r="AH251" s="12"/>
      <c r="AI251" s="11"/>
    </row>
    <row r="252" spans="1:37" ht="15.75" thickBot="1" x14ac:dyDescent="0.3">
      <c r="A252" s="15" t="s">
        <v>10</v>
      </c>
      <c r="B252" s="14">
        <f t="shared" ref="B252:AG252" si="64">SUM(B246:B251)</f>
        <v>3.54</v>
      </c>
      <c r="C252" s="14">
        <f t="shared" si="64"/>
        <v>3.54</v>
      </c>
      <c r="D252" s="14">
        <f t="shared" si="64"/>
        <v>3.54</v>
      </c>
      <c r="E252" s="14">
        <f t="shared" si="64"/>
        <v>3.54</v>
      </c>
      <c r="F252" s="14">
        <f t="shared" si="64"/>
        <v>3.54</v>
      </c>
      <c r="G252" s="14">
        <f t="shared" si="64"/>
        <v>3.54</v>
      </c>
      <c r="H252" s="14">
        <f t="shared" si="64"/>
        <v>3.54</v>
      </c>
      <c r="I252" s="14">
        <f t="shared" si="64"/>
        <v>3.54</v>
      </c>
      <c r="J252" s="14">
        <f t="shared" si="64"/>
        <v>3.54</v>
      </c>
      <c r="K252" s="14">
        <f t="shared" si="64"/>
        <v>3.54</v>
      </c>
      <c r="L252" s="14">
        <f t="shared" si="64"/>
        <v>3.54</v>
      </c>
      <c r="M252" s="14">
        <f t="shared" si="64"/>
        <v>3.54</v>
      </c>
      <c r="N252" s="14">
        <f t="shared" si="64"/>
        <v>3.54</v>
      </c>
      <c r="O252" s="14">
        <f t="shared" si="64"/>
        <v>3.54</v>
      </c>
      <c r="P252" s="14">
        <f t="shared" si="64"/>
        <v>3.54</v>
      </c>
      <c r="Q252" s="14">
        <f t="shared" si="64"/>
        <v>3.54</v>
      </c>
      <c r="R252" s="14">
        <f t="shared" si="64"/>
        <v>3.54</v>
      </c>
      <c r="S252" s="14">
        <f t="shared" si="64"/>
        <v>3.54</v>
      </c>
      <c r="T252" s="14">
        <f t="shared" si="64"/>
        <v>3.54</v>
      </c>
      <c r="U252" s="14">
        <f t="shared" si="64"/>
        <v>3.54</v>
      </c>
      <c r="V252" s="14">
        <f t="shared" si="64"/>
        <v>3.54</v>
      </c>
      <c r="W252" s="14">
        <f t="shared" si="64"/>
        <v>3.54</v>
      </c>
      <c r="X252" s="14">
        <f t="shared" si="64"/>
        <v>3.54</v>
      </c>
      <c r="Y252" s="14">
        <f t="shared" si="64"/>
        <v>3.54</v>
      </c>
      <c r="Z252" s="14">
        <f t="shared" si="64"/>
        <v>3.54</v>
      </c>
      <c r="AA252" s="14">
        <f t="shared" si="64"/>
        <v>3.54</v>
      </c>
      <c r="AB252" s="14">
        <f t="shared" si="64"/>
        <v>3.54</v>
      </c>
      <c r="AC252" s="14">
        <f t="shared" si="64"/>
        <v>3.54</v>
      </c>
      <c r="AD252" s="14">
        <f t="shared" si="64"/>
        <v>3.54</v>
      </c>
      <c r="AE252" s="14">
        <f t="shared" si="64"/>
        <v>3.54</v>
      </c>
      <c r="AF252" s="14">
        <f t="shared" si="64"/>
        <v>3.54</v>
      </c>
      <c r="AG252" s="13">
        <f t="shared" si="64"/>
        <v>8.56</v>
      </c>
      <c r="AH252" s="12"/>
      <c r="AI252" s="11"/>
    </row>
    <row r="253" spans="1:37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25">
      <c r="A256" s="9" t="s">
        <v>9</v>
      </c>
      <c r="B256" s="8">
        <f>MAX(G99:N99)</f>
        <v>1576.9399999999998</v>
      </c>
      <c r="C256" s="7">
        <f>INDEX(G9:N9,1,MATCH(MAX(G99:N99),G99:N99,0))</f>
        <v>0.375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25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2080/10/2)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25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25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25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25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25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25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25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25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25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25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25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25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25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25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4144" priority="89">
      <formula>$AH11=0</formula>
    </cfRule>
  </conditionalFormatting>
  <conditionalFormatting sqref="A132:A253">
    <cfRule type="expression" dxfId="4143" priority="90">
      <formula>$AH132=0</formula>
    </cfRule>
  </conditionalFormatting>
  <conditionalFormatting sqref="B8">
    <cfRule type="expression" dxfId="4142" priority="147">
      <formula>C$9&gt;=20/24</formula>
    </cfRule>
    <cfRule type="expression" dxfId="4141" priority="146">
      <formula>C$9&lt;8/24</formula>
    </cfRule>
    <cfRule type="expression" dxfId="4140" priority="145">
      <formula>AND(C$9&gt;=8/24,C$9&lt;14/24)</formula>
    </cfRule>
    <cfRule type="expression" dxfId="4139" priority="144">
      <formula>AND(C$9&gt;=14/24,C$9&lt;20/24)</formula>
    </cfRule>
  </conditionalFormatting>
  <conditionalFormatting sqref="B11:Q52 R13:AF52 B59:D74 E68:H74 E69:AF74 B77:AF99 B9:AF10 B101:AF117 B119:AF137 B244:AF244 B246:B252">
    <cfRule type="expression" dxfId="4138" priority="41">
      <formula>B$9&gt;=20/24</formula>
    </cfRule>
  </conditionalFormatting>
  <conditionalFormatting sqref="B9:AF10 B11:Q52 R13:AF52 B59:D74 E68:H74 E69:AF74 B77:AF99 B101:AF117 B119:AF137 B244:AF244 B246:B252">
    <cfRule type="expression" dxfId="4137" priority="42">
      <formula>AND(B$9&gt;=14/24,B$9&lt;20/24)</formula>
    </cfRule>
    <cfRule type="expression" dxfId="4136" priority="43">
      <formula>AND(B$9&gt;=8/24,B$9&lt;14/24)</formula>
    </cfRule>
    <cfRule type="expression" dxfId="4135" priority="44">
      <formula>B$9&lt;8/24</formula>
    </cfRule>
  </conditionalFormatting>
  <conditionalFormatting sqref="B53:AF57">
    <cfRule type="expression" dxfId="4134" priority="53">
      <formula>B$9&lt;8/24</formula>
    </cfRule>
  </conditionalFormatting>
  <conditionalFormatting sqref="D246:AF252">
    <cfRule type="expression" dxfId="4133" priority="131">
      <formula>AND(D$9&gt;=8/24,D$9&lt;14/24)</formula>
    </cfRule>
    <cfRule type="expression" dxfId="4132" priority="129">
      <formula>D$9&gt;=20/24</formula>
    </cfRule>
    <cfRule type="expression" dxfId="4131" priority="130">
      <formula>AND(D$9&gt;=14/24,D$9&lt;20/24)</formula>
    </cfRule>
    <cfRule type="expression" dxfId="4130" priority="132">
      <formula>D$9&lt;8/24</formula>
    </cfRule>
  </conditionalFormatting>
  <conditionalFormatting sqref="E63:I67 J64:J67 K67">
    <cfRule type="expression" dxfId="4129" priority="54">
      <formula>E$9&gt;=20/24</formula>
    </cfRule>
    <cfRule type="expression" dxfId="4128" priority="55">
      <formula>AND(E$9&gt;=14/24,E$9&lt;20/24)</formula>
    </cfRule>
    <cfRule type="expression" dxfId="4127" priority="56">
      <formula>AND(E$9&gt;=8/24,E$9&lt;14/24)</formula>
    </cfRule>
    <cfRule type="expression" dxfId="4126" priority="57">
      <formula>E$9&lt;8/24</formula>
    </cfRule>
  </conditionalFormatting>
  <conditionalFormatting sqref="E68:L68">
    <cfRule type="expression" dxfId="4125" priority="49">
      <formula>E$9&gt;=20/24</formula>
    </cfRule>
    <cfRule type="expression" dxfId="4124" priority="50">
      <formula>AND(E$9&gt;=14/24,E$9&lt;20/24)</formula>
    </cfRule>
    <cfRule type="expression" dxfId="4123" priority="51">
      <formula>AND(E$9&gt;=8/24,E$9&lt;14/24)</formula>
    </cfRule>
    <cfRule type="expression" dxfId="4122" priority="52">
      <formula>E$9&lt;8/24</formula>
    </cfRule>
  </conditionalFormatting>
  <conditionalFormatting sqref="E11:Q55 B11:D80 R13:AD55 AE13:AF80 AB56:AD57 AA57 E57:Z61 AA58:AD61 AG62 E62:AD80 AG80">
    <cfRule type="expression" dxfId="4121" priority="40">
      <formula>B11&gt;$AG11</formula>
    </cfRule>
  </conditionalFormatting>
  <conditionalFormatting sqref="E56:AA56">
    <cfRule type="expression" dxfId="4120" priority="45">
      <formula>E56&gt;$AG56</formula>
    </cfRule>
  </conditionalFormatting>
  <conditionalFormatting sqref="E53:AF55 B53:D57">
    <cfRule type="expression" dxfId="4119" priority="37">
      <formula>B$9&gt;=20/24</formula>
    </cfRule>
    <cfRule type="expression" dxfId="4118" priority="38">
      <formula>AND(B$9&gt;=14/24,B$9&lt;20/24)</formula>
    </cfRule>
    <cfRule type="expression" dxfId="4117" priority="39">
      <formula>AND(B$9&gt;=8/24,B$9&lt;14/24)</formula>
    </cfRule>
  </conditionalFormatting>
  <conditionalFormatting sqref="E56:AF57">
    <cfRule type="expression" dxfId="4116" priority="48">
      <formula>AND(E$9&gt;=8/24,E$9&lt;14/24)</formula>
    </cfRule>
    <cfRule type="expression" dxfId="4115" priority="47">
      <formula>AND(E$9&gt;=14/24,E$9&lt;20/24)</formula>
    </cfRule>
    <cfRule type="expression" dxfId="4114" priority="46">
      <formula>E$9&gt;=20/24</formula>
    </cfRule>
  </conditionalFormatting>
  <conditionalFormatting sqref="E59:AF62">
    <cfRule type="expression" dxfId="4113" priority="67">
      <formula>E$9&gt;=20/24</formula>
    </cfRule>
    <cfRule type="expression" dxfId="4112" priority="68">
      <formula>AND(E$9&gt;=14/24,E$9&lt;20/24)</formula>
    </cfRule>
    <cfRule type="expression" dxfId="4111" priority="69">
      <formula>AND(E$9&gt;=8/24,E$9&lt;14/24)</formula>
    </cfRule>
    <cfRule type="expression" dxfId="4110" priority="70">
      <formula>E$9&lt;8/24</formula>
    </cfRule>
  </conditionalFormatting>
  <conditionalFormatting sqref="F63:L65">
    <cfRule type="expression" dxfId="4109" priority="84">
      <formula>F$9&lt;8/24</formula>
    </cfRule>
    <cfRule type="expression" dxfId="4108" priority="83">
      <formula>AND(F$9&gt;=8/24,F$9&lt;14/24)</formula>
    </cfRule>
    <cfRule type="expression" dxfId="4107" priority="82">
      <formula>AND(F$9&gt;=14/24,F$9&lt;20/24)</formula>
    </cfRule>
    <cfRule type="expression" dxfId="4106" priority="81">
      <formula>F$9&gt;=20/24</formula>
    </cfRule>
  </conditionalFormatting>
  <conditionalFormatting sqref="L68:Y68">
    <cfRule type="expression" dxfId="4105" priority="78">
      <formula>AND(L$9&gt;=14/24,L$9&lt;20/24)</formula>
    </cfRule>
    <cfRule type="expression" dxfId="4104" priority="79">
      <formula>AND(L$9&gt;=8/24,L$9&lt;14/24)</formula>
    </cfRule>
    <cfRule type="expression" dxfId="4103" priority="80">
      <formula>L$9&lt;8/24</formula>
    </cfRule>
    <cfRule type="expression" dxfId="4102" priority="77">
      <formula>L$9&gt;=20/24</formula>
    </cfRule>
  </conditionalFormatting>
  <conditionalFormatting sqref="M8 S8 AB8">
    <cfRule type="expression" dxfId="4101" priority="138">
      <formula>N$9&lt;8/24</formula>
    </cfRule>
    <cfRule type="expression" dxfId="4100" priority="137">
      <formula>AND(N$9&gt;=8/24,N$9&lt;14/24)</formula>
    </cfRule>
    <cfRule type="expression" dxfId="4099" priority="136">
      <formula>AND(N$9&gt;=14/24,N$9&lt;20/24)</formula>
    </cfRule>
  </conditionalFormatting>
  <conditionalFormatting sqref="M63:Y67">
    <cfRule type="expression" dxfId="4098" priority="85">
      <formula>M$9&gt;=20/24</formula>
    </cfRule>
    <cfRule type="expression" dxfId="4097" priority="86">
      <formula>AND(M$9&gt;=14/24,M$9&lt;20/24)</formula>
    </cfRule>
    <cfRule type="expression" dxfId="4096" priority="87">
      <formula>AND(M$9&gt;=8/24,M$9&lt;14/24)</formula>
    </cfRule>
    <cfRule type="expression" dxfId="4095" priority="88">
      <formula>M$9&lt;8/24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R11:AF12">
    <cfRule type="expression" dxfId="4094" priority="62">
      <formula>R$9&lt;8/24</formula>
    </cfRule>
    <cfRule type="expression" dxfId="4093" priority="61">
      <formula>AND(R$9&gt;=8/24,R$9&lt;14/24)</formula>
    </cfRule>
    <cfRule type="expression" dxfId="4092" priority="60">
      <formula>AND(R$9&gt;=14/24,R$9&lt;20/24)</formula>
    </cfRule>
    <cfRule type="expression" dxfId="4091" priority="58">
      <formula>R11&gt;$AG11</formula>
    </cfRule>
    <cfRule type="expression" dxfId="4090" priority="59">
      <formula>R$9&gt;=20/24</formula>
    </cfRule>
  </conditionalFormatting>
  <conditionalFormatting sqref="S8 AB8 M8">
    <cfRule type="expression" dxfId="4089" priority="135">
      <formula>N$9&gt;=20/24</formula>
    </cfRule>
  </conditionalFormatting>
  <conditionalFormatting sqref="S8">
    <cfRule type="expression" dxfId="4088" priority="124">
      <formula>AND(U$9&gt;=8/24,U$9&lt;14/24)</formula>
    </cfRule>
    <cfRule type="expression" dxfId="4087" priority="122">
      <formula>U$9&gt;=20/24</formula>
    </cfRule>
    <cfRule type="expression" dxfId="4086" priority="123">
      <formula>AND(U$9&gt;=14/24,U$9&lt;20/24)</formula>
    </cfRule>
    <cfRule type="expression" dxfId="4085" priority="125">
      <formula>U$9&lt;8/24</formula>
    </cfRule>
  </conditionalFormatting>
  <conditionalFormatting sqref="T63:AF68">
    <cfRule type="expression" dxfId="4084" priority="74">
      <formula>T$9&lt;8/24</formula>
    </cfRule>
    <cfRule type="expression" dxfId="4083" priority="73">
      <formula>AND(T$9&gt;=8/24,T$9&lt;14/24)</formula>
    </cfRule>
    <cfRule type="expression" dxfId="4082" priority="72">
      <formula>AND(T$9&gt;=14/24,T$9&lt;20/24)</formula>
    </cfRule>
    <cfRule type="expression" dxfId="4081" priority="71">
      <formula>T$9&gt;=20/24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4080" priority="121">
      <formula>AD$9&lt;8/24</formula>
    </cfRule>
    <cfRule type="expression" dxfId="4079" priority="120">
      <formula>AND(AD$9&gt;=8/24,AD$9&lt;14/24)</formula>
    </cfRule>
    <cfRule type="expression" dxfId="4078" priority="119">
      <formula>AND(AD$9&gt;=14/24,AD$9&lt;20/24)</formula>
    </cfRule>
    <cfRule type="expression" dxfId="4077" priority="118">
      <formula>AD$9&gt;=20/24</formula>
    </cfRule>
  </conditionalFormatting>
  <conditionalFormatting sqref="AG58">
    <cfRule type="expression" dxfId="4076" priority="113">
      <formula>AG58&gt;$AG58</formula>
    </cfRule>
  </conditionalFormatting>
  <conditionalFormatting sqref="AG62">
    <cfRule type="expression" dxfId="4075" priority="98">
      <formula>AND(AG$9&gt;=8/24,AG$9&lt;14/24)</formula>
    </cfRule>
    <cfRule type="expression" dxfId="4074" priority="99">
      <formula>AG$9&lt;8/24</formula>
    </cfRule>
    <cfRule type="expression" dxfId="4073" priority="96">
      <formula>AG$9&gt;=20/24</formula>
    </cfRule>
    <cfRule type="expression" dxfId="4072" priority="97">
      <formula>AND(AG$9&gt;=14/24,AG$9&lt;20/24)</formula>
    </cfRule>
  </conditionalFormatting>
  <conditionalFormatting sqref="AG75:AG76">
    <cfRule type="expression" dxfId="4071" priority="91">
      <formula>AG75&gt;$AG75</formula>
    </cfRule>
  </conditionalFormatting>
  <conditionalFormatting sqref="AG80">
    <cfRule type="expression" dxfId="4070" priority="94">
      <formula>AND(AG$9&gt;=8/24,AG$9&lt;14/24)</formula>
    </cfRule>
    <cfRule type="expression" dxfId="4069" priority="92">
      <formula>AG$9&gt;=20/24</formula>
    </cfRule>
    <cfRule type="expression" dxfId="4068" priority="93">
      <formula>AND(AG$9&gt;=14/24,AG$9&lt;20/24)</formula>
    </cfRule>
    <cfRule type="expression" dxfId="4067" priority="95">
      <formula>AG$9&lt;8/24</formula>
    </cfRule>
  </conditionalFormatting>
  <conditionalFormatting sqref="AG97">
    <cfRule type="expression" dxfId="4066" priority="117">
      <formula>AG$9&lt;8/24</formula>
    </cfRule>
    <cfRule type="expression" dxfId="4065" priority="116">
      <formula>AND(AG$9&gt;=8/24,AG$9&lt;14/24)</formula>
    </cfRule>
    <cfRule type="expression" dxfId="4064" priority="115">
      <formula>AND(AG$9&gt;=14/24,AG$9&lt;20/24)</formula>
    </cfRule>
    <cfRule type="expression" dxfId="4063" priority="114">
      <formula>AG$9&gt;=20/24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4062" priority="139">
      <formula>AJ$9&gt;=20/24</formula>
    </cfRule>
    <cfRule type="expression" dxfId="4061" priority="140">
      <formula>AND(AJ$9&gt;=14/24,AJ$9&lt;20/24)</formula>
    </cfRule>
    <cfRule type="expression" dxfId="4060" priority="141">
      <formula>AND(AJ$9&gt;=8/24,AJ$9&lt;14/24)</formula>
    </cfRule>
    <cfRule type="expression" dxfId="4059" priority="142">
      <formula>AJ$9&lt;8/24</formula>
    </cfRule>
  </conditionalFormatting>
  <conditionalFormatting sqref="AL88:AN88 AL94:AN94">
    <cfRule type="expression" dxfId="4058" priority="107">
      <formula>AND(AL$9&gt;=14/24,AL$9&lt;20/24)</formula>
    </cfRule>
    <cfRule type="expression" dxfId="4057" priority="106">
      <formula>AL$9&gt;=20/24</formula>
    </cfRule>
    <cfRule type="expression" dxfId="4056" priority="108">
      <formula>AND(AL$9&gt;=8/24,AL$9&lt;14/24)</formula>
    </cfRule>
    <cfRule type="expression" dxfId="4055" priority="109">
      <formula>AL$9&lt;8/24</formula>
    </cfRule>
  </conditionalFormatting>
  <conditionalFormatting sqref="AM15:AM21 AN16:AR21">
    <cfRule type="expression" dxfId="4054" priority="16">
      <formula>AX$9&lt;8/24</formula>
    </cfRule>
    <cfRule type="expression" dxfId="4053" priority="15">
      <formula>AND(AX$9&gt;=8/24,AX$9&lt;14/24)</formula>
    </cfRule>
    <cfRule type="expression" dxfId="4052" priority="14">
      <formula>AND(AX$9&gt;=14/24,AX$9&lt;20/24)</formula>
    </cfRule>
    <cfRule type="expression" dxfId="4051" priority="13">
      <formula>AX$9&gt;=20/24</formula>
    </cfRule>
  </conditionalFormatting>
  <conditionalFormatting sqref="AN89:AN92">
    <cfRule type="expression" dxfId="4050" priority="102">
      <formula>AN$9&gt;=20/24</formula>
    </cfRule>
    <cfRule type="expression" dxfId="4049" priority="103">
      <formula>AND(AN$9&gt;=14/24,AN$9&lt;20/24)</formula>
    </cfRule>
    <cfRule type="expression" dxfId="4048" priority="104">
      <formula>AND(AN$9&gt;=8/24,AN$9&lt;14/24)</formula>
    </cfRule>
    <cfRule type="expression" dxfId="4047" priority="105">
      <formula>AN$9&lt;8/24</formula>
    </cfRule>
  </conditionalFormatting>
  <conditionalFormatting sqref="AN15:AR15">
    <cfRule type="expression" dxfId="4046" priority="2">
      <formula>AND(U$9&gt;=14/24,U$9&lt;20/24)</formula>
    </cfRule>
    <cfRule type="expression" dxfId="4045" priority="3">
      <formula>AND(U$9&gt;=8/24,U$9&lt;14/24)</formula>
    </cfRule>
    <cfRule type="expression" dxfId="4044" priority="4">
      <formula>U$9&lt;8/24</formula>
    </cfRule>
    <cfRule type="expression" dxfId="4043" priority="1">
      <formula>U$9&gt;=20/24</formula>
    </cfRule>
  </conditionalFormatting>
  <conditionalFormatting sqref="AS15">
    <cfRule type="expression" dxfId="4042" priority="10">
      <formula>AND(AA$9&gt;=14/24,AA$9&lt;20/24)</formula>
    </cfRule>
    <cfRule type="expression" dxfId="4041" priority="11">
      <formula>AND(AA$9&gt;=8/24,AA$9&lt;14/24)</formula>
    </cfRule>
    <cfRule type="expression" dxfId="4040" priority="12">
      <formula>AA$9&lt;8/24</formula>
    </cfRule>
    <cfRule type="expression" dxfId="4039" priority="9">
      <formula>AA$9&gt;=20/24</formula>
    </cfRule>
  </conditionalFormatting>
  <conditionalFormatting sqref="AS16:AS21">
    <cfRule type="expression" dxfId="4038" priority="20">
      <formula>BE$9&lt;8/24</formula>
    </cfRule>
    <cfRule type="expression" dxfId="4037" priority="19">
      <formula>AND(BE$9&gt;=8/24,BE$9&lt;14/24)</formula>
    </cfRule>
    <cfRule type="expression" dxfId="4036" priority="18">
      <formula>AND(BE$9&gt;=14/24,BE$9&lt;20/24)</formula>
    </cfRule>
    <cfRule type="expression" dxfId="4035" priority="17">
      <formula>BE$9&gt;=20/24</formula>
    </cfRule>
  </conditionalFormatting>
  <conditionalFormatting sqref="AT15 AX15:BJ15">
    <cfRule type="expression" dxfId="4034" priority="24">
      <formula>AC$9&lt;8/24</formula>
    </cfRule>
    <cfRule type="expression" dxfId="4033" priority="23">
      <formula>AND(AC$9&gt;=8/24,AC$9&lt;14/24)</formula>
    </cfRule>
    <cfRule type="expression" dxfId="4032" priority="22">
      <formula>AND(AC$9&gt;=14/24,AC$9&lt;20/24)</formula>
    </cfRule>
    <cfRule type="expression" dxfId="4031" priority="21">
      <formula>AC$9&gt;=20/24</formula>
    </cfRule>
  </conditionalFormatting>
  <conditionalFormatting sqref="AT16:AT21">
    <cfRule type="expression" dxfId="4030" priority="28">
      <formula>BG$9&lt;8/24</formula>
    </cfRule>
    <cfRule type="expression" dxfId="4029" priority="26">
      <formula>AND(BG$9&gt;=14/24,BG$9&lt;20/24)</formula>
    </cfRule>
    <cfRule type="expression" dxfId="4028" priority="25">
      <formula>BG$9&gt;=20/24</formula>
    </cfRule>
    <cfRule type="expression" dxfId="4027" priority="27">
      <formula>AND(BG$9&gt;=8/24,BG$9&lt;14/24)</formula>
    </cfRule>
  </conditionalFormatting>
  <conditionalFormatting sqref="AU15:AV15">
    <cfRule type="expression" dxfId="4026" priority="30">
      <formula>AND(AE$9&gt;=14/24,AE$9&lt;20/24)</formula>
    </cfRule>
    <cfRule type="expression" dxfId="4025" priority="29">
      <formula>AE$9&gt;=20/24</formula>
    </cfRule>
    <cfRule type="expression" dxfId="4024" priority="32">
      <formula>AE$9&lt;8/24</formula>
    </cfRule>
    <cfRule type="expression" dxfId="4023" priority="31">
      <formula>AND(AE$9&gt;=8/24,AE$9&lt;14/24)</formula>
    </cfRule>
  </conditionalFormatting>
  <conditionalFormatting sqref="AU16:BJ21">
    <cfRule type="expression" dxfId="4022" priority="36">
      <formula>BI$9&lt;8/24</formula>
    </cfRule>
    <cfRule type="expression" dxfId="4021" priority="35">
      <formula>AND(BI$9&gt;=8/24,BI$9&lt;14/24)</formula>
    </cfRule>
    <cfRule type="expression" dxfId="4020" priority="34">
      <formula>AND(BI$9&gt;=14/24,BI$9&lt;20/24)</formula>
    </cfRule>
    <cfRule type="expression" dxfId="4019" priority="33">
      <formula>BI$9&gt;=20/24</formula>
    </cfRule>
  </conditionalFormatting>
  <conditionalFormatting sqref="AW15">
    <cfRule type="expression" dxfId="4018" priority="5">
      <formula>B$9&gt;=20/24</formula>
    </cfRule>
    <cfRule type="expression" dxfId="4017" priority="8">
      <formula>B$9&lt;8/24</formula>
    </cfRule>
    <cfRule type="expression" dxfId="4016" priority="7">
      <formula>AND(B$9&gt;=8/24,B$9&lt;14/24)</formula>
    </cfRule>
    <cfRule type="expression" dxfId="4015" priority="6">
      <formula>AND(B$9&gt;=14/24,B$9&lt;20/24)</formula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FAF6F-45EE-4D38-B1AC-07FE1EA63270}">
  <sheetPr codeName="Sheet4"/>
  <dimension ref="A1:CJ294"/>
  <sheetViews>
    <sheetView zoomScale="106" workbookViewId="0">
      <pane xSplit="1" ySplit="10" topLeftCell="B84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97" sqref="A97:AF10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20.25" hidden="1" x14ac:dyDescent="0.2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9.5" hidden="1" thickBot="1" x14ac:dyDescent="0.3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3">
      <c r="A4" s="162" t="s">
        <v>273</v>
      </c>
      <c r="B4" s="205" t="str">
        <f ca="1">"2080/"&amp;"10/"&amp;INT(MID(CELL("filename",D6),FIND("]",CELL("filename",D6))+1,200))</f>
        <v>2080/10/3</v>
      </c>
      <c r="C4" s="205"/>
      <c r="D4" s="205"/>
      <c r="E4" s="206" t="str">
        <f ca="1">"2080/"&amp;"10/"&amp;INT(MID(CELL("filename",G6),FIND("]",CELL("filename",G6))+1,200))</f>
        <v>2080/10/3</v>
      </c>
      <c r="F4" s="206"/>
      <c r="G4" s="206"/>
      <c r="H4" s="206" t="str">
        <f ca="1">TEXT(E4,"dddd")</f>
        <v>Thursday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3">
      <c r="A5" s="158"/>
      <c r="B5" s="161">
        <f t="shared" ref="B5:AE5" si="0">C92</f>
        <v>299.7</v>
      </c>
      <c r="C5" s="161">
        <f t="shared" si="0"/>
        <v>289.8</v>
      </c>
      <c r="D5" s="161">
        <f t="shared" si="0"/>
        <v>267.89999999999998</v>
      </c>
      <c r="E5" s="161">
        <f t="shared" si="0"/>
        <v>289.3</v>
      </c>
      <c r="F5" s="161">
        <f t="shared" si="0"/>
        <v>289.2</v>
      </c>
      <c r="G5" s="161">
        <f t="shared" si="0"/>
        <v>224.79999999999998</v>
      </c>
      <c r="H5" s="161">
        <f t="shared" si="0"/>
        <v>168.5</v>
      </c>
      <c r="I5" s="161">
        <f t="shared" si="0"/>
        <v>578.09999999999991</v>
      </c>
      <c r="J5" s="161">
        <f t="shared" si="0"/>
        <v>579.1</v>
      </c>
      <c r="K5" s="161">
        <f t="shared" si="0"/>
        <v>611.70000000000005</v>
      </c>
      <c r="L5" s="161">
        <f t="shared" si="0"/>
        <v>674.99999999999989</v>
      </c>
      <c r="M5" s="161">
        <f t="shared" si="0"/>
        <v>684.3</v>
      </c>
      <c r="N5" s="161">
        <f t="shared" si="0"/>
        <v>680.6</v>
      </c>
      <c r="O5" s="161">
        <f t="shared" si="0"/>
        <v>768.5</v>
      </c>
      <c r="P5" s="161">
        <f t="shared" si="0"/>
        <v>715</v>
      </c>
      <c r="Q5" s="161">
        <f t="shared" si="0"/>
        <v>691</v>
      </c>
      <c r="R5" s="161">
        <f t="shared" si="0"/>
        <v>800.5</v>
      </c>
      <c r="S5" s="161">
        <f t="shared" si="0"/>
        <v>855.30000000000007</v>
      </c>
      <c r="T5" s="161">
        <f t="shared" si="0"/>
        <v>808.4</v>
      </c>
      <c r="U5" s="161">
        <f t="shared" si="0"/>
        <v>826.80000000000007</v>
      </c>
      <c r="V5" s="161">
        <f t="shared" si="0"/>
        <v>836.4</v>
      </c>
      <c r="W5" s="161">
        <f t="shared" si="0"/>
        <v>763.2</v>
      </c>
      <c r="X5" s="161">
        <f t="shared" si="0"/>
        <v>331.3</v>
      </c>
      <c r="Y5" s="161">
        <f t="shared" si="0"/>
        <v>262.5</v>
      </c>
      <c r="Z5" s="161">
        <f t="shared" si="0"/>
        <v>294.10000000000002</v>
      </c>
      <c r="AA5" s="161">
        <f t="shared" si="0"/>
        <v>279.89999999999998</v>
      </c>
      <c r="AB5" s="161">
        <f t="shared" si="0"/>
        <v>288.89999999999998</v>
      </c>
      <c r="AC5" s="161">
        <f t="shared" si="0"/>
        <v>321.89999999999998</v>
      </c>
      <c r="AD5" s="161">
        <f t="shared" si="0"/>
        <v>292</v>
      </c>
      <c r="AE5" s="161">
        <f t="shared" si="0"/>
        <v>224</v>
      </c>
      <c r="AF5" s="161">
        <f>B92</f>
        <v>316.90000000000003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3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1663MW at 8:00hr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5" thickBot="1" x14ac:dyDescent="0.3">
      <c r="A7" s="151" t="str">
        <f>"Base Load="&amp;ROUND(MIN($B$7:$AF$7),0)</f>
        <v>Base Load=1291</v>
      </c>
      <c r="B7" s="150">
        <f t="shared" ref="B7:AF7" si="1">B100</f>
        <v>1396.4399999999998</v>
      </c>
      <c r="C7" s="150">
        <f t="shared" si="1"/>
        <v>1356.04</v>
      </c>
      <c r="D7" s="150">
        <f t="shared" si="1"/>
        <v>1342.54</v>
      </c>
      <c r="E7" s="150">
        <f t="shared" si="1"/>
        <v>1291.2399999999998</v>
      </c>
      <c r="F7" s="150">
        <f t="shared" si="1"/>
        <v>1315.54</v>
      </c>
      <c r="G7" s="150">
        <f t="shared" si="1"/>
        <v>1316.84</v>
      </c>
      <c r="H7" s="150">
        <f t="shared" si="1"/>
        <v>1367.4399999999998</v>
      </c>
      <c r="I7" s="150">
        <f t="shared" si="1"/>
        <v>1403.24</v>
      </c>
      <c r="J7" s="150">
        <f t="shared" si="1"/>
        <v>1527.0799999999997</v>
      </c>
      <c r="K7" s="150">
        <f t="shared" si="1"/>
        <v>1516.74</v>
      </c>
      <c r="L7" s="150">
        <f t="shared" si="1"/>
        <v>1606.94</v>
      </c>
      <c r="M7" s="150">
        <f t="shared" si="1"/>
        <v>1662.9399999999998</v>
      </c>
      <c r="N7" s="150">
        <f t="shared" si="1"/>
        <v>1490.2399999999998</v>
      </c>
      <c r="O7" s="150">
        <f t="shared" si="1"/>
        <v>1527.74</v>
      </c>
      <c r="P7" s="150">
        <f t="shared" si="1"/>
        <v>1630.54</v>
      </c>
      <c r="Q7" s="150">
        <f t="shared" si="1"/>
        <v>1548.7399999999998</v>
      </c>
      <c r="R7" s="150">
        <f t="shared" si="1"/>
        <v>1523.2399999999998</v>
      </c>
      <c r="S7" s="150">
        <f t="shared" si="1"/>
        <v>1648.54</v>
      </c>
      <c r="T7" s="150">
        <f t="shared" si="1"/>
        <v>1700.04</v>
      </c>
      <c r="U7" s="150">
        <f t="shared" si="1"/>
        <v>1620.54</v>
      </c>
      <c r="V7" s="150">
        <f t="shared" si="1"/>
        <v>1683.94</v>
      </c>
      <c r="W7" s="150">
        <f t="shared" si="1"/>
        <v>1569.1399999999999</v>
      </c>
      <c r="X7" s="150">
        <f t="shared" si="1"/>
        <v>1466.24</v>
      </c>
      <c r="Y7" s="150">
        <f t="shared" si="1"/>
        <v>1751.9999999999998</v>
      </c>
      <c r="Z7" s="150">
        <f t="shared" si="1"/>
        <v>1836.8</v>
      </c>
      <c r="AA7" s="150">
        <f t="shared" si="1"/>
        <v>1814.54</v>
      </c>
      <c r="AB7" s="150">
        <f t="shared" si="1"/>
        <v>1756.2399999999998</v>
      </c>
      <c r="AC7" s="150">
        <f t="shared" si="1"/>
        <v>1720.3400000000001</v>
      </c>
      <c r="AD7" s="150">
        <f t="shared" si="1"/>
        <v>1666.44</v>
      </c>
      <c r="AE7" s="150">
        <f t="shared" si="1"/>
        <v>1571.54</v>
      </c>
      <c r="AF7" s="150">
        <f t="shared" si="1"/>
        <v>1497.54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7.25" thickTop="1" thickBot="1" x14ac:dyDescent="0.3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1836.8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2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1836.8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.75" thickBot="1" x14ac:dyDescent="0.3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25">
      <c r="A11" s="89" t="s">
        <v>264</v>
      </c>
      <c r="B11" s="102">
        <v>24.5</v>
      </c>
      <c r="C11" s="102">
        <v>23.6</v>
      </c>
      <c r="D11" s="102">
        <v>30.2</v>
      </c>
      <c r="E11" s="102">
        <v>26.2</v>
      </c>
      <c r="F11" s="102">
        <v>25.2</v>
      </c>
      <c r="G11" s="102">
        <v>25.2</v>
      </c>
      <c r="H11" s="102">
        <v>27.3</v>
      </c>
      <c r="I11" s="102">
        <v>27.3</v>
      </c>
      <c r="J11" s="102">
        <v>27.8</v>
      </c>
      <c r="K11" s="102">
        <v>22.3</v>
      </c>
      <c r="L11" s="102">
        <v>25.5</v>
      </c>
      <c r="M11" s="102">
        <v>25.5</v>
      </c>
      <c r="N11" s="102">
        <v>25.5</v>
      </c>
      <c r="O11" s="102">
        <v>25.5</v>
      </c>
      <c r="P11" s="102">
        <v>24.8</v>
      </c>
      <c r="Q11" s="102">
        <v>24.8</v>
      </c>
      <c r="R11" s="102">
        <v>24.8</v>
      </c>
      <c r="S11" s="102">
        <v>24.8</v>
      </c>
      <c r="T11" s="102">
        <v>24.8</v>
      </c>
      <c r="U11" s="102">
        <v>24.8</v>
      </c>
      <c r="V11" s="102">
        <v>24.8</v>
      </c>
      <c r="W11" s="102">
        <v>27.2</v>
      </c>
      <c r="X11" s="102">
        <v>26.5</v>
      </c>
      <c r="Y11" s="102">
        <v>26.5</v>
      </c>
      <c r="Z11" s="102">
        <v>26.5</v>
      </c>
      <c r="AA11" s="102">
        <v>26.5</v>
      </c>
      <c r="AB11" s="102">
        <v>26.5</v>
      </c>
      <c r="AC11" s="102">
        <v>26.5</v>
      </c>
      <c r="AD11" s="102">
        <v>26.5</v>
      </c>
      <c r="AE11" s="102">
        <v>26.5</v>
      </c>
      <c r="AF11" s="102">
        <v>26.5</v>
      </c>
      <c r="AG11" s="140">
        <v>86</v>
      </c>
      <c r="AH11" s="12">
        <f t="shared" ref="AH11:AH16" si="2">MAX(B11:AF11)</f>
        <v>30.2</v>
      </c>
      <c r="AI11" s="11">
        <f t="shared" ref="AI11:AI16" si="3">MIN(B11:AF11)</f>
        <v>22.3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25">
      <c r="A12" s="89" t="s">
        <v>263</v>
      </c>
      <c r="B12" s="102">
        <v>10</v>
      </c>
      <c r="C12" s="102">
        <v>10</v>
      </c>
      <c r="D12" s="102">
        <v>10</v>
      </c>
      <c r="E12" s="102">
        <v>10</v>
      </c>
      <c r="F12" s="102">
        <v>10</v>
      </c>
      <c r="G12" s="102">
        <v>10</v>
      </c>
      <c r="H12" s="102">
        <v>10</v>
      </c>
      <c r="I12" s="102">
        <v>10</v>
      </c>
      <c r="J12" s="102">
        <v>10</v>
      </c>
      <c r="K12" s="102">
        <v>10</v>
      </c>
      <c r="L12" s="102">
        <v>10</v>
      </c>
      <c r="M12" s="102">
        <v>10</v>
      </c>
      <c r="N12" s="102">
        <v>10</v>
      </c>
      <c r="O12" s="102">
        <v>10</v>
      </c>
      <c r="P12" s="102">
        <v>10</v>
      </c>
      <c r="Q12" s="102">
        <v>10</v>
      </c>
      <c r="R12" s="102">
        <v>10</v>
      </c>
      <c r="S12" s="102">
        <v>10</v>
      </c>
      <c r="T12" s="102">
        <v>10</v>
      </c>
      <c r="U12" s="102">
        <v>10</v>
      </c>
      <c r="V12" s="102">
        <v>10</v>
      </c>
      <c r="W12" s="102">
        <v>10</v>
      </c>
      <c r="X12" s="102">
        <v>10</v>
      </c>
      <c r="Y12" s="102">
        <v>10</v>
      </c>
      <c r="Z12" s="102">
        <v>10</v>
      </c>
      <c r="AA12" s="102">
        <v>10</v>
      </c>
      <c r="AB12" s="102">
        <v>10</v>
      </c>
      <c r="AC12" s="102">
        <v>10</v>
      </c>
      <c r="AD12" s="102">
        <v>10</v>
      </c>
      <c r="AE12" s="102">
        <v>10</v>
      </c>
      <c r="AF12" s="102">
        <v>10</v>
      </c>
      <c r="AG12" s="130">
        <v>54</v>
      </c>
      <c r="AH12" s="12">
        <f t="shared" si="2"/>
        <v>10</v>
      </c>
      <c r="AI12" s="11">
        <f t="shared" si="3"/>
        <v>10</v>
      </c>
      <c r="AK12" s="19"/>
      <c r="AL12" s="6" t="str">
        <f ca="1">MID(CELL("filename",C7),FIND("]",CELL("filename",C7))+1,600)</f>
        <v>03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25">
      <c r="A13" s="89" t="s">
        <v>262</v>
      </c>
      <c r="B13" s="102">
        <v>12.4</v>
      </c>
      <c r="C13" s="102">
        <v>12.4</v>
      </c>
      <c r="D13" s="102">
        <v>11.1</v>
      </c>
      <c r="E13" s="102">
        <v>11.1</v>
      </c>
      <c r="F13" s="102">
        <v>11.1</v>
      </c>
      <c r="G13" s="102">
        <v>11.1</v>
      </c>
      <c r="H13" s="102">
        <v>11.1</v>
      </c>
      <c r="I13" s="102">
        <v>11.1</v>
      </c>
      <c r="J13" s="102">
        <v>11.1</v>
      </c>
      <c r="K13" s="102">
        <v>11.1</v>
      </c>
      <c r="L13" s="102">
        <v>11.1</v>
      </c>
      <c r="M13" s="102">
        <v>11.1</v>
      </c>
      <c r="N13" s="102">
        <v>11.1</v>
      </c>
      <c r="O13" s="102">
        <v>11.1</v>
      </c>
      <c r="P13" s="102">
        <v>11.1</v>
      </c>
      <c r="Q13" s="102">
        <v>11.1</v>
      </c>
      <c r="R13" s="102">
        <v>11.1</v>
      </c>
      <c r="S13" s="102">
        <v>11.1</v>
      </c>
      <c r="T13" s="102">
        <v>11.1</v>
      </c>
      <c r="U13" s="102">
        <v>11.1</v>
      </c>
      <c r="V13" s="102">
        <v>11.1</v>
      </c>
      <c r="W13" s="102">
        <v>11.5</v>
      </c>
      <c r="X13" s="102">
        <v>11.5</v>
      </c>
      <c r="Y13" s="102">
        <v>11.5</v>
      </c>
      <c r="Z13" s="102">
        <v>11.5</v>
      </c>
      <c r="AA13" s="102">
        <v>11.5</v>
      </c>
      <c r="AB13" s="102">
        <v>11.5</v>
      </c>
      <c r="AC13" s="102">
        <v>11.5</v>
      </c>
      <c r="AD13" s="102">
        <v>11.5</v>
      </c>
      <c r="AE13" s="102">
        <v>11.5</v>
      </c>
      <c r="AF13" s="102">
        <v>11.5</v>
      </c>
      <c r="AG13" s="130">
        <v>54</v>
      </c>
      <c r="AH13" s="12">
        <f t="shared" si="2"/>
        <v>12.4</v>
      </c>
      <c r="AI13" s="11">
        <f t="shared" si="3"/>
        <v>11.1</v>
      </c>
      <c r="AK13" s="19"/>
      <c r="AL13" s="6" t="str">
        <f ca="1">"Daily Load Curve(Excluding of Export) of Nepal ("&amp;A4&amp;" "&amp;B4&amp;")"</f>
        <v>Daily Load Curve(Excluding of Export) of Nepal (Nepali Date: 2080/10/3)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.75" thickBot="1" x14ac:dyDescent="0.3">
      <c r="A14" s="89" t="s">
        <v>261</v>
      </c>
      <c r="B14" s="102">
        <v>12.2</v>
      </c>
      <c r="C14" s="102">
        <v>12.2</v>
      </c>
      <c r="D14" s="102">
        <v>12.2</v>
      </c>
      <c r="E14" s="102">
        <v>12.2</v>
      </c>
      <c r="F14" s="102">
        <v>12.2</v>
      </c>
      <c r="G14" s="102">
        <v>12.2</v>
      </c>
      <c r="H14" s="102">
        <v>12.2</v>
      </c>
      <c r="I14" s="102">
        <v>12.2</v>
      </c>
      <c r="J14" s="102">
        <v>12.2</v>
      </c>
      <c r="K14" s="102">
        <v>12.2</v>
      </c>
      <c r="L14" s="102">
        <v>12.2</v>
      </c>
      <c r="M14" s="102">
        <v>12.2</v>
      </c>
      <c r="N14" s="102">
        <v>12.2</v>
      </c>
      <c r="O14" s="102">
        <v>12.2</v>
      </c>
      <c r="P14" s="102">
        <v>12.2</v>
      </c>
      <c r="Q14" s="102">
        <v>12.2</v>
      </c>
      <c r="R14" s="102">
        <v>12.2</v>
      </c>
      <c r="S14" s="102">
        <v>12.2</v>
      </c>
      <c r="T14" s="102">
        <v>12.2</v>
      </c>
      <c r="U14" s="102">
        <v>12.2</v>
      </c>
      <c r="V14" s="102">
        <v>12.2</v>
      </c>
      <c r="W14" s="102">
        <v>12.3</v>
      </c>
      <c r="X14" s="102">
        <v>13.2</v>
      </c>
      <c r="Y14" s="102">
        <v>13.2</v>
      </c>
      <c r="Z14" s="102">
        <v>13.2</v>
      </c>
      <c r="AA14" s="102">
        <v>13.2</v>
      </c>
      <c r="AB14" s="102">
        <v>13.2</v>
      </c>
      <c r="AC14" s="102">
        <v>13.2</v>
      </c>
      <c r="AD14" s="102">
        <v>13.2</v>
      </c>
      <c r="AE14" s="102">
        <v>13.2</v>
      </c>
      <c r="AF14" s="102">
        <v>13.2</v>
      </c>
      <c r="AG14" s="140">
        <v>52.4</v>
      </c>
      <c r="AH14" s="12">
        <f t="shared" si="2"/>
        <v>13.2</v>
      </c>
      <c r="AI14" s="11">
        <f t="shared" si="3"/>
        <v>12.2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.75" thickTop="1" x14ac:dyDescent="0.25">
      <c r="A15" s="89" t="s">
        <v>260</v>
      </c>
      <c r="B15" s="102">
        <v>33.700000000000003</v>
      </c>
      <c r="C15" s="102">
        <v>33.299999999999997</v>
      </c>
      <c r="D15" s="102">
        <v>33.299999999999997</v>
      </c>
      <c r="E15" s="102">
        <v>33.299999999999997</v>
      </c>
      <c r="F15" s="102">
        <v>33.299999999999997</v>
      </c>
      <c r="G15" s="102">
        <v>33.299999999999997</v>
      </c>
      <c r="H15" s="102">
        <v>33.299999999999997</v>
      </c>
      <c r="I15" s="102">
        <v>33.299999999999997</v>
      </c>
      <c r="J15" s="102">
        <v>33.299999999999997</v>
      </c>
      <c r="K15" s="102">
        <v>33.299999999999997</v>
      </c>
      <c r="L15" s="102">
        <v>33.299999999999997</v>
      </c>
      <c r="M15" s="102">
        <v>33.299999999999997</v>
      </c>
      <c r="N15" s="102">
        <v>33.299999999999997</v>
      </c>
      <c r="O15" s="102">
        <v>33.299999999999997</v>
      </c>
      <c r="P15" s="102">
        <v>33.299999999999997</v>
      </c>
      <c r="Q15" s="102">
        <v>33.299999999999997</v>
      </c>
      <c r="R15" s="102">
        <v>33.299999999999997</v>
      </c>
      <c r="S15" s="102">
        <v>33.299999999999997</v>
      </c>
      <c r="T15" s="102">
        <v>33.299999999999997</v>
      </c>
      <c r="U15" s="102">
        <v>33.299999999999997</v>
      </c>
      <c r="V15" s="102">
        <v>33.299999999999997</v>
      </c>
      <c r="W15" s="123">
        <v>35</v>
      </c>
      <c r="X15" s="123">
        <v>34.299999999999997</v>
      </c>
      <c r="Y15" s="123">
        <v>34.299999999999997</v>
      </c>
      <c r="Z15" s="123">
        <v>34.299999999999997</v>
      </c>
      <c r="AA15" s="123">
        <v>34.299999999999997</v>
      </c>
      <c r="AB15" s="123">
        <v>34.299999999999997</v>
      </c>
      <c r="AC15" s="123">
        <v>34.299999999999997</v>
      </c>
      <c r="AD15" s="123">
        <v>34.299999999999997</v>
      </c>
      <c r="AE15" s="123">
        <v>34.299999999999997</v>
      </c>
      <c r="AF15" s="123">
        <v>34.299999999999997</v>
      </c>
      <c r="AG15" s="130">
        <v>50</v>
      </c>
      <c r="AH15" s="12">
        <f t="shared" si="2"/>
        <v>35</v>
      </c>
      <c r="AI15" s="11">
        <f t="shared" si="3"/>
        <v>33.299999999999997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25">
      <c r="A16" s="89" t="s">
        <v>258</v>
      </c>
      <c r="B16" s="102">
        <v>15.1</v>
      </c>
      <c r="C16" s="102">
        <v>15.1</v>
      </c>
      <c r="D16" s="102">
        <v>15.1</v>
      </c>
      <c r="E16" s="102">
        <v>15.1</v>
      </c>
      <c r="F16" s="102">
        <v>15.1</v>
      </c>
      <c r="G16" s="102">
        <v>15.1</v>
      </c>
      <c r="H16" s="102">
        <v>15.1</v>
      </c>
      <c r="I16" s="102">
        <v>15.1</v>
      </c>
      <c r="J16" s="102">
        <v>15.1</v>
      </c>
      <c r="K16" s="102">
        <v>15.1</v>
      </c>
      <c r="L16" s="102">
        <v>15.1</v>
      </c>
      <c r="M16" s="102">
        <v>15.1</v>
      </c>
      <c r="N16" s="102">
        <v>15.1</v>
      </c>
      <c r="O16" s="102">
        <v>15.1</v>
      </c>
      <c r="P16" s="102">
        <v>15.1</v>
      </c>
      <c r="Q16" s="102">
        <v>15.1</v>
      </c>
      <c r="R16" s="102">
        <v>15.1</v>
      </c>
      <c r="S16" s="102">
        <v>15.1</v>
      </c>
      <c r="T16" s="102">
        <v>15.1</v>
      </c>
      <c r="U16" s="102">
        <v>15.1</v>
      </c>
      <c r="V16" s="102">
        <v>15.1</v>
      </c>
      <c r="W16" s="102">
        <v>15.1</v>
      </c>
      <c r="X16" s="102">
        <v>15.1</v>
      </c>
      <c r="Y16" s="102">
        <v>15.1</v>
      </c>
      <c r="Z16" s="102">
        <v>15.1</v>
      </c>
      <c r="AA16" s="102">
        <v>15.1</v>
      </c>
      <c r="AB16" s="102">
        <v>15.1</v>
      </c>
      <c r="AC16" s="102">
        <v>15.1</v>
      </c>
      <c r="AD16" s="102">
        <v>15.1</v>
      </c>
      <c r="AE16" s="102">
        <v>15.1</v>
      </c>
      <c r="AF16" s="102">
        <v>15.1</v>
      </c>
      <c r="AG16" s="130">
        <v>45</v>
      </c>
      <c r="AH16" s="12">
        <f t="shared" si="2"/>
        <v>15.1</v>
      </c>
      <c r="AI16" s="11">
        <f t="shared" si="3"/>
        <v>15.1</v>
      </c>
      <c r="AK16" s="19"/>
      <c r="AL16" s="135" t="s">
        <v>7</v>
      </c>
      <c r="AM16" s="134">
        <f t="shared" ref="AM16:AR16" si="4">B58</f>
        <v>483.09999999999991</v>
      </c>
      <c r="AN16" s="134">
        <f t="shared" si="4"/>
        <v>481.99999999999994</v>
      </c>
      <c r="AO16" s="134">
        <f t="shared" si="4"/>
        <v>488.09999999999991</v>
      </c>
      <c r="AP16" s="134">
        <f t="shared" si="4"/>
        <v>484.09999999999991</v>
      </c>
      <c r="AQ16" s="134">
        <f t="shared" si="4"/>
        <v>483.09999999999991</v>
      </c>
      <c r="AR16" s="134">
        <f t="shared" si="4"/>
        <v>483.09999999999991</v>
      </c>
      <c r="AS16" s="134">
        <f>I58</f>
        <v>485.19999999999993</v>
      </c>
      <c r="AT16" s="134">
        <f>K58</f>
        <v>480.2</v>
      </c>
      <c r="AU16" s="134">
        <f t="shared" ref="AU16:BD16" si="5">M58</f>
        <v>483.4</v>
      </c>
      <c r="AV16" s="134">
        <f t="shared" si="5"/>
        <v>483.4</v>
      </c>
      <c r="AW16" s="134">
        <f t="shared" si="5"/>
        <v>483.4</v>
      </c>
      <c r="AX16" s="134">
        <f t="shared" si="5"/>
        <v>482.69999999999993</v>
      </c>
      <c r="AY16" s="134">
        <f t="shared" si="5"/>
        <v>482.69999999999993</v>
      </c>
      <c r="AZ16" s="134">
        <f t="shared" si="5"/>
        <v>456.69999999999993</v>
      </c>
      <c r="BA16" s="134">
        <f t="shared" si="5"/>
        <v>456.69999999999993</v>
      </c>
      <c r="BB16" s="134">
        <f t="shared" si="5"/>
        <v>466.29999999999995</v>
      </c>
      <c r="BC16" s="134">
        <f t="shared" si="5"/>
        <v>466.29999999999995</v>
      </c>
      <c r="BD16" s="134">
        <f t="shared" si="5"/>
        <v>466.29999999999995</v>
      </c>
      <c r="BE16" s="133">
        <f>X58</f>
        <v>469.2</v>
      </c>
      <c r="BF16" s="133">
        <f>Z58</f>
        <v>469.2</v>
      </c>
      <c r="BG16" s="133">
        <f>AB58</f>
        <v>469.2</v>
      </c>
      <c r="BH16" s="133">
        <f>AD58</f>
        <v>469.2</v>
      </c>
      <c r="BI16" s="133">
        <f>AE58</f>
        <v>469.2</v>
      </c>
      <c r="BJ16" s="133">
        <f>AF58</f>
        <v>469.2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25">
      <c r="A17" s="89" t="s">
        <v>257</v>
      </c>
      <c r="B17" s="102">
        <v>12</v>
      </c>
      <c r="C17" s="102">
        <v>12</v>
      </c>
      <c r="D17" s="102">
        <v>12</v>
      </c>
      <c r="E17" s="102">
        <v>12</v>
      </c>
      <c r="F17" s="102">
        <v>12</v>
      </c>
      <c r="G17" s="102">
        <v>12</v>
      </c>
      <c r="H17" s="102">
        <v>12</v>
      </c>
      <c r="I17" s="102">
        <v>12</v>
      </c>
      <c r="J17" s="102">
        <v>12</v>
      </c>
      <c r="K17" s="102">
        <v>12</v>
      </c>
      <c r="L17" s="102">
        <v>12</v>
      </c>
      <c r="M17" s="102">
        <v>12</v>
      </c>
      <c r="N17" s="102">
        <v>12</v>
      </c>
      <c r="O17" s="102">
        <v>12</v>
      </c>
      <c r="P17" s="102">
        <v>12</v>
      </c>
      <c r="Q17" s="102">
        <v>12</v>
      </c>
      <c r="R17" s="102">
        <v>12</v>
      </c>
      <c r="S17" s="102">
        <v>12</v>
      </c>
      <c r="T17" s="102">
        <v>12</v>
      </c>
      <c r="U17" s="102">
        <v>12</v>
      </c>
      <c r="V17" s="102">
        <v>12</v>
      </c>
      <c r="W17" s="102">
        <v>12</v>
      </c>
      <c r="X17" s="102">
        <v>12</v>
      </c>
      <c r="Y17" s="102">
        <v>12</v>
      </c>
      <c r="Z17" s="102">
        <v>12</v>
      </c>
      <c r="AA17" s="102">
        <v>12</v>
      </c>
      <c r="AB17" s="102">
        <v>12</v>
      </c>
      <c r="AC17" s="102">
        <v>12</v>
      </c>
      <c r="AD17" s="102">
        <v>12</v>
      </c>
      <c r="AE17" s="102">
        <v>12</v>
      </c>
      <c r="AF17" s="102">
        <v>12</v>
      </c>
      <c r="AG17" s="130">
        <v>44</v>
      </c>
      <c r="AH17" s="12">
        <f>MAX(B17:AG17)</f>
        <v>44</v>
      </c>
      <c r="AI17" s="11">
        <f>MIN(B17:AG17)</f>
        <v>12</v>
      </c>
      <c r="AK17" s="19"/>
      <c r="AL17" s="135" t="s">
        <v>256</v>
      </c>
      <c r="AM17" s="134">
        <f t="shared" ref="AM17:AR17" si="6">B62</f>
        <v>97.8</v>
      </c>
      <c r="AN17" s="134">
        <f t="shared" si="6"/>
        <v>99.3</v>
      </c>
      <c r="AO17" s="134">
        <f t="shared" si="6"/>
        <v>99.5</v>
      </c>
      <c r="AP17" s="134">
        <f t="shared" si="6"/>
        <v>99.5</v>
      </c>
      <c r="AQ17" s="134">
        <f t="shared" si="6"/>
        <v>99.4</v>
      </c>
      <c r="AR17" s="134">
        <f t="shared" si="6"/>
        <v>99.4</v>
      </c>
      <c r="AS17" s="134">
        <f>I62</f>
        <v>191.1</v>
      </c>
      <c r="AT17" s="134">
        <f>K62</f>
        <v>38.5</v>
      </c>
      <c r="AU17" s="134">
        <f t="shared" ref="AU17:BD17" si="7">M62</f>
        <v>38.5</v>
      </c>
      <c r="AV17" s="134">
        <f t="shared" si="7"/>
        <v>38.5</v>
      </c>
      <c r="AW17" s="134">
        <f t="shared" si="7"/>
        <v>34.700000000000003</v>
      </c>
      <c r="AX17" s="134">
        <f t="shared" si="7"/>
        <v>41.4</v>
      </c>
      <c r="AY17" s="134">
        <f t="shared" si="7"/>
        <v>41.4</v>
      </c>
      <c r="AZ17" s="134">
        <f t="shared" si="7"/>
        <v>41.4</v>
      </c>
      <c r="BA17" s="134">
        <f t="shared" si="7"/>
        <v>36.200000000000003</v>
      </c>
      <c r="BB17" s="134">
        <f t="shared" si="7"/>
        <v>34.5</v>
      </c>
      <c r="BC17" s="134">
        <f t="shared" si="7"/>
        <v>35.1</v>
      </c>
      <c r="BD17" s="134">
        <f t="shared" si="7"/>
        <v>33.5</v>
      </c>
      <c r="BE17" s="133">
        <f>X62</f>
        <v>34.1</v>
      </c>
      <c r="BF17" s="133">
        <f>Z62</f>
        <v>400.09999999999997</v>
      </c>
      <c r="BG17" s="133">
        <f>AB62</f>
        <v>322.8</v>
      </c>
      <c r="BH17" s="133">
        <f>AD62</f>
        <v>298.8</v>
      </c>
      <c r="BI17" s="133">
        <f>AE62</f>
        <v>298.8</v>
      </c>
      <c r="BJ17" s="133">
        <f>AF62</f>
        <v>298.8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25">
      <c r="A18" s="89" t="s">
        <v>255</v>
      </c>
      <c r="B18" s="102">
        <v>9.5</v>
      </c>
      <c r="C18" s="102">
        <v>9.5</v>
      </c>
      <c r="D18" s="102">
        <v>9.5</v>
      </c>
      <c r="E18" s="102">
        <v>9.5</v>
      </c>
      <c r="F18" s="102">
        <v>9.5</v>
      </c>
      <c r="G18" s="102">
        <v>9.5</v>
      </c>
      <c r="H18" s="102">
        <v>9.5</v>
      </c>
      <c r="I18" s="102">
        <v>9.5</v>
      </c>
      <c r="J18" s="102">
        <v>9.5</v>
      </c>
      <c r="K18" s="102">
        <v>9.5</v>
      </c>
      <c r="L18" s="102">
        <v>9.5</v>
      </c>
      <c r="M18" s="102">
        <v>9.5</v>
      </c>
      <c r="N18" s="102">
        <v>9.5</v>
      </c>
      <c r="O18" s="102">
        <v>9.5</v>
      </c>
      <c r="P18" s="102">
        <v>9.5</v>
      </c>
      <c r="Q18" s="102">
        <v>9.5</v>
      </c>
      <c r="R18" s="102">
        <v>9.5</v>
      </c>
      <c r="S18" s="102">
        <v>9.5</v>
      </c>
      <c r="T18" s="102">
        <v>9.5</v>
      </c>
      <c r="U18" s="102">
        <v>9.5</v>
      </c>
      <c r="V18" s="102">
        <v>9.5</v>
      </c>
      <c r="W18" s="102">
        <v>9.5</v>
      </c>
      <c r="X18" s="102">
        <v>8.5</v>
      </c>
      <c r="Y18" s="102">
        <v>8.5</v>
      </c>
      <c r="Z18" s="102">
        <v>8.5</v>
      </c>
      <c r="AA18" s="102">
        <v>8.5</v>
      </c>
      <c r="AB18" s="102">
        <v>8.5</v>
      </c>
      <c r="AC18" s="102">
        <v>8.5</v>
      </c>
      <c r="AD18" s="102">
        <v>8.5</v>
      </c>
      <c r="AE18" s="102">
        <v>8.5</v>
      </c>
      <c r="AF18" s="102">
        <v>8.5</v>
      </c>
      <c r="AG18" s="130">
        <v>42</v>
      </c>
      <c r="AH18" s="12">
        <f t="shared" ref="AH18:AH49" si="8">MAX(B18:AF18)</f>
        <v>9.5</v>
      </c>
      <c r="AI18" s="11">
        <f t="shared" ref="AI18:AI49" si="9">MIN(B18:AF18)</f>
        <v>8.5</v>
      </c>
      <c r="AK18" s="19"/>
      <c r="AL18" s="135" t="s">
        <v>254</v>
      </c>
      <c r="AM18" s="134">
        <f t="shared" ref="AM18:AR18" si="10">B76</f>
        <v>201.03999999999996</v>
      </c>
      <c r="AN18" s="134">
        <f t="shared" si="10"/>
        <v>177.44</v>
      </c>
      <c r="AO18" s="134">
        <f t="shared" si="10"/>
        <v>167.53999999999996</v>
      </c>
      <c r="AP18" s="134">
        <f t="shared" si="10"/>
        <v>143.43999999999997</v>
      </c>
      <c r="AQ18" s="134">
        <f t="shared" si="10"/>
        <v>146.23999999999998</v>
      </c>
      <c r="AR18" s="134">
        <f t="shared" si="10"/>
        <v>147.33999999999997</v>
      </c>
      <c r="AS18" s="134">
        <f>I76</f>
        <v>261.04000000000008</v>
      </c>
      <c r="AT18" s="134">
        <f>K76</f>
        <v>262.53999999999996</v>
      </c>
      <c r="AU18" s="134">
        <f t="shared" ref="AU18:BD18" si="11">M76</f>
        <v>309.03999999999996</v>
      </c>
      <c r="AV18" s="134">
        <f t="shared" si="11"/>
        <v>234.63999999999996</v>
      </c>
      <c r="AW18" s="134">
        <f t="shared" si="11"/>
        <v>279.64</v>
      </c>
      <c r="AX18" s="134">
        <f t="shared" si="11"/>
        <v>288.54000000000002</v>
      </c>
      <c r="AY18" s="134">
        <f t="shared" si="11"/>
        <v>217.64</v>
      </c>
      <c r="AZ18" s="134">
        <f t="shared" si="11"/>
        <v>242.14</v>
      </c>
      <c r="BA18" s="134">
        <f t="shared" si="11"/>
        <v>257.94</v>
      </c>
      <c r="BB18" s="134">
        <f t="shared" si="11"/>
        <v>246.43999999999994</v>
      </c>
      <c r="BC18" s="134">
        <f t="shared" si="11"/>
        <v>213.43999999999997</v>
      </c>
      <c r="BD18" s="134">
        <f t="shared" si="11"/>
        <v>160.03999999999996</v>
      </c>
      <c r="BE18" s="133">
        <f>X76</f>
        <v>125.24000000000001</v>
      </c>
      <c r="BF18" s="133">
        <f>Z76</f>
        <v>316.7</v>
      </c>
      <c r="BG18" s="133">
        <f>AB76</f>
        <v>296.44</v>
      </c>
      <c r="BH18" s="133">
        <f>AD76</f>
        <v>259.54000000000008</v>
      </c>
      <c r="BI18" s="133">
        <f>AE76</f>
        <v>205.54000000000002</v>
      </c>
      <c r="BJ18" s="133">
        <f>AF76</f>
        <v>195.54000000000002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25">
      <c r="A19" s="89" t="s">
        <v>253</v>
      </c>
      <c r="B19" s="102">
        <v>14.6</v>
      </c>
      <c r="C19" s="102">
        <v>14.6</v>
      </c>
      <c r="D19" s="102">
        <v>14.6</v>
      </c>
      <c r="E19" s="102">
        <v>14.6</v>
      </c>
      <c r="F19" s="102">
        <v>14.6</v>
      </c>
      <c r="G19" s="102">
        <v>14.6</v>
      </c>
      <c r="H19" s="102">
        <v>14.6</v>
      </c>
      <c r="I19" s="102">
        <v>14.6</v>
      </c>
      <c r="J19" s="102">
        <v>14.6</v>
      </c>
      <c r="K19" s="102">
        <v>14.6</v>
      </c>
      <c r="L19" s="102">
        <v>14.6</v>
      </c>
      <c r="M19" s="102">
        <v>14.6</v>
      </c>
      <c r="N19" s="102">
        <v>14.6</v>
      </c>
      <c r="O19" s="102">
        <v>14.6</v>
      </c>
      <c r="P19" s="102">
        <v>14.6</v>
      </c>
      <c r="Q19" s="102">
        <v>14.6</v>
      </c>
      <c r="R19" s="102">
        <v>14.6</v>
      </c>
      <c r="S19" s="102">
        <v>14.6</v>
      </c>
      <c r="T19" s="102">
        <v>14.6</v>
      </c>
      <c r="U19" s="102">
        <v>14.6</v>
      </c>
      <c r="V19" s="102">
        <v>14.6</v>
      </c>
      <c r="W19" s="102">
        <v>14.6</v>
      </c>
      <c r="X19" s="102">
        <v>14.4</v>
      </c>
      <c r="Y19" s="102">
        <v>14.4</v>
      </c>
      <c r="Z19" s="102">
        <v>14.4</v>
      </c>
      <c r="AA19" s="102">
        <v>14.4</v>
      </c>
      <c r="AB19" s="102">
        <v>14.4</v>
      </c>
      <c r="AC19" s="102">
        <v>14.4</v>
      </c>
      <c r="AD19" s="102">
        <v>14.4</v>
      </c>
      <c r="AE19" s="102">
        <v>14.4</v>
      </c>
      <c r="AF19" s="102">
        <v>14.4</v>
      </c>
      <c r="AG19" s="130">
        <v>38.46</v>
      </c>
      <c r="AH19" s="12">
        <f t="shared" si="8"/>
        <v>14.6</v>
      </c>
      <c r="AI19" s="11">
        <f t="shared" si="9"/>
        <v>14.4</v>
      </c>
      <c r="AK19" s="19"/>
      <c r="AL19" s="135" t="s">
        <v>252</v>
      </c>
      <c r="AM19" s="134">
        <f t="shared" ref="AM19:AR19" si="12">B92</f>
        <v>316.90000000000003</v>
      </c>
      <c r="AN19" s="134">
        <f t="shared" si="12"/>
        <v>299.7</v>
      </c>
      <c r="AO19" s="134">
        <f t="shared" si="12"/>
        <v>289.8</v>
      </c>
      <c r="AP19" s="134">
        <f t="shared" si="12"/>
        <v>267.89999999999998</v>
      </c>
      <c r="AQ19" s="134">
        <f t="shared" si="12"/>
        <v>289.3</v>
      </c>
      <c r="AR19" s="134">
        <f t="shared" si="12"/>
        <v>289.2</v>
      </c>
      <c r="AS19" s="134">
        <f>I92</f>
        <v>168.5</v>
      </c>
      <c r="AT19" s="134">
        <f>K92</f>
        <v>579.1</v>
      </c>
      <c r="AU19" s="134">
        <f t="shared" ref="AU19:BD19" si="13">M92</f>
        <v>674.99999999999989</v>
      </c>
      <c r="AV19" s="134">
        <f t="shared" si="13"/>
        <v>684.3</v>
      </c>
      <c r="AW19" s="134">
        <f t="shared" si="13"/>
        <v>680.6</v>
      </c>
      <c r="AX19" s="134">
        <f t="shared" si="13"/>
        <v>768.5</v>
      </c>
      <c r="AY19" s="134">
        <f t="shared" si="13"/>
        <v>715</v>
      </c>
      <c r="AZ19" s="134">
        <f t="shared" si="13"/>
        <v>691</v>
      </c>
      <c r="BA19" s="134">
        <f t="shared" si="13"/>
        <v>800.5</v>
      </c>
      <c r="BB19" s="134">
        <f t="shared" si="13"/>
        <v>855.30000000000007</v>
      </c>
      <c r="BC19" s="134">
        <f t="shared" si="13"/>
        <v>808.4</v>
      </c>
      <c r="BD19" s="134">
        <f t="shared" si="13"/>
        <v>826.80000000000007</v>
      </c>
      <c r="BE19" s="133">
        <f>X92</f>
        <v>763.2</v>
      </c>
      <c r="BF19" s="133">
        <f>Z92</f>
        <v>262.5</v>
      </c>
      <c r="BG19" s="133">
        <f>AB92</f>
        <v>279.89999999999998</v>
      </c>
      <c r="BH19" s="133">
        <f>AD92</f>
        <v>321.89999999999998</v>
      </c>
      <c r="BI19" s="133">
        <f>AE92</f>
        <v>292</v>
      </c>
      <c r="BJ19" s="133">
        <f>AF92</f>
        <v>224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25">
      <c r="A20" s="89" t="s">
        <v>251</v>
      </c>
      <c r="B20" s="102">
        <v>11.8</v>
      </c>
      <c r="C20" s="102">
        <v>11.8</v>
      </c>
      <c r="D20" s="102">
        <v>11.8</v>
      </c>
      <c r="E20" s="102">
        <v>11.8</v>
      </c>
      <c r="F20" s="102">
        <v>11.8</v>
      </c>
      <c r="G20" s="102">
        <v>11.8</v>
      </c>
      <c r="H20" s="102">
        <v>11.8</v>
      </c>
      <c r="I20" s="102">
        <v>11.8</v>
      </c>
      <c r="J20" s="102">
        <v>11.8</v>
      </c>
      <c r="K20" s="102">
        <v>11.8</v>
      </c>
      <c r="L20" s="102">
        <v>11.8</v>
      </c>
      <c r="M20" s="102">
        <v>11.8</v>
      </c>
      <c r="N20" s="102">
        <v>11.8</v>
      </c>
      <c r="O20" s="102">
        <v>11.8</v>
      </c>
      <c r="P20" s="102">
        <v>11.8</v>
      </c>
      <c r="Q20" s="102">
        <v>11.8</v>
      </c>
      <c r="R20" s="102">
        <v>0</v>
      </c>
      <c r="S20" s="102">
        <v>0</v>
      </c>
      <c r="T20" s="102">
        <v>9.6</v>
      </c>
      <c r="U20" s="102">
        <v>9.6</v>
      </c>
      <c r="V20" s="102">
        <v>9.6</v>
      </c>
      <c r="W20" s="102">
        <v>9.6</v>
      </c>
      <c r="X20" s="102">
        <v>9.6</v>
      </c>
      <c r="Y20" s="102">
        <v>9.6</v>
      </c>
      <c r="Z20" s="102">
        <v>9.6</v>
      </c>
      <c r="AA20" s="102">
        <v>9.6</v>
      </c>
      <c r="AB20" s="102">
        <v>9.6</v>
      </c>
      <c r="AC20" s="102">
        <v>9.6</v>
      </c>
      <c r="AD20" s="102">
        <v>9.6</v>
      </c>
      <c r="AE20" s="102">
        <v>9.6</v>
      </c>
      <c r="AF20" s="102">
        <v>9.6</v>
      </c>
      <c r="AG20" s="130">
        <v>38.46</v>
      </c>
      <c r="AH20" s="12">
        <f t="shared" si="8"/>
        <v>11.8</v>
      </c>
      <c r="AI20" s="11">
        <f t="shared" si="9"/>
        <v>0</v>
      </c>
      <c r="AK20" s="19"/>
      <c r="AL20" s="135" t="s">
        <v>250</v>
      </c>
      <c r="AM20" s="134">
        <f t="shared" ref="AM20:AR20" si="14">B80</f>
        <v>97.6</v>
      </c>
      <c r="AN20" s="134">
        <f t="shared" si="14"/>
        <v>97.6</v>
      </c>
      <c r="AO20" s="134">
        <f t="shared" si="14"/>
        <v>97.6</v>
      </c>
      <c r="AP20" s="134">
        <f t="shared" si="14"/>
        <v>96.3</v>
      </c>
      <c r="AQ20" s="134">
        <f t="shared" si="14"/>
        <v>97.5</v>
      </c>
      <c r="AR20" s="134">
        <f t="shared" si="14"/>
        <v>97.8</v>
      </c>
      <c r="AS20" s="134">
        <f>I80</f>
        <v>97.4</v>
      </c>
      <c r="AT20" s="134">
        <f>K80</f>
        <v>96.4</v>
      </c>
      <c r="AU20" s="134">
        <f t="shared" ref="AU20:BD20" si="15">M80</f>
        <v>97</v>
      </c>
      <c r="AV20" s="134">
        <f t="shared" si="15"/>
        <v>49.4</v>
      </c>
      <c r="AW20" s="134">
        <f t="shared" si="15"/>
        <v>49.4</v>
      </c>
      <c r="AX20" s="134">
        <f t="shared" si="15"/>
        <v>49.4</v>
      </c>
      <c r="AY20" s="134">
        <f t="shared" si="15"/>
        <v>92</v>
      </c>
      <c r="AZ20" s="134">
        <f t="shared" si="15"/>
        <v>92</v>
      </c>
      <c r="BA20" s="134">
        <f t="shared" si="15"/>
        <v>97.199999999999989</v>
      </c>
      <c r="BB20" s="134">
        <f t="shared" si="15"/>
        <v>97.5</v>
      </c>
      <c r="BC20" s="134">
        <f t="shared" si="15"/>
        <v>97.3</v>
      </c>
      <c r="BD20" s="134">
        <f t="shared" si="15"/>
        <v>97.3</v>
      </c>
      <c r="BE20" s="133">
        <f>X80</f>
        <v>74.5</v>
      </c>
      <c r="BF20" s="133">
        <f>Z80</f>
        <v>88.300000000000011</v>
      </c>
      <c r="BG20" s="133">
        <f>AB80</f>
        <v>87.9</v>
      </c>
      <c r="BH20" s="133">
        <f>AD80</f>
        <v>79</v>
      </c>
      <c r="BI20" s="133">
        <f>AE80</f>
        <v>79</v>
      </c>
      <c r="BJ20" s="133">
        <f>AF80</f>
        <v>79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25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>
        <v>11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>
        <v>11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11</v>
      </c>
      <c r="AG21" s="130">
        <v>36</v>
      </c>
      <c r="AH21" s="12">
        <f t="shared" si="8"/>
        <v>11</v>
      </c>
      <c r="AI21" s="11">
        <f t="shared" si="9"/>
        <v>11</v>
      </c>
      <c r="AK21" s="19"/>
      <c r="AL21" s="135" t="s">
        <v>248</v>
      </c>
      <c r="AM21" s="134">
        <f t="shared" ref="AM21:AR21" si="16">B98</f>
        <v>200</v>
      </c>
      <c r="AN21" s="134">
        <f t="shared" si="16"/>
        <v>200</v>
      </c>
      <c r="AO21" s="134">
        <f t="shared" si="16"/>
        <v>200</v>
      </c>
      <c r="AP21" s="134">
        <f t="shared" si="16"/>
        <v>200</v>
      </c>
      <c r="AQ21" s="134">
        <f t="shared" si="16"/>
        <v>200</v>
      </c>
      <c r="AR21" s="134">
        <f t="shared" si="16"/>
        <v>200</v>
      </c>
      <c r="AS21" s="134">
        <f>I98</f>
        <v>200</v>
      </c>
      <c r="AT21" s="134">
        <f>K98</f>
        <v>60</v>
      </c>
      <c r="AU21" s="134">
        <f t="shared" ref="AU21:BD21" si="17">M98</f>
        <v>60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100</v>
      </c>
      <c r="BE21" s="133">
        <f>X98</f>
        <v>0</v>
      </c>
      <c r="BF21" s="133">
        <f>Z98</f>
        <v>300</v>
      </c>
      <c r="BG21" s="133">
        <f>AB98</f>
        <v>300</v>
      </c>
      <c r="BH21" s="133">
        <f>AD98</f>
        <v>240</v>
      </c>
      <c r="BI21" s="133">
        <f>AE98</f>
        <v>230</v>
      </c>
      <c r="BJ21" s="133">
        <f>AF98</f>
        <v>231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25">
      <c r="A22" s="89" t="s">
        <v>247</v>
      </c>
      <c r="B22" s="102">
        <v>9.3000000000000007</v>
      </c>
      <c r="C22" s="102">
        <v>9</v>
      </c>
      <c r="D22" s="102">
        <v>9</v>
      </c>
      <c r="E22" s="102">
        <v>9</v>
      </c>
      <c r="F22" s="102">
        <v>9</v>
      </c>
      <c r="G22" s="102">
        <v>9</v>
      </c>
      <c r="H22" s="102">
        <v>9</v>
      </c>
      <c r="I22" s="102">
        <v>9</v>
      </c>
      <c r="J22" s="102">
        <v>9</v>
      </c>
      <c r="K22" s="102">
        <v>9</v>
      </c>
      <c r="L22" s="102">
        <v>9</v>
      </c>
      <c r="M22" s="102">
        <v>9</v>
      </c>
      <c r="N22" s="102">
        <v>9</v>
      </c>
      <c r="O22" s="102">
        <v>9</v>
      </c>
      <c r="P22" s="102">
        <v>9</v>
      </c>
      <c r="Q22" s="102">
        <v>9</v>
      </c>
      <c r="R22" s="102">
        <v>9</v>
      </c>
      <c r="S22" s="102">
        <v>9</v>
      </c>
      <c r="T22" s="102">
        <v>9</v>
      </c>
      <c r="U22" s="102">
        <v>9</v>
      </c>
      <c r="V22" s="102">
        <v>9</v>
      </c>
      <c r="W22" s="102">
        <v>9</v>
      </c>
      <c r="X22" s="102">
        <v>9</v>
      </c>
      <c r="Y22" s="102">
        <v>9</v>
      </c>
      <c r="Z22" s="102">
        <v>9</v>
      </c>
      <c r="AA22" s="102">
        <v>9</v>
      </c>
      <c r="AB22" s="102">
        <v>9</v>
      </c>
      <c r="AC22" s="102">
        <v>9</v>
      </c>
      <c r="AD22" s="102">
        <v>9</v>
      </c>
      <c r="AE22" s="102">
        <v>9</v>
      </c>
      <c r="AF22" s="102">
        <v>9</v>
      </c>
      <c r="AG22" s="88">
        <v>30</v>
      </c>
      <c r="AH22" s="12">
        <f t="shared" si="8"/>
        <v>9.3000000000000007</v>
      </c>
      <c r="AI22" s="11">
        <f t="shared" si="9"/>
        <v>9</v>
      </c>
      <c r="AK22" s="19"/>
      <c r="AL22" s="132" t="s">
        <v>246</v>
      </c>
      <c r="AM22" s="131">
        <f t="shared" ref="AM22:BJ22" si="18">SUM(AM16:AM21)</f>
        <v>1396.4399999999998</v>
      </c>
      <c r="AN22" s="131">
        <f t="shared" si="18"/>
        <v>1356.04</v>
      </c>
      <c r="AO22" s="131">
        <f t="shared" si="18"/>
        <v>1342.5399999999997</v>
      </c>
      <c r="AP22" s="131">
        <f t="shared" si="18"/>
        <v>1291.2399999999998</v>
      </c>
      <c r="AQ22" s="131">
        <f t="shared" si="18"/>
        <v>1315.54</v>
      </c>
      <c r="AR22" s="131">
        <f t="shared" si="18"/>
        <v>1316.84</v>
      </c>
      <c r="AS22" s="131">
        <f t="shared" si="18"/>
        <v>1403.2400000000002</v>
      </c>
      <c r="AT22" s="131">
        <f t="shared" si="18"/>
        <v>1516.7400000000002</v>
      </c>
      <c r="AU22" s="131">
        <f t="shared" si="18"/>
        <v>1662.9399999999998</v>
      </c>
      <c r="AV22" s="131">
        <f t="shared" si="18"/>
        <v>1490.24</v>
      </c>
      <c r="AW22" s="131">
        <f t="shared" si="18"/>
        <v>1527.7400000000002</v>
      </c>
      <c r="AX22" s="131">
        <f t="shared" si="18"/>
        <v>1630.54</v>
      </c>
      <c r="AY22" s="131">
        <f t="shared" si="18"/>
        <v>1548.7399999999998</v>
      </c>
      <c r="AZ22" s="131">
        <f t="shared" si="18"/>
        <v>1523.2399999999998</v>
      </c>
      <c r="BA22" s="131">
        <f t="shared" si="18"/>
        <v>1648.54</v>
      </c>
      <c r="BB22" s="131">
        <f t="shared" si="18"/>
        <v>1700.04</v>
      </c>
      <c r="BC22" s="131">
        <f t="shared" si="18"/>
        <v>1620.5399999999997</v>
      </c>
      <c r="BD22" s="131">
        <f t="shared" si="18"/>
        <v>1683.9399999999998</v>
      </c>
      <c r="BE22" s="131">
        <f t="shared" si="18"/>
        <v>1466.24</v>
      </c>
      <c r="BF22" s="131">
        <f t="shared" si="18"/>
        <v>1836.8</v>
      </c>
      <c r="BG22" s="131">
        <f t="shared" si="18"/>
        <v>1756.2400000000002</v>
      </c>
      <c r="BH22" s="131">
        <f t="shared" si="18"/>
        <v>1668.44</v>
      </c>
      <c r="BI22" s="131">
        <f t="shared" si="18"/>
        <v>1574.54</v>
      </c>
      <c r="BJ22" s="131">
        <f t="shared" si="18"/>
        <v>1497.54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25">
      <c r="A23" s="89" t="s">
        <v>245</v>
      </c>
      <c r="B23" s="102">
        <v>4.5</v>
      </c>
      <c r="C23" s="102">
        <v>4.5</v>
      </c>
      <c r="D23" s="102">
        <v>4.5</v>
      </c>
      <c r="E23" s="102">
        <v>4.5</v>
      </c>
      <c r="F23" s="102">
        <v>4.5</v>
      </c>
      <c r="G23" s="102">
        <v>4.5</v>
      </c>
      <c r="H23" s="102">
        <v>4.5</v>
      </c>
      <c r="I23" s="102">
        <v>4.5</v>
      </c>
      <c r="J23" s="102">
        <v>4.5</v>
      </c>
      <c r="K23" s="102">
        <v>4.5</v>
      </c>
      <c r="L23" s="102">
        <v>4.5</v>
      </c>
      <c r="M23" s="102">
        <v>4.5</v>
      </c>
      <c r="N23" s="102">
        <v>4.5</v>
      </c>
      <c r="O23" s="102">
        <v>4.5</v>
      </c>
      <c r="P23" s="102">
        <v>4.5</v>
      </c>
      <c r="Q23" s="102">
        <v>4.5</v>
      </c>
      <c r="R23" s="102">
        <v>4.5</v>
      </c>
      <c r="S23" s="102">
        <v>4.5</v>
      </c>
      <c r="T23" s="102">
        <v>4.5</v>
      </c>
      <c r="U23" s="102">
        <v>4.5</v>
      </c>
      <c r="V23" s="102">
        <v>4.5</v>
      </c>
      <c r="W23" s="102">
        <v>4.5</v>
      </c>
      <c r="X23" s="102">
        <v>4.5</v>
      </c>
      <c r="Y23" s="102">
        <v>4.5</v>
      </c>
      <c r="Z23" s="102">
        <v>4.5</v>
      </c>
      <c r="AA23" s="102">
        <v>4.5</v>
      </c>
      <c r="AB23" s="102">
        <v>4.5</v>
      </c>
      <c r="AC23" s="102">
        <v>4.5</v>
      </c>
      <c r="AD23" s="102">
        <v>4.5</v>
      </c>
      <c r="AE23" s="102">
        <v>4.5</v>
      </c>
      <c r="AF23" s="102">
        <v>4.5</v>
      </c>
      <c r="AG23" s="130">
        <v>24.2</v>
      </c>
      <c r="AH23" s="12">
        <f t="shared" si="8"/>
        <v>4.5</v>
      </c>
      <c r="AI23" s="11">
        <f t="shared" si="9"/>
        <v>4.5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-2</v>
      </c>
      <c r="BI23" s="131">
        <f>AE107*-1</f>
        <v>-3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25">
      <c r="A24" s="89" t="s">
        <v>244</v>
      </c>
      <c r="B24" s="102">
        <v>6.7</v>
      </c>
      <c r="C24" s="102">
        <v>7.2</v>
      </c>
      <c r="D24" s="102">
        <v>7.1</v>
      </c>
      <c r="E24" s="102">
        <v>7.1</v>
      </c>
      <c r="F24" s="102">
        <v>7.1</v>
      </c>
      <c r="G24" s="102">
        <v>7.1</v>
      </c>
      <c r="H24" s="102">
        <v>7.1</v>
      </c>
      <c r="I24" s="102">
        <v>7.1</v>
      </c>
      <c r="J24" s="102">
        <v>7.1</v>
      </c>
      <c r="K24" s="102">
        <v>7.1</v>
      </c>
      <c r="L24" s="102">
        <v>7.1</v>
      </c>
      <c r="M24" s="102">
        <v>7.1</v>
      </c>
      <c r="N24" s="102">
        <v>7.1</v>
      </c>
      <c r="O24" s="102">
        <v>7.1</v>
      </c>
      <c r="P24" s="102">
        <v>7.1</v>
      </c>
      <c r="Q24" s="102">
        <v>7.1</v>
      </c>
      <c r="R24" s="102">
        <v>7.1</v>
      </c>
      <c r="S24" s="102">
        <v>7.1</v>
      </c>
      <c r="T24" s="102">
        <v>7.1</v>
      </c>
      <c r="U24" s="102">
        <v>7.1</v>
      </c>
      <c r="V24" s="102">
        <v>7.1</v>
      </c>
      <c r="W24" s="102">
        <v>7.1</v>
      </c>
      <c r="X24" s="102">
        <v>7.1</v>
      </c>
      <c r="Y24" s="102">
        <v>7.1</v>
      </c>
      <c r="Z24" s="102">
        <v>7.1</v>
      </c>
      <c r="AA24" s="102">
        <v>7.1</v>
      </c>
      <c r="AB24" s="102">
        <v>7.1</v>
      </c>
      <c r="AC24" s="102">
        <v>7.1</v>
      </c>
      <c r="AD24" s="102">
        <v>7.1</v>
      </c>
      <c r="AE24" s="102">
        <v>7.1</v>
      </c>
      <c r="AF24" s="102">
        <v>7.1</v>
      </c>
      <c r="AG24" s="130">
        <v>28</v>
      </c>
      <c r="AH24" s="12">
        <f t="shared" si="8"/>
        <v>7.2</v>
      </c>
      <c r="AI24" s="11">
        <f t="shared" si="9"/>
        <v>6.7</v>
      </c>
      <c r="AK24" s="19"/>
      <c r="AL24" s="132" t="s">
        <v>243</v>
      </c>
      <c r="AM24" s="131">
        <f t="shared" ref="AM24:BJ24" si="21">AM22+AM23</f>
        <v>1396.4399999999998</v>
      </c>
      <c r="AN24" s="131">
        <f t="shared" si="21"/>
        <v>1356.04</v>
      </c>
      <c r="AO24" s="131">
        <f t="shared" si="21"/>
        <v>1342.5399999999997</v>
      </c>
      <c r="AP24" s="131">
        <f t="shared" si="21"/>
        <v>1291.2399999999998</v>
      </c>
      <c r="AQ24" s="131">
        <f t="shared" si="21"/>
        <v>1315.54</v>
      </c>
      <c r="AR24" s="131">
        <f t="shared" si="21"/>
        <v>1316.84</v>
      </c>
      <c r="AS24" s="131">
        <f t="shared" si="21"/>
        <v>1403.2400000000002</v>
      </c>
      <c r="AT24" s="131">
        <f t="shared" si="21"/>
        <v>1516.7400000000002</v>
      </c>
      <c r="AU24" s="131">
        <f t="shared" si="21"/>
        <v>1662.9399999999998</v>
      </c>
      <c r="AV24" s="131">
        <f t="shared" si="21"/>
        <v>1490.24</v>
      </c>
      <c r="AW24" s="131">
        <f t="shared" si="21"/>
        <v>1527.7400000000002</v>
      </c>
      <c r="AX24" s="131">
        <f t="shared" si="21"/>
        <v>1630.54</v>
      </c>
      <c r="AY24" s="131">
        <f t="shared" si="21"/>
        <v>1548.7399999999998</v>
      </c>
      <c r="AZ24" s="131">
        <f t="shared" si="21"/>
        <v>1523.2399999999998</v>
      </c>
      <c r="BA24" s="131">
        <f t="shared" si="21"/>
        <v>1648.54</v>
      </c>
      <c r="BB24" s="131">
        <f t="shared" si="21"/>
        <v>1700.04</v>
      </c>
      <c r="BC24" s="131">
        <f t="shared" si="21"/>
        <v>1620.5399999999997</v>
      </c>
      <c r="BD24" s="131">
        <f t="shared" si="21"/>
        <v>1683.9399999999998</v>
      </c>
      <c r="BE24" s="131">
        <f t="shared" si="21"/>
        <v>1466.24</v>
      </c>
      <c r="BF24" s="131">
        <f t="shared" si="21"/>
        <v>1836.8</v>
      </c>
      <c r="BG24" s="131">
        <f t="shared" si="21"/>
        <v>1756.2400000000002</v>
      </c>
      <c r="BH24" s="131">
        <f t="shared" si="21"/>
        <v>1666.44</v>
      </c>
      <c r="BI24" s="131">
        <f t="shared" si="21"/>
        <v>1571.54</v>
      </c>
      <c r="BJ24" s="131">
        <f t="shared" si="21"/>
        <v>1497.54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25">
      <c r="A25" s="89" t="s">
        <v>242</v>
      </c>
      <c r="B25" s="102">
        <v>6.5</v>
      </c>
      <c r="C25" s="102">
        <v>6.5</v>
      </c>
      <c r="D25" s="102">
        <v>7.1</v>
      </c>
      <c r="E25" s="102">
        <v>7.1</v>
      </c>
      <c r="F25" s="102">
        <v>7.1</v>
      </c>
      <c r="G25" s="102">
        <v>7.1</v>
      </c>
      <c r="H25" s="102">
        <v>7.1</v>
      </c>
      <c r="I25" s="102">
        <v>7.1</v>
      </c>
      <c r="J25" s="102">
        <v>7.1</v>
      </c>
      <c r="K25" s="102">
        <v>7.1</v>
      </c>
      <c r="L25" s="102">
        <v>7.1</v>
      </c>
      <c r="M25" s="102">
        <v>7.1</v>
      </c>
      <c r="N25" s="102">
        <v>7.1</v>
      </c>
      <c r="O25" s="102">
        <v>7.1</v>
      </c>
      <c r="P25" s="102">
        <v>7.1</v>
      </c>
      <c r="Q25" s="102">
        <v>7.1</v>
      </c>
      <c r="R25" s="102">
        <v>7.1</v>
      </c>
      <c r="S25" s="102">
        <v>7.1</v>
      </c>
      <c r="T25" s="102">
        <v>7.1</v>
      </c>
      <c r="U25" s="102">
        <v>7.1</v>
      </c>
      <c r="V25" s="102">
        <v>7.1</v>
      </c>
      <c r="W25" s="102">
        <v>7.1</v>
      </c>
      <c r="X25" s="102">
        <v>7.1</v>
      </c>
      <c r="Y25" s="102">
        <v>7.1</v>
      </c>
      <c r="Z25" s="102">
        <v>7.1</v>
      </c>
      <c r="AA25" s="102">
        <v>7.1</v>
      </c>
      <c r="AB25" s="102">
        <v>7.1</v>
      </c>
      <c r="AC25" s="102">
        <v>7.1</v>
      </c>
      <c r="AD25" s="102">
        <v>7.1</v>
      </c>
      <c r="AE25" s="102">
        <v>7.1</v>
      </c>
      <c r="AF25" s="102">
        <v>7.1</v>
      </c>
      <c r="AG25" s="88">
        <v>30</v>
      </c>
      <c r="AH25" s="12">
        <f t="shared" si="8"/>
        <v>7.1</v>
      </c>
      <c r="AI25" s="11">
        <f t="shared" si="9"/>
        <v>6.5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25">
      <c r="A26" s="89" t="s">
        <v>241</v>
      </c>
      <c r="B26" s="102">
        <v>8.4</v>
      </c>
      <c r="C26" s="102">
        <v>8.4</v>
      </c>
      <c r="D26" s="102">
        <v>8.4</v>
      </c>
      <c r="E26" s="102">
        <v>8.4</v>
      </c>
      <c r="F26" s="102">
        <v>8.4</v>
      </c>
      <c r="G26" s="102">
        <v>8.4</v>
      </c>
      <c r="H26" s="102">
        <v>8.4</v>
      </c>
      <c r="I26" s="102">
        <v>8.4</v>
      </c>
      <c r="J26" s="102">
        <v>8.4</v>
      </c>
      <c r="K26" s="102">
        <v>8.4</v>
      </c>
      <c r="L26" s="102">
        <v>8.4</v>
      </c>
      <c r="M26" s="102">
        <v>8.4</v>
      </c>
      <c r="N26" s="102">
        <v>8.4</v>
      </c>
      <c r="O26" s="102">
        <v>8.4</v>
      </c>
      <c r="P26" s="102">
        <v>8.4</v>
      </c>
      <c r="Q26" s="102">
        <v>8.4</v>
      </c>
      <c r="R26" s="102">
        <v>8.4</v>
      </c>
      <c r="S26" s="102">
        <v>8.4</v>
      </c>
      <c r="T26" s="102">
        <v>8.4</v>
      </c>
      <c r="U26" s="102">
        <v>8.4</v>
      </c>
      <c r="V26" s="102">
        <v>8.4</v>
      </c>
      <c r="W26" s="102">
        <v>8.4</v>
      </c>
      <c r="X26" s="102">
        <v>8.4</v>
      </c>
      <c r="Y26" s="102">
        <v>8.4</v>
      </c>
      <c r="Z26" s="102">
        <v>8.4</v>
      </c>
      <c r="AA26" s="102">
        <v>8.4</v>
      </c>
      <c r="AB26" s="102">
        <v>8.4</v>
      </c>
      <c r="AC26" s="102">
        <v>8.4</v>
      </c>
      <c r="AD26" s="102">
        <v>8.4</v>
      </c>
      <c r="AE26" s="102">
        <v>8.4</v>
      </c>
      <c r="AF26" s="102">
        <v>8.4</v>
      </c>
      <c r="AG26" s="130">
        <v>25</v>
      </c>
      <c r="AH26" s="12">
        <f t="shared" si="8"/>
        <v>8.4</v>
      </c>
      <c r="AI26" s="11">
        <f t="shared" si="9"/>
        <v>8.4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25">
      <c r="A27" s="89" t="s">
        <v>240</v>
      </c>
      <c r="B27" s="102">
        <v>5</v>
      </c>
      <c r="C27" s="102">
        <v>5</v>
      </c>
      <c r="D27" s="102">
        <v>5</v>
      </c>
      <c r="E27" s="102">
        <v>5</v>
      </c>
      <c r="F27" s="102">
        <v>5</v>
      </c>
      <c r="G27" s="102">
        <v>5</v>
      </c>
      <c r="H27" s="102">
        <v>5</v>
      </c>
      <c r="I27" s="102">
        <v>5</v>
      </c>
      <c r="J27" s="102">
        <v>5</v>
      </c>
      <c r="K27" s="102">
        <v>5</v>
      </c>
      <c r="L27" s="102">
        <v>5</v>
      </c>
      <c r="M27" s="102">
        <v>5</v>
      </c>
      <c r="N27" s="102">
        <v>5</v>
      </c>
      <c r="O27" s="102">
        <v>5</v>
      </c>
      <c r="P27" s="102">
        <v>5</v>
      </c>
      <c r="Q27" s="102">
        <v>5</v>
      </c>
      <c r="R27" s="102">
        <v>5</v>
      </c>
      <c r="S27" s="102">
        <v>5</v>
      </c>
      <c r="T27" s="102">
        <v>5</v>
      </c>
      <c r="U27" s="102">
        <v>5</v>
      </c>
      <c r="V27" s="102">
        <v>5</v>
      </c>
      <c r="W27" s="102">
        <v>5</v>
      </c>
      <c r="X27" s="102">
        <v>5</v>
      </c>
      <c r="Y27" s="102">
        <v>5</v>
      </c>
      <c r="Z27" s="102">
        <v>5</v>
      </c>
      <c r="AA27" s="102">
        <v>5</v>
      </c>
      <c r="AB27" s="102">
        <v>5</v>
      </c>
      <c r="AC27" s="102">
        <v>5</v>
      </c>
      <c r="AD27" s="102">
        <v>5</v>
      </c>
      <c r="AE27" s="102">
        <v>5</v>
      </c>
      <c r="AF27" s="102">
        <v>5</v>
      </c>
      <c r="AG27" s="130">
        <v>25</v>
      </c>
      <c r="AH27" s="12">
        <f t="shared" si="8"/>
        <v>5</v>
      </c>
      <c r="AI27" s="11">
        <f t="shared" si="9"/>
        <v>5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25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25">
      <c r="A29" s="89" t="s">
        <v>238</v>
      </c>
      <c r="B29" s="102">
        <v>8.1999999999999993</v>
      </c>
      <c r="C29" s="102">
        <v>8.1999999999999993</v>
      </c>
      <c r="D29" s="102">
        <v>8.1999999999999993</v>
      </c>
      <c r="E29" s="102">
        <v>8.1999999999999993</v>
      </c>
      <c r="F29" s="102">
        <v>8.1999999999999993</v>
      </c>
      <c r="G29" s="102">
        <v>8.1999999999999993</v>
      </c>
      <c r="H29" s="102">
        <v>8.1999999999999993</v>
      </c>
      <c r="I29" s="102">
        <v>8.1999999999999993</v>
      </c>
      <c r="J29" s="102">
        <v>8.1999999999999993</v>
      </c>
      <c r="K29" s="102">
        <v>8.1999999999999993</v>
      </c>
      <c r="L29" s="102">
        <v>8.1999999999999993</v>
      </c>
      <c r="M29" s="102">
        <v>8.1999999999999993</v>
      </c>
      <c r="N29" s="102">
        <v>8.1999999999999993</v>
      </c>
      <c r="O29" s="102">
        <v>8.1999999999999993</v>
      </c>
      <c r="P29" s="102">
        <v>8.1999999999999993</v>
      </c>
      <c r="Q29" s="102">
        <v>8.1999999999999993</v>
      </c>
      <c r="R29" s="102">
        <v>8.1999999999999993</v>
      </c>
      <c r="S29" s="102">
        <v>8.1999999999999993</v>
      </c>
      <c r="T29" s="102">
        <v>8.1999999999999993</v>
      </c>
      <c r="U29" s="102">
        <v>8.1999999999999993</v>
      </c>
      <c r="V29" s="102">
        <v>8.1999999999999993</v>
      </c>
      <c r="W29" s="102">
        <v>8.1999999999999993</v>
      </c>
      <c r="X29" s="102">
        <v>8.1999999999999993</v>
      </c>
      <c r="Y29" s="102">
        <v>8.1999999999999993</v>
      </c>
      <c r="Z29" s="102">
        <v>8.1999999999999993</v>
      </c>
      <c r="AA29" s="102">
        <v>8.1999999999999993</v>
      </c>
      <c r="AB29" s="102">
        <v>8.1999999999999993</v>
      </c>
      <c r="AC29" s="102">
        <v>8.1999999999999993</v>
      </c>
      <c r="AD29" s="102">
        <v>8.1999999999999993</v>
      </c>
      <c r="AE29" s="102">
        <v>8.1999999999999993</v>
      </c>
      <c r="AF29" s="102">
        <v>8.1999999999999993</v>
      </c>
      <c r="AG29" s="130">
        <v>25</v>
      </c>
      <c r="AH29" s="12">
        <f t="shared" si="8"/>
        <v>8.1999999999999993</v>
      </c>
      <c r="AI29" s="11">
        <f t="shared" si="9"/>
        <v>8.1999999999999993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25">
      <c r="A30" s="89" t="s">
        <v>237</v>
      </c>
      <c r="B30" s="102">
        <v>6.2</v>
      </c>
      <c r="C30" s="102">
        <v>6.2</v>
      </c>
      <c r="D30" s="102">
        <v>6.5</v>
      </c>
      <c r="E30" s="102">
        <v>6.5</v>
      </c>
      <c r="F30" s="102">
        <v>6.5</v>
      </c>
      <c r="G30" s="102">
        <v>6.5</v>
      </c>
      <c r="H30" s="102">
        <v>6.5</v>
      </c>
      <c r="I30" s="102">
        <v>6.5</v>
      </c>
      <c r="J30" s="102">
        <v>6.5</v>
      </c>
      <c r="K30" s="102">
        <v>6.5</v>
      </c>
      <c r="L30" s="102">
        <v>6.5</v>
      </c>
      <c r="M30" s="102">
        <v>6.5</v>
      </c>
      <c r="N30" s="102">
        <v>6.5</v>
      </c>
      <c r="O30" s="102">
        <v>6.5</v>
      </c>
      <c r="P30" s="102">
        <v>6.5</v>
      </c>
      <c r="Q30" s="102">
        <v>6.5</v>
      </c>
      <c r="R30" s="102">
        <v>6.5</v>
      </c>
      <c r="S30" s="102">
        <v>6.5</v>
      </c>
      <c r="T30" s="102">
        <v>6.5</v>
      </c>
      <c r="U30" s="102">
        <v>6.5</v>
      </c>
      <c r="V30" s="102">
        <v>6.5</v>
      </c>
      <c r="W30" s="102">
        <v>6.5</v>
      </c>
      <c r="X30" s="102">
        <v>6.5</v>
      </c>
      <c r="Y30" s="102">
        <v>6.5</v>
      </c>
      <c r="Z30" s="102">
        <v>6.5</v>
      </c>
      <c r="AA30" s="102">
        <v>6.5</v>
      </c>
      <c r="AB30" s="102">
        <v>6.5</v>
      </c>
      <c r="AC30" s="102">
        <v>6.5</v>
      </c>
      <c r="AD30" s="102">
        <v>6.5</v>
      </c>
      <c r="AE30" s="102">
        <v>6.5</v>
      </c>
      <c r="AF30" s="102">
        <v>6.5</v>
      </c>
      <c r="AG30" s="130">
        <v>23.5</v>
      </c>
      <c r="AH30" s="12">
        <f t="shared" si="8"/>
        <v>6.5</v>
      </c>
      <c r="AI30" s="11">
        <f t="shared" si="9"/>
        <v>6.2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25">
      <c r="A31" s="89" t="s">
        <v>236</v>
      </c>
      <c r="B31" s="102">
        <v>3</v>
      </c>
      <c r="C31" s="102">
        <v>3</v>
      </c>
      <c r="D31" s="102">
        <v>3</v>
      </c>
      <c r="E31" s="102">
        <v>3</v>
      </c>
      <c r="F31" s="102">
        <v>3</v>
      </c>
      <c r="G31" s="102">
        <v>3</v>
      </c>
      <c r="H31" s="102">
        <v>3</v>
      </c>
      <c r="I31" s="102">
        <v>3</v>
      </c>
      <c r="J31" s="102">
        <v>3</v>
      </c>
      <c r="K31" s="102">
        <v>3</v>
      </c>
      <c r="L31" s="102">
        <v>3</v>
      </c>
      <c r="M31" s="102">
        <v>3</v>
      </c>
      <c r="N31" s="102">
        <v>3</v>
      </c>
      <c r="O31" s="102">
        <v>3</v>
      </c>
      <c r="P31" s="102">
        <v>3</v>
      </c>
      <c r="Q31" s="102">
        <v>3</v>
      </c>
      <c r="R31" s="102">
        <v>3</v>
      </c>
      <c r="S31" s="102">
        <v>3</v>
      </c>
      <c r="T31" s="102">
        <v>3</v>
      </c>
      <c r="U31" s="102">
        <v>3</v>
      </c>
      <c r="V31" s="102">
        <v>3</v>
      </c>
      <c r="W31" s="102">
        <v>3</v>
      </c>
      <c r="X31" s="102">
        <v>3</v>
      </c>
      <c r="Y31" s="102">
        <v>3</v>
      </c>
      <c r="Z31" s="102">
        <v>3</v>
      </c>
      <c r="AA31" s="102">
        <v>3</v>
      </c>
      <c r="AB31" s="102">
        <v>3</v>
      </c>
      <c r="AC31" s="102">
        <v>3</v>
      </c>
      <c r="AD31" s="102">
        <v>3</v>
      </c>
      <c r="AE31" s="102">
        <v>3</v>
      </c>
      <c r="AF31" s="102">
        <v>3</v>
      </c>
      <c r="AG31" s="130">
        <v>22.2</v>
      </c>
      <c r="AH31" s="12">
        <f t="shared" si="8"/>
        <v>3</v>
      </c>
      <c r="AI31" s="11">
        <f t="shared" si="9"/>
        <v>3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25">
      <c r="A32" s="89" t="s">
        <v>235</v>
      </c>
      <c r="B32" s="102">
        <v>5.5</v>
      </c>
      <c r="C32" s="102">
        <v>5.5</v>
      </c>
      <c r="D32" s="102">
        <v>5.5</v>
      </c>
      <c r="E32" s="102">
        <v>5.5</v>
      </c>
      <c r="F32" s="102">
        <v>5.5</v>
      </c>
      <c r="G32" s="102">
        <v>5.5</v>
      </c>
      <c r="H32" s="102">
        <v>5.5</v>
      </c>
      <c r="I32" s="102">
        <v>5.5</v>
      </c>
      <c r="J32" s="102">
        <v>5.5</v>
      </c>
      <c r="K32" s="102">
        <v>5.5</v>
      </c>
      <c r="L32" s="102">
        <v>5.5</v>
      </c>
      <c r="M32" s="102">
        <v>5.5</v>
      </c>
      <c r="N32" s="102">
        <v>5.5</v>
      </c>
      <c r="O32" s="102">
        <v>5.5</v>
      </c>
      <c r="P32" s="102">
        <v>5.5</v>
      </c>
      <c r="Q32" s="102">
        <v>5.5</v>
      </c>
      <c r="R32" s="102">
        <v>5.5</v>
      </c>
      <c r="S32" s="102">
        <v>5.5</v>
      </c>
      <c r="T32" s="102">
        <v>5.5</v>
      </c>
      <c r="U32" s="102">
        <v>5.5</v>
      </c>
      <c r="V32" s="102">
        <v>5.5</v>
      </c>
      <c r="W32" s="102">
        <v>5.5</v>
      </c>
      <c r="X32" s="102">
        <v>5.5</v>
      </c>
      <c r="Y32" s="102">
        <v>5.5</v>
      </c>
      <c r="Z32" s="102">
        <v>5.5</v>
      </c>
      <c r="AA32" s="102">
        <v>5.5</v>
      </c>
      <c r="AB32" s="102">
        <v>5.5</v>
      </c>
      <c r="AC32" s="102">
        <v>5.5</v>
      </c>
      <c r="AD32" s="102">
        <v>5.5</v>
      </c>
      <c r="AE32" s="102">
        <v>5.5</v>
      </c>
      <c r="AF32" s="102">
        <v>5.5</v>
      </c>
      <c r="AG32" s="130">
        <v>22.1</v>
      </c>
      <c r="AH32" s="12">
        <f t="shared" si="8"/>
        <v>5.5</v>
      </c>
      <c r="AI32" s="11">
        <f t="shared" si="9"/>
        <v>5.5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25">
      <c r="A33" s="89" t="s">
        <v>234</v>
      </c>
      <c r="B33" s="102">
        <v>5</v>
      </c>
      <c r="C33" s="102">
        <v>5</v>
      </c>
      <c r="D33" s="102">
        <v>5</v>
      </c>
      <c r="E33" s="102">
        <v>5</v>
      </c>
      <c r="F33" s="102">
        <v>5</v>
      </c>
      <c r="G33" s="102">
        <v>5</v>
      </c>
      <c r="H33" s="102">
        <v>5</v>
      </c>
      <c r="I33" s="102">
        <v>5</v>
      </c>
      <c r="J33" s="102">
        <v>5</v>
      </c>
      <c r="K33" s="102">
        <v>5</v>
      </c>
      <c r="L33" s="102">
        <v>5</v>
      </c>
      <c r="M33" s="102">
        <v>5</v>
      </c>
      <c r="N33" s="102">
        <v>5</v>
      </c>
      <c r="O33" s="102">
        <v>5</v>
      </c>
      <c r="P33" s="102">
        <v>5</v>
      </c>
      <c r="Q33" s="102">
        <v>5</v>
      </c>
      <c r="R33" s="102">
        <v>5</v>
      </c>
      <c r="S33" s="102">
        <v>5</v>
      </c>
      <c r="T33" s="102">
        <v>5</v>
      </c>
      <c r="U33" s="102">
        <v>5</v>
      </c>
      <c r="V33" s="102">
        <v>5</v>
      </c>
      <c r="W33" s="102">
        <v>5</v>
      </c>
      <c r="X33" s="102">
        <v>5</v>
      </c>
      <c r="Y33" s="102">
        <v>5</v>
      </c>
      <c r="Z33" s="102">
        <v>5</v>
      </c>
      <c r="AA33" s="102">
        <v>5</v>
      </c>
      <c r="AB33" s="102">
        <v>5</v>
      </c>
      <c r="AC33" s="102">
        <v>5</v>
      </c>
      <c r="AD33" s="102">
        <v>5</v>
      </c>
      <c r="AE33" s="102">
        <v>5</v>
      </c>
      <c r="AF33" s="102">
        <v>5</v>
      </c>
      <c r="AG33" s="130">
        <v>22</v>
      </c>
      <c r="AH33" s="12">
        <f t="shared" si="8"/>
        <v>5</v>
      </c>
      <c r="AI33" s="11">
        <f t="shared" si="9"/>
        <v>5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25">
      <c r="A34" s="89" t="s">
        <v>233</v>
      </c>
      <c r="B34" s="102">
        <v>9.6</v>
      </c>
      <c r="C34" s="102">
        <v>9.6</v>
      </c>
      <c r="D34" s="102">
        <v>9.6</v>
      </c>
      <c r="E34" s="102">
        <v>9.6</v>
      </c>
      <c r="F34" s="102">
        <v>9.6</v>
      </c>
      <c r="G34" s="102">
        <v>9.6</v>
      </c>
      <c r="H34" s="102">
        <v>9.6</v>
      </c>
      <c r="I34" s="102">
        <v>9.6</v>
      </c>
      <c r="J34" s="102">
        <v>9.6</v>
      </c>
      <c r="K34" s="102">
        <v>9.6</v>
      </c>
      <c r="L34" s="102">
        <v>9.6</v>
      </c>
      <c r="M34" s="102">
        <v>9.6</v>
      </c>
      <c r="N34" s="102">
        <v>9.6</v>
      </c>
      <c r="O34" s="102">
        <v>9.6</v>
      </c>
      <c r="P34" s="102">
        <v>9.6</v>
      </c>
      <c r="Q34" s="102">
        <v>9.6</v>
      </c>
      <c r="R34" s="102">
        <v>9.6</v>
      </c>
      <c r="S34" s="102">
        <v>9.6</v>
      </c>
      <c r="T34" s="102">
        <v>9.6</v>
      </c>
      <c r="U34" s="102">
        <v>9.6</v>
      </c>
      <c r="V34" s="102">
        <v>9.6</v>
      </c>
      <c r="W34" s="102">
        <v>9.6</v>
      </c>
      <c r="X34" s="102">
        <v>9.6</v>
      </c>
      <c r="Y34" s="102">
        <v>9.6</v>
      </c>
      <c r="Z34" s="102">
        <v>9.6</v>
      </c>
      <c r="AA34" s="102">
        <v>9.6</v>
      </c>
      <c r="AB34" s="102">
        <v>9.6</v>
      </c>
      <c r="AC34" s="102">
        <v>9.6</v>
      </c>
      <c r="AD34" s="102">
        <v>9.6</v>
      </c>
      <c r="AE34" s="102">
        <v>9.6</v>
      </c>
      <c r="AF34" s="102">
        <v>9.6</v>
      </c>
      <c r="AG34" s="130">
        <v>22</v>
      </c>
      <c r="AH34" s="12">
        <f t="shared" si="8"/>
        <v>9.6</v>
      </c>
      <c r="AI34" s="11">
        <f t="shared" si="9"/>
        <v>9.6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25">
      <c r="A35" s="89" t="s">
        <v>232</v>
      </c>
      <c r="B35" s="102">
        <v>4</v>
      </c>
      <c r="C35" s="102">
        <v>4</v>
      </c>
      <c r="D35" s="102">
        <v>4</v>
      </c>
      <c r="E35" s="102">
        <v>4</v>
      </c>
      <c r="F35" s="102">
        <v>4</v>
      </c>
      <c r="G35" s="102">
        <v>4</v>
      </c>
      <c r="H35" s="102">
        <v>4</v>
      </c>
      <c r="I35" s="102">
        <v>4</v>
      </c>
      <c r="J35" s="102">
        <v>4</v>
      </c>
      <c r="K35" s="102">
        <v>4</v>
      </c>
      <c r="L35" s="102">
        <v>4</v>
      </c>
      <c r="M35" s="102">
        <v>4</v>
      </c>
      <c r="N35" s="102">
        <v>4</v>
      </c>
      <c r="O35" s="102">
        <v>4</v>
      </c>
      <c r="P35" s="102">
        <v>4</v>
      </c>
      <c r="Q35" s="102">
        <v>4</v>
      </c>
      <c r="R35" s="102">
        <v>4</v>
      </c>
      <c r="S35" s="102">
        <v>4</v>
      </c>
      <c r="T35" s="102">
        <v>4</v>
      </c>
      <c r="U35" s="102">
        <v>4</v>
      </c>
      <c r="V35" s="102">
        <v>4</v>
      </c>
      <c r="W35" s="102">
        <v>4</v>
      </c>
      <c r="X35" s="102">
        <v>4</v>
      </c>
      <c r="Y35" s="102">
        <v>4</v>
      </c>
      <c r="Z35" s="102">
        <v>4</v>
      </c>
      <c r="AA35" s="102">
        <v>4</v>
      </c>
      <c r="AB35" s="102">
        <v>4</v>
      </c>
      <c r="AC35" s="102">
        <v>4</v>
      </c>
      <c r="AD35" s="102">
        <v>4</v>
      </c>
      <c r="AE35" s="102">
        <v>4</v>
      </c>
      <c r="AF35" s="102">
        <v>4</v>
      </c>
      <c r="AG35" s="130">
        <v>20</v>
      </c>
      <c r="AH35" s="12">
        <f t="shared" si="8"/>
        <v>4</v>
      </c>
      <c r="AI35" s="11">
        <f t="shared" si="9"/>
        <v>4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25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25">
      <c r="A37" s="89" t="s">
        <v>230</v>
      </c>
      <c r="B37" s="102">
        <v>5.7</v>
      </c>
      <c r="C37" s="102">
        <v>5.7</v>
      </c>
      <c r="D37" s="102">
        <v>5.7</v>
      </c>
      <c r="E37" s="102">
        <v>5.7</v>
      </c>
      <c r="F37" s="102">
        <v>5.7</v>
      </c>
      <c r="G37" s="102">
        <v>5.7</v>
      </c>
      <c r="H37" s="102">
        <v>5.7</v>
      </c>
      <c r="I37" s="102">
        <v>5.7</v>
      </c>
      <c r="J37" s="102">
        <v>5.7</v>
      </c>
      <c r="K37" s="102">
        <v>5.7</v>
      </c>
      <c r="L37" s="102">
        <v>5.7</v>
      </c>
      <c r="M37" s="102">
        <v>5.7</v>
      </c>
      <c r="N37" s="102">
        <v>5.7</v>
      </c>
      <c r="O37" s="102">
        <v>5.7</v>
      </c>
      <c r="P37" s="102">
        <v>5.7</v>
      </c>
      <c r="Q37" s="102">
        <v>5.7</v>
      </c>
      <c r="R37" s="102">
        <v>5.7</v>
      </c>
      <c r="S37" s="102">
        <v>5.7</v>
      </c>
      <c r="T37" s="102">
        <v>5.7</v>
      </c>
      <c r="U37" s="102">
        <v>5.7</v>
      </c>
      <c r="V37" s="102">
        <v>5.7</v>
      </c>
      <c r="W37" s="102">
        <v>5.7</v>
      </c>
      <c r="X37" s="102">
        <v>5.7</v>
      </c>
      <c r="Y37" s="102">
        <v>5.7</v>
      </c>
      <c r="Z37" s="102">
        <v>5.7</v>
      </c>
      <c r="AA37" s="102">
        <v>5.7</v>
      </c>
      <c r="AB37" s="102">
        <v>5.7</v>
      </c>
      <c r="AC37" s="102">
        <v>5.7</v>
      </c>
      <c r="AD37" s="102">
        <v>5.7</v>
      </c>
      <c r="AE37" s="102">
        <v>5.7</v>
      </c>
      <c r="AF37" s="102">
        <v>5.7</v>
      </c>
      <c r="AG37" s="130">
        <v>18</v>
      </c>
      <c r="AH37" s="12">
        <f t="shared" si="8"/>
        <v>5.7</v>
      </c>
      <c r="AI37" s="11">
        <f t="shared" si="9"/>
        <v>5.7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25">
      <c r="A38" s="89" t="s">
        <v>229</v>
      </c>
      <c r="B38" s="102">
        <v>7.2</v>
      </c>
      <c r="C38" s="102">
        <v>7.2</v>
      </c>
      <c r="D38" s="102">
        <v>7.2</v>
      </c>
      <c r="E38" s="102">
        <v>7.2</v>
      </c>
      <c r="F38" s="102">
        <v>7.2</v>
      </c>
      <c r="G38" s="102">
        <v>7.2</v>
      </c>
      <c r="H38" s="102">
        <v>7.2</v>
      </c>
      <c r="I38" s="102">
        <v>7.2</v>
      </c>
      <c r="J38" s="102">
        <v>7.2</v>
      </c>
      <c r="K38" s="102">
        <v>7.2</v>
      </c>
      <c r="L38" s="102">
        <v>7.2</v>
      </c>
      <c r="M38" s="102">
        <v>7.2</v>
      </c>
      <c r="N38" s="102">
        <v>7.2</v>
      </c>
      <c r="O38" s="102">
        <v>7.2</v>
      </c>
      <c r="P38" s="102">
        <v>7.2</v>
      </c>
      <c r="Q38" s="102">
        <v>7.2</v>
      </c>
      <c r="R38" s="102">
        <v>0</v>
      </c>
      <c r="S38" s="102">
        <v>0</v>
      </c>
      <c r="T38" s="102">
        <v>0</v>
      </c>
      <c r="U38" s="102">
        <v>0</v>
      </c>
      <c r="V38" s="102">
        <v>0</v>
      </c>
      <c r="W38" s="102">
        <v>0</v>
      </c>
      <c r="X38" s="102">
        <v>0</v>
      </c>
      <c r="Y38" s="102">
        <v>0</v>
      </c>
      <c r="Z38" s="102">
        <v>0</v>
      </c>
      <c r="AA38" s="102">
        <v>0</v>
      </c>
      <c r="AB38" s="102">
        <v>0</v>
      </c>
      <c r="AC38" s="102">
        <v>0</v>
      </c>
      <c r="AD38" s="102">
        <v>0</v>
      </c>
      <c r="AE38" s="102">
        <v>0</v>
      </c>
      <c r="AF38" s="102">
        <v>0</v>
      </c>
      <c r="AG38" s="130">
        <v>14.9</v>
      </c>
      <c r="AH38" s="12">
        <f t="shared" si="8"/>
        <v>7.2</v>
      </c>
      <c r="AI38" s="11">
        <f t="shared" si="9"/>
        <v>0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25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25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25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25">
      <c r="A42" s="89" t="s">
        <v>225</v>
      </c>
      <c r="B42" s="102">
        <v>1.8</v>
      </c>
      <c r="C42" s="102">
        <v>1.8</v>
      </c>
      <c r="D42" s="102">
        <v>1.8</v>
      </c>
      <c r="E42" s="102">
        <v>1.8</v>
      </c>
      <c r="F42" s="102">
        <v>1.8</v>
      </c>
      <c r="G42" s="102">
        <v>1.8</v>
      </c>
      <c r="H42" s="102">
        <v>1.8</v>
      </c>
      <c r="I42" s="102">
        <v>1.8</v>
      </c>
      <c r="J42" s="102">
        <v>1.8</v>
      </c>
      <c r="K42" s="102">
        <v>1.8</v>
      </c>
      <c r="L42" s="102">
        <v>1.8</v>
      </c>
      <c r="M42" s="102">
        <v>1.8</v>
      </c>
      <c r="N42" s="102">
        <v>1.8</v>
      </c>
      <c r="O42" s="102">
        <v>1.8</v>
      </c>
      <c r="P42" s="102">
        <v>1.8</v>
      </c>
      <c r="Q42" s="102">
        <v>1.8</v>
      </c>
      <c r="R42" s="102">
        <v>1.8</v>
      </c>
      <c r="S42" s="102">
        <v>1.8</v>
      </c>
      <c r="T42" s="102">
        <v>1.8</v>
      </c>
      <c r="U42" s="102">
        <v>1.8</v>
      </c>
      <c r="V42" s="102">
        <v>1.8</v>
      </c>
      <c r="W42" s="102">
        <v>1.8</v>
      </c>
      <c r="X42" s="102">
        <v>1.8</v>
      </c>
      <c r="Y42" s="102">
        <v>1.8</v>
      </c>
      <c r="Z42" s="102">
        <v>1.8</v>
      </c>
      <c r="AA42" s="102">
        <v>1.8</v>
      </c>
      <c r="AB42" s="102">
        <v>1.8</v>
      </c>
      <c r="AC42" s="102">
        <v>1.8</v>
      </c>
      <c r="AD42" s="102">
        <v>1.8</v>
      </c>
      <c r="AE42" s="102">
        <v>1.8</v>
      </c>
      <c r="AF42" s="102">
        <v>1.8</v>
      </c>
      <c r="AG42" s="130">
        <v>13.6</v>
      </c>
      <c r="AH42" s="12">
        <f t="shared" si="8"/>
        <v>1.8</v>
      </c>
      <c r="AI42" s="11">
        <f t="shared" si="9"/>
        <v>1.8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25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25">
      <c r="A44" s="89" t="s">
        <v>223</v>
      </c>
      <c r="B44" s="102">
        <v>6.4</v>
      </c>
      <c r="C44" s="102">
        <v>6.4</v>
      </c>
      <c r="D44" s="102">
        <v>6.4</v>
      </c>
      <c r="E44" s="102">
        <v>6.4</v>
      </c>
      <c r="F44" s="102">
        <v>6.4</v>
      </c>
      <c r="G44" s="102">
        <v>6.4</v>
      </c>
      <c r="H44" s="102">
        <v>6.4</v>
      </c>
      <c r="I44" s="102">
        <v>6.4</v>
      </c>
      <c r="J44" s="102">
        <v>6.4</v>
      </c>
      <c r="K44" s="102">
        <v>6.4</v>
      </c>
      <c r="L44" s="102">
        <v>6.4</v>
      </c>
      <c r="M44" s="102">
        <v>6.4</v>
      </c>
      <c r="N44" s="102">
        <v>6.4</v>
      </c>
      <c r="O44" s="102">
        <v>6.4</v>
      </c>
      <c r="P44" s="102">
        <v>6.4</v>
      </c>
      <c r="Q44" s="102">
        <v>6.4</v>
      </c>
      <c r="R44" s="102">
        <v>6.4</v>
      </c>
      <c r="S44" s="102">
        <v>6.4</v>
      </c>
      <c r="T44" s="102">
        <v>6.4</v>
      </c>
      <c r="U44" s="102">
        <v>6.4</v>
      </c>
      <c r="V44" s="102">
        <v>6.4</v>
      </c>
      <c r="W44" s="102">
        <v>6.4</v>
      </c>
      <c r="X44" s="102">
        <v>6.4</v>
      </c>
      <c r="Y44" s="102">
        <v>6.4</v>
      </c>
      <c r="Z44" s="102">
        <v>6.4</v>
      </c>
      <c r="AA44" s="102">
        <v>6.4</v>
      </c>
      <c r="AB44" s="102">
        <v>6.4</v>
      </c>
      <c r="AC44" s="102">
        <v>6.4</v>
      </c>
      <c r="AD44" s="102">
        <v>6.4</v>
      </c>
      <c r="AE44" s="102">
        <v>6.4</v>
      </c>
      <c r="AF44" s="102">
        <v>6.4</v>
      </c>
      <c r="AG44" s="130">
        <v>12</v>
      </c>
      <c r="AH44" s="12">
        <f t="shared" si="8"/>
        <v>6.4</v>
      </c>
      <c r="AI44" s="11">
        <f t="shared" si="9"/>
        <v>6.4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25">
      <c r="A45" s="89" t="s">
        <v>222</v>
      </c>
      <c r="B45" s="102">
        <v>9</v>
      </c>
      <c r="C45" s="102">
        <v>9</v>
      </c>
      <c r="D45" s="102">
        <v>9</v>
      </c>
      <c r="E45" s="102">
        <v>9</v>
      </c>
      <c r="F45" s="102">
        <v>9</v>
      </c>
      <c r="G45" s="102">
        <v>9</v>
      </c>
      <c r="H45" s="102">
        <v>9</v>
      </c>
      <c r="I45" s="102">
        <v>9</v>
      </c>
      <c r="J45" s="102">
        <v>9</v>
      </c>
      <c r="K45" s="102">
        <v>9</v>
      </c>
      <c r="L45" s="102">
        <v>9</v>
      </c>
      <c r="M45" s="102">
        <v>9</v>
      </c>
      <c r="N45" s="102">
        <v>9</v>
      </c>
      <c r="O45" s="102">
        <v>9</v>
      </c>
      <c r="P45" s="102">
        <v>9</v>
      </c>
      <c r="Q45" s="102">
        <v>9</v>
      </c>
      <c r="R45" s="102">
        <v>9</v>
      </c>
      <c r="S45" s="102">
        <v>9</v>
      </c>
      <c r="T45" s="102">
        <v>9</v>
      </c>
      <c r="U45" s="102">
        <v>9</v>
      </c>
      <c r="V45" s="102">
        <v>9</v>
      </c>
      <c r="W45" s="102">
        <v>9</v>
      </c>
      <c r="X45" s="102">
        <v>9</v>
      </c>
      <c r="Y45" s="102">
        <v>9</v>
      </c>
      <c r="Z45" s="102">
        <v>9</v>
      </c>
      <c r="AA45" s="102">
        <v>9</v>
      </c>
      <c r="AB45" s="102">
        <v>9</v>
      </c>
      <c r="AC45" s="102">
        <v>9</v>
      </c>
      <c r="AD45" s="102">
        <v>9</v>
      </c>
      <c r="AE45" s="102">
        <v>9</v>
      </c>
      <c r="AF45" s="102">
        <v>9</v>
      </c>
      <c r="AG45" s="130">
        <v>12</v>
      </c>
      <c r="AH45" s="12">
        <f t="shared" si="8"/>
        <v>9</v>
      </c>
      <c r="AI45" s="11">
        <f t="shared" si="9"/>
        <v>9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25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25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25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25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25">
      <c r="A50" s="87" t="s">
        <v>217</v>
      </c>
      <c r="B50" s="102">
        <v>2.5</v>
      </c>
      <c r="C50" s="102">
        <v>2.5</v>
      </c>
      <c r="D50" s="102">
        <v>2.5</v>
      </c>
      <c r="E50" s="102">
        <v>2.5</v>
      </c>
      <c r="F50" s="102">
        <v>2.5</v>
      </c>
      <c r="G50" s="102">
        <v>2.5</v>
      </c>
      <c r="H50" s="102">
        <v>2.5</v>
      </c>
      <c r="I50" s="102">
        <v>2.5</v>
      </c>
      <c r="J50" s="102">
        <v>2.5</v>
      </c>
      <c r="K50" s="102">
        <v>2.5</v>
      </c>
      <c r="L50" s="102">
        <v>2.5</v>
      </c>
      <c r="M50" s="102">
        <v>2.5</v>
      </c>
      <c r="N50" s="102">
        <v>2.5</v>
      </c>
      <c r="O50" s="102">
        <v>2.5</v>
      </c>
      <c r="P50" s="102">
        <v>2.5</v>
      </c>
      <c r="Q50" s="102">
        <v>2.5</v>
      </c>
      <c r="R50" s="102">
        <v>0</v>
      </c>
      <c r="S50" s="102">
        <v>0</v>
      </c>
      <c r="T50" s="102">
        <v>0</v>
      </c>
      <c r="U50" s="102">
        <v>0</v>
      </c>
      <c r="V50" s="102">
        <v>0</v>
      </c>
      <c r="W50" s="102">
        <v>0</v>
      </c>
      <c r="X50" s="102">
        <v>0</v>
      </c>
      <c r="Y50" s="102">
        <v>0</v>
      </c>
      <c r="Z50" s="102">
        <v>0</v>
      </c>
      <c r="AA50" s="102">
        <v>0</v>
      </c>
      <c r="AB50" s="102">
        <v>0</v>
      </c>
      <c r="AC50" s="102">
        <v>0</v>
      </c>
      <c r="AD50" s="102">
        <v>0</v>
      </c>
      <c r="AE50" s="102">
        <v>0</v>
      </c>
      <c r="AF50" s="102">
        <v>0</v>
      </c>
      <c r="AG50" s="86">
        <v>11</v>
      </c>
      <c r="AH50" s="12">
        <f t="shared" ref="AH50:AH81" si="22">MAX(B50:AF50)</f>
        <v>2.5</v>
      </c>
      <c r="AI50" s="11">
        <f t="shared" ref="AI50:AI81" si="23">MIN(B50:AF50)</f>
        <v>0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25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22"/>
        <v>3</v>
      </c>
      <c r="AI51" s="11">
        <f t="shared" si="23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25">
      <c r="A52" s="87" t="s">
        <v>215</v>
      </c>
      <c r="B52" s="102">
        <v>4</v>
      </c>
      <c r="C52" s="102">
        <v>4</v>
      </c>
      <c r="D52" s="102">
        <v>4</v>
      </c>
      <c r="E52" s="102">
        <v>4</v>
      </c>
      <c r="F52" s="102">
        <v>4</v>
      </c>
      <c r="G52" s="102">
        <v>4</v>
      </c>
      <c r="H52" s="102">
        <v>4</v>
      </c>
      <c r="I52" s="102">
        <v>4</v>
      </c>
      <c r="J52" s="102">
        <v>4</v>
      </c>
      <c r="K52" s="102">
        <v>4</v>
      </c>
      <c r="L52" s="102">
        <v>4</v>
      </c>
      <c r="M52" s="102">
        <v>4</v>
      </c>
      <c r="N52" s="102">
        <v>4</v>
      </c>
      <c r="O52" s="102">
        <v>4</v>
      </c>
      <c r="P52" s="102">
        <v>4</v>
      </c>
      <c r="Q52" s="102">
        <v>4</v>
      </c>
      <c r="R52" s="102">
        <v>4</v>
      </c>
      <c r="S52" s="102">
        <v>4</v>
      </c>
      <c r="T52" s="102">
        <v>4</v>
      </c>
      <c r="U52" s="102">
        <v>4</v>
      </c>
      <c r="V52" s="102">
        <v>4</v>
      </c>
      <c r="W52" s="102">
        <v>4</v>
      </c>
      <c r="X52" s="102">
        <v>4</v>
      </c>
      <c r="Y52" s="102">
        <v>4</v>
      </c>
      <c r="Z52" s="102">
        <v>4</v>
      </c>
      <c r="AA52" s="102">
        <v>4</v>
      </c>
      <c r="AB52" s="102">
        <v>4</v>
      </c>
      <c r="AC52" s="102">
        <v>4</v>
      </c>
      <c r="AD52" s="102">
        <v>4</v>
      </c>
      <c r="AE52" s="102">
        <v>4</v>
      </c>
      <c r="AF52" s="102">
        <v>4</v>
      </c>
      <c r="AG52" s="86">
        <v>10</v>
      </c>
      <c r="AH52" s="12">
        <f t="shared" si="22"/>
        <v>4</v>
      </c>
      <c r="AI52" s="11">
        <f t="shared" si="23"/>
        <v>4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25">
      <c r="A53" s="87" t="s">
        <v>214</v>
      </c>
      <c r="B53" s="102">
        <v>4.5</v>
      </c>
      <c r="C53" s="102">
        <v>4.5</v>
      </c>
      <c r="D53" s="102">
        <v>4.5</v>
      </c>
      <c r="E53" s="102">
        <v>4.5</v>
      </c>
      <c r="F53" s="102">
        <v>4.5</v>
      </c>
      <c r="G53" s="102">
        <v>4.5</v>
      </c>
      <c r="H53" s="102">
        <v>4.5</v>
      </c>
      <c r="I53" s="102">
        <v>4.5</v>
      </c>
      <c r="J53" s="102">
        <v>4.5</v>
      </c>
      <c r="K53" s="102">
        <v>4.5</v>
      </c>
      <c r="L53" s="102">
        <v>4.5</v>
      </c>
      <c r="M53" s="102">
        <v>4.5</v>
      </c>
      <c r="N53" s="102">
        <v>4.5</v>
      </c>
      <c r="O53" s="102">
        <v>4.5</v>
      </c>
      <c r="P53" s="102">
        <v>4.5</v>
      </c>
      <c r="Q53" s="102">
        <v>4.5</v>
      </c>
      <c r="R53" s="102">
        <v>0</v>
      </c>
      <c r="S53" s="102">
        <v>0</v>
      </c>
      <c r="T53" s="102">
        <v>0</v>
      </c>
      <c r="U53" s="102">
        <v>0</v>
      </c>
      <c r="V53" s="102">
        <v>0</v>
      </c>
      <c r="W53" s="102">
        <v>0</v>
      </c>
      <c r="X53" s="102">
        <v>0</v>
      </c>
      <c r="Y53" s="102">
        <v>0</v>
      </c>
      <c r="Z53" s="102">
        <v>0</v>
      </c>
      <c r="AA53" s="102">
        <v>0</v>
      </c>
      <c r="AB53" s="102">
        <v>0</v>
      </c>
      <c r="AC53" s="102">
        <v>0</v>
      </c>
      <c r="AD53" s="102">
        <v>0</v>
      </c>
      <c r="AE53" s="102">
        <v>0</v>
      </c>
      <c r="AF53" s="102">
        <v>0</v>
      </c>
      <c r="AG53" s="86">
        <v>10</v>
      </c>
      <c r="AH53" s="12">
        <f t="shared" si="22"/>
        <v>4.5</v>
      </c>
      <c r="AI53" s="11">
        <f t="shared" si="23"/>
        <v>0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25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22"/>
        <v>0</v>
      </c>
      <c r="AI54" s="11">
        <f t="shared" si="23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25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22"/>
        <v>0</v>
      </c>
      <c r="AI55" s="11">
        <f t="shared" si="23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25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22"/>
        <v>150</v>
      </c>
      <c r="AI56" s="11">
        <f t="shared" si="23"/>
        <v>150</v>
      </c>
      <c r="AK56" s="19"/>
    </row>
    <row r="57" spans="1:88" ht="15.75" thickBot="1" x14ac:dyDescent="0.3">
      <c r="A57" s="124" t="s">
        <v>210</v>
      </c>
      <c r="B57" s="122">
        <f>21+31.7</f>
        <v>52.7</v>
      </c>
      <c r="C57" s="122">
        <f>21.4+33</f>
        <v>54.4</v>
      </c>
      <c r="D57" s="122">
        <f>21.6+33.4</f>
        <v>55</v>
      </c>
      <c r="E57" s="122">
        <f>39.5+23.4</f>
        <v>62.9</v>
      </c>
      <c r="F57" s="122">
        <f>46.7+28.5</f>
        <v>75.2</v>
      </c>
      <c r="G57" s="122">
        <f>43.9+28.6</f>
        <v>72.5</v>
      </c>
      <c r="H57" s="122">
        <f>43.6+26.6</f>
        <v>70.2</v>
      </c>
      <c r="I57" s="122">
        <f>55+30.1</f>
        <v>85.1</v>
      </c>
      <c r="J57" s="122">
        <f>54.7+29</f>
        <v>83.7</v>
      </c>
      <c r="K57" s="123">
        <f>54.6+29.2</f>
        <v>83.8</v>
      </c>
      <c r="L57" s="123">
        <v>77.7</v>
      </c>
      <c r="M57" s="123">
        <v>76.2</v>
      </c>
      <c r="N57" s="123">
        <v>76.2</v>
      </c>
      <c r="O57" s="123">
        <v>76.2</v>
      </c>
      <c r="P57" s="123">
        <v>66.2</v>
      </c>
      <c r="Q57" s="123">
        <f>45+22</f>
        <v>67</v>
      </c>
      <c r="R57" s="123">
        <f>45+22</f>
        <v>67</v>
      </c>
      <c r="S57" s="123">
        <f>19.9+37.1</f>
        <v>57</v>
      </c>
      <c r="T57" s="123">
        <f>19.9+37.1</f>
        <v>57</v>
      </c>
      <c r="U57" s="123">
        <f>19.9+37.1</f>
        <v>57</v>
      </c>
      <c r="V57" s="123">
        <f>19.9+37.1</f>
        <v>57</v>
      </c>
      <c r="W57" s="123">
        <v>52</v>
      </c>
      <c r="X57" s="123">
        <v>47.2</v>
      </c>
      <c r="Y57" s="123">
        <v>47.2</v>
      </c>
      <c r="Z57" s="123">
        <v>47.2</v>
      </c>
      <c r="AA57" s="123">
        <v>47.2</v>
      </c>
      <c r="AB57" s="123">
        <v>47.2</v>
      </c>
      <c r="AC57" s="123">
        <v>47.2</v>
      </c>
      <c r="AD57" s="123">
        <v>47.2</v>
      </c>
      <c r="AE57" s="123">
        <v>47.2</v>
      </c>
      <c r="AF57" s="123">
        <v>47.2</v>
      </c>
      <c r="AG57" s="86">
        <v>240</v>
      </c>
      <c r="AH57" s="12">
        <f t="shared" si="22"/>
        <v>85.1</v>
      </c>
      <c r="AI57" s="11">
        <f t="shared" si="23"/>
        <v>47.2</v>
      </c>
      <c r="AK57" s="19"/>
    </row>
    <row r="58" spans="1:88" ht="15.75" thickBot="1" x14ac:dyDescent="0.3">
      <c r="A58" s="121" t="s">
        <v>209</v>
      </c>
      <c r="B58" s="76">
        <f t="shared" ref="B58:AF58" si="24">SUM(B11:B56)</f>
        <v>483.09999999999991</v>
      </c>
      <c r="C58" s="76">
        <f t="shared" si="24"/>
        <v>481.99999999999994</v>
      </c>
      <c r="D58" s="76">
        <f t="shared" si="24"/>
        <v>488.09999999999991</v>
      </c>
      <c r="E58" s="76">
        <f t="shared" si="24"/>
        <v>484.09999999999991</v>
      </c>
      <c r="F58" s="76">
        <f t="shared" si="24"/>
        <v>483.09999999999991</v>
      </c>
      <c r="G58" s="76">
        <f t="shared" si="24"/>
        <v>483.09999999999991</v>
      </c>
      <c r="H58" s="76">
        <f t="shared" si="24"/>
        <v>485.19999999999993</v>
      </c>
      <c r="I58" s="76">
        <f t="shared" si="24"/>
        <v>485.19999999999993</v>
      </c>
      <c r="J58" s="76">
        <f t="shared" si="24"/>
        <v>485.69999999999993</v>
      </c>
      <c r="K58" s="76">
        <f t="shared" si="24"/>
        <v>480.2</v>
      </c>
      <c r="L58" s="76">
        <f t="shared" si="24"/>
        <v>483.4</v>
      </c>
      <c r="M58" s="76">
        <f t="shared" si="24"/>
        <v>483.4</v>
      </c>
      <c r="N58" s="76">
        <f t="shared" si="24"/>
        <v>483.4</v>
      </c>
      <c r="O58" s="76">
        <f t="shared" si="24"/>
        <v>483.4</v>
      </c>
      <c r="P58" s="76">
        <f t="shared" si="24"/>
        <v>482.69999999999993</v>
      </c>
      <c r="Q58" s="76">
        <f t="shared" si="24"/>
        <v>482.69999999999993</v>
      </c>
      <c r="R58" s="76">
        <f t="shared" si="24"/>
        <v>456.69999999999993</v>
      </c>
      <c r="S58" s="76">
        <f t="shared" si="24"/>
        <v>456.69999999999993</v>
      </c>
      <c r="T58" s="76">
        <f t="shared" si="24"/>
        <v>466.29999999999995</v>
      </c>
      <c r="U58" s="76">
        <f t="shared" si="24"/>
        <v>466.29999999999995</v>
      </c>
      <c r="V58" s="76">
        <f t="shared" si="24"/>
        <v>466.29999999999995</v>
      </c>
      <c r="W58" s="76">
        <f t="shared" si="24"/>
        <v>470.89999999999992</v>
      </c>
      <c r="X58" s="76">
        <f t="shared" si="24"/>
        <v>469.2</v>
      </c>
      <c r="Y58" s="76">
        <f t="shared" si="24"/>
        <v>469.2</v>
      </c>
      <c r="Z58" s="76">
        <f t="shared" si="24"/>
        <v>469.2</v>
      </c>
      <c r="AA58" s="76">
        <f t="shared" si="24"/>
        <v>469.2</v>
      </c>
      <c r="AB58" s="76">
        <f t="shared" si="24"/>
        <v>469.2</v>
      </c>
      <c r="AC58" s="76">
        <f t="shared" si="24"/>
        <v>469.2</v>
      </c>
      <c r="AD58" s="76">
        <f t="shared" si="24"/>
        <v>469.2</v>
      </c>
      <c r="AE58" s="76">
        <f t="shared" si="24"/>
        <v>469.2</v>
      </c>
      <c r="AF58" s="76">
        <f t="shared" si="24"/>
        <v>469.2</v>
      </c>
      <c r="AG58" s="93">
        <f>SUM(AG14:AG56)</f>
        <v>1042.4000000000001</v>
      </c>
      <c r="AH58" s="12">
        <f t="shared" si="22"/>
        <v>488.09999999999991</v>
      </c>
      <c r="AI58" s="11">
        <f t="shared" si="23"/>
        <v>456.69999999999993</v>
      </c>
      <c r="AK58" s="19"/>
    </row>
    <row r="59" spans="1:88" x14ac:dyDescent="0.25">
      <c r="A59" s="120" t="s">
        <v>208</v>
      </c>
      <c r="B59" s="102">
        <v>60.5</v>
      </c>
      <c r="C59" s="102">
        <v>60.5</v>
      </c>
      <c r="D59" s="102">
        <v>60.4</v>
      </c>
      <c r="E59" s="102">
        <v>60.4</v>
      </c>
      <c r="F59" s="102">
        <v>60.4</v>
      </c>
      <c r="G59" s="102">
        <v>60.3</v>
      </c>
      <c r="H59" s="102">
        <v>140</v>
      </c>
      <c r="I59" s="102">
        <v>152.69999999999999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02">
        <v>0</v>
      </c>
      <c r="X59" s="102">
        <v>0</v>
      </c>
      <c r="Y59" s="102">
        <v>275</v>
      </c>
      <c r="Z59" s="102">
        <v>361.4</v>
      </c>
      <c r="AA59" s="102">
        <v>321.60000000000002</v>
      </c>
      <c r="AB59" s="102">
        <v>284</v>
      </c>
      <c r="AC59" s="102">
        <v>284</v>
      </c>
      <c r="AD59" s="102">
        <v>260</v>
      </c>
      <c r="AE59" s="102">
        <v>260</v>
      </c>
      <c r="AF59" s="102">
        <v>260</v>
      </c>
      <c r="AG59" s="88">
        <v>456</v>
      </c>
      <c r="AH59" s="12">
        <f t="shared" si="22"/>
        <v>361.4</v>
      </c>
      <c r="AI59" s="11">
        <f t="shared" si="23"/>
        <v>0</v>
      </c>
      <c r="AK59" s="19"/>
    </row>
    <row r="60" spans="1:88" x14ac:dyDescent="0.25">
      <c r="A60" s="118" t="s">
        <v>207</v>
      </c>
      <c r="B60" s="70">
        <v>25.1</v>
      </c>
      <c r="C60" s="70">
        <v>25.3</v>
      </c>
      <c r="D60" s="70">
        <v>25.6</v>
      </c>
      <c r="E60" s="70">
        <v>25.6</v>
      </c>
      <c r="F60" s="70">
        <v>25.6</v>
      </c>
      <c r="G60" s="70">
        <v>25.6</v>
      </c>
      <c r="H60" s="70">
        <v>25</v>
      </c>
      <c r="I60" s="70">
        <v>25</v>
      </c>
      <c r="J60" s="70">
        <v>25</v>
      </c>
      <c r="K60" s="70">
        <v>25</v>
      </c>
      <c r="L60" s="70">
        <v>25</v>
      </c>
      <c r="M60" s="70">
        <v>25</v>
      </c>
      <c r="N60" s="70">
        <v>25</v>
      </c>
      <c r="O60" s="70">
        <v>29.5</v>
      </c>
      <c r="P60" s="70">
        <v>29.5</v>
      </c>
      <c r="Q60" s="70">
        <v>29.5</v>
      </c>
      <c r="R60" s="70">
        <v>29.5</v>
      </c>
      <c r="S60" s="70">
        <v>24.3</v>
      </c>
      <c r="T60" s="70">
        <v>23.7</v>
      </c>
      <c r="U60" s="70">
        <v>24.3</v>
      </c>
      <c r="V60" s="70">
        <v>22.7</v>
      </c>
      <c r="W60" s="70">
        <v>23</v>
      </c>
      <c r="X60" s="70">
        <v>23.3</v>
      </c>
      <c r="Y60" s="70">
        <v>23.8</v>
      </c>
      <c r="Z60" s="70">
        <v>22.5</v>
      </c>
      <c r="AA60" s="70">
        <v>22.5</v>
      </c>
      <c r="AB60" s="70">
        <v>22.5</v>
      </c>
      <c r="AC60" s="70">
        <v>22.5</v>
      </c>
      <c r="AD60" s="70">
        <v>22.5</v>
      </c>
      <c r="AE60" s="70">
        <v>22.5</v>
      </c>
      <c r="AF60" s="70">
        <v>22.5</v>
      </c>
      <c r="AG60" s="86">
        <v>60</v>
      </c>
      <c r="AH60" s="12">
        <f t="shared" si="22"/>
        <v>29.5</v>
      </c>
      <c r="AI60" s="11">
        <f t="shared" si="23"/>
        <v>22.5</v>
      </c>
      <c r="AK60" s="19"/>
    </row>
    <row r="61" spans="1:88" ht="15.75" thickBot="1" x14ac:dyDescent="0.3">
      <c r="A61" s="117" t="s">
        <v>206</v>
      </c>
      <c r="B61" s="110">
        <v>12.2</v>
      </c>
      <c r="C61" s="110">
        <v>13.5</v>
      </c>
      <c r="D61" s="110">
        <v>13.5</v>
      </c>
      <c r="E61" s="110">
        <v>13.5</v>
      </c>
      <c r="F61" s="110">
        <v>13.4</v>
      </c>
      <c r="G61" s="110">
        <v>13.5</v>
      </c>
      <c r="H61" s="110">
        <v>13.4</v>
      </c>
      <c r="I61" s="110">
        <v>13.4</v>
      </c>
      <c r="J61" s="110">
        <v>13.5</v>
      </c>
      <c r="K61" s="110">
        <v>13.5</v>
      </c>
      <c r="L61" s="110">
        <v>13.5</v>
      </c>
      <c r="M61" s="110">
        <v>13.5</v>
      </c>
      <c r="N61" s="110">
        <v>13.5</v>
      </c>
      <c r="O61" s="110">
        <v>5.2</v>
      </c>
      <c r="P61" s="110">
        <v>11.9</v>
      </c>
      <c r="Q61" s="110">
        <v>11.9</v>
      </c>
      <c r="R61" s="110">
        <v>11.9</v>
      </c>
      <c r="S61" s="110">
        <v>11.9</v>
      </c>
      <c r="T61" s="110">
        <v>10.8</v>
      </c>
      <c r="U61" s="110">
        <v>10.8</v>
      </c>
      <c r="V61" s="110">
        <v>10.8</v>
      </c>
      <c r="W61" s="110">
        <v>10.8</v>
      </c>
      <c r="X61" s="110">
        <v>10.8</v>
      </c>
      <c r="Y61" s="110">
        <v>16.3</v>
      </c>
      <c r="Z61" s="110">
        <v>16.2</v>
      </c>
      <c r="AA61" s="110">
        <v>16.3</v>
      </c>
      <c r="AB61" s="110">
        <v>16.3</v>
      </c>
      <c r="AC61" s="110">
        <v>16.3</v>
      </c>
      <c r="AD61" s="110">
        <v>16.3</v>
      </c>
      <c r="AE61" s="110">
        <v>16.3</v>
      </c>
      <c r="AF61" s="110">
        <v>16.3</v>
      </c>
      <c r="AG61" s="109">
        <v>22.1</v>
      </c>
      <c r="AH61" s="12">
        <f t="shared" si="22"/>
        <v>16.3</v>
      </c>
      <c r="AI61" s="11">
        <f t="shared" si="23"/>
        <v>5.2</v>
      </c>
      <c r="AK61" s="19"/>
    </row>
    <row r="62" spans="1:88" ht="15.75" thickBot="1" x14ac:dyDescent="0.3">
      <c r="A62" s="116" t="s">
        <v>205</v>
      </c>
      <c r="B62" s="76">
        <f t="shared" ref="B62:AG62" si="25">SUM(B59:B61)</f>
        <v>97.8</v>
      </c>
      <c r="C62" s="76">
        <f t="shared" si="25"/>
        <v>99.3</v>
      </c>
      <c r="D62" s="76">
        <f t="shared" si="25"/>
        <v>99.5</v>
      </c>
      <c r="E62" s="76">
        <f t="shared" si="25"/>
        <v>99.5</v>
      </c>
      <c r="F62" s="76">
        <f t="shared" si="25"/>
        <v>99.4</v>
      </c>
      <c r="G62" s="76">
        <f t="shared" si="25"/>
        <v>99.4</v>
      </c>
      <c r="H62" s="76">
        <f t="shared" si="25"/>
        <v>178.4</v>
      </c>
      <c r="I62" s="76">
        <f t="shared" si="25"/>
        <v>191.1</v>
      </c>
      <c r="J62" s="76">
        <f t="shared" si="25"/>
        <v>38.5</v>
      </c>
      <c r="K62" s="76">
        <f t="shared" si="25"/>
        <v>38.5</v>
      </c>
      <c r="L62" s="76">
        <f t="shared" si="25"/>
        <v>38.5</v>
      </c>
      <c r="M62" s="76">
        <f t="shared" si="25"/>
        <v>38.5</v>
      </c>
      <c r="N62" s="76">
        <f t="shared" si="25"/>
        <v>38.5</v>
      </c>
      <c r="O62" s="76">
        <f t="shared" si="25"/>
        <v>34.700000000000003</v>
      </c>
      <c r="P62" s="76">
        <f t="shared" si="25"/>
        <v>41.4</v>
      </c>
      <c r="Q62" s="76">
        <f t="shared" si="25"/>
        <v>41.4</v>
      </c>
      <c r="R62" s="76">
        <f t="shared" si="25"/>
        <v>41.4</v>
      </c>
      <c r="S62" s="76">
        <f t="shared" si="25"/>
        <v>36.200000000000003</v>
      </c>
      <c r="T62" s="76">
        <f t="shared" si="25"/>
        <v>34.5</v>
      </c>
      <c r="U62" s="76">
        <f t="shared" si="25"/>
        <v>35.1</v>
      </c>
      <c r="V62" s="76">
        <f t="shared" si="25"/>
        <v>33.5</v>
      </c>
      <c r="W62" s="76">
        <f t="shared" si="25"/>
        <v>33.799999999999997</v>
      </c>
      <c r="X62" s="76">
        <f t="shared" si="25"/>
        <v>34.1</v>
      </c>
      <c r="Y62" s="76">
        <f t="shared" si="25"/>
        <v>315.10000000000002</v>
      </c>
      <c r="Z62" s="76">
        <f t="shared" si="25"/>
        <v>400.09999999999997</v>
      </c>
      <c r="AA62" s="76">
        <f t="shared" si="25"/>
        <v>360.40000000000003</v>
      </c>
      <c r="AB62" s="76">
        <f t="shared" si="25"/>
        <v>322.8</v>
      </c>
      <c r="AC62" s="76">
        <f t="shared" si="25"/>
        <v>322.8</v>
      </c>
      <c r="AD62" s="76">
        <f t="shared" si="25"/>
        <v>298.8</v>
      </c>
      <c r="AE62" s="76">
        <f t="shared" si="25"/>
        <v>298.8</v>
      </c>
      <c r="AF62" s="76">
        <f t="shared" si="25"/>
        <v>298.8</v>
      </c>
      <c r="AG62" s="93">
        <f t="shared" si="25"/>
        <v>538.1</v>
      </c>
      <c r="AH62" s="12">
        <f t="shared" si="22"/>
        <v>400.09999999999997</v>
      </c>
      <c r="AI62" s="11">
        <f t="shared" si="23"/>
        <v>33.5</v>
      </c>
      <c r="AK62" s="19"/>
    </row>
    <row r="63" spans="1:88" x14ac:dyDescent="0.25">
      <c r="A63" s="89" t="s">
        <v>204</v>
      </c>
      <c r="B63" s="102">
        <v>53.1</v>
      </c>
      <c r="C63" s="102">
        <v>40.299999999999997</v>
      </c>
      <c r="D63" s="102">
        <v>30.2</v>
      </c>
      <c r="E63" s="102">
        <v>31</v>
      </c>
      <c r="F63" s="102">
        <v>31.9</v>
      </c>
      <c r="G63" s="102">
        <v>30.7</v>
      </c>
      <c r="H63" s="102">
        <v>31</v>
      </c>
      <c r="I63" s="102">
        <v>65</v>
      </c>
      <c r="J63" s="102">
        <v>70</v>
      </c>
      <c r="K63" s="102">
        <v>80</v>
      </c>
      <c r="L63" s="102">
        <v>80.3</v>
      </c>
      <c r="M63" s="102">
        <v>80.8</v>
      </c>
      <c r="N63" s="102">
        <v>61</v>
      </c>
      <c r="O63" s="102">
        <v>96</v>
      </c>
      <c r="P63" s="102">
        <v>96.5</v>
      </c>
      <c r="Q63" s="102">
        <v>62.5</v>
      </c>
      <c r="R63" s="102">
        <v>75</v>
      </c>
      <c r="S63" s="102">
        <v>96.4</v>
      </c>
      <c r="T63" s="102">
        <v>71.900000000000006</v>
      </c>
      <c r="U63" s="102">
        <v>56.7</v>
      </c>
      <c r="V63" s="102">
        <v>30</v>
      </c>
      <c r="W63" s="102">
        <v>0</v>
      </c>
      <c r="X63" s="102">
        <v>0</v>
      </c>
      <c r="Y63" s="102">
        <v>48.2</v>
      </c>
      <c r="Z63" s="102">
        <v>121</v>
      </c>
      <c r="AA63" s="102">
        <v>121.6</v>
      </c>
      <c r="AB63" s="102">
        <v>115</v>
      </c>
      <c r="AC63" s="102">
        <v>100</v>
      </c>
      <c r="AD63" s="102">
        <v>70</v>
      </c>
      <c r="AE63" s="102">
        <v>30</v>
      </c>
      <c r="AF63" s="102">
        <v>30</v>
      </c>
      <c r="AG63" s="88">
        <v>144</v>
      </c>
      <c r="AH63" s="12">
        <f t="shared" si="22"/>
        <v>121.6</v>
      </c>
      <c r="AI63" s="11">
        <f t="shared" si="23"/>
        <v>0</v>
      </c>
      <c r="AK63" s="19"/>
    </row>
    <row r="64" spans="1:88" x14ac:dyDescent="0.25">
      <c r="A64" s="87" t="s">
        <v>203</v>
      </c>
      <c r="B64" s="102">
        <v>24.7</v>
      </c>
      <c r="C64" s="102">
        <v>24.8</v>
      </c>
      <c r="D64" s="102">
        <v>24.9</v>
      </c>
      <c r="E64" s="70">
        <v>0</v>
      </c>
      <c r="F64" s="70">
        <v>0</v>
      </c>
      <c r="G64" s="70">
        <v>0</v>
      </c>
      <c r="H64" s="70">
        <v>34</v>
      </c>
      <c r="I64" s="70">
        <v>56.3</v>
      </c>
      <c r="J64" s="70">
        <v>50</v>
      </c>
      <c r="K64" s="70">
        <v>50</v>
      </c>
      <c r="L64" s="70">
        <v>68.099999999999994</v>
      </c>
      <c r="M64" s="70">
        <v>58.8</v>
      </c>
      <c r="N64" s="70">
        <v>25</v>
      </c>
      <c r="O64" s="70">
        <v>35</v>
      </c>
      <c r="P64" s="70">
        <v>35.9</v>
      </c>
      <c r="Q64" s="70">
        <v>29</v>
      </c>
      <c r="R64" s="70">
        <v>34</v>
      </c>
      <c r="S64" s="70">
        <v>33.200000000000003</v>
      </c>
      <c r="T64" s="70">
        <v>55</v>
      </c>
      <c r="U64" s="70">
        <v>41</v>
      </c>
      <c r="V64" s="70">
        <v>22</v>
      </c>
      <c r="W64" s="102">
        <v>23.7</v>
      </c>
      <c r="X64" s="102">
        <v>22.1</v>
      </c>
      <c r="Y64" s="102">
        <v>68</v>
      </c>
      <c r="Z64" s="102">
        <v>46.8</v>
      </c>
      <c r="AA64" s="102">
        <v>34.1</v>
      </c>
      <c r="AB64" s="102">
        <v>34.1</v>
      </c>
      <c r="AC64" s="102">
        <v>34.1</v>
      </c>
      <c r="AD64" s="102">
        <v>49</v>
      </c>
      <c r="AE64" s="102">
        <v>35</v>
      </c>
      <c r="AF64" s="102">
        <v>35</v>
      </c>
      <c r="AG64" s="86">
        <v>70</v>
      </c>
      <c r="AH64" s="12">
        <f t="shared" si="22"/>
        <v>68.099999999999994</v>
      </c>
      <c r="AI64" s="11">
        <f t="shared" si="23"/>
        <v>0</v>
      </c>
      <c r="AK64" s="19"/>
    </row>
    <row r="65" spans="1:75" x14ac:dyDescent="0.25">
      <c r="A65" s="87" t="s">
        <v>202</v>
      </c>
      <c r="B65" s="102">
        <v>42.3</v>
      </c>
      <c r="C65" s="102">
        <v>32.1</v>
      </c>
      <c r="D65" s="102">
        <v>32.1</v>
      </c>
      <c r="E65" s="70">
        <v>32.299999999999997</v>
      </c>
      <c r="F65" s="70">
        <v>32.4</v>
      </c>
      <c r="G65" s="70">
        <v>32.5</v>
      </c>
      <c r="H65" s="70">
        <v>32.5</v>
      </c>
      <c r="I65" s="70">
        <v>45</v>
      </c>
      <c r="J65" s="70">
        <v>35</v>
      </c>
      <c r="K65" s="70">
        <v>33.4</v>
      </c>
      <c r="L65" s="70">
        <v>69</v>
      </c>
      <c r="M65" s="70">
        <v>66.8</v>
      </c>
      <c r="N65" s="70">
        <v>46</v>
      </c>
      <c r="O65" s="70">
        <v>46</v>
      </c>
      <c r="P65" s="70">
        <v>46</v>
      </c>
      <c r="Q65" s="70">
        <v>16</v>
      </c>
      <c r="R65" s="70">
        <v>23</v>
      </c>
      <c r="S65" s="70">
        <v>22.9</v>
      </c>
      <c r="T65" s="70">
        <v>16.2</v>
      </c>
      <c r="U65" s="70">
        <v>15.9</v>
      </c>
      <c r="V65" s="70">
        <v>15.9</v>
      </c>
      <c r="W65" s="102">
        <v>15.9</v>
      </c>
      <c r="X65" s="102">
        <v>15.9</v>
      </c>
      <c r="Y65" s="102">
        <v>45</v>
      </c>
      <c r="Z65" s="102">
        <v>56.6</v>
      </c>
      <c r="AA65" s="102">
        <v>56.8</v>
      </c>
      <c r="AB65" s="102">
        <v>56.8</v>
      </c>
      <c r="AC65" s="102">
        <v>56.8</v>
      </c>
      <c r="AD65" s="102">
        <v>50</v>
      </c>
      <c r="AE65" s="102">
        <v>50</v>
      </c>
      <c r="AF65" s="102">
        <v>40</v>
      </c>
      <c r="AG65" s="86">
        <v>69</v>
      </c>
      <c r="AH65" s="12">
        <f t="shared" si="22"/>
        <v>69</v>
      </c>
      <c r="AI65" s="11">
        <f t="shared" si="23"/>
        <v>15.9</v>
      </c>
      <c r="AK65" s="19"/>
    </row>
    <row r="66" spans="1:75" x14ac:dyDescent="0.25">
      <c r="A66" s="87" t="s">
        <v>201</v>
      </c>
      <c r="B66" s="102">
        <v>40.1</v>
      </c>
      <c r="C66" s="102">
        <v>38.299999999999997</v>
      </c>
      <c r="D66" s="102">
        <v>38.5</v>
      </c>
      <c r="E66" s="70">
        <v>38.299999999999997</v>
      </c>
      <c r="F66" s="70">
        <v>40.1</v>
      </c>
      <c r="G66" s="70">
        <v>42.3</v>
      </c>
      <c r="H66" s="70">
        <v>42.3</v>
      </c>
      <c r="I66" s="70">
        <v>42.3</v>
      </c>
      <c r="J66" s="70">
        <v>42.3</v>
      </c>
      <c r="K66" s="122">
        <v>42.3</v>
      </c>
      <c r="L66" s="122">
        <v>42.1</v>
      </c>
      <c r="M66" s="70">
        <v>42.1</v>
      </c>
      <c r="N66" s="70">
        <v>42.1</v>
      </c>
      <c r="O66" s="70">
        <v>42.1</v>
      </c>
      <c r="P66" s="70">
        <v>40</v>
      </c>
      <c r="Q66" s="70">
        <v>40</v>
      </c>
      <c r="R66" s="70">
        <v>40</v>
      </c>
      <c r="S66" s="70">
        <v>38.799999999999997</v>
      </c>
      <c r="T66" s="70">
        <v>38.799999999999997</v>
      </c>
      <c r="U66" s="70">
        <v>38.799999999999997</v>
      </c>
      <c r="V66" s="70">
        <v>38.799999999999997</v>
      </c>
      <c r="W66" s="102">
        <v>38.5</v>
      </c>
      <c r="X66" s="102">
        <v>38.5</v>
      </c>
      <c r="Y66" s="102">
        <v>38.5</v>
      </c>
      <c r="Z66" s="102">
        <v>37.1</v>
      </c>
      <c r="AA66" s="102">
        <v>37.299999999999997</v>
      </c>
      <c r="AB66" s="102">
        <v>37.299999999999997</v>
      </c>
      <c r="AC66" s="102">
        <v>37.299999999999997</v>
      </c>
      <c r="AD66" s="102">
        <v>37.299999999999997</v>
      </c>
      <c r="AE66" s="102">
        <v>37.299999999999997</v>
      </c>
      <c r="AF66" s="102">
        <v>37.299999999999997</v>
      </c>
      <c r="AG66" s="86">
        <v>60</v>
      </c>
      <c r="AH66" s="12">
        <f t="shared" si="22"/>
        <v>42.3</v>
      </c>
      <c r="AI66" s="11">
        <f t="shared" si="23"/>
        <v>37.1</v>
      </c>
      <c r="AK66" s="19"/>
    </row>
    <row r="67" spans="1:75" x14ac:dyDescent="0.25">
      <c r="A67" s="87" t="s">
        <v>200</v>
      </c>
      <c r="B67" s="102">
        <v>0</v>
      </c>
      <c r="C67" s="102">
        <v>0</v>
      </c>
      <c r="D67" s="102">
        <v>0</v>
      </c>
      <c r="E67" s="102">
        <v>0</v>
      </c>
      <c r="F67" s="102">
        <v>0</v>
      </c>
      <c r="G67" s="102">
        <v>0</v>
      </c>
      <c r="H67" s="102">
        <v>0</v>
      </c>
      <c r="I67" s="70">
        <v>10.3</v>
      </c>
      <c r="J67" s="70">
        <v>13</v>
      </c>
      <c r="K67" s="70">
        <v>13</v>
      </c>
      <c r="L67" s="122">
        <v>13</v>
      </c>
      <c r="M67" s="70">
        <v>13</v>
      </c>
      <c r="N67" s="70">
        <v>13</v>
      </c>
      <c r="O67" s="70">
        <v>13</v>
      </c>
      <c r="P67" s="70">
        <v>15</v>
      </c>
      <c r="Q67" s="70">
        <v>15</v>
      </c>
      <c r="R67" s="70">
        <v>15</v>
      </c>
      <c r="S67" s="70">
        <v>14.7</v>
      </c>
      <c r="T67" s="70">
        <v>14.7</v>
      </c>
      <c r="U67" s="70">
        <v>14.7</v>
      </c>
      <c r="V67" s="70">
        <v>10</v>
      </c>
      <c r="W67" s="102">
        <v>10</v>
      </c>
      <c r="X67" s="102">
        <v>10</v>
      </c>
      <c r="Y67" s="102">
        <v>10</v>
      </c>
      <c r="Z67" s="102">
        <v>14.8</v>
      </c>
      <c r="AA67" s="102">
        <v>14.8</v>
      </c>
      <c r="AB67" s="102">
        <v>14.8</v>
      </c>
      <c r="AC67" s="102">
        <v>14.8</v>
      </c>
      <c r="AD67" s="102">
        <v>14.8</v>
      </c>
      <c r="AE67" s="102">
        <v>14.8</v>
      </c>
      <c r="AF67" s="102">
        <v>14.8</v>
      </c>
      <c r="AG67" s="86">
        <v>30</v>
      </c>
      <c r="AH67" s="12">
        <f t="shared" si="22"/>
        <v>15</v>
      </c>
      <c r="AI67" s="11">
        <f t="shared" si="23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25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0.3</v>
      </c>
      <c r="J68" s="102">
        <v>1.7</v>
      </c>
      <c r="K68" s="102">
        <v>2</v>
      </c>
      <c r="L68" s="102">
        <v>2</v>
      </c>
      <c r="M68" s="70">
        <v>5.7</v>
      </c>
      <c r="N68" s="70">
        <v>5.7</v>
      </c>
      <c r="O68" s="70">
        <v>5.7</v>
      </c>
      <c r="P68" s="70">
        <v>13.3</v>
      </c>
      <c r="Q68" s="70">
        <v>13.3</v>
      </c>
      <c r="R68" s="70">
        <v>13.3</v>
      </c>
      <c r="S68" s="70">
        <v>10.1</v>
      </c>
      <c r="T68" s="70">
        <v>8</v>
      </c>
      <c r="U68" s="70">
        <v>4.5</v>
      </c>
      <c r="V68" s="70">
        <v>1.5</v>
      </c>
      <c r="W68" s="102">
        <v>0.7</v>
      </c>
      <c r="X68" s="102">
        <v>0.3</v>
      </c>
      <c r="Y68" s="102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22"/>
        <v>13.3</v>
      </c>
      <c r="AI68" s="11">
        <f t="shared" si="23"/>
        <v>0</v>
      </c>
      <c r="AK68" s="19"/>
      <c r="AY68" s="1" t="s">
        <v>198</v>
      </c>
      <c r="AZ68" s="78">
        <f>ROUND(C81,0)</f>
        <v>49</v>
      </c>
      <c r="BA68" s="83">
        <f t="shared" ref="BA68:BD72" si="26">D81</f>
        <v>45.2</v>
      </c>
      <c r="BB68" s="83">
        <f t="shared" si="26"/>
        <v>42.7</v>
      </c>
      <c r="BC68" s="83">
        <f t="shared" si="26"/>
        <v>41.3</v>
      </c>
      <c r="BD68" s="83">
        <f t="shared" si="26"/>
        <v>41</v>
      </c>
      <c r="BE68" s="78">
        <f>I81</f>
        <v>31.3</v>
      </c>
      <c r="BF68" s="78">
        <f>K81</f>
        <v>65</v>
      </c>
      <c r="BG68" s="78">
        <f t="shared" ref="BG68:BP72" si="27">M81</f>
        <v>69.3</v>
      </c>
      <c r="BH68" s="78">
        <f t="shared" si="27"/>
        <v>73.5</v>
      </c>
      <c r="BI68" s="78">
        <f t="shared" si="27"/>
        <v>66.599999999999994</v>
      </c>
      <c r="BJ68" s="78">
        <f t="shared" si="27"/>
        <v>68.599999999999994</v>
      </c>
      <c r="BK68" s="78">
        <f t="shared" si="27"/>
        <v>69</v>
      </c>
      <c r="BL68" s="78">
        <f t="shared" si="27"/>
        <v>0</v>
      </c>
      <c r="BM68" s="78">
        <f t="shared" si="27"/>
        <v>0</v>
      </c>
      <c r="BN68" s="78">
        <f t="shared" si="27"/>
        <v>75.400000000000006</v>
      </c>
      <c r="BO68" s="78">
        <f t="shared" si="27"/>
        <v>77.2</v>
      </c>
      <c r="BP68" s="78">
        <f t="shared" si="27"/>
        <v>58.5</v>
      </c>
      <c r="BQ68" s="78">
        <f>X81</f>
        <v>66</v>
      </c>
      <c r="BR68" s="78">
        <f>Z81</f>
        <v>41.6</v>
      </c>
      <c r="BS68" s="83">
        <f>AB81</f>
        <v>39</v>
      </c>
      <c r="BT68" s="83">
        <f t="shared" ref="BT68:BV72" si="28">AD81</f>
        <v>41</v>
      </c>
      <c r="BU68" s="83">
        <f t="shared" si="28"/>
        <v>37</v>
      </c>
      <c r="BV68" s="83">
        <f t="shared" si="28"/>
        <v>30</v>
      </c>
      <c r="BW68" s="83">
        <f>B81</f>
        <v>49.5</v>
      </c>
    </row>
    <row r="69" spans="1:75" x14ac:dyDescent="0.25">
      <c r="A69" s="87" t="s">
        <v>197</v>
      </c>
      <c r="B69" s="70">
        <v>14.5</v>
      </c>
      <c r="C69" s="70">
        <v>14.5</v>
      </c>
      <c r="D69" s="70">
        <v>14.5</v>
      </c>
      <c r="E69" s="70">
        <v>14.5</v>
      </c>
      <c r="F69" s="70">
        <v>14.5</v>
      </c>
      <c r="G69" s="70">
        <v>14.5</v>
      </c>
      <c r="H69" s="70">
        <v>14.5</v>
      </c>
      <c r="I69" s="70">
        <v>14.5</v>
      </c>
      <c r="J69" s="70">
        <v>14.5</v>
      </c>
      <c r="K69" s="70">
        <v>14.5</v>
      </c>
      <c r="L69" s="70">
        <v>14.5</v>
      </c>
      <c r="M69" s="70">
        <v>14.5</v>
      </c>
      <c r="N69" s="70">
        <v>14.5</v>
      </c>
      <c r="O69" s="70">
        <v>14.5</v>
      </c>
      <c r="P69" s="70">
        <v>14.5</v>
      </c>
      <c r="Q69" s="70">
        <v>14.5</v>
      </c>
      <c r="R69" s="70">
        <v>14.5</v>
      </c>
      <c r="S69" s="70">
        <v>14.5</v>
      </c>
      <c r="T69" s="70">
        <v>14.5</v>
      </c>
      <c r="U69" s="70">
        <v>14.5</v>
      </c>
      <c r="V69" s="70">
        <v>14.5</v>
      </c>
      <c r="W69" s="70">
        <v>14.5</v>
      </c>
      <c r="X69" s="70">
        <v>14.5</v>
      </c>
      <c r="Y69" s="70">
        <v>14.5</v>
      </c>
      <c r="Z69" s="70">
        <v>14.5</v>
      </c>
      <c r="AA69" s="70">
        <v>14.5</v>
      </c>
      <c r="AB69" s="70">
        <v>14.5</v>
      </c>
      <c r="AC69" s="70">
        <v>14.5</v>
      </c>
      <c r="AD69" s="70">
        <v>14.5</v>
      </c>
      <c r="AE69" s="70">
        <v>14.5</v>
      </c>
      <c r="AF69" s="70">
        <v>14.5</v>
      </c>
      <c r="AG69" s="86">
        <v>24</v>
      </c>
      <c r="AH69" s="12">
        <f t="shared" si="22"/>
        <v>14.5</v>
      </c>
      <c r="AI69" s="11">
        <f t="shared" si="23"/>
        <v>14.5</v>
      </c>
      <c r="AK69" s="19"/>
      <c r="AY69" s="1" t="s">
        <v>196</v>
      </c>
      <c r="AZ69" s="78">
        <f>ROUND(C82,0)</f>
        <v>0</v>
      </c>
      <c r="BA69" s="83">
        <f t="shared" si="26"/>
        <v>0</v>
      </c>
      <c r="BB69" s="83">
        <f t="shared" si="26"/>
        <v>0</v>
      </c>
      <c r="BC69" s="83">
        <f t="shared" si="26"/>
        <v>0</v>
      </c>
      <c r="BD69" s="83">
        <f t="shared" si="26"/>
        <v>0</v>
      </c>
      <c r="BE69" s="78">
        <f>I82</f>
        <v>0</v>
      </c>
      <c r="BF69" s="78">
        <f>K82</f>
        <v>0</v>
      </c>
      <c r="BG69" s="78">
        <f t="shared" si="27"/>
        <v>0</v>
      </c>
      <c r="BH69" s="78">
        <f t="shared" si="27"/>
        <v>0</v>
      </c>
      <c r="BI69" s="78">
        <f t="shared" si="27"/>
        <v>0</v>
      </c>
      <c r="BJ69" s="78">
        <f t="shared" si="27"/>
        <v>0</v>
      </c>
      <c r="BK69" s="78">
        <f t="shared" si="27"/>
        <v>0</v>
      </c>
      <c r="BL69" s="78">
        <f t="shared" si="27"/>
        <v>0</v>
      </c>
      <c r="BM69" s="78">
        <f t="shared" si="27"/>
        <v>0</v>
      </c>
      <c r="BN69" s="78">
        <f t="shared" si="27"/>
        <v>0</v>
      </c>
      <c r="BO69" s="78">
        <f t="shared" si="27"/>
        <v>0</v>
      </c>
      <c r="BP69" s="78">
        <f t="shared" si="27"/>
        <v>0</v>
      </c>
      <c r="BQ69" s="78">
        <f>X82</f>
        <v>0</v>
      </c>
      <c r="BR69" s="78">
        <f>Z82</f>
        <v>0</v>
      </c>
      <c r="BS69" s="83">
        <f>AB82</f>
        <v>0</v>
      </c>
      <c r="BT69" s="83">
        <f t="shared" si="28"/>
        <v>0</v>
      </c>
      <c r="BU69" s="83">
        <f t="shared" si="28"/>
        <v>0</v>
      </c>
      <c r="BV69" s="83">
        <f t="shared" si="28"/>
        <v>0</v>
      </c>
      <c r="BW69" s="83">
        <f>B82</f>
        <v>0</v>
      </c>
    </row>
    <row r="70" spans="1:75" x14ac:dyDescent="0.25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22"/>
        <v>0</v>
      </c>
      <c r="AI70" s="11">
        <f t="shared" si="23"/>
        <v>0</v>
      </c>
      <c r="AK70" s="19"/>
      <c r="AL70" s="115"/>
      <c r="AO70" s="115"/>
      <c r="AY70" s="1" t="s">
        <v>194</v>
      </c>
      <c r="AZ70" s="78">
        <f>ROUND(C83,0)</f>
        <v>207</v>
      </c>
      <c r="BA70" s="83">
        <f t="shared" si="26"/>
        <v>201</v>
      </c>
      <c r="BB70" s="83">
        <f t="shared" si="26"/>
        <v>185.2</v>
      </c>
      <c r="BC70" s="83">
        <f t="shared" si="26"/>
        <v>213</v>
      </c>
      <c r="BD70" s="83">
        <f t="shared" si="26"/>
        <v>214.2</v>
      </c>
      <c r="BE70" s="78">
        <f>I83</f>
        <v>98.4</v>
      </c>
      <c r="BF70" s="78">
        <f>K83</f>
        <v>472</v>
      </c>
      <c r="BG70" s="78">
        <f t="shared" si="27"/>
        <v>499.6</v>
      </c>
      <c r="BH70" s="78">
        <f t="shared" si="27"/>
        <v>516</v>
      </c>
      <c r="BI70" s="78">
        <f t="shared" si="27"/>
        <v>533</v>
      </c>
      <c r="BJ70" s="78">
        <f t="shared" si="27"/>
        <v>547</v>
      </c>
      <c r="BK70" s="78">
        <f t="shared" si="27"/>
        <v>543</v>
      </c>
      <c r="BL70" s="78">
        <f t="shared" si="27"/>
        <v>583</v>
      </c>
      <c r="BM70" s="78">
        <f t="shared" si="27"/>
        <v>550.9</v>
      </c>
      <c r="BN70" s="78">
        <f t="shared" si="27"/>
        <v>537.70000000000005</v>
      </c>
      <c r="BO70" s="78">
        <f t="shared" si="27"/>
        <v>492</v>
      </c>
      <c r="BP70" s="78">
        <f t="shared" si="27"/>
        <v>516</v>
      </c>
      <c r="BQ70" s="78">
        <f>X83</f>
        <v>504</v>
      </c>
      <c r="BR70" s="78">
        <f>Z83</f>
        <v>125</v>
      </c>
      <c r="BS70" s="83">
        <f>AB83</f>
        <v>171</v>
      </c>
      <c r="BT70" s="83">
        <f t="shared" si="28"/>
        <v>210</v>
      </c>
      <c r="BU70" s="83">
        <f t="shared" si="28"/>
        <v>185</v>
      </c>
      <c r="BV70" s="83">
        <f t="shared" si="28"/>
        <v>121</v>
      </c>
      <c r="BW70" s="83">
        <f>B83</f>
        <v>224.6</v>
      </c>
    </row>
    <row r="71" spans="1:75" s="115" customFormat="1" x14ac:dyDescent="0.25">
      <c r="A71" s="87" t="s">
        <v>193</v>
      </c>
      <c r="B71" s="70">
        <v>10.5</v>
      </c>
      <c r="C71" s="70">
        <v>11.3</v>
      </c>
      <c r="D71" s="70">
        <v>11.2</v>
      </c>
      <c r="E71" s="70">
        <v>11.2</v>
      </c>
      <c r="F71" s="70">
        <v>11.2</v>
      </c>
      <c r="G71" s="70">
        <v>11.2</v>
      </c>
      <c r="H71" s="70">
        <v>11.2</v>
      </c>
      <c r="I71" s="70">
        <v>11.2</v>
      </c>
      <c r="J71" s="70">
        <v>11.2</v>
      </c>
      <c r="K71" s="70">
        <v>11.2</v>
      </c>
      <c r="L71" s="70">
        <v>11.2</v>
      </c>
      <c r="M71" s="70">
        <v>11.2</v>
      </c>
      <c r="N71" s="70">
        <v>11.2</v>
      </c>
      <c r="O71" s="70">
        <v>11.2</v>
      </c>
      <c r="P71" s="70">
        <v>11.2</v>
      </c>
      <c r="Q71" s="70">
        <v>11.2</v>
      </c>
      <c r="R71" s="70">
        <v>11.2</v>
      </c>
      <c r="S71" s="70">
        <v>11.2</v>
      </c>
      <c r="T71" s="70">
        <v>11.2</v>
      </c>
      <c r="U71" s="70">
        <v>11.2</v>
      </c>
      <c r="V71" s="70">
        <v>11.2</v>
      </c>
      <c r="W71" s="70">
        <v>11.2</v>
      </c>
      <c r="X71" s="70">
        <v>9.4</v>
      </c>
      <c r="Y71" s="70">
        <v>9.4</v>
      </c>
      <c r="Z71" s="70">
        <v>9.4</v>
      </c>
      <c r="AA71" s="70">
        <v>9.4</v>
      </c>
      <c r="AB71" s="70">
        <v>9.4</v>
      </c>
      <c r="AC71" s="70">
        <v>9.4</v>
      </c>
      <c r="AD71" s="70">
        <v>9.4</v>
      </c>
      <c r="AE71" s="70">
        <v>9.4</v>
      </c>
      <c r="AF71" s="70">
        <v>9.4</v>
      </c>
      <c r="AG71" s="86">
        <v>14.1</v>
      </c>
      <c r="AH71" s="12">
        <f t="shared" si="22"/>
        <v>11.3</v>
      </c>
      <c r="AI71" s="11">
        <f t="shared" si="23"/>
        <v>9.4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26"/>
        <v>0</v>
      </c>
      <c r="BB71" s="83">
        <f t="shared" si="26"/>
        <v>0</v>
      </c>
      <c r="BC71" s="83">
        <f t="shared" si="26"/>
        <v>0</v>
      </c>
      <c r="BD71" s="83">
        <f t="shared" si="26"/>
        <v>0</v>
      </c>
      <c r="BE71" s="78">
        <f>I84</f>
        <v>0</v>
      </c>
      <c r="BF71" s="78">
        <f>K84</f>
        <v>0</v>
      </c>
      <c r="BG71" s="78">
        <f t="shared" si="27"/>
        <v>60.3</v>
      </c>
      <c r="BH71" s="78">
        <f t="shared" si="27"/>
        <v>47</v>
      </c>
      <c r="BI71" s="78">
        <f t="shared" si="27"/>
        <v>42</v>
      </c>
      <c r="BJ71" s="78">
        <f t="shared" si="27"/>
        <v>36.299999999999997</v>
      </c>
      <c r="BK71" s="78">
        <f t="shared" si="27"/>
        <v>60</v>
      </c>
      <c r="BL71" s="78">
        <f t="shared" si="27"/>
        <v>57</v>
      </c>
      <c r="BM71" s="78">
        <f t="shared" si="27"/>
        <v>55.5</v>
      </c>
      <c r="BN71" s="78">
        <f t="shared" si="27"/>
        <v>60.7</v>
      </c>
      <c r="BO71" s="78">
        <f t="shared" si="27"/>
        <v>59.8</v>
      </c>
      <c r="BP71" s="78">
        <f t="shared" si="27"/>
        <v>47.2</v>
      </c>
      <c r="BQ71" s="78">
        <f>X84</f>
        <v>41.3</v>
      </c>
      <c r="BR71" s="78">
        <f>Z84</f>
        <v>35.200000000000003</v>
      </c>
      <c r="BS71" s="83">
        <f>AB84</f>
        <v>15.9</v>
      </c>
      <c r="BT71" s="83">
        <f t="shared" si="28"/>
        <v>15.9</v>
      </c>
      <c r="BU71" s="83">
        <f t="shared" si="28"/>
        <v>13</v>
      </c>
      <c r="BV71" s="83">
        <f t="shared" si="28"/>
        <v>13</v>
      </c>
      <c r="BW71" s="83">
        <f>B84</f>
        <v>0</v>
      </c>
    </row>
    <row r="72" spans="1:75" x14ac:dyDescent="0.25">
      <c r="A72" s="111" t="s">
        <v>191</v>
      </c>
      <c r="B72" s="70">
        <v>7.1</v>
      </c>
      <c r="C72" s="70">
        <v>7.4</v>
      </c>
      <c r="D72" s="70">
        <v>7.4</v>
      </c>
      <c r="E72" s="70">
        <v>7.4</v>
      </c>
      <c r="F72" s="70">
        <v>7.4</v>
      </c>
      <c r="G72" s="70">
        <v>7.4</v>
      </c>
      <c r="H72" s="70">
        <v>7.4</v>
      </c>
      <c r="I72" s="70">
        <v>7.4</v>
      </c>
      <c r="J72" s="70">
        <v>7.4</v>
      </c>
      <c r="K72" s="70">
        <v>7.4</v>
      </c>
      <c r="L72" s="70">
        <v>7.4</v>
      </c>
      <c r="M72" s="70">
        <v>7.4</v>
      </c>
      <c r="N72" s="70">
        <v>7.4</v>
      </c>
      <c r="O72" s="70">
        <v>7.4</v>
      </c>
      <c r="P72" s="70">
        <v>7.4</v>
      </c>
      <c r="Q72" s="70">
        <v>7.4</v>
      </c>
      <c r="R72" s="70">
        <v>7.4</v>
      </c>
      <c r="S72" s="70">
        <v>7.4</v>
      </c>
      <c r="T72" s="70">
        <v>7.4</v>
      </c>
      <c r="U72" s="70">
        <v>7.4</v>
      </c>
      <c r="V72" s="70">
        <v>7.4</v>
      </c>
      <c r="W72" s="70">
        <v>7.4</v>
      </c>
      <c r="X72" s="70">
        <v>5.8</v>
      </c>
      <c r="Y72" s="70">
        <v>5.8</v>
      </c>
      <c r="Z72" s="70">
        <v>5.8</v>
      </c>
      <c r="AA72" s="70">
        <v>5.8</v>
      </c>
      <c r="AB72" s="70">
        <v>5.8</v>
      </c>
      <c r="AC72" s="70">
        <v>5.8</v>
      </c>
      <c r="AD72" s="70">
        <v>5.8</v>
      </c>
      <c r="AE72" s="70">
        <v>5.8</v>
      </c>
      <c r="AF72" s="70">
        <v>5.8</v>
      </c>
      <c r="AG72" s="86">
        <v>14</v>
      </c>
      <c r="AH72" s="12">
        <f t="shared" si="22"/>
        <v>7.4</v>
      </c>
      <c r="AI72" s="11">
        <f t="shared" si="23"/>
        <v>5.8</v>
      </c>
      <c r="AK72" s="19"/>
      <c r="AY72" s="1" t="s">
        <v>190</v>
      </c>
      <c r="AZ72" s="78">
        <f>ROUND(C85,0)</f>
        <v>0</v>
      </c>
      <c r="BA72" s="83">
        <f t="shared" si="26"/>
        <v>0</v>
      </c>
      <c r="BB72" s="83">
        <f t="shared" si="26"/>
        <v>0</v>
      </c>
      <c r="BC72" s="83">
        <f t="shared" si="26"/>
        <v>0</v>
      </c>
      <c r="BD72" s="83">
        <f t="shared" si="26"/>
        <v>0</v>
      </c>
      <c r="BE72" s="78">
        <f>I85</f>
        <v>0</v>
      </c>
      <c r="BF72" s="78">
        <f>K85</f>
        <v>0</v>
      </c>
      <c r="BG72" s="78">
        <f t="shared" si="27"/>
        <v>0</v>
      </c>
      <c r="BH72" s="78">
        <f t="shared" si="27"/>
        <v>0</v>
      </c>
      <c r="BI72" s="78">
        <f t="shared" si="27"/>
        <v>0</v>
      </c>
      <c r="BJ72" s="78">
        <f t="shared" si="27"/>
        <v>0</v>
      </c>
      <c r="BK72" s="78">
        <f t="shared" si="27"/>
        <v>0</v>
      </c>
      <c r="BL72" s="78">
        <f t="shared" si="27"/>
        <v>0</v>
      </c>
      <c r="BM72" s="78">
        <f t="shared" si="27"/>
        <v>145.30000000000001</v>
      </c>
      <c r="BN72" s="78">
        <f t="shared" si="27"/>
        <v>133.5</v>
      </c>
      <c r="BO72" s="78">
        <f t="shared" si="27"/>
        <v>117.4</v>
      </c>
      <c r="BP72" s="78">
        <f t="shared" si="27"/>
        <v>149.19999999999999</v>
      </c>
      <c r="BQ72" s="78">
        <f>X85</f>
        <v>103.2</v>
      </c>
      <c r="BR72" s="78">
        <f>Z85</f>
        <v>0</v>
      </c>
      <c r="BS72" s="83">
        <f>AB85</f>
        <v>0</v>
      </c>
      <c r="BT72" s="83">
        <f t="shared" si="28"/>
        <v>0</v>
      </c>
      <c r="BU72" s="83">
        <f t="shared" si="28"/>
        <v>0</v>
      </c>
      <c r="BV72" s="83">
        <f t="shared" si="28"/>
        <v>0</v>
      </c>
      <c r="BW72" s="83">
        <f>B85</f>
        <v>0</v>
      </c>
    </row>
    <row r="73" spans="1:75" x14ac:dyDescent="0.25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22"/>
        <v>4</v>
      </c>
      <c r="AI73" s="11">
        <f t="shared" si="23"/>
        <v>4</v>
      </c>
      <c r="AK73" s="19"/>
      <c r="AY73" s="1" t="s">
        <v>188</v>
      </c>
      <c r="AZ73" s="78">
        <f>ROUND(C91,0)</f>
        <v>44</v>
      </c>
      <c r="BA73" s="78">
        <f>D91</f>
        <v>43.6</v>
      </c>
      <c r="BB73" s="78">
        <f>E91</f>
        <v>40</v>
      </c>
      <c r="BC73" s="78">
        <f>F91</f>
        <v>35</v>
      </c>
      <c r="BD73" s="78">
        <f>G91</f>
        <v>34</v>
      </c>
      <c r="BE73" s="78">
        <f>I91</f>
        <v>38.799999999999997</v>
      </c>
      <c r="BF73" s="78">
        <f>K91</f>
        <v>42.1</v>
      </c>
      <c r="BG73" s="78">
        <f t="shared" ref="BG73:BP73" si="29">M91</f>
        <v>45.8</v>
      </c>
      <c r="BH73" s="78">
        <f t="shared" si="29"/>
        <v>47.8</v>
      </c>
      <c r="BI73" s="78">
        <f t="shared" si="29"/>
        <v>39</v>
      </c>
      <c r="BJ73" s="78">
        <f t="shared" si="29"/>
        <v>116.6</v>
      </c>
      <c r="BK73" s="78">
        <f t="shared" si="29"/>
        <v>43</v>
      </c>
      <c r="BL73" s="78">
        <f t="shared" si="29"/>
        <v>51</v>
      </c>
      <c r="BM73" s="78">
        <f t="shared" si="29"/>
        <v>48.8</v>
      </c>
      <c r="BN73" s="78">
        <f t="shared" si="29"/>
        <v>48</v>
      </c>
      <c r="BO73" s="78">
        <f t="shared" si="29"/>
        <v>55</v>
      </c>
      <c r="BP73" s="78">
        <f t="shared" si="29"/>
        <v>48.9</v>
      </c>
      <c r="BQ73" s="78">
        <f>X91</f>
        <v>41.7</v>
      </c>
      <c r="BR73" s="78">
        <f>Z91</f>
        <v>53.7</v>
      </c>
      <c r="BS73" s="78">
        <f>AB91</f>
        <v>47</v>
      </c>
      <c r="BT73" s="78">
        <f>AD91</f>
        <v>48</v>
      </c>
      <c r="BU73" s="78">
        <f>AE91</f>
        <v>50</v>
      </c>
      <c r="BV73" s="78">
        <f>AF91</f>
        <v>53</v>
      </c>
      <c r="BW73" s="78">
        <f>B91</f>
        <v>42.8</v>
      </c>
    </row>
    <row r="74" spans="1:75" x14ac:dyDescent="0.25">
      <c r="A74" s="87" t="s">
        <v>187</v>
      </c>
      <c r="B74" s="70">
        <v>1.2</v>
      </c>
      <c r="C74" s="70">
        <v>1.2</v>
      </c>
      <c r="D74" s="70">
        <v>1.2</v>
      </c>
      <c r="E74" s="70">
        <v>1.2</v>
      </c>
      <c r="F74" s="70">
        <v>1.2</v>
      </c>
      <c r="G74" s="70">
        <v>1.2</v>
      </c>
      <c r="H74" s="70">
        <v>1.2</v>
      </c>
      <c r="I74" s="70">
        <v>1.2</v>
      </c>
      <c r="J74" s="70">
        <v>1.2</v>
      </c>
      <c r="K74" s="70">
        <v>1.2</v>
      </c>
      <c r="L74" s="70">
        <v>1.2</v>
      </c>
      <c r="M74" s="70">
        <v>1.2</v>
      </c>
      <c r="N74" s="70">
        <v>1.2</v>
      </c>
      <c r="O74" s="70">
        <v>1.2</v>
      </c>
      <c r="P74" s="70">
        <v>1.2</v>
      </c>
      <c r="Q74" s="70">
        <v>1.2</v>
      </c>
      <c r="R74" s="70">
        <v>1.2</v>
      </c>
      <c r="S74" s="70">
        <v>1.2</v>
      </c>
      <c r="T74" s="70">
        <v>1.2</v>
      </c>
      <c r="U74" s="70">
        <v>1.2</v>
      </c>
      <c r="V74" s="70">
        <v>1.2</v>
      </c>
      <c r="W74" s="70">
        <v>1.2</v>
      </c>
      <c r="X74" s="70">
        <v>1.2</v>
      </c>
      <c r="Y74" s="70">
        <v>1.2</v>
      </c>
      <c r="Z74" s="70">
        <v>1.2</v>
      </c>
      <c r="AA74" s="70">
        <v>1.2</v>
      </c>
      <c r="AB74" s="70">
        <v>1.2</v>
      </c>
      <c r="AC74" s="70">
        <v>1.2</v>
      </c>
      <c r="AD74" s="70">
        <v>1.2</v>
      </c>
      <c r="AE74" s="70">
        <v>1.2</v>
      </c>
      <c r="AF74" s="70">
        <v>1.2</v>
      </c>
      <c r="AG74" s="86">
        <v>6.2</v>
      </c>
      <c r="AH74" s="12">
        <f t="shared" si="22"/>
        <v>1.2</v>
      </c>
      <c r="AI74" s="11">
        <f t="shared" si="23"/>
        <v>1.2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.75" thickBot="1" x14ac:dyDescent="0.3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5.5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22"/>
        <v>5.5</v>
      </c>
      <c r="AI75" s="11">
        <f t="shared" si="23"/>
        <v>3.5</v>
      </c>
      <c r="AK75" s="19"/>
      <c r="AZ75" s="78">
        <f t="shared" ref="AZ75:BW75" si="30">VALUE(AZ68)</f>
        <v>49</v>
      </c>
      <c r="BA75" s="78">
        <f t="shared" si="30"/>
        <v>45.2</v>
      </c>
      <c r="BB75" s="78">
        <f t="shared" si="30"/>
        <v>42.7</v>
      </c>
      <c r="BC75" s="78">
        <f t="shared" si="30"/>
        <v>41.3</v>
      </c>
      <c r="BD75" s="78">
        <f t="shared" si="30"/>
        <v>41</v>
      </c>
      <c r="BE75" s="78">
        <f t="shared" si="30"/>
        <v>31.3</v>
      </c>
      <c r="BF75" s="78">
        <f t="shared" si="30"/>
        <v>65</v>
      </c>
      <c r="BG75" s="78">
        <f t="shared" si="30"/>
        <v>69.3</v>
      </c>
      <c r="BH75" s="78">
        <f t="shared" si="30"/>
        <v>73.5</v>
      </c>
      <c r="BI75" s="78">
        <f t="shared" si="30"/>
        <v>66.599999999999994</v>
      </c>
      <c r="BJ75" s="78">
        <f t="shared" si="30"/>
        <v>68.599999999999994</v>
      </c>
      <c r="BK75" s="78">
        <f t="shared" si="30"/>
        <v>69</v>
      </c>
      <c r="BL75" s="78">
        <f t="shared" si="30"/>
        <v>0</v>
      </c>
      <c r="BM75" s="78">
        <f t="shared" si="30"/>
        <v>0</v>
      </c>
      <c r="BN75" s="78">
        <f t="shared" si="30"/>
        <v>75.400000000000006</v>
      </c>
      <c r="BO75" s="78">
        <f t="shared" si="30"/>
        <v>77.2</v>
      </c>
      <c r="BP75" s="78">
        <f t="shared" si="30"/>
        <v>58.5</v>
      </c>
      <c r="BQ75" s="78">
        <f t="shared" si="30"/>
        <v>66</v>
      </c>
      <c r="BR75" s="78">
        <f t="shared" si="30"/>
        <v>41.6</v>
      </c>
      <c r="BS75" s="78">
        <f t="shared" si="30"/>
        <v>39</v>
      </c>
      <c r="BT75" s="78">
        <f t="shared" si="30"/>
        <v>41</v>
      </c>
      <c r="BU75" s="78">
        <f t="shared" si="30"/>
        <v>37</v>
      </c>
      <c r="BV75" s="78">
        <f t="shared" si="30"/>
        <v>30</v>
      </c>
      <c r="BW75" s="78">
        <f t="shared" si="30"/>
        <v>49.5</v>
      </c>
    </row>
    <row r="76" spans="1:75" ht="15.75" thickBot="1" x14ac:dyDescent="0.3">
      <c r="A76" s="77" t="s">
        <v>186</v>
      </c>
      <c r="B76" s="76">
        <f t="shared" ref="B76:AG76" si="31">SUM(B63:B75)</f>
        <v>201.03999999999996</v>
      </c>
      <c r="C76" s="76">
        <f t="shared" si="31"/>
        <v>177.44</v>
      </c>
      <c r="D76" s="76">
        <f t="shared" si="31"/>
        <v>167.53999999999996</v>
      </c>
      <c r="E76" s="76">
        <f t="shared" si="31"/>
        <v>143.43999999999997</v>
      </c>
      <c r="F76" s="76">
        <f t="shared" si="31"/>
        <v>146.23999999999998</v>
      </c>
      <c r="G76" s="76">
        <f t="shared" si="31"/>
        <v>147.33999999999997</v>
      </c>
      <c r="H76" s="76">
        <f t="shared" si="31"/>
        <v>181.64</v>
      </c>
      <c r="I76" s="76">
        <f t="shared" si="31"/>
        <v>261.04000000000008</v>
      </c>
      <c r="J76" s="76">
        <f t="shared" si="31"/>
        <v>253.83999999999997</v>
      </c>
      <c r="K76" s="76">
        <f t="shared" si="31"/>
        <v>262.53999999999996</v>
      </c>
      <c r="L76" s="76">
        <f t="shared" si="31"/>
        <v>316.33999999999997</v>
      </c>
      <c r="M76" s="76">
        <f t="shared" si="31"/>
        <v>309.03999999999996</v>
      </c>
      <c r="N76" s="76">
        <f t="shared" si="31"/>
        <v>234.63999999999996</v>
      </c>
      <c r="O76" s="76">
        <f t="shared" si="31"/>
        <v>279.64</v>
      </c>
      <c r="P76" s="76">
        <f t="shared" si="31"/>
        <v>288.54000000000002</v>
      </c>
      <c r="Q76" s="76">
        <f t="shared" si="31"/>
        <v>217.64</v>
      </c>
      <c r="R76" s="76">
        <f t="shared" si="31"/>
        <v>242.14</v>
      </c>
      <c r="S76" s="76">
        <f t="shared" si="31"/>
        <v>257.94</v>
      </c>
      <c r="T76" s="76">
        <f t="shared" si="31"/>
        <v>246.43999999999994</v>
      </c>
      <c r="U76" s="76">
        <f t="shared" si="31"/>
        <v>213.43999999999997</v>
      </c>
      <c r="V76" s="76">
        <f t="shared" si="31"/>
        <v>160.03999999999996</v>
      </c>
      <c r="W76" s="76">
        <f t="shared" si="31"/>
        <v>130.64000000000001</v>
      </c>
      <c r="X76" s="76">
        <f t="shared" si="31"/>
        <v>125.24000000000001</v>
      </c>
      <c r="Y76" s="76">
        <f t="shared" si="31"/>
        <v>248.1</v>
      </c>
      <c r="Z76" s="76">
        <f t="shared" si="31"/>
        <v>316.7</v>
      </c>
      <c r="AA76" s="76">
        <f t="shared" si="31"/>
        <v>303.04000000000002</v>
      </c>
      <c r="AB76" s="76">
        <f t="shared" si="31"/>
        <v>296.44</v>
      </c>
      <c r="AC76" s="76">
        <f t="shared" si="31"/>
        <v>281.44</v>
      </c>
      <c r="AD76" s="76">
        <f t="shared" si="31"/>
        <v>259.54000000000008</v>
      </c>
      <c r="AE76" s="76">
        <f t="shared" si="31"/>
        <v>205.54000000000002</v>
      </c>
      <c r="AF76" s="76">
        <f t="shared" si="31"/>
        <v>195.54000000000002</v>
      </c>
      <c r="AG76" s="93">
        <f t="shared" si="31"/>
        <v>489.91</v>
      </c>
      <c r="AH76" s="12">
        <f t="shared" si="22"/>
        <v>316.7</v>
      </c>
      <c r="AI76" s="11">
        <f t="shared" si="23"/>
        <v>125.24000000000001</v>
      </c>
      <c r="AK76" s="19"/>
      <c r="AZ76" s="78">
        <f t="shared" ref="AZ76:BW76" si="32">VALUE(AZ69)</f>
        <v>0</v>
      </c>
      <c r="BA76" s="78">
        <f t="shared" si="32"/>
        <v>0</v>
      </c>
      <c r="BB76" s="78">
        <f t="shared" si="32"/>
        <v>0</v>
      </c>
      <c r="BC76" s="78">
        <f t="shared" si="32"/>
        <v>0</v>
      </c>
      <c r="BD76" s="78">
        <f t="shared" si="32"/>
        <v>0</v>
      </c>
      <c r="BE76" s="78">
        <f t="shared" si="32"/>
        <v>0</v>
      </c>
      <c r="BF76" s="78">
        <f t="shared" si="32"/>
        <v>0</v>
      </c>
      <c r="BG76" s="78">
        <f t="shared" si="32"/>
        <v>0</v>
      </c>
      <c r="BH76" s="78">
        <f t="shared" si="32"/>
        <v>0</v>
      </c>
      <c r="BI76" s="78">
        <f t="shared" si="32"/>
        <v>0</v>
      </c>
      <c r="BJ76" s="78">
        <f t="shared" si="32"/>
        <v>0</v>
      </c>
      <c r="BK76" s="78">
        <f t="shared" si="32"/>
        <v>0</v>
      </c>
      <c r="BL76" s="78">
        <f t="shared" si="32"/>
        <v>0</v>
      </c>
      <c r="BM76" s="78">
        <f t="shared" si="32"/>
        <v>0</v>
      </c>
      <c r="BN76" s="78">
        <f t="shared" si="32"/>
        <v>0</v>
      </c>
      <c r="BO76" s="78">
        <f t="shared" si="32"/>
        <v>0</v>
      </c>
      <c r="BP76" s="78">
        <f t="shared" si="32"/>
        <v>0</v>
      </c>
      <c r="BQ76" s="78">
        <f t="shared" si="32"/>
        <v>0</v>
      </c>
      <c r="BR76" s="78">
        <f t="shared" si="32"/>
        <v>0</v>
      </c>
      <c r="BS76" s="78">
        <f t="shared" si="32"/>
        <v>0</v>
      </c>
      <c r="BT76" s="78">
        <f t="shared" si="32"/>
        <v>0</v>
      </c>
      <c r="BU76" s="78">
        <f t="shared" si="32"/>
        <v>0</v>
      </c>
      <c r="BV76" s="78">
        <f t="shared" si="32"/>
        <v>0</v>
      </c>
      <c r="BW76" s="78">
        <f t="shared" si="32"/>
        <v>0</v>
      </c>
    </row>
    <row r="77" spans="1:75" x14ac:dyDescent="0.25">
      <c r="A77" s="89" t="s">
        <v>185</v>
      </c>
      <c r="B77" s="102">
        <v>59.8</v>
      </c>
      <c r="C77" s="102">
        <v>59.8</v>
      </c>
      <c r="D77" s="102">
        <v>59.9</v>
      </c>
      <c r="E77" s="102">
        <v>59.9</v>
      </c>
      <c r="F77" s="102">
        <v>59.8</v>
      </c>
      <c r="G77" s="102">
        <v>59.9</v>
      </c>
      <c r="H77" s="102">
        <v>59.9</v>
      </c>
      <c r="I77" s="102">
        <v>59.9</v>
      </c>
      <c r="J77" s="102">
        <v>59.4</v>
      </c>
      <c r="K77" s="102">
        <v>59.4</v>
      </c>
      <c r="L77" s="102">
        <v>59.3</v>
      </c>
      <c r="M77" s="102">
        <v>59.3</v>
      </c>
      <c r="N77" s="102">
        <v>29</v>
      </c>
      <c r="O77" s="102">
        <v>29</v>
      </c>
      <c r="P77" s="102">
        <v>29</v>
      </c>
      <c r="Q77" s="102">
        <v>59</v>
      </c>
      <c r="R77" s="102">
        <v>59</v>
      </c>
      <c r="S77" s="102">
        <v>59.6</v>
      </c>
      <c r="T77" s="102">
        <v>59.5</v>
      </c>
      <c r="U77" s="102">
        <v>59.5</v>
      </c>
      <c r="V77" s="102">
        <v>59.5</v>
      </c>
      <c r="W77" s="102">
        <v>59.5</v>
      </c>
      <c r="X77" s="102">
        <v>49.2</v>
      </c>
      <c r="Y77" s="102">
        <v>55.1</v>
      </c>
      <c r="Z77" s="102">
        <v>55.1</v>
      </c>
      <c r="AA77" s="102">
        <v>54.6</v>
      </c>
      <c r="AB77" s="102">
        <v>55</v>
      </c>
      <c r="AC77" s="102">
        <v>50</v>
      </c>
      <c r="AD77" s="102">
        <v>50</v>
      </c>
      <c r="AE77" s="102">
        <v>50</v>
      </c>
      <c r="AF77" s="102">
        <v>50</v>
      </c>
      <c r="AG77" s="88">
        <v>60</v>
      </c>
      <c r="AH77" s="12">
        <f t="shared" si="22"/>
        <v>59.9</v>
      </c>
      <c r="AI77" s="11">
        <f t="shared" si="23"/>
        <v>29</v>
      </c>
      <c r="AK77" s="19"/>
      <c r="AZ77" s="78">
        <f t="shared" ref="AZ77:BW77" si="33">VALUE(AZ70)</f>
        <v>207</v>
      </c>
      <c r="BA77" s="78">
        <f t="shared" si="33"/>
        <v>201</v>
      </c>
      <c r="BB77" s="78">
        <f t="shared" si="33"/>
        <v>185.2</v>
      </c>
      <c r="BC77" s="78">
        <f t="shared" si="33"/>
        <v>213</v>
      </c>
      <c r="BD77" s="78">
        <f t="shared" si="33"/>
        <v>214.2</v>
      </c>
      <c r="BE77" s="78">
        <f t="shared" si="33"/>
        <v>98.4</v>
      </c>
      <c r="BF77" s="78">
        <f t="shared" si="33"/>
        <v>472</v>
      </c>
      <c r="BG77" s="78">
        <f t="shared" si="33"/>
        <v>499.6</v>
      </c>
      <c r="BH77" s="78">
        <f t="shared" si="33"/>
        <v>516</v>
      </c>
      <c r="BI77" s="78">
        <f t="shared" si="33"/>
        <v>533</v>
      </c>
      <c r="BJ77" s="78">
        <f t="shared" si="33"/>
        <v>547</v>
      </c>
      <c r="BK77" s="78">
        <f t="shared" si="33"/>
        <v>543</v>
      </c>
      <c r="BL77" s="78">
        <f t="shared" si="33"/>
        <v>583</v>
      </c>
      <c r="BM77" s="78">
        <f t="shared" si="33"/>
        <v>550.9</v>
      </c>
      <c r="BN77" s="78">
        <f t="shared" si="33"/>
        <v>537.70000000000005</v>
      </c>
      <c r="BO77" s="78">
        <f t="shared" si="33"/>
        <v>492</v>
      </c>
      <c r="BP77" s="78">
        <f t="shared" si="33"/>
        <v>516</v>
      </c>
      <c r="BQ77" s="78">
        <f t="shared" si="33"/>
        <v>504</v>
      </c>
      <c r="BR77" s="78">
        <f t="shared" si="33"/>
        <v>125</v>
      </c>
      <c r="BS77" s="78">
        <f t="shared" si="33"/>
        <v>171</v>
      </c>
      <c r="BT77" s="78">
        <f t="shared" si="33"/>
        <v>210</v>
      </c>
      <c r="BU77" s="78">
        <f t="shared" si="33"/>
        <v>185</v>
      </c>
      <c r="BV77" s="78">
        <f t="shared" si="33"/>
        <v>121</v>
      </c>
      <c r="BW77" s="78">
        <f t="shared" si="33"/>
        <v>224.6</v>
      </c>
    </row>
    <row r="78" spans="1:75" x14ac:dyDescent="0.25">
      <c r="A78" s="87" t="s">
        <v>184</v>
      </c>
      <c r="B78" s="70">
        <v>27.7</v>
      </c>
      <c r="C78" s="70">
        <v>27.7</v>
      </c>
      <c r="D78" s="70">
        <v>27.6</v>
      </c>
      <c r="E78" s="70">
        <v>26.7</v>
      </c>
      <c r="F78" s="70">
        <v>27.6</v>
      </c>
      <c r="G78" s="70">
        <v>27.9</v>
      </c>
      <c r="H78" s="70">
        <v>27.5</v>
      </c>
      <c r="I78" s="70">
        <v>27.5</v>
      </c>
      <c r="J78" s="70">
        <v>23.2</v>
      </c>
      <c r="K78" s="70">
        <v>27.1</v>
      </c>
      <c r="L78" s="70">
        <v>27.6</v>
      </c>
      <c r="M78" s="70">
        <v>27.6</v>
      </c>
      <c r="N78" s="70">
        <v>15</v>
      </c>
      <c r="O78" s="70">
        <v>15</v>
      </c>
      <c r="P78" s="70">
        <v>15</v>
      </c>
      <c r="Q78" s="70">
        <v>24</v>
      </c>
      <c r="R78" s="70">
        <v>24</v>
      </c>
      <c r="S78" s="70">
        <v>27.5</v>
      </c>
      <c r="T78" s="70">
        <v>27.8</v>
      </c>
      <c r="U78" s="70">
        <v>27.7</v>
      </c>
      <c r="V78" s="70">
        <v>27.7</v>
      </c>
      <c r="W78" s="70">
        <v>27.8</v>
      </c>
      <c r="X78" s="70">
        <v>18.899999999999999</v>
      </c>
      <c r="Y78" s="70">
        <v>24.3</v>
      </c>
      <c r="Z78" s="70">
        <v>24.3</v>
      </c>
      <c r="AA78" s="70">
        <v>24.3</v>
      </c>
      <c r="AB78" s="70">
        <v>24</v>
      </c>
      <c r="AC78" s="70">
        <v>21</v>
      </c>
      <c r="AD78" s="70">
        <v>21</v>
      </c>
      <c r="AE78" s="70">
        <v>21</v>
      </c>
      <c r="AF78" s="70">
        <v>21</v>
      </c>
      <c r="AG78" s="86">
        <v>32</v>
      </c>
      <c r="AH78" s="12">
        <f t="shared" si="22"/>
        <v>27.9</v>
      </c>
      <c r="AI78" s="11">
        <f t="shared" si="23"/>
        <v>15</v>
      </c>
      <c r="AK78" s="19"/>
      <c r="AZ78" s="78">
        <f t="shared" ref="AZ78:BW78" si="34">VALUE(AZ71)</f>
        <v>0</v>
      </c>
      <c r="BA78" s="78">
        <f t="shared" si="34"/>
        <v>0</v>
      </c>
      <c r="BB78" s="78">
        <f t="shared" si="34"/>
        <v>0</v>
      </c>
      <c r="BC78" s="78">
        <f t="shared" si="34"/>
        <v>0</v>
      </c>
      <c r="BD78" s="78">
        <f t="shared" si="34"/>
        <v>0</v>
      </c>
      <c r="BE78" s="78">
        <f t="shared" si="34"/>
        <v>0</v>
      </c>
      <c r="BF78" s="78">
        <f t="shared" si="34"/>
        <v>0</v>
      </c>
      <c r="BG78" s="78">
        <f t="shared" si="34"/>
        <v>60.3</v>
      </c>
      <c r="BH78" s="78">
        <f t="shared" si="34"/>
        <v>47</v>
      </c>
      <c r="BI78" s="78">
        <f t="shared" si="34"/>
        <v>42</v>
      </c>
      <c r="BJ78" s="78">
        <f t="shared" si="34"/>
        <v>36.299999999999997</v>
      </c>
      <c r="BK78" s="78">
        <f t="shared" si="34"/>
        <v>60</v>
      </c>
      <c r="BL78" s="78">
        <f t="shared" si="34"/>
        <v>57</v>
      </c>
      <c r="BM78" s="78">
        <f t="shared" si="34"/>
        <v>55.5</v>
      </c>
      <c r="BN78" s="78">
        <f t="shared" si="34"/>
        <v>60.7</v>
      </c>
      <c r="BO78" s="78">
        <f t="shared" si="34"/>
        <v>59.8</v>
      </c>
      <c r="BP78" s="78">
        <f t="shared" si="34"/>
        <v>47.2</v>
      </c>
      <c r="BQ78" s="78">
        <f t="shared" si="34"/>
        <v>41.3</v>
      </c>
      <c r="BR78" s="78">
        <f t="shared" si="34"/>
        <v>35.200000000000003</v>
      </c>
      <c r="BS78" s="78">
        <f t="shared" si="34"/>
        <v>15.9</v>
      </c>
      <c r="BT78" s="78">
        <f t="shared" si="34"/>
        <v>15.9</v>
      </c>
      <c r="BU78" s="78">
        <f t="shared" si="34"/>
        <v>13</v>
      </c>
      <c r="BV78" s="78">
        <f t="shared" si="34"/>
        <v>13</v>
      </c>
      <c r="BW78" s="78">
        <f t="shared" si="34"/>
        <v>0</v>
      </c>
    </row>
    <row r="79" spans="1:75" ht="15.75" thickBot="1" x14ac:dyDescent="0.3">
      <c r="A79" s="111" t="s">
        <v>183</v>
      </c>
      <c r="B79" s="110">
        <v>10.1</v>
      </c>
      <c r="C79" s="110">
        <v>10.1</v>
      </c>
      <c r="D79" s="110">
        <v>10.1</v>
      </c>
      <c r="E79" s="110">
        <v>9.6999999999999993</v>
      </c>
      <c r="F79" s="110">
        <v>10.1</v>
      </c>
      <c r="G79" s="110">
        <v>10</v>
      </c>
      <c r="H79" s="110">
        <v>10</v>
      </c>
      <c r="I79" s="110">
        <v>10</v>
      </c>
      <c r="J79" s="110">
        <v>8.34</v>
      </c>
      <c r="K79" s="110">
        <v>9.9</v>
      </c>
      <c r="L79" s="110">
        <v>10.1</v>
      </c>
      <c r="M79" s="110">
        <v>10.1</v>
      </c>
      <c r="N79" s="110">
        <v>5.4</v>
      </c>
      <c r="O79" s="110">
        <v>5.4</v>
      </c>
      <c r="P79" s="110">
        <v>5.4</v>
      </c>
      <c r="Q79" s="110">
        <v>9</v>
      </c>
      <c r="R79" s="110">
        <v>9</v>
      </c>
      <c r="S79" s="110">
        <v>10.1</v>
      </c>
      <c r="T79" s="110">
        <v>10.199999999999999</v>
      </c>
      <c r="U79" s="110">
        <v>10.1</v>
      </c>
      <c r="V79" s="110">
        <v>10.1</v>
      </c>
      <c r="W79" s="110">
        <v>10.1</v>
      </c>
      <c r="X79" s="110">
        <v>6.4</v>
      </c>
      <c r="Y79" s="110">
        <v>8.9</v>
      </c>
      <c r="Z79" s="110">
        <v>8.9</v>
      </c>
      <c r="AA79" s="110">
        <v>8.9</v>
      </c>
      <c r="AB79" s="110">
        <v>8.9</v>
      </c>
      <c r="AC79" s="110">
        <v>8</v>
      </c>
      <c r="AD79" s="110">
        <v>8</v>
      </c>
      <c r="AE79" s="110">
        <v>8</v>
      </c>
      <c r="AF79" s="110">
        <v>8</v>
      </c>
      <c r="AG79" s="109">
        <v>14</v>
      </c>
      <c r="AH79" s="12">
        <f t="shared" si="22"/>
        <v>10.199999999999999</v>
      </c>
      <c r="AI79" s="11">
        <f t="shared" si="23"/>
        <v>5.4</v>
      </c>
      <c r="AK79" s="19"/>
      <c r="AZ79" s="78">
        <f t="shared" ref="AZ79:BW79" si="35">VALUE(AZ72)</f>
        <v>0</v>
      </c>
      <c r="BA79" s="78">
        <f t="shared" si="35"/>
        <v>0</v>
      </c>
      <c r="BB79" s="78">
        <f t="shared" si="35"/>
        <v>0</v>
      </c>
      <c r="BC79" s="78">
        <f t="shared" si="35"/>
        <v>0</v>
      </c>
      <c r="BD79" s="78">
        <f t="shared" si="35"/>
        <v>0</v>
      </c>
      <c r="BE79" s="78">
        <f t="shared" si="35"/>
        <v>0</v>
      </c>
      <c r="BF79" s="78">
        <f t="shared" si="35"/>
        <v>0</v>
      </c>
      <c r="BG79" s="78">
        <f t="shared" si="35"/>
        <v>0</v>
      </c>
      <c r="BH79" s="78">
        <f t="shared" si="35"/>
        <v>0</v>
      </c>
      <c r="BI79" s="78">
        <f t="shared" si="35"/>
        <v>0</v>
      </c>
      <c r="BJ79" s="78">
        <f t="shared" si="35"/>
        <v>0</v>
      </c>
      <c r="BK79" s="78">
        <f t="shared" si="35"/>
        <v>0</v>
      </c>
      <c r="BL79" s="78">
        <f t="shared" si="35"/>
        <v>0</v>
      </c>
      <c r="BM79" s="78">
        <f t="shared" si="35"/>
        <v>145.30000000000001</v>
      </c>
      <c r="BN79" s="78">
        <f t="shared" si="35"/>
        <v>133.5</v>
      </c>
      <c r="BO79" s="78">
        <f t="shared" si="35"/>
        <v>117.4</v>
      </c>
      <c r="BP79" s="78">
        <f t="shared" si="35"/>
        <v>149.19999999999999</v>
      </c>
      <c r="BQ79" s="78">
        <f t="shared" si="35"/>
        <v>103.2</v>
      </c>
      <c r="BR79" s="78">
        <f t="shared" si="35"/>
        <v>0</v>
      </c>
      <c r="BS79" s="78">
        <f t="shared" si="35"/>
        <v>0</v>
      </c>
      <c r="BT79" s="78">
        <f t="shared" si="35"/>
        <v>0</v>
      </c>
      <c r="BU79" s="78">
        <f t="shared" si="35"/>
        <v>0</v>
      </c>
      <c r="BV79" s="78">
        <f t="shared" si="35"/>
        <v>0</v>
      </c>
      <c r="BW79" s="78">
        <f t="shared" si="35"/>
        <v>0</v>
      </c>
    </row>
    <row r="80" spans="1:75" ht="15.75" thickBot="1" x14ac:dyDescent="0.3">
      <c r="A80" s="77" t="s">
        <v>182</v>
      </c>
      <c r="B80" s="76">
        <f t="shared" ref="B80:AF80" si="36">B77+B78+B79</f>
        <v>97.6</v>
      </c>
      <c r="C80" s="76">
        <f t="shared" si="36"/>
        <v>97.6</v>
      </c>
      <c r="D80" s="76">
        <f t="shared" si="36"/>
        <v>97.6</v>
      </c>
      <c r="E80" s="76">
        <f t="shared" si="36"/>
        <v>96.3</v>
      </c>
      <c r="F80" s="76">
        <f t="shared" si="36"/>
        <v>97.5</v>
      </c>
      <c r="G80" s="76">
        <f t="shared" si="36"/>
        <v>97.8</v>
      </c>
      <c r="H80" s="76">
        <f t="shared" si="36"/>
        <v>97.4</v>
      </c>
      <c r="I80" s="76">
        <f t="shared" si="36"/>
        <v>97.4</v>
      </c>
      <c r="J80" s="76">
        <f t="shared" si="36"/>
        <v>90.94</v>
      </c>
      <c r="K80" s="76">
        <f t="shared" si="36"/>
        <v>96.4</v>
      </c>
      <c r="L80" s="76">
        <f t="shared" si="36"/>
        <v>97</v>
      </c>
      <c r="M80" s="76">
        <f t="shared" si="36"/>
        <v>97</v>
      </c>
      <c r="N80" s="76">
        <f t="shared" si="36"/>
        <v>49.4</v>
      </c>
      <c r="O80" s="76">
        <f t="shared" si="36"/>
        <v>49.4</v>
      </c>
      <c r="P80" s="76">
        <f t="shared" si="36"/>
        <v>49.4</v>
      </c>
      <c r="Q80" s="76">
        <f t="shared" si="36"/>
        <v>92</v>
      </c>
      <c r="R80" s="76">
        <f t="shared" si="36"/>
        <v>92</v>
      </c>
      <c r="S80" s="76">
        <f t="shared" si="36"/>
        <v>97.199999999999989</v>
      </c>
      <c r="T80" s="76">
        <f t="shared" si="36"/>
        <v>97.5</v>
      </c>
      <c r="U80" s="76">
        <f t="shared" si="36"/>
        <v>97.3</v>
      </c>
      <c r="V80" s="76">
        <f t="shared" si="36"/>
        <v>97.3</v>
      </c>
      <c r="W80" s="76">
        <f t="shared" si="36"/>
        <v>97.399999999999991</v>
      </c>
      <c r="X80" s="76">
        <f t="shared" si="36"/>
        <v>74.5</v>
      </c>
      <c r="Y80" s="76">
        <f t="shared" si="36"/>
        <v>88.300000000000011</v>
      </c>
      <c r="Z80" s="76">
        <f t="shared" si="36"/>
        <v>88.300000000000011</v>
      </c>
      <c r="AA80" s="76">
        <f t="shared" si="36"/>
        <v>87.800000000000011</v>
      </c>
      <c r="AB80" s="76">
        <f t="shared" si="36"/>
        <v>87.9</v>
      </c>
      <c r="AC80" s="76">
        <f t="shared" si="36"/>
        <v>79</v>
      </c>
      <c r="AD80" s="76">
        <f t="shared" si="36"/>
        <v>79</v>
      </c>
      <c r="AE80" s="76">
        <f t="shared" si="36"/>
        <v>79</v>
      </c>
      <c r="AF80" s="76">
        <f t="shared" si="36"/>
        <v>79</v>
      </c>
      <c r="AG80" s="93">
        <f>SUM(AG77:AG79)</f>
        <v>106</v>
      </c>
      <c r="AH80" s="12">
        <f t="shared" si="22"/>
        <v>97.8</v>
      </c>
      <c r="AI80" s="11">
        <f t="shared" si="23"/>
        <v>49.4</v>
      </c>
      <c r="AK80" s="19"/>
      <c r="AZ80" s="78">
        <f t="shared" ref="AZ80:BW80" si="37">VALUE(AZ73)</f>
        <v>44</v>
      </c>
      <c r="BA80" s="78">
        <f t="shared" si="37"/>
        <v>43.6</v>
      </c>
      <c r="BB80" s="78">
        <f t="shared" si="37"/>
        <v>40</v>
      </c>
      <c r="BC80" s="78">
        <f t="shared" si="37"/>
        <v>35</v>
      </c>
      <c r="BD80" s="78">
        <f t="shared" si="37"/>
        <v>34</v>
      </c>
      <c r="BE80" s="78">
        <f t="shared" si="37"/>
        <v>38.799999999999997</v>
      </c>
      <c r="BF80" s="78">
        <f t="shared" si="37"/>
        <v>42.1</v>
      </c>
      <c r="BG80" s="78">
        <f t="shared" si="37"/>
        <v>45.8</v>
      </c>
      <c r="BH80" s="78">
        <f t="shared" si="37"/>
        <v>47.8</v>
      </c>
      <c r="BI80" s="78">
        <f t="shared" si="37"/>
        <v>39</v>
      </c>
      <c r="BJ80" s="78">
        <f t="shared" si="37"/>
        <v>116.6</v>
      </c>
      <c r="BK80" s="78">
        <f t="shared" si="37"/>
        <v>43</v>
      </c>
      <c r="BL80" s="78">
        <f t="shared" si="37"/>
        <v>51</v>
      </c>
      <c r="BM80" s="78">
        <f t="shared" si="37"/>
        <v>48.8</v>
      </c>
      <c r="BN80" s="78">
        <f t="shared" si="37"/>
        <v>48</v>
      </c>
      <c r="BO80" s="78">
        <f t="shared" si="37"/>
        <v>55</v>
      </c>
      <c r="BP80" s="78">
        <f t="shared" si="37"/>
        <v>48.9</v>
      </c>
      <c r="BQ80" s="78">
        <f t="shared" si="37"/>
        <v>41.7</v>
      </c>
      <c r="BR80" s="78">
        <f t="shared" si="37"/>
        <v>53.7</v>
      </c>
      <c r="BS80" s="78">
        <f t="shared" si="37"/>
        <v>47</v>
      </c>
      <c r="BT80" s="78">
        <f t="shared" si="37"/>
        <v>48</v>
      </c>
      <c r="BU80" s="78">
        <f t="shared" si="37"/>
        <v>50</v>
      </c>
      <c r="BV80" s="78">
        <f t="shared" si="37"/>
        <v>53</v>
      </c>
      <c r="BW80" s="78">
        <f t="shared" si="37"/>
        <v>42.8</v>
      </c>
    </row>
    <row r="81" spans="1:64" x14ac:dyDescent="0.25">
      <c r="A81" s="89" t="s">
        <v>157</v>
      </c>
      <c r="B81" s="102">
        <v>49.5</v>
      </c>
      <c r="C81" s="102">
        <v>49</v>
      </c>
      <c r="D81" s="102">
        <v>45.2</v>
      </c>
      <c r="E81" s="102">
        <v>42.7</v>
      </c>
      <c r="F81" s="102">
        <v>41.3</v>
      </c>
      <c r="G81" s="102">
        <v>41</v>
      </c>
      <c r="H81" s="102">
        <v>42.2</v>
      </c>
      <c r="I81" s="102">
        <v>31.3</v>
      </c>
      <c r="J81" s="102">
        <v>66.8</v>
      </c>
      <c r="K81" s="102">
        <v>65</v>
      </c>
      <c r="L81" s="102">
        <v>65.599999999999994</v>
      </c>
      <c r="M81" s="102">
        <v>69.3</v>
      </c>
      <c r="N81" s="102">
        <v>73.5</v>
      </c>
      <c r="O81" s="102">
        <v>66.599999999999994</v>
      </c>
      <c r="P81" s="102">
        <v>68.599999999999994</v>
      </c>
      <c r="Q81" s="102">
        <v>69</v>
      </c>
      <c r="R81" s="102">
        <v>0</v>
      </c>
      <c r="S81" s="102">
        <v>0</v>
      </c>
      <c r="T81" s="102">
        <v>75.400000000000006</v>
      </c>
      <c r="U81" s="102">
        <v>77.2</v>
      </c>
      <c r="V81" s="102">
        <v>58.5</v>
      </c>
      <c r="W81" s="102">
        <v>65.3</v>
      </c>
      <c r="X81" s="102">
        <v>66</v>
      </c>
      <c r="Y81" s="102">
        <v>14</v>
      </c>
      <c r="Z81" s="102">
        <v>41.6</v>
      </c>
      <c r="AA81" s="102">
        <v>39.799999999999997</v>
      </c>
      <c r="AB81" s="102">
        <v>39</v>
      </c>
      <c r="AC81" s="102">
        <v>36</v>
      </c>
      <c r="AD81" s="102">
        <v>41</v>
      </c>
      <c r="AE81" s="102">
        <v>37</v>
      </c>
      <c r="AF81" s="102">
        <v>30</v>
      </c>
      <c r="AG81" s="88"/>
      <c r="AH81" s="12">
        <f t="shared" si="22"/>
        <v>77.2</v>
      </c>
      <c r="AI81" s="11">
        <f t="shared" si="23"/>
        <v>0</v>
      </c>
      <c r="AK81" s="19"/>
      <c r="AY81" s="78"/>
    </row>
    <row r="82" spans="1:64" x14ac:dyDescent="0.25">
      <c r="A82" s="87" t="s">
        <v>160</v>
      </c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12">
        <f t="shared" ref="AH82:AH113" si="38">MAX(B82:AF82)</f>
        <v>0</v>
      </c>
      <c r="AI82" s="11">
        <f t="shared" ref="AI82:AI113" si="39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25">
      <c r="A83" s="87" t="s">
        <v>181</v>
      </c>
      <c r="B83" s="70">
        <v>224.6</v>
      </c>
      <c r="C83" s="70">
        <v>207</v>
      </c>
      <c r="D83" s="70">
        <v>201</v>
      </c>
      <c r="E83" s="70">
        <v>185.2</v>
      </c>
      <c r="F83" s="70">
        <v>213</v>
      </c>
      <c r="G83" s="70">
        <v>214.2</v>
      </c>
      <c r="H83" s="70">
        <v>150</v>
      </c>
      <c r="I83" s="70">
        <v>98.4</v>
      </c>
      <c r="J83" s="70">
        <v>469</v>
      </c>
      <c r="K83" s="70">
        <v>472</v>
      </c>
      <c r="L83" s="70">
        <v>472</v>
      </c>
      <c r="M83" s="70">
        <v>499.6</v>
      </c>
      <c r="N83" s="70">
        <v>516</v>
      </c>
      <c r="O83" s="70">
        <v>533</v>
      </c>
      <c r="P83" s="70">
        <v>547</v>
      </c>
      <c r="Q83" s="70">
        <v>543</v>
      </c>
      <c r="R83" s="70">
        <v>583</v>
      </c>
      <c r="S83" s="70">
        <v>550.9</v>
      </c>
      <c r="T83" s="70">
        <v>537.70000000000005</v>
      </c>
      <c r="U83" s="70">
        <v>492</v>
      </c>
      <c r="V83" s="70">
        <v>516</v>
      </c>
      <c r="W83" s="70">
        <v>532</v>
      </c>
      <c r="X83" s="70">
        <v>504</v>
      </c>
      <c r="Y83" s="70">
        <v>174</v>
      </c>
      <c r="Z83" s="70">
        <v>125</v>
      </c>
      <c r="AA83" s="70">
        <v>183.9</v>
      </c>
      <c r="AB83" s="70">
        <v>171</v>
      </c>
      <c r="AC83" s="70">
        <v>182</v>
      </c>
      <c r="AD83" s="70">
        <v>210</v>
      </c>
      <c r="AE83" s="70">
        <v>185</v>
      </c>
      <c r="AF83" s="70">
        <v>121</v>
      </c>
      <c r="AG83" s="96"/>
      <c r="AH83" s="12">
        <f t="shared" si="38"/>
        <v>583</v>
      </c>
      <c r="AI83" s="11">
        <f t="shared" si="39"/>
        <v>98.4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25">
      <c r="A84" s="87" t="s">
        <v>161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>
        <v>32</v>
      </c>
      <c r="M84" s="85">
        <v>60.3</v>
      </c>
      <c r="N84" s="85">
        <v>47</v>
      </c>
      <c r="O84" s="85">
        <v>42</v>
      </c>
      <c r="P84" s="85">
        <v>36.299999999999997</v>
      </c>
      <c r="Q84" s="85">
        <v>60</v>
      </c>
      <c r="R84" s="85">
        <v>57</v>
      </c>
      <c r="S84" s="85">
        <v>55.5</v>
      </c>
      <c r="T84" s="85">
        <v>60.7</v>
      </c>
      <c r="U84" s="85">
        <v>59.8</v>
      </c>
      <c r="V84" s="85">
        <v>47.2</v>
      </c>
      <c r="W84" s="85">
        <v>43.9</v>
      </c>
      <c r="X84" s="85">
        <v>41.3</v>
      </c>
      <c r="Y84" s="85">
        <v>35.6</v>
      </c>
      <c r="Z84" s="85">
        <v>35.200000000000003</v>
      </c>
      <c r="AA84" s="85">
        <v>16.3</v>
      </c>
      <c r="AB84" s="85">
        <v>15.9</v>
      </c>
      <c r="AC84" s="85">
        <v>15.9</v>
      </c>
      <c r="AD84" s="85">
        <v>15.9</v>
      </c>
      <c r="AE84" s="85">
        <v>13</v>
      </c>
      <c r="AF84" s="85">
        <v>13</v>
      </c>
      <c r="AG84" s="96"/>
      <c r="AH84" s="12">
        <f t="shared" si="38"/>
        <v>60.7</v>
      </c>
      <c r="AI84" s="11">
        <f t="shared" si="39"/>
        <v>13</v>
      </c>
      <c r="AK84" s="19"/>
      <c r="AY84" s="78"/>
      <c r="BF84" s="83"/>
      <c r="BG84" s="78">
        <f t="array" ref="BG84:BL107">TRANSPOSE(AZ68:BW73)</f>
        <v>49</v>
      </c>
      <c r="BH84" s="78">
        <v>0</v>
      </c>
      <c r="BI84" s="78">
        <v>207</v>
      </c>
      <c r="BJ84" s="78">
        <v>0</v>
      </c>
      <c r="BK84" s="78">
        <v>0</v>
      </c>
      <c r="BL84" s="78">
        <v>44</v>
      </c>
    </row>
    <row r="85" spans="1:64" x14ac:dyDescent="0.25">
      <c r="A85" s="87" t="s">
        <v>180</v>
      </c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>
        <v>145.30000000000001</v>
      </c>
      <c r="T85" s="102">
        <v>133.5</v>
      </c>
      <c r="U85" s="102">
        <v>117.4</v>
      </c>
      <c r="V85" s="102">
        <v>149.19999999999999</v>
      </c>
      <c r="W85" s="102">
        <v>146</v>
      </c>
      <c r="X85" s="102">
        <v>103.2</v>
      </c>
      <c r="Y85" s="102">
        <v>57.6</v>
      </c>
      <c r="Z85" s="102">
        <v>0</v>
      </c>
      <c r="AA85" s="102">
        <v>0</v>
      </c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38"/>
        <v>149.19999999999999</v>
      </c>
      <c r="AI85" s="11">
        <f t="shared" si="39"/>
        <v>0</v>
      </c>
      <c r="AK85" s="19"/>
      <c r="AY85" s="78"/>
      <c r="BF85" s="83"/>
      <c r="BG85" s="78">
        <v>45.2</v>
      </c>
      <c r="BH85" s="78">
        <v>0</v>
      </c>
      <c r="BI85" s="78">
        <v>201</v>
      </c>
      <c r="BJ85" s="78">
        <v>0</v>
      </c>
      <c r="BK85" s="78">
        <v>0</v>
      </c>
      <c r="BL85" s="78">
        <v>43.6</v>
      </c>
    </row>
    <row r="86" spans="1:64" x14ac:dyDescent="0.25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>
        <v>7</v>
      </c>
      <c r="V86" s="97">
        <v>7</v>
      </c>
      <c r="W86" s="97">
        <v>7</v>
      </c>
      <c r="X86" s="97">
        <v>7</v>
      </c>
      <c r="Y86" s="97">
        <v>7</v>
      </c>
      <c r="Z86" s="97">
        <v>7</v>
      </c>
      <c r="AA86" s="97">
        <v>7</v>
      </c>
      <c r="AB86" s="97">
        <v>7</v>
      </c>
      <c r="AC86" s="97">
        <v>7</v>
      </c>
      <c r="AD86" s="97">
        <v>7</v>
      </c>
      <c r="AE86" s="97">
        <v>7</v>
      </c>
      <c r="AF86" s="97">
        <v>7</v>
      </c>
      <c r="AG86" s="96"/>
      <c r="AH86" s="12">
        <f t="shared" si="38"/>
        <v>7</v>
      </c>
      <c r="AI86" s="11">
        <f t="shared" si="39"/>
        <v>7</v>
      </c>
      <c r="AK86" s="19"/>
      <c r="AY86" s="78"/>
      <c r="BF86" s="83"/>
      <c r="BG86" s="78">
        <v>42.7</v>
      </c>
      <c r="BH86" s="78">
        <v>0</v>
      </c>
      <c r="BI86" s="78">
        <v>185.2</v>
      </c>
      <c r="BJ86" s="78">
        <v>0</v>
      </c>
      <c r="BK86" s="78">
        <v>0</v>
      </c>
      <c r="BL86" s="78">
        <v>40</v>
      </c>
    </row>
    <row r="87" spans="1:64" ht="15.75" thickBot="1" x14ac:dyDescent="0.3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38"/>
        <v>0</v>
      </c>
      <c r="AI87" s="11">
        <f t="shared" si="39"/>
        <v>0</v>
      </c>
      <c r="AK87" s="19"/>
      <c r="AL87" s="108" t="s">
        <v>177</v>
      </c>
      <c r="AM87" s="108"/>
      <c r="AY87" s="78"/>
      <c r="BF87" s="78"/>
      <c r="BG87" s="78">
        <v>41.3</v>
      </c>
      <c r="BH87" s="78">
        <v>0</v>
      </c>
      <c r="BI87" s="78">
        <v>213</v>
      </c>
      <c r="BJ87" s="78">
        <v>0</v>
      </c>
      <c r="BK87" s="78">
        <v>0</v>
      </c>
      <c r="BL87" s="78">
        <v>35</v>
      </c>
    </row>
    <row r="88" spans="1:64" x14ac:dyDescent="0.25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38"/>
        <v>0</v>
      </c>
      <c r="AI88" s="11">
        <f t="shared" si="39"/>
        <v>0</v>
      </c>
      <c r="AK88" s="107"/>
      <c r="AL88" s="106"/>
      <c r="AM88" s="106"/>
      <c r="AN88" s="105"/>
      <c r="AY88" s="78"/>
      <c r="BF88" s="78"/>
      <c r="BG88" s="78">
        <v>41</v>
      </c>
      <c r="BH88" s="78">
        <v>0</v>
      </c>
      <c r="BI88" s="78">
        <v>214.2</v>
      </c>
      <c r="BJ88" s="78">
        <v>0</v>
      </c>
      <c r="BK88" s="78">
        <v>0</v>
      </c>
      <c r="BL88" s="78">
        <v>34</v>
      </c>
    </row>
    <row r="89" spans="1:64" x14ac:dyDescent="0.25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38"/>
        <v>0</v>
      </c>
      <c r="AI89" s="11">
        <f t="shared" si="39"/>
        <v>0</v>
      </c>
      <c r="AK89" s="104" t="s">
        <v>174</v>
      </c>
      <c r="AL89" s="70"/>
      <c r="AM89" s="85"/>
      <c r="AN89" s="103"/>
      <c r="AY89" s="78"/>
      <c r="BF89" s="78"/>
      <c r="BG89" s="78">
        <v>31.3</v>
      </c>
      <c r="BH89" s="78">
        <v>0</v>
      </c>
      <c r="BI89" s="78">
        <v>98.4</v>
      </c>
      <c r="BJ89" s="78">
        <v>0</v>
      </c>
      <c r="BK89" s="78">
        <v>0</v>
      </c>
      <c r="BL89" s="78">
        <v>38.799999999999997</v>
      </c>
    </row>
    <row r="90" spans="1:64" x14ac:dyDescent="0.25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38"/>
        <v>0</v>
      </c>
      <c r="AI90" s="11">
        <f t="shared" si="39"/>
        <v>0</v>
      </c>
      <c r="AK90" s="104" t="s">
        <v>172</v>
      </c>
      <c r="AL90" s="85"/>
      <c r="AM90" s="85"/>
      <c r="AN90" s="103"/>
      <c r="AY90" s="78"/>
      <c r="BF90" s="78"/>
      <c r="BG90" s="78">
        <v>65</v>
      </c>
      <c r="BH90" s="78">
        <v>0</v>
      </c>
      <c r="BI90" s="78">
        <v>472</v>
      </c>
      <c r="BJ90" s="78">
        <v>0</v>
      </c>
      <c r="BK90" s="78">
        <v>0</v>
      </c>
      <c r="BL90" s="78">
        <v>42.1</v>
      </c>
    </row>
    <row r="91" spans="1:64" ht="15.75" thickBot="1" x14ac:dyDescent="0.3">
      <c r="A91" s="82" t="s">
        <v>171</v>
      </c>
      <c r="B91" s="97">
        <v>42.8</v>
      </c>
      <c r="C91" s="97">
        <v>43.7</v>
      </c>
      <c r="D91" s="97">
        <v>43.6</v>
      </c>
      <c r="E91" s="97">
        <v>40</v>
      </c>
      <c r="F91" s="97">
        <v>35</v>
      </c>
      <c r="G91" s="97">
        <v>34</v>
      </c>
      <c r="H91" s="97">
        <v>32.6</v>
      </c>
      <c r="I91" s="97">
        <v>38.799999999999997</v>
      </c>
      <c r="J91" s="97">
        <v>42.3</v>
      </c>
      <c r="K91" s="97">
        <v>42.1</v>
      </c>
      <c r="L91" s="97">
        <v>42.1</v>
      </c>
      <c r="M91" s="97">
        <v>45.8</v>
      </c>
      <c r="N91" s="97">
        <v>47.8</v>
      </c>
      <c r="O91" s="97">
        <v>39</v>
      </c>
      <c r="P91" s="97">
        <v>116.6</v>
      </c>
      <c r="Q91" s="97">
        <v>43</v>
      </c>
      <c r="R91" s="97">
        <v>51</v>
      </c>
      <c r="S91" s="97">
        <v>48.8</v>
      </c>
      <c r="T91" s="97">
        <v>48</v>
      </c>
      <c r="U91" s="97">
        <v>55</v>
      </c>
      <c r="V91" s="97">
        <v>48.9</v>
      </c>
      <c r="W91" s="97">
        <v>42.2</v>
      </c>
      <c r="X91" s="97">
        <v>41.7</v>
      </c>
      <c r="Y91" s="97">
        <v>43.1</v>
      </c>
      <c r="Z91" s="97">
        <v>53.7</v>
      </c>
      <c r="AA91" s="97">
        <v>47.1</v>
      </c>
      <c r="AB91" s="97">
        <v>47</v>
      </c>
      <c r="AC91" s="97">
        <v>48</v>
      </c>
      <c r="AD91" s="97">
        <v>48</v>
      </c>
      <c r="AE91" s="97">
        <v>50</v>
      </c>
      <c r="AF91" s="97">
        <v>53</v>
      </c>
      <c r="AG91" s="80"/>
      <c r="AH91" s="12">
        <f t="shared" si="38"/>
        <v>116.6</v>
      </c>
      <c r="AI91" s="11">
        <f t="shared" si="39"/>
        <v>32.6</v>
      </c>
      <c r="AK91" s="98"/>
      <c r="AL91" s="102"/>
      <c r="AM91" s="102"/>
      <c r="AN91" s="101"/>
      <c r="AY91" s="78"/>
      <c r="BF91" s="78"/>
      <c r="BG91" s="78">
        <v>69.3</v>
      </c>
      <c r="BH91" s="78">
        <v>0</v>
      </c>
      <c r="BI91" s="78">
        <v>499.6</v>
      </c>
      <c r="BJ91" s="78">
        <v>60.3</v>
      </c>
      <c r="BK91" s="78">
        <v>0</v>
      </c>
      <c r="BL91" s="78">
        <v>45.8</v>
      </c>
    </row>
    <row r="92" spans="1:64" ht="15.75" thickBot="1" x14ac:dyDescent="0.3">
      <c r="A92" s="77" t="s">
        <v>170</v>
      </c>
      <c r="B92" s="76">
        <f t="shared" ref="B92:AF92" si="40">SUMIF(B81:B91,"&gt;0")</f>
        <v>316.90000000000003</v>
      </c>
      <c r="C92" s="76">
        <f t="shared" si="40"/>
        <v>299.7</v>
      </c>
      <c r="D92" s="76">
        <f t="shared" si="40"/>
        <v>289.8</v>
      </c>
      <c r="E92" s="76">
        <f t="shared" si="40"/>
        <v>267.89999999999998</v>
      </c>
      <c r="F92" s="76">
        <f t="shared" si="40"/>
        <v>289.3</v>
      </c>
      <c r="G92" s="76">
        <f t="shared" si="40"/>
        <v>289.2</v>
      </c>
      <c r="H92" s="76">
        <f t="shared" si="40"/>
        <v>224.79999999999998</v>
      </c>
      <c r="I92" s="76">
        <f t="shared" si="40"/>
        <v>168.5</v>
      </c>
      <c r="J92" s="76">
        <f t="shared" si="40"/>
        <v>578.09999999999991</v>
      </c>
      <c r="K92" s="76">
        <f t="shared" si="40"/>
        <v>579.1</v>
      </c>
      <c r="L92" s="76">
        <f t="shared" si="40"/>
        <v>611.70000000000005</v>
      </c>
      <c r="M92" s="76">
        <f t="shared" si="40"/>
        <v>674.99999999999989</v>
      </c>
      <c r="N92" s="76">
        <f t="shared" si="40"/>
        <v>684.3</v>
      </c>
      <c r="O92" s="76">
        <f t="shared" si="40"/>
        <v>680.6</v>
      </c>
      <c r="P92" s="76">
        <f t="shared" si="40"/>
        <v>768.5</v>
      </c>
      <c r="Q92" s="76">
        <f t="shared" si="40"/>
        <v>715</v>
      </c>
      <c r="R92" s="76">
        <f t="shared" si="40"/>
        <v>691</v>
      </c>
      <c r="S92" s="76">
        <f t="shared" si="40"/>
        <v>800.5</v>
      </c>
      <c r="T92" s="76">
        <f t="shared" si="40"/>
        <v>855.30000000000007</v>
      </c>
      <c r="U92" s="76">
        <f t="shared" si="40"/>
        <v>808.4</v>
      </c>
      <c r="V92" s="76">
        <f t="shared" si="40"/>
        <v>826.80000000000007</v>
      </c>
      <c r="W92" s="76">
        <f t="shared" si="40"/>
        <v>836.4</v>
      </c>
      <c r="X92" s="76">
        <f t="shared" si="40"/>
        <v>763.2</v>
      </c>
      <c r="Y92" s="76">
        <f t="shared" si="40"/>
        <v>331.3</v>
      </c>
      <c r="Z92" s="76">
        <f t="shared" si="40"/>
        <v>262.5</v>
      </c>
      <c r="AA92" s="76">
        <f t="shared" si="40"/>
        <v>294.10000000000002</v>
      </c>
      <c r="AB92" s="76">
        <f t="shared" si="40"/>
        <v>279.89999999999998</v>
      </c>
      <c r="AC92" s="76">
        <f t="shared" si="40"/>
        <v>288.89999999999998</v>
      </c>
      <c r="AD92" s="76">
        <f t="shared" si="40"/>
        <v>321.89999999999998</v>
      </c>
      <c r="AE92" s="76">
        <f t="shared" si="40"/>
        <v>292</v>
      </c>
      <c r="AF92" s="76">
        <f t="shared" si="40"/>
        <v>224</v>
      </c>
      <c r="AG92" s="75">
        <f>SUM(AG81:AG91)</f>
        <v>0</v>
      </c>
      <c r="AH92" s="12">
        <f t="shared" si="38"/>
        <v>855.30000000000007</v>
      </c>
      <c r="AI92" s="11">
        <f t="shared" si="39"/>
        <v>168.5</v>
      </c>
      <c r="AK92" s="98"/>
      <c r="AL92" s="97"/>
      <c r="AM92" s="100"/>
      <c r="AN92" s="220"/>
      <c r="AY92" s="78"/>
      <c r="BF92" s="78"/>
      <c r="BG92" s="78">
        <v>73.5</v>
      </c>
      <c r="BH92" s="78">
        <v>0</v>
      </c>
      <c r="BI92" s="78">
        <v>516</v>
      </c>
      <c r="BJ92" s="78">
        <v>47</v>
      </c>
      <c r="BK92" s="78">
        <v>0</v>
      </c>
      <c r="BL92" s="78">
        <v>47.8</v>
      </c>
    </row>
    <row r="93" spans="1:64" x14ac:dyDescent="0.25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38"/>
        <v>0</v>
      </c>
      <c r="AI93" s="11">
        <f t="shared" si="39"/>
        <v>0</v>
      </c>
      <c r="AK93" s="98"/>
      <c r="AL93" s="97"/>
      <c r="AM93" s="97"/>
      <c r="AN93" s="221"/>
      <c r="BF93" s="78"/>
      <c r="BG93" s="78">
        <v>66.599999999999994</v>
      </c>
      <c r="BH93" s="78">
        <v>0</v>
      </c>
      <c r="BI93" s="78">
        <v>533</v>
      </c>
      <c r="BJ93" s="78">
        <v>42</v>
      </c>
      <c r="BK93" s="78">
        <v>0</v>
      </c>
      <c r="BL93" s="78">
        <v>39</v>
      </c>
    </row>
    <row r="94" spans="1:64" ht="15.75" thickBot="1" x14ac:dyDescent="0.3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38"/>
        <v>0</v>
      </c>
      <c r="AI94" s="11">
        <f t="shared" si="39"/>
        <v>0</v>
      </c>
      <c r="AK94" s="95"/>
      <c r="AL94" s="67"/>
      <c r="AM94" s="67"/>
      <c r="AN94" s="94"/>
      <c r="BF94" s="78"/>
      <c r="BG94" s="78">
        <v>68.599999999999994</v>
      </c>
      <c r="BH94" s="78">
        <v>0</v>
      </c>
      <c r="BI94" s="78">
        <v>547</v>
      </c>
      <c r="BJ94" s="78">
        <v>36.299999999999997</v>
      </c>
      <c r="BK94" s="78">
        <v>0</v>
      </c>
      <c r="BL94" s="78">
        <v>116.6</v>
      </c>
    </row>
    <row r="95" spans="1:64" ht="15.75" thickBot="1" x14ac:dyDescent="0.3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38"/>
        <v>0</v>
      </c>
      <c r="AI95" s="11">
        <f t="shared" si="39"/>
        <v>0</v>
      </c>
      <c r="BF95" s="78"/>
      <c r="BG95" s="78">
        <v>69</v>
      </c>
      <c r="BH95" s="78">
        <v>0</v>
      </c>
      <c r="BI95" s="78">
        <v>543</v>
      </c>
      <c r="BJ95" s="78">
        <v>60</v>
      </c>
      <c r="BK95" s="78">
        <v>0</v>
      </c>
      <c r="BL95" s="78">
        <v>43</v>
      </c>
    </row>
    <row r="96" spans="1:64" ht="15.75" thickBot="1" x14ac:dyDescent="0.3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>
        <v>0</v>
      </c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38"/>
        <v>0</v>
      </c>
      <c r="AI96" s="11">
        <f t="shared" si="39"/>
        <v>0</v>
      </c>
      <c r="BF96" s="78"/>
      <c r="BG96" s="78">
        <v>0</v>
      </c>
      <c r="BH96" s="78">
        <v>0</v>
      </c>
      <c r="BI96" s="78">
        <v>583</v>
      </c>
      <c r="BJ96" s="78">
        <v>57</v>
      </c>
      <c r="BK96" s="78">
        <v>0</v>
      </c>
      <c r="BL96" s="78">
        <v>51</v>
      </c>
    </row>
    <row r="97" spans="1:64" ht="15.75" thickBot="1" x14ac:dyDescent="0.3">
      <c r="A97" s="77" t="s">
        <v>165</v>
      </c>
      <c r="B97" s="90">
        <f t="shared" ref="B97:AG97" si="41">B58+B62+B80+B76+B92+B96</f>
        <v>1196.4399999999998</v>
      </c>
      <c r="C97" s="90">
        <f t="shared" si="41"/>
        <v>1156.04</v>
      </c>
      <c r="D97" s="90">
        <f t="shared" si="41"/>
        <v>1142.54</v>
      </c>
      <c r="E97" s="90">
        <f t="shared" si="41"/>
        <v>1091.2399999999998</v>
      </c>
      <c r="F97" s="90">
        <f t="shared" si="41"/>
        <v>1115.54</v>
      </c>
      <c r="G97" s="90">
        <f t="shared" si="41"/>
        <v>1116.8399999999999</v>
      </c>
      <c r="H97" s="90">
        <f t="shared" si="41"/>
        <v>1167.4399999999998</v>
      </c>
      <c r="I97" s="90">
        <f t="shared" si="41"/>
        <v>1203.24</v>
      </c>
      <c r="J97" s="90">
        <f t="shared" si="41"/>
        <v>1447.0799999999997</v>
      </c>
      <c r="K97" s="90">
        <f t="shared" si="41"/>
        <v>1456.74</v>
      </c>
      <c r="L97" s="90">
        <f t="shared" si="41"/>
        <v>1546.94</v>
      </c>
      <c r="M97" s="90">
        <f t="shared" si="41"/>
        <v>1602.9399999999998</v>
      </c>
      <c r="N97" s="90">
        <f t="shared" si="41"/>
        <v>1490.2399999999998</v>
      </c>
      <c r="O97" s="90">
        <f t="shared" si="41"/>
        <v>1527.74</v>
      </c>
      <c r="P97" s="90">
        <f t="shared" si="41"/>
        <v>1630.54</v>
      </c>
      <c r="Q97" s="90">
        <f t="shared" si="41"/>
        <v>1548.7399999999998</v>
      </c>
      <c r="R97" s="90">
        <f t="shared" si="41"/>
        <v>1523.2399999999998</v>
      </c>
      <c r="S97" s="90">
        <f t="shared" si="41"/>
        <v>1648.54</v>
      </c>
      <c r="T97" s="90">
        <f t="shared" si="41"/>
        <v>1700.04</v>
      </c>
      <c r="U97" s="90">
        <f t="shared" si="41"/>
        <v>1620.54</v>
      </c>
      <c r="V97" s="90">
        <f t="shared" si="41"/>
        <v>1583.94</v>
      </c>
      <c r="W97" s="90">
        <f t="shared" si="41"/>
        <v>1569.1399999999999</v>
      </c>
      <c r="X97" s="90">
        <f t="shared" si="41"/>
        <v>1466.24</v>
      </c>
      <c r="Y97" s="90">
        <f t="shared" si="41"/>
        <v>1451.9999999999998</v>
      </c>
      <c r="Z97" s="90">
        <f t="shared" si="41"/>
        <v>1536.8</v>
      </c>
      <c r="AA97" s="90">
        <f t="shared" si="41"/>
        <v>1514.54</v>
      </c>
      <c r="AB97" s="90">
        <f t="shared" si="41"/>
        <v>1456.2399999999998</v>
      </c>
      <c r="AC97" s="90">
        <f t="shared" si="41"/>
        <v>1441.3400000000001</v>
      </c>
      <c r="AD97" s="90">
        <f t="shared" si="41"/>
        <v>1428.44</v>
      </c>
      <c r="AE97" s="90">
        <f t="shared" si="41"/>
        <v>1344.54</v>
      </c>
      <c r="AF97" s="90">
        <f t="shared" si="41"/>
        <v>1266.54</v>
      </c>
      <c r="AG97" s="93">
        <f t="shared" si="41"/>
        <v>2231.81</v>
      </c>
      <c r="AH97" s="12">
        <f t="shared" si="38"/>
        <v>1700.04</v>
      </c>
      <c r="AI97" s="11">
        <f t="shared" si="39"/>
        <v>1091.2399999999998</v>
      </c>
      <c r="BF97" s="78"/>
      <c r="BG97" s="78">
        <v>0</v>
      </c>
      <c r="BH97" s="78">
        <v>0</v>
      </c>
      <c r="BI97" s="78">
        <v>550.9</v>
      </c>
      <c r="BJ97" s="78">
        <v>55.5</v>
      </c>
      <c r="BK97" s="78">
        <v>145.30000000000001</v>
      </c>
      <c r="BL97" s="78">
        <v>48.8</v>
      </c>
    </row>
    <row r="98" spans="1:64" ht="15.75" thickBot="1" x14ac:dyDescent="0.3">
      <c r="A98" s="92" t="s">
        <v>164</v>
      </c>
      <c r="B98" s="91">
        <v>200</v>
      </c>
      <c r="C98" s="91">
        <v>200</v>
      </c>
      <c r="D98" s="91">
        <v>200</v>
      </c>
      <c r="E98" s="91">
        <v>200</v>
      </c>
      <c r="F98" s="91">
        <v>200</v>
      </c>
      <c r="G98" s="91">
        <v>200</v>
      </c>
      <c r="H98" s="91">
        <v>200</v>
      </c>
      <c r="I98" s="91">
        <v>200</v>
      </c>
      <c r="J98" s="91">
        <v>80</v>
      </c>
      <c r="K98" s="91">
        <v>60</v>
      </c>
      <c r="L98" s="91">
        <v>60</v>
      </c>
      <c r="M98" s="91">
        <v>60</v>
      </c>
      <c r="N98" s="91"/>
      <c r="O98" s="91"/>
      <c r="P98" s="91"/>
      <c r="Q98" s="91"/>
      <c r="R98" s="91"/>
      <c r="S98" s="91"/>
      <c r="T98" s="91"/>
      <c r="U98" s="91"/>
      <c r="V98" s="91">
        <v>100</v>
      </c>
      <c r="W98" s="91"/>
      <c r="X98" s="91"/>
      <c r="Y98" s="91">
        <v>300</v>
      </c>
      <c r="Z98" s="91">
        <v>300</v>
      </c>
      <c r="AA98" s="91">
        <v>300</v>
      </c>
      <c r="AB98" s="91">
        <v>300</v>
      </c>
      <c r="AC98" s="91">
        <v>280</v>
      </c>
      <c r="AD98" s="91">
        <v>240</v>
      </c>
      <c r="AE98" s="91">
        <v>230</v>
      </c>
      <c r="AF98" s="91">
        <v>231</v>
      </c>
      <c r="AG98" s="75"/>
      <c r="AH98" s="12">
        <f t="shared" si="38"/>
        <v>300</v>
      </c>
      <c r="AI98" s="11">
        <f t="shared" si="39"/>
        <v>60</v>
      </c>
      <c r="BF98" s="78"/>
      <c r="BG98" s="78">
        <v>75.400000000000006</v>
      </c>
      <c r="BH98" s="78">
        <v>0</v>
      </c>
      <c r="BI98" s="78">
        <v>537.70000000000005</v>
      </c>
      <c r="BJ98" s="78">
        <v>60.7</v>
      </c>
      <c r="BK98" s="78">
        <v>133.5</v>
      </c>
      <c r="BL98" s="78">
        <v>48</v>
      </c>
    </row>
    <row r="99" spans="1:64" ht="15.75" thickBot="1" x14ac:dyDescent="0.3">
      <c r="A99" s="77" t="s">
        <v>163</v>
      </c>
      <c r="B99" s="90">
        <f t="shared" ref="B99:AF99" si="42">B97+B98</f>
        <v>1396.4399999999998</v>
      </c>
      <c r="C99" s="90">
        <f t="shared" si="42"/>
        <v>1356.04</v>
      </c>
      <c r="D99" s="90">
        <f t="shared" si="42"/>
        <v>1342.54</v>
      </c>
      <c r="E99" s="90">
        <f t="shared" si="42"/>
        <v>1291.2399999999998</v>
      </c>
      <c r="F99" s="90">
        <f t="shared" si="42"/>
        <v>1315.54</v>
      </c>
      <c r="G99" s="90">
        <f t="shared" si="42"/>
        <v>1316.84</v>
      </c>
      <c r="H99" s="90">
        <f t="shared" si="42"/>
        <v>1367.4399999999998</v>
      </c>
      <c r="I99" s="90">
        <f t="shared" si="42"/>
        <v>1403.24</v>
      </c>
      <c r="J99" s="90">
        <f t="shared" si="42"/>
        <v>1527.0799999999997</v>
      </c>
      <c r="K99" s="90">
        <f t="shared" si="42"/>
        <v>1516.74</v>
      </c>
      <c r="L99" s="90">
        <f t="shared" si="42"/>
        <v>1606.94</v>
      </c>
      <c r="M99" s="90">
        <f t="shared" si="42"/>
        <v>1662.9399999999998</v>
      </c>
      <c r="N99" s="90">
        <f t="shared" si="42"/>
        <v>1490.2399999999998</v>
      </c>
      <c r="O99" s="90">
        <f t="shared" si="42"/>
        <v>1527.74</v>
      </c>
      <c r="P99" s="90">
        <f t="shared" si="42"/>
        <v>1630.54</v>
      </c>
      <c r="Q99" s="90">
        <f t="shared" si="42"/>
        <v>1548.7399999999998</v>
      </c>
      <c r="R99" s="90">
        <f t="shared" si="42"/>
        <v>1523.2399999999998</v>
      </c>
      <c r="S99" s="90">
        <f t="shared" si="42"/>
        <v>1648.54</v>
      </c>
      <c r="T99" s="90">
        <f t="shared" si="42"/>
        <v>1700.04</v>
      </c>
      <c r="U99" s="90">
        <f t="shared" si="42"/>
        <v>1620.54</v>
      </c>
      <c r="V99" s="90">
        <f t="shared" si="42"/>
        <v>1683.94</v>
      </c>
      <c r="W99" s="90">
        <f t="shared" si="42"/>
        <v>1569.1399999999999</v>
      </c>
      <c r="X99" s="90">
        <f t="shared" si="42"/>
        <v>1466.24</v>
      </c>
      <c r="Y99" s="90">
        <f t="shared" si="42"/>
        <v>1751.9999999999998</v>
      </c>
      <c r="Z99" s="90">
        <f t="shared" si="42"/>
        <v>1836.8</v>
      </c>
      <c r="AA99" s="90">
        <f t="shared" si="42"/>
        <v>1814.54</v>
      </c>
      <c r="AB99" s="90">
        <f t="shared" si="42"/>
        <v>1756.2399999999998</v>
      </c>
      <c r="AC99" s="90">
        <f t="shared" si="42"/>
        <v>1721.3400000000001</v>
      </c>
      <c r="AD99" s="90">
        <f t="shared" si="42"/>
        <v>1668.44</v>
      </c>
      <c r="AE99" s="90">
        <f t="shared" si="42"/>
        <v>1574.54</v>
      </c>
      <c r="AF99" s="90">
        <f t="shared" si="42"/>
        <v>1497.54</v>
      </c>
      <c r="AG99" s="75">
        <f>AG96+AG92+AG80+AG76+AG58+AG98</f>
        <v>1693.71</v>
      </c>
      <c r="AH99" s="12">
        <f t="shared" si="38"/>
        <v>1836.8</v>
      </c>
      <c r="AI99" s="11">
        <f t="shared" si="39"/>
        <v>1291.2399999999998</v>
      </c>
      <c r="BF99" s="78"/>
      <c r="BG99" s="78">
        <v>77.2</v>
      </c>
      <c r="BH99" s="78">
        <v>0</v>
      </c>
      <c r="BI99" s="78">
        <v>492</v>
      </c>
      <c r="BJ99" s="78">
        <v>59.8</v>
      </c>
      <c r="BK99" s="78">
        <v>117.4</v>
      </c>
      <c r="BL99" s="78">
        <v>55</v>
      </c>
    </row>
    <row r="100" spans="1:64" ht="15.75" thickBot="1" x14ac:dyDescent="0.3">
      <c r="A100" s="77" t="s">
        <v>162</v>
      </c>
      <c r="B100" s="90">
        <f t="shared" ref="B100:AF100" si="43">B99-(B107)</f>
        <v>1396.4399999999998</v>
      </c>
      <c r="C100" s="90">
        <f t="shared" si="43"/>
        <v>1356.04</v>
      </c>
      <c r="D100" s="90">
        <f t="shared" si="43"/>
        <v>1342.54</v>
      </c>
      <c r="E100" s="90">
        <f t="shared" si="43"/>
        <v>1291.2399999999998</v>
      </c>
      <c r="F100" s="90">
        <f t="shared" si="43"/>
        <v>1315.54</v>
      </c>
      <c r="G100" s="90">
        <f t="shared" si="43"/>
        <v>1316.84</v>
      </c>
      <c r="H100" s="90">
        <f t="shared" si="43"/>
        <v>1367.4399999999998</v>
      </c>
      <c r="I100" s="90">
        <f t="shared" si="43"/>
        <v>1403.24</v>
      </c>
      <c r="J100" s="90">
        <f t="shared" si="43"/>
        <v>1527.0799999999997</v>
      </c>
      <c r="K100" s="90">
        <f t="shared" si="43"/>
        <v>1516.74</v>
      </c>
      <c r="L100" s="90">
        <f t="shared" si="43"/>
        <v>1606.94</v>
      </c>
      <c r="M100" s="90">
        <f t="shared" si="43"/>
        <v>1662.9399999999998</v>
      </c>
      <c r="N100" s="90">
        <f t="shared" si="43"/>
        <v>1490.2399999999998</v>
      </c>
      <c r="O100" s="90">
        <f t="shared" si="43"/>
        <v>1527.74</v>
      </c>
      <c r="P100" s="90">
        <f t="shared" si="43"/>
        <v>1630.54</v>
      </c>
      <c r="Q100" s="90">
        <f t="shared" si="43"/>
        <v>1548.7399999999998</v>
      </c>
      <c r="R100" s="90">
        <f t="shared" si="43"/>
        <v>1523.2399999999998</v>
      </c>
      <c r="S100" s="90">
        <f t="shared" si="43"/>
        <v>1648.54</v>
      </c>
      <c r="T100" s="90">
        <f t="shared" si="43"/>
        <v>1700.04</v>
      </c>
      <c r="U100" s="90">
        <f t="shared" si="43"/>
        <v>1620.54</v>
      </c>
      <c r="V100" s="90">
        <f t="shared" si="43"/>
        <v>1683.94</v>
      </c>
      <c r="W100" s="90">
        <f t="shared" si="43"/>
        <v>1569.1399999999999</v>
      </c>
      <c r="X100" s="90">
        <f t="shared" si="43"/>
        <v>1466.24</v>
      </c>
      <c r="Y100" s="90">
        <f t="shared" si="43"/>
        <v>1751.9999999999998</v>
      </c>
      <c r="Z100" s="90">
        <f t="shared" si="43"/>
        <v>1836.8</v>
      </c>
      <c r="AA100" s="90">
        <f t="shared" si="43"/>
        <v>1814.54</v>
      </c>
      <c r="AB100" s="90">
        <f t="shared" si="43"/>
        <v>1756.2399999999998</v>
      </c>
      <c r="AC100" s="90">
        <f t="shared" si="43"/>
        <v>1720.3400000000001</v>
      </c>
      <c r="AD100" s="90">
        <f t="shared" si="43"/>
        <v>1666.44</v>
      </c>
      <c r="AE100" s="90">
        <f t="shared" si="43"/>
        <v>1571.54</v>
      </c>
      <c r="AF100" s="90">
        <f t="shared" si="43"/>
        <v>1497.54</v>
      </c>
      <c r="AG100" s="75"/>
      <c r="AH100" s="12">
        <f t="shared" si="38"/>
        <v>1836.8</v>
      </c>
      <c r="AI100" s="11">
        <f t="shared" si="39"/>
        <v>1291.2399999999998</v>
      </c>
      <c r="BF100" s="78"/>
      <c r="BG100" s="78">
        <v>58.5</v>
      </c>
      <c r="BH100" s="78">
        <v>0</v>
      </c>
      <c r="BI100" s="78">
        <v>516</v>
      </c>
      <c r="BJ100" s="78">
        <v>47.2</v>
      </c>
      <c r="BK100" s="78">
        <v>149.19999999999999</v>
      </c>
      <c r="BL100" s="78">
        <v>48.9</v>
      </c>
    </row>
    <row r="101" spans="1:64" x14ac:dyDescent="0.25">
      <c r="A101" s="89" t="s">
        <v>161</v>
      </c>
      <c r="B101" s="85">
        <f t="shared" ref="B101:AF101" si="44">IF(B84&lt;0,B84*-1,0)</f>
        <v>0</v>
      </c>
      <c r="C101" s="85">
        <f t="shared" si="44"/>
        <v>0</v>
      </c>
      <c r="D101" s="85">
        <f t="shared" si="44"/>
        <v>0</v>
      </c>
      <c r="E101" s="85">
        <f t="shared" si="44"/>
        <v>0</v>
      </c>
      <c r="F101" s="85">
        <f t="shared" si="44"/>
        <v>0</v>
      </c>
      <c r="G101" s="85">
        <f t="shared" si="44"/>
        <v>0</v>
      </c>
      <c r="H101" s="85">
        <f t="shared" si="44"/>
        <v>0</v>
      </c>
      <c r="I101" s="85">
        <f t="shared" si="44"/>
        <v>0</v>
      </c>
      <c r="J101" s="85">
        <f t="shared" si="44"/>
        <v>0</v>
      </c>
      <c r="K101" s="85">
        <f t="shared" si="44"/>
        <v>0</v>
      </c>
      <c r="L101" s="85">
        <f t="shared" si="44"/>
        <v>0</v>
      </c>
      <c r="M101" s="85">
        <f t="shared" si="44"/>
        <v>0</v>
      </c>
      <c r="N101" s="85">
        <f t="shared" si="44"/>
        <v>0</v>
      </c>
      <c r="O101" s="85">
        <f t="shared" si="44"/>
        <v>0</v>
      </c>
      <c r="P101" s="85">
        <f t="shared" si="44"/>
        <v>0</v>
      </c>
      <c r="Q101" s="85">
        <f t="shared" si="44"/>
        <v>0</v>
      </c>
      <c r="R101" s="85">
        <f t="shared" si="44"/>
        <v>0</v>
      </c>
      <c r="S101" s="85">
        <f t="shared" si="44"/>
        <v>0</v>
      </c>
      <c r="T101" s="85">
        <f t="shared" si="44"/>
        <v>0</v>
      </c>
      <c r="U101" s="85">
        <f t="shared" si="44"/>
        <v>0</v>
      </c>
      <c r="V101" s="85">
        <f t="shared" si="44"/>
        <v>0</v>
      </c>
      <c r="W101" s="85">
        <f t="shared" si="44"/>
        <v>0</v>
      </c>
      <c r="X101" s="85">
        <f t="shared" si="44"/>
        <v>0</v>
      </c>
      <c r="Y101" s="85">
        <f t="shared" si="44"/>
        <v>0</v>
      </c>
      <c r="Z101" s="85">
        <f t="shared" si="44"/>
        <v>0</v>
      </c>
      <c r="AA101" s="85">
        <f t="shared" si="44"/>
        <v>0</v>
      </c>
      <c r="AB101" s="85">
        <f t="shared" si="44"/>
        <v>0</v>
      </c>
      <c r="AC101" s="85">
        <f t="shared" si="44"/>
        <v>0</v>
      </c>
      <c r="AD101" s="85">
        <f t="shared" si="44"/>
        <v>0</v>
      </c>
      <c r="AE101" s="85">
        <f t="shared" si="44"/>
        <v>0</v>
      </c>
      <c r="AF101" s="85">
        <f t="shared" si="44"/>
        <v>0</v>
      </c>
      <c r="AG101" s="88"/>
      <c r="AH101" s="12">
        <f t="shared" si="38"/>
        <v>0</v>
      </c>
      <c r="AI101" s="11">
        <f t="shared" si="39"/>
        <v>0</v>
      </c>
      <c r="BF101" s="83"/>
      <c r="BG101" s="78">
        <v>66</v>
      </c>
      <c r="BH101" s="78">
        <v>0</v>
      </c>
      <c r="BI101" s="78">
        <v>504</v>
      </c>
      <c r="BJ101" s="78">
        <v>41.3</v>
      </c>
      <c r="BK101" s="78">
        <v>103.2</v>
      </c>
      <c r="BL101" s="78">
        <v>41.7</v>
      </c>
    </row>
    <row r="102" spans="1:64" x14ac:dyDescent="0.25">
      <c r="A102" s="87" t="s">
        <v>160</v>
      </c>
      <c r="B102" s="85">
        <f t="shared" ref="B102:AF102" si="45">IF(B82&lt;0,B82*-1,0)</f>
        <v>0</v>
      </c>
      <c r="C102" s="85">
        <f t="shared" si="45"/>
        <v>0</v>
      </c>
      <c r="D102" s="85">
        <f t="shared" si="45"/>
        <v>0</v>
      </c>
      <c r="E102" s="85">
        <f t="shared" si="45"/>
        <v>0</v>
      </c>
      <c r="F102" s="85">
        <f t="shared" si="45"/>
        <v>0</v>
      </c>
      <c r="G102" s="85">
        <f t="shared" si="45"/>
        <v>0</v>
      </c>
      <c r="H102" s="85">
        <f t="shared" si="45"/>
        <v>0</v>
      </c>
      <c r="I102" s="85">
        <f t="shared" si="45"/>
        <v>0</v>
      </c>
      <c r="J102" s="85">
        <f t="shared" si="45"/>
        <v>0</v>
      </c>
      <c r="K102" s="85">
        <f t="shared" si="45"/>
        <v>0</v>
      </c>
      <c r="L102" s="85">
        <f t="shared" si="45"/>
        <v>0</v>
      </c>
      <c r="M102" s="85">
        <f t="shared" si="45"/>
        <v>0</v>
      </c>
      <c r="N102" s="85">
        <f t="shared" si="45"/>
        <v>0</v>
      </c>
      <c r="O102" s="85">
        <f t="shared" si="45"/>
        <v>0</v>
      </c>
      <c r="P102" s="85">
        <f t="shared" si="45"/>
        <v>0</v>
      </c>
      <c r="Q102" s="85">
        <f t="shared" si="45"/>
        <v>0</v>
      </c>
      <c r="R102" s="85">
        <f t="shared" si="45"/>
        <v>0</v>
      </c>
      <c r="S102" s="85">
        <f t="shared" si="45"/>
        <v>0</v>
      </c>
      <c r="T102" s="85">
        <f t="shared" si="45"/>
        <v>0</v>
      </c>
      <c r="U102" s="85">
        <f t="shared" si="45"/>
        <v>0</v>
      </c>
      <c r="V102" s="85">
        <f t="shared" si="45"/>
        <v>0</v>
      </c>
      <c r="W102" s="85">
        <f t="shared" si="45"/>
        <v>0</v>
      </c>
      <c r="X102" s="85">
        <f t="shared" si="45"/>
        <v>0</v>
      </c>
      <c r="Y102" s="85">
        <f t="shared" si="45"/>
        <v>0</v>
      </c>
      <c r="Z102" s="85">
        <f t="shared" si="45"/>
        <v>0</v>
      </c>
      <c r="AA102" s="85">
        <f t="shared" si="45"/>
        <v>0</v>
      </c>
      <c r="AB102" s="85">
        <f t="shared" si="45"/>
        <v>0</v>
      </c>
      <c r="AC102" s="85">
        <f t="shared" si="45"/>
        <v>0</v>
      </c>
      <c r="AD102" s="85">
        <f t="shared" si="45"/>
        <v>0</v>
      </c>
      <c r="AE102" s="85">
        <f t="shared" si="45"/>
        <v>0</v>
      </c>
      <c r="AF102" s="85">
        <f t="shared" si="45"/>
        <v>0</v>
      </c>
      <c r="AG102" s="86"/>
      <c r="AH102" s="12">
        <f t="shared" si="38"/>
        <v>0</v>
      </c>
      <c r="AI102" s="11">
        <f t="shared" si="39"/>
        <v>0</v>
      </c>
      <c r="BF102" s="83"/>
      <c r="BG102" s="78">
        <v>41.6</v>
      </c>
      <c r="BH102" s="78">
        <v>0</v>
      </c>
      <c r="BI102" s="78">
        <v>125</v>
      </c>
      <c r="BJ102" s="78">
        <v>35.200000000000003</v>
      </c>
      <c r="BK102" s="78">
        <v>0</v>
      </c>
      <c r="BL102" s="78">
        <v>53.7</v>
      </c>
    </row>
    <row r="103" spans="1:64" x14ac:dyDescent="0.25">
      <c r="A103" s="82" t="s">
        <v>159</v>
      </c>
      <c r="B103" s="85">
        <f t="shared" ref="B103:AF103" si="46">IF(B85&lt;0,B85*-1,0)</f>
        <v>0</v>
      </c>
      <c r="C103" s="85">
        <f t="shared" si="46"/>
        <v>0</v>
      </c>
      <c r="D103" s="85">
        <f t="shared" si="46"/>
        <v>0</v>
      </c>
      <c r="E103" s="85">
        <f t="shared" si="46"/>
        <v>0</v>
      </c>
      <c r="F103" s="85">
        <f t="shared" si="46"/>
        <v>0</v>
      </c>
      <c r="G103" s="85">
        <f t="shared" si="46"/>
        <v>0</v>
      </c>
      <c r="H103" s="85">
        <f t="shared" si="46"/>
        <v>0</v>
      </c>
      <c r="I103" s="85">
        <f t="shared" si="46"/>
        <v>0</v>
      </c>
      <c r="J103" s="85">
        <f t="shared" si="46"/>
        <v>0</v>
      </c>
      <c r="K103" s="85">
        <f t="shared" si="46"/>
        <v>0</v>
      </c>
      <c r="L103" s="85">
        <f t="shared" si="46"/>
        <v>0</v>
      </c>
      <c r="M103" s="85">
        <f t="shared" si="46"/>
        <v>0</v>
      </c>
      <c r="N103" s="85">
        <f t="shared" si="46"/>
        <v>0</v>
      </c>
      <c r="O103" s="85">
        <f t="shared" si="46"/>
        <v>0</v>
      </c>
      <c r="P103" s="85">
        <f t="shared" si="46"/>
        <v>0</v>
      </c>
      <c r="Q103" s="85">
        <f t="shared" si="46"/>
        <v>0</v>
      </c>
      <c r="R103" s="85">
        <f t="shared" si="46"/>
        <v>0</v>
      </c>
      <c r="S103" s="85">
        <f t="shared" si="46"/>
        <v>0</v>
      </c>
      <c r="T103" s="85">
        <f t="shared" si="46"/>
        <v>0</v>
      </c>
      <c r="U103" s="85">
        <f t="shared" si="46"/>
        <v>0</v>
      </c>
      <c r="V103" s="85">
        <f t="shared" si="46"/>
        <v>0</v>
      </c>
      <c r="W103" s="85">
        <f t="shared" si="46"/>
        <v>0</v>
      </c>
      <c r="X103" s="85">
        <f t="shared" si="46"/>
        <v>0</v>
      </c>
      <c r="Y103" s="85">
        <f t="shared" si="46"/>
        <v>0</v>
      </c>
      <c r="Z103" s="85">
        <f t="shared" si="46"/>
        <v>0</v>
      </c>
      <c r="AA103" s="85">
        <f t="shared" si="46"/>
        <v>0</v>
      </c>
      <c r="AB103" s="85">
        <f t="shared" si="46"/>
        <v>0</v>
      </c>
      <c r="AC103" s="85">
        <f t="shared" si="46"/>
        <v>0</v>
      </c>
      <c r="AD103" s="85">
        <f t="shared" si="46"/>
        <v>0</v>
      </c>
      <c r="AE103" s="85">
        <f t="shared" si="46"/>
        <v>0</v>
      </c>
      <c r="AF103" s="85">
        <f t="shared" si="46"/>
        <v>0</v>
      </c>
      <c r="AG103" s="84"/>
      <c r="AH103" s="12">
        <f t="shared" si="38"/>
        <v>0</v>
      </c>
      <c r="AI103" s="11">
        <f t="shared" si="39"/>
        <v>0</v>
      </c>
      <c r="BF103" s="83"/>
      <c r="BG103" s="78">
        <v>39</v>
      </c>
      <c r="BH103" s="78">
        <v>0</v>
      </c>
      <c r="BI103" s="78">
        <v>171</v>
      </c>
      <c r="BJ103" s="78">
        <v>15.9</v>
      </c>
      <c r="BK103" s="78">
        <v>0</v>
      </c>
      <c r="BL103" s="78">
        <v>47</v>
      </c>
    </row>
    <row r="104" spans="1:64" x14ac:dyDescent="0.25">
      <c r="A104" s="82" t="s">
        <v>158</v>
      </c>
      <c r="B104" s="85">
        <f t="shared" ref="B104:AF104" si="47">IF(B83&lt;0,B83*-1,0)</f>
        <v>0</v>
      </c>
      <c r="C104" s="85">
        <f t="shared" si="47"/>
        <v>0</v>
      </c>
      <c r="D104" s="85">
        <f t="shared" si="47"/>
        <v>0</v>
      </c>
      <c r="E104" s="85">
        <f t="shared" si="47"/>
        <v>0</v>
      </c>
      <c r="F104" s="85">
        <f t="shared" si="47"/>
        <v>0</v>
      </c>
      <c r="G104" s="85">
        <f t="shared" si="47"/>
        <v>0</v>
      </c>
      <c r="H104" s="85">
        <f t="shared" si="47"/>
        <v>0</v>
      </c>
      <c r="I104" s="85">
        <f t="shared" si="47"/>
        <v>0</v>
      </c>
      <c r="J104" s="85">
        <f t="shared" si="47"/>
        <v>0</v>
      </c>
      <c r="K104" s="85">
        <f t="shared" si="47"/>
        <v>0</v>
      </c>
      <c r="L104" s="85">
        <f t="shared" si="47"/>
        <v>0</v>
      </c>
      <c r="M104" s="85">
        <f t="shared" si="47"/>
        <v>0</v>
      </c>
      <c r="N104" s="85">
        <f t="shared" si="47"/>
        <v>0</v>
      </c>
      <c r="O104" s="85">
        <f t="shared" si="47"/>
        <v>0</v>
      </c>
      <c r="P104" s="85">
        <f t="shared" si="47"/>
        <v>0</v>
      </c>
      <c r="Q104" s="85">
        <f t="shared" si="47"/>
        <v>0</v>
      </c>
      <c r="R104" s="85">
        <f t="shared" si="47"/>
        <v>0</v>
      </c>
      <c r="S104" s="85">
        <f t="shared" si="47"/>
        <v>0</v>
      </c>
      <c r="T104" s="85">
        <f t="shared" si="47"/>
        <v>0</v>
      </c>
      <c r="U104" s="85">
        <f t="shared" si="47"/>
        <v>0</v>
      </c>
      <c r="V104" s="85">
        <f t="shared" si="47"/>
        <v>0</v>
      </c>
      <c r="W104" s="85">
        <f t="shared" si="47"/>
        <v>0</v>
      </c>
      <c r="X104" s="85">
        <f t="shared" si="47"/>
        <v>0</v>
      </c>
      <c r="Y104" s="85">
        <f t="shared" si="47"/>
        <v>0</v>
      </c>
      <c r="Z104" s="85">
        <f t="shared" si="47"/>
        <v>0</v>
      </c>
      <c r="AA104" s="85">
        <f t="shared" si="47"/>
        <v>0</v>
      </c>
      <c r="AB104" s="85">
        <f t="shared" si="47"/>
        <v>0</v>
      </c>
      <c r="AC104" s="85">
        <f t="shared" si="47"/>
        <v>0</v>
      </c>
      <c r="AD104" s="85">
        <f t="shared" si="47"/>
        <v>0</v>
      </c>
      <c r="AE104" s="85">
        <f t="shared" si="47"/>
        <v>0</v>
      </c>
      <c r="AF104" s="85">
        <f t="shared" si="47"/>
        <v>0</v>
      </c>
      <c r="AG104" s="84"/>
      <c r="AH104" s="12">
        <f t="shared" si="38"/>
        <v>0</v>
      </c>
      <c r="AI104" s="11">
        <f t="shared" si="39"/>
        <v>0</v>
      </c>
      <c r="BF104" s="83"/>
      <c r="BG104" s="78">
        <v>41</v>
      </c>
      <c r="BH104" s="78">
        <v>0</v>
      </c>
      <c r="BI104" s="78">
        <v>210</v>
      </c>
      <c r="BJ104" s="78">
        <v>15.9</v>
      </c>
      <c r="BK104" s="78">
        <v>0</v>
      </c>
      <c r="BL104" s="78">
        <v>48</v>
      </c>
    </row>
    <row r="105" spans="1:64" x14ac:dyDescent="0.25">
      <c r="A105" s="82" t="s">
        <v>157</v>
      </c>
      <c r="B105" s="85">
        <f t="shared" ref="B105:AF105" si="48">IF(B81&lt;0,B81*-1,0)</f>
        <v>0</v>
      </c>
      <c r="C105" s="85">
        <f t="shared" si="48"/>
        <v>0</v>
      </c>
      <c r="D105" s="85">
        <f t="shared" si="48"/>
        <v>0</v>
      </c>
      <c r="E105" s="85">
        <f t="shared" si="48"/>
        <v>0</v>
      </c>
      <c r="F105" s="85">
        <f t="shared" si="48"/>
        <v>0</v>
      </c>
      <c r="G105" s="85">
        <f t="shared" si="48"/>
        <v>0</v>
      </c>
      <c r="H105" s="85">
        <f t="shared" si="48"/>
        <v>0</v>
      </c>
      <c r="I105" s="85">
        <f t="shared" si="48"/>
        <v>0</v>
      </c>
      <c r="J105" s="85">
        <f t="shared" si="48"/>
        <v>0</v>
      </c>
      <c r="K105" s="85">
        <f t="shared" si="48"/>
        <v>0</v>
      </c>
      <c r="L105" s="85">
        <f t="shared" si="48"/>
        <v>0</v>
      </c>
      <c r="M105" s="85">
        <f t="shared" si="48"/>
        <v>0</v>
      </c>
      <c r="N105" s="85">
        <f t="shared" si="48"/>
        <v>0</v>
      </c>
      <c r="O105" s="85">
        <f t="shared" si="48"/>
        <v>0</v>
      </c>
      <c r="P105" s="85">
        <f t="shared" si="48"/>
        <v>0</v>
      </c>
      <c r="Q105" s="85">
        <f t="shared" si="48"/>
        <v>0</v>
      </c>
      <c r="R105" s="85">
        <f t="shared" si="48"/>
        <v>0</v>
      </c>
      <c r="S105" s="85">
        <f t="shared" si="48"/>
        <v>0</v>
      </c>
      <c r="T105" s="85">
        <f t="shared" si="48"/>
        <v>0</v>
      </c>
      <c r="U105" s="85">
        <f t="shared" si="48"/>
        <v>0</v>
      </c>
      <c r="V105" s="85">
        <f t="shared" si="48"/>
        <v>0</v>
      </c>
      <c r="W105" s="85">
        <f t="shared" si="48"/>
        <v>0</v>
      </c>
      <c r="X105" s="85">
        <f t="shared" si="48"/>
        <v>0</v>
      </c>
      <c r="Y105" s="85">
        <f t="shared" si="48"/>
        <v>0</v>
      </c>
      <c r="Z105" s="85">
        <f t="shared" si="48"/>
        <v>0</v>
      </c>
      <c r="AA105" s="85">
        <f t="shared" si="48"/>
        <v>0</v>
      </c>
      <c r="AB105" s="85">
        <f t="shared" si="48"/>
        <v>0</v>
      </c>
      <c r="AC105" s="85">
        <f t="shared" si="48"/>
        <v>0</v>
      </c>
      <c r="AD105" s="85">
        <f t="shared" si="48"/>
        <v>0</v>
      </c>
      <c r="AE105" s="85">
        <f t="shared" si="48"/>
        <v>0</v>
      </c>
      <c r="AF105" s="85">
        <f t="shared" si="48"/>
        <v>0</v>
      </c>
      <c r="AG105" s="84"/>
      <c r="AH105" s="12">
        <f t="shared" si="38"/>
        <v>0</v>
      </c>
      <c r="AI105" s="11">
        <f t="shared" si="39"/>
        <v>0</v>
      </c>
      <c r="BF105" s="83"/>
      <c r="BG105" s="78">
        <v>37</v>
      </c>
      <c r="BH105" s="78">
        <v>0</v>
      </c>
      <c r="BI105" s="78">
        <v>185</v>
      </c>
      <c r="BJ105" s="78">
        <v>13</v>
      </c>
      <c r="BK105" s="78">
        <v>0</v>
      </c>
      <c r="BL105" s="78">
        <v>50</v>
      </c>
    </row>
    <row r="106" spans="1:64" ht="15.75" thickBot="1" x14ac:dyDescent="0.3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1</v>
      </c>
      <c r="AD106" s="81">
        <v>2</v>
      </c>
      <c r="AE106" s="81">
        <v>3</v>
      </c>
      <c r="AF106" s="81">
        <v>0</v>
      </c>
      <c r="AG106" s="80"/>
      <c r="AH106" s="12">
        <f t="shared" si="38"/>
        <v>3</v>
      </c>
      <c r="AI106" s="11">
        <f t="shared" si="39"/>
        <v>0</v>
      </c>
      <c r="BG106" s="78">
        <v>30</v>
      </c>
      <c r="BH106" s="78">
        <v>0</v>
      </c>
      <c r="BI106" s="78">
        <v>121</v>
      </c>
      <c r="BJ106" s="78">
        <v>13</v>
      </c>
      <c r="BK106" s="78">
        <v>0</v>
      </c>
      <c r="BL106" s="78">
        <v>53</v>
      </c>
    </row>
    <row r="107" spans="1:64" ht="15.75" thickBot="1" x14ac:dyDescent="0.3">
      <c r="A107" s="79" t="s">
        <v>155</v>
      </c>
      <c r="B107" s="76">
        <f t="shared" ref="B107:AF107" si="49">SUM(B101:B106)</f>
        <v>0</v>
      </c>
      <c r="C107" s="76">
        <f t="shared" si="49"/>
        <v>0</v>
      </c>
      <c r="D107" s="76">
        <f t="shared" si="49"/>
        <v>0</v>
      </c>
      <c r="E107" s="76">
        <f t="shared" si="49"/>
        <v>0</v>
      </c>
      <c r="F107" s="76">
        <f t="shared" si="49"/>
        <v>0</v>
      </c>
      <c r="G107" s="76">
        <f t="shared" si="49"/>
        <v>0</v>
      </c>
      <c r="H107" s="76">
        <f t="shared" si="49"/>
        <v>0</v>
      </c>
      <c r="I107" s="76">
        <f t="shared" si="49"/>
        <v>0</v>
      </c>
      <c r="J107" s="76">
        <f t="shared" si="49"/>
        <v>0</v>
      </c>
      <c r="K107" s="76">
        <f t="shared" si="49"/>
        <v>0</v>
      </c>
      <c r="L107" s="76">
        <f t="shared" si="49"/>
        <v>0</v>
      </c>
      <c r="M107" s="76">
        <f t="shared" si="49"/>
        <v>0</v>
      </c>
      <c r="N107" s="76">
        <f t="shared" si="49"/>
        <v>0</v>
      </c>
      <c r="O107" s="76">
        <f t="shared" si="49"/>
        <v>0</v>
      </c>
      <c r="P107" s="76">
        <f t="shared" si="49"/>
        <v>0</v>
      </c>
      <c r="Q107" s="76">
        <f t="shared" si="49"/>
        <v>0</v>
      </c>
      <c r="R107" s="76">
        <f t="shared" si="49"/>
        <v>0</v>
      </c>
      <c r="S107" s="76">
        <f t="shared" si="49"/>
        <v>0</v>
      </c>
      <c r="T107" s="76">
        <f t="shared" si="49"/>
        <v>0</v>
      </c>
      <c r="U107" s="76">
        <f t="shared" si="49"/>
        <v>0</v>
      </c>
      <c r="V107" s="76">
        <f t="shared" si="49"/>
        <v>0</v>
      </c>
      <c r="W107" s="76">
        <f t="shared" si="49"/>
        <v>0</v>
      </c>
      <c r="X107" s="76">
        <f t="shared" si="49"/>
        <v>0</v>
      </c>
      <c r="Y107" s="76">
        <f t="shared" si="49"/>
        <v>0</v>
      </c>
      <c r="Z107" s="76">
        <f t="shared" si="49"/>
        <v>0</v>
      </c>
      <c r="AA107" s="76">
        <f t="shared" si="49"/>
        <v>0</v>
      </c>
      <c r="AB107" s="76">
        <f t="shared" si="49"/>
        <v>0</v>
      </c>
      <c r="AC107" s="76">
        <f t="shared" si="49"/>
        <v>1</v>
      </c>
      <c r="AD107" s="76">
        <f t="shared" si="49"/>
        <v>2</v>
      </c>
      <c r="AE107" s="76">
        <f t="shared" si="49"/>
        <v>3</v>
      </c>
      <c r="AF107" s="76">
        <f t="shared" si="49"/>
        <v>0</v>
      </c>
      <c r="AG107" s="75"/>
      <c r="AH107" s="12">
        <f t="shared" si="38"/>
        <v>3</v>
      </c>
      <c r="AI107" s="11">
        <f t="shared" si="39"/>
        <v>0</v>
      </c>
      <c r="AK107" s="19"/>
      <c r="BG107" s="78">
        <v>49.5</v>
      </c>
      <c r="BH107" s="78">
        <v>0</v>
      </c>
      <c r="BI107" s="78">
        <v>224.6</v>
      </c>
      <c r="BJ107" s="78">
        <v>0</v>
      </c>
      <c r="BK107" s="78">
        <v>0</v>
      </c>
      <c r="BL107" s="78">
        <v>42.8</v>
      </c>
    </row>
    <row r="108" spans="1:64" ht="15.75" thickBot="1" x14ac:dyDescent="0.3">
      <c r="A108" s="77" t="s">
        <v>154</v>
      </c>
      <c r="B108" s="76">
        <f t="shared" ref="B108:AF108" si="50">B92-B107</f>
        <v>316.90000000000003</v>
      </c>
      <c r="C108" s="76">
        <f t="shared" si="50"/>
        <v>299.7</v>
      </c>
      <c r="D108" s="76">
        <f t="shared" si="50"/>
        <v>289.8</v>
      </c>
      <c r="E108" s="76">
        <f t="shared" si="50"/>
        <v>267.89999999999998</v>
      </c>
      <c r="F108" s="76">
        <f t="shared" si="50"/>
        <v>289.3</v>
      </c>
      <c r="G108" s="76">
        <f t="shared" si="50"/>
        <v>289.2</v>
      </c>
      <c r="H108" s="76">
        <f t="shared" si="50"/>
        <v>224.79999999999998</v>
      </c>
      <c r="I108" s="76">
        <f t="shared" si="50"/>
        <v>168.5</v>
      </c>
      <c r="J108" s="76">
        <f t="shared" si="50"/>
        <v>578.09999999999991</v>
      </c>
      <c r="K108" s="76">
        <f t="shared" si="50"/>
        <v>579.1</v>
      </c>
      <c r="L108" s="76">
        <f t="shared" si="50"/>
        <v>611.70000000000005</v>
      </c>
      <c r="M108" s="76">
        <f t="shared" si="50"/>
        <v>674.99999999999989</v>
      </c>
      <c r="N108" s="76">
        <f t="shared" si="50"/>
        <v>684.3</v>
      </c>
      <c r="O108" s="76">
        <f t="shared" si="50"/>
        <v>680.6</v>
      </c>
      <c r="P108" s="76">
        <f t="shared" si="50"/>
        <v>768.5</v>
      </c>
      <c r="Q108" s="76">
        <f t="shared" si="50"/>
        <v>715</v>
      </c>
      <c r="R108" s="76">
        <f t="shared" si="50"/>
        <v>691</v>
      </c>
      <c r="S108" s="76">
        <f t="shared" si="50"/>
        <v>800.5</v>
      </c>
      <c r="T108" s="76">
        <f t="shared" si="50"/>
        <v>855.30000000000007</v>
      </c>
      <c r="U108" s="76">
        <f t="shared" si="50"/>
        <v>808.4</v>
      </c>
      <c r="V108" s="76">
        <f t="shared" si="50"/>
        <v>826.80000000000007</v>
      </c>
      <c r="W108" s="76">
        <f t="shared" si="50"/>
        <v>836.4</v>
      </c>
      <c r="X108" s="76">
        <f t="shared" si="50"/>
        <v>763.2</v>
      </c>
      <c r="Y108" s="76">
        <f t="shared" si="50"/>
        <v>331.3</v>
      </c>
      <c r="Z108" s="76">
        <f t="shared" si="50"/>
        <v>262.5</v>
      </c>
      <c r="AA108" s="76">
        <f t="shared" si="50"/>
        <v>294.10000000000002</v>
      </c>
      <c r="AB108" s="76">
        <f t="shared" si="50"/>
        <v>279.89999999999998</v>
      </c>
      <c r="AC108" s="76">
        <f t="shared" si="50"/>
        <v>287.89999999999998</v>
      </c>
      <c r="AD108" s="76">
        <f t="shared" si="50"/>
        <v>319.89999999999998</v>
      </c>
      <c r="AE108" s="76">
        <f t="shared" si="50"/>
        <v>289</v>
      </c>
      <c r="AF108" s="76">
        <f t="shared" si="50"/>
        <v>224</v>
      </c>
      <c r="AG108" s="75"/>
      <c r="AH108" s="12">
        <f t="shared" si="38"/>
        <v>855.30000000000007</v>
      </c>
      <c r="AI108" s="11">
        <f t="shared" si="39"/>
        <v>168.5</v>
      </c>
    </row>
    <row r="109" spans="1:64" x14ac:dyDescent="0.25">
      <c r="A109" s="25" t="s">
        <v>153</v>
      </c>
      <c r="B109" s="74">
        <v>50</v>
      </c>
      <c r="C109" s="74">
        <v>50.02</v>
      </c>
      <c r="D109" s="74">
        <v>49.97</v>
      </c>
      <c r="E109" s="74">
        <v>50.023000000000003</v>
      </c>
      <c r="F109" s="74">
        <v>50.034999999999997</v>
      </c>
      <c r="G109" s="74">
        <v>49.911999999999999</v>
      </c>
      <c r="H109" s="74">
        <v>49.944000000000003</v>
      </c>
      <c r="I109" s="74">
        <v>49.942</v>
      </c>
      <c r="J109" s="74">
        <v>50.033000000000001</v>
      </c>
      <c r="K109" s="74">
        <v>50.023000000000003</v>
      </c>
      <c r="L109" s="74">
        <v>50.075000000000003</v>
      </c>
      <c r="M109" s="74">
        <v>50.076000000000001</v>
      </c>
      <c r="N109" s="74">
        <v>49.927</v>
      </c>
      <c r="O109" s="74">
        <v>50</v>
      </c>
      <c r="P109" s="74">
        <v>50.09</v>
      </c>
      <c r="Q109" s="74">
        <v>50.113</v>
      </c>
      <c r="R109" s="74">
        <v>50.085999999999999</v>
      </c>
      <c r="S109" s="74">
        <v>50.264000000000003</v>
      </c>
      <c r="T109" s="74">
        <v>50.027000000000001</v>
      </c>
      <c r="U109" s="74">
        <v>50.009</v>
      </c>
      <c r="V109" s="74">
        <v>50.037999999999997</v>
      </c>
      <c r="W109" s="74">
        <v>50.034999999999997</v>
      </c>
      <c r="X109" s="74">
        <v>50.088999999999999</v>
      </c>
      <c r="Y109" s="74">
        <v>50</v>
      </c>
      <c r="Z109" s="74">
        <v>49.98</v>
      </c>
      <c r="AA109" s="74">
        <v>50.02</v>
      </c>
      <c r="AB109" s="74">
        <v>50.04</v>
      </c>
      <c r="AC109" s="74">
        <v>50.04</v>
      </c>
      <c r="AD109" s="74">
        <v>50</v>
      </c>
      <c r="AE109" s="74">
        <v>50.07</v>
      </c>
      <c r="AF109" s="74">
        <v>49.7</v>
      </c>
      <c r="AG109" s="73"/>
      <c r="AH109" s="12">
        <f t="shared" si="38"/>
        <v>50.264000000000003</v>
      </c>
      <c r="AI109" s="11">
        <f t="shared" si="39"/>
        <v>49.7</v>
      </c>
    </row>
    <row r="110" spans="1:64" x14ac:dyDescent="0.25">
      <c r="A110" s="22" t="s">
        <v>152</v>
      </c>
      <c r="B110" s="70">
        <v>130.6</v>
      </c>
      <c r="C110" s="70">
        <v>131.69999999999999</v>
      </c>
      <c r="D110" s="70">
        <v>130.9</v>
      </c>
      <c r="E110" s="70">
        <v>132.1</v>
      </c>
      <c r="F110" s="70">
        <v>131.19999999999999</v>
      </c>
      <c r="G110" s="70">
        <v>131.19999999999999</v>
      </c>
      <c r="H110" s="70">
        <v>129.80000000000001</v>
      </c>
      <c r="I110" s="70">
        <v>129.9</v>
      </c>
      <c r="J110" s="70">
        <v>125.6</v>
      </c>
      <c r="K110" s="70">
        <v>124.4</v>
      </c>
      <c r="L110" s="70">
        <v>123.4</v>
      </c>
      <c r="M110" s="70">
        <v>123.4</v>
      </c>
      <c r="N110" s="70">
        <v>125</v>
      </c>
      <c r="O110" s="70">
        <v>125</v>
      </c>
      <c r="P110" s="70">
        <v>125</v>
      </c>
      <c r="Q110" s="70">
        <v>125.4</v>
      </c>
      <c r="R110" s="70">
        <v>124.5</v>
      </c>
      <c r="S110" s="70">
        <v>125.6</v>
      </c>
      <c r="T110" s="70">
        <v>125.9</v>
      </c>
      <c r="U110" s="70">
        <v>127.1</v>
      </c>
      <c r="V110" s="70">
        <v>128.80000000000001</v>
      </c>
      <c r="W110" s="70">
        <v>128.9</v>
      </c>
      <c r="X110" s="70">
        <v>129.5</v>
      </c>
      <c r="Y110" s="70">
        <v>128.9</v>
      </c>
      <c r="Z110" s="70">
        <v>129.9</v>
      </c>
      <c r="AA110" s="70">
        <v>129.1</v>
      </c>
      <c r="AB110" s="70">
        <v>129.80000000000001</v>
      </c>
      <c r="AC110" s="70">
        <v>129.80000000000001</v>
      </c>
      <c r="AD110" s="70">
        <v>129</v>
      </c>
      <c r="AE110" s="70">
        <v>129</v>
      </c>
      <c r="AF110" s="70">
        <v>130</v>
      </c>
      <c r="AG110" s="69"/>
      <c r="AH110" s="12">
        <f t="shared" si="38"/>
        <v>132.1</v>
      </c>
      <c r="AI110" s="11">
        <f t="shared" si="39"/>
        <v>123.4</v>
      </c>
    </row>
    <row r="111" spans="1:64" x14ac:dyDescent="0.25">
      <c r="A111" s="22" t="s">
        <v>151</v>
      </c>
      <c r="B111" s="70">
        <v>134</v>
      </c>
      <c r="C111" s="70">
        <v>134.69999999999999</v>
      </c>
      <c r="D111" s="70">
        <v>134.4</v>
      </c>
      <c r="E111" s="70">
        <v>135.19999999999999</v>
      </c>
      <c r="F111" s="70">
        <v>134.6</v>
      </c>
      <c r="G111" s="70">
        <v>134.1</v>
      </c>
      <c r="H111" s="70">
        <v>132.80000000000001</v>
      </c>
      <c r="I111" s="70">
        <v>132.4</v>
      </c>
      <c r="J111" s="70">
        <v>129.19999999999999</v>
      </c>
      <c r="K111" s="70">
        <v>128</v>
      </c>
      <c r="L111" s="70">
        <v>127.1</v>
      </c>
      <c r="M111" s="70">
        <v>127.1</v>
      </c>
      <c r="N111" s="70">
        <v>128.5</v>
      </c>
      <c r="O111" s="70">
        <v>128.5</v>
      </c>
      <c r="P111" s="70">
        <v>128.5</v>
      </c>
      <c r="Q111" s="70">
        <v>129.1</v>
      </c>
      <c r="R111" s="70">
        <v>128.5</v>
      </c>
      <c r="S111" s="70">
        <v>129.30000000000001</v>
      </c>
      <c r="T111" s="70">
        <v>129.80000000000001</v>
      </c>
      <c r="U111" s="70">
        <v>130.69999999999999</v>
      </c>
      <c r="V111" s="70">
        <v>131.69999999999999</v>
      </c>
      <c r="W111" s="70">
        <v>131.9</v>
      </c>
      <c r="X111" s="70">
        <v>132.69999999999999</v>
      </c>
      <c r="Y111" s="70">
        <v>131.6</v>
      </c>
      <c r="Z111" s="70">
        <v>132.1</v>
      </c>
      <c r="AA111" s="70">
        <v>131.80000000000001</v>
      </c>
      <c r="AB111" s="70">
        <v>132.6</v>
      </c>
      <c r="AC111" s="70">
        <v>132.6</v>
      </c>
      <c r="AD111" s="70">
        <v>132</v>
      </c>
      <c r="AE111" s="70">
        <v>132</v>
      </c>
      <c r="AF111" s="70">
        <v>133</v>
      </c>
      <c r="AG111" s="69"/>
      <c r="AH111" s="12">
        <f t="shared" si="38"/>
        <v>135.19999999999999</v>
      </c>
      <c r="AI111" s="11">
        <f t="shared" si="39"/>
        <v>127.1</v>
      </c>
    </row>
    <row r="112" spans="1:64" x14ac:dyDescent="0.25">
      <c r="A112" s="22" t="s">
        <v>150</v>
      </c>
      <c r="B112" s="70">
        <v>132.9</v>
      </c>
      <c r="C112" s="70">
        <v>131.80000000000001</v>
      </c>
      <c r="D112" s="70">
        <v>132.1</v>
      </c>
      <c r="E112" s="70">
        <v>134.5</v>
      </c>
      <c r="F112" s="70">
        <v>134.80000000000001</v>
      </c>
      <c r="G112" s="70">
        <v>134.5</v>
      </c>
      <c r="H112" s="70">
        <v>133.69999999999999</v>
      </c>
      <c r="I112" s="70">
        <v>131.9</v>
      </c>
      <c r="J112" s="70">
        <v>130.9</v>
      </c>
      <c r="K112" s="70">
        <v>130</v>
      </c>
      <c r="L112" s="70">
        <v>127</v>
      </c>
      <c r="M112" s="70">
        <v>127</v>
      </c>
      <c r="N112" s="70">
        <v>128.5</v>
      </c>
      <c r="O112" s="70">
        <v>128.5</v>
      </c>
      <c r="P112" s="70">
        <v>128.5</v>
      </c>
      <c r="Q112" s="70">
        <v>126.1</v>
      </c>
      <c r="R112" s="70">
        <v>126.6</v>
      </c>
      <c r="S112" s="70">
        <v>123.2</v>
      </c>
      <c r="T112" s="70">
        <v>126.7</v>
      </c>
      <c r="U112" s="70">
        <v>125.4</v>
      </c>
      <c r="V112" s="70">
        <v>127</v>
      </c>
      <c r="W112" s="70">
        <v>127.5</v>
      </c>
      <c r="X112" s="70">
        <v>129.69999999999999</v>
      </c>
      <c r="Y112" s="70">
        <v>126.7</v>
      </c>
      <c r="Z112" s="70">
        <v>132.1</v>
      </c>
      <c r="AA112" s="70">
        <v>133.80000000000001</v>
      </c>
      <c r="AB112" s="70">
        <v>130.6</v>
      </c>
      <c r="AC112" s="70">
        <v>130.6</v>
      </c>
      <c r="AD112" s="70">
        <v>130</v>
      </c>
      <c r="AE112" s="70">
        <v>131</v>
      </c>
      <c r="AF112" s="70">
        <v>132</v>
      </c>
      <c r="AG112" s="69"/>
      <c r="AH112" s="12">
        <f t="shared" si="38"/>
        <v>134.80000000000001</v>
      </c>
      <c r="AI112" s="11">
        <f t="shared" si="39"/>
        <v>123.2</v>
      </c>
    </row>
    <row r="113" spans="1:35" x14ac:dyDescent="0.25">
      <c r="A113" s="72" t="s">
        <v>149</v>
      </c>
      <c r="B113" s="70">
        <v>132.1</v>
      </c>
      <c r="C113" s="70">
        <v>131.30000000000001</v>
      </c>
      <c r="D113" s="70">
        <v>131.69999999999999</v>
      </c>
      <c r="E113" s="70">
        <v>134.1</v>
      </c>
      <c r="F113" s="70">
        <v>135</v>
      </c>
      <c r="G113" s="70">
        <v>134.54</v>
      </c>
      <c r="H113" s="70">
        <v>133.1</v>
      </c>
      <c r="I113" s="70">
        <v>130.80000000000001</v>
      </c>
      <c r="J113" s="70">
        <v>132.6</v>
      </c>
      <c r="K113" s="70">
        <v>130</v>
      </c>
      <c r="L113" s="70">
        <v>128.69999999999999</v>
      </c>
      <c r="M113" s="70">
        <v>128.69999999999999</v>
      </c>
      <c r="N113" s="70">
        <v>128.19999999999999</v>
      </c>
      <c r="O113" s="70">
        <v>128.19999999999999</v>
      </c>
      <c r="P113" s="70">
        <v>128.19999999999999</v>
      </c>
      <c r="Q113" s="70">
        <v>127.4</v>
      </c>
      <c r="R113" s="70">
        <v>127.5</v>
      </c>
      <c r="S113" s="70">
        <v>125.9</v>
      </c>
      <c r="T113" s="70">
        <v>126.5</v>
      </c>
      <c r="U113" s="70">
        <v>125.8</v>
      </c>
      <c r="V113" s="70">
        <v>127.3</v>
      </c>
      <c r="W113" s="70">
        <v>127.9</v>
      </c>
      <c r="X113" s="70">
        <v>130.1</v>
      </c>
      <c r="Y113" s="70">
        <v>130.1</v>
      </c>
      <c r="Z113" s="70">
        <v>131.4</v>
      </c>
      <c r="AA113" s="70">
        <v>132.80000000000001</v>
      </c>
      <c r="AB113" s="70">
        <v>131</v>
      </c>
      <c r="AC113" s="70">
        <v>131</v>
      </c>
      <c r="AD113" s="70">
        <v>132</v>
      </c>
      <c r="AE113" s="70">
        <v>133</v>
      </c>
      <c r="AF113" s="70">
        <v>134</v>
      </c>
      <c r="AG113" s="69"/>
      <c r="AH113" s="12">
        <f t="shared" si="38"/>
        <v>135</v>
      </c>
      <c r="AI113" s="11">
        <f t="shared" si="39"/>
        <v>125.8</v>
      </c>
    </row>
    <row r="114" spans="1:35" x14ac:dyDescent="0.25">
      <c r="A114" s="72" t="s">
        <v>148</v>
      </c>
      <c r="B114" s="56">
        <v>134.30000000000001</v>
      </c>
      <c r="C114" s="56">
        <v>134.19999999999999</v>
      </c>
      <c r="D114" s="56">
        <v>134.5</v>
      </c>
      <c r="E114" s="56">
        <v>135.80000000000001</v>
      </c>
      <c r="F114" s="56">
        <v>135.30000000000001</v>
      </c>
      <c r="G114" s="56">
        <v>134.5</v>
      </c>
      <c r="H114" s="56">
        <v>133</v>
      </c>
      <c r="I114" s="56">
        <v>133.30000000000001</v>
      </c>
      <c r="J114" s="56">
        <v>132.19999999999999</v>
      </c>
      <c r="K114" s="56">
        <v>131.6</v>
      </c>
      <c r="L114" s="56">
        <v>132.19999999999999</v>
      </c>
      <c r="M114" s="56">
        <v>132.19999999999999</v>
      </c>
      <c r="N114" s="56">
        <v>130.69999999999999</v>
      </c>
      <c r="O114" s="56">
        <v>130.69999999999999</v>
      </c>
      <c r="P114" s="56">
        <v>130.69999999999999</v>
      </c>
      <c r="Q114" s="56">
        <v>131.69999999999999</v>
      </c>
      <c r="R114" s="56">
        <v>129.9</v>
      </c>
      <c r="S114" s="56">
        <v>132.6</v>
      </c>
      <c r="T114" s="56">
        <v>134.6</v>
      </c>
      <c r="U114" s="56">
        <v>135.19999999999999</v>
      </c>
      <c r="V114" s="56">
        <v>134.4</v>
      </c>
      <c r="W114" s="56">
        <v>134.69999999999999</v>
      </c>
      <c r="X114" s="56">
        <v>136.5</v>
      </c>
      <c r="Y114" s="56">
        <v>136.5</v>
      </c>
      <c r="Z114" s="56">
        <v>134.30000000000001</v>
      </c>
      <c r="AA114" s="56">
        <v>133.80000000000001</v>
      </c>
      <c r="AB114" s="56">
        <v>134.5</v>
      </c>
      <c r="AC114" s="56">
        <v>134.5</v>
      </c>
      <c r="AD114" s="56">
        <v>133</v>
      </c>
      <c r="AE114" s="56">
        <v>132</v>
      </c>
      <c r="AF114" s="56">
        <v>132</v>
      </c>
      <c r="AG114" s="71"/>
      <c r="AH114" s="12">
        <f t="shared" ref="AH114:AH130" si="51">MAX(B114:AF114)</f>
        <v>136.5</v>
      </c>
      <c r="AI114" s="11">
        <f t="shared" ref="AI114:AI130" si="52">MIN(B114:AF114)</f>
        <v>129.9</v>
      </c>
    </row>
    <row r="115" spans="1:35" x14ac:dyDescent="0.25">
      <c r="A115" s="22" t="s">
        <v>147</v>
      </c>
      <c r="B115" s="70">
        <v>130.69999999999999</v>
      </c>
      <c r="C115" s="70">
        <v>130.80000000000001</v>
      </c>
      <c r="D115" s="70">
        <v>132.1</v>
      </c>
      <c r="E115" s="70">
        <v>133.69999999999999</v>
      </c>
      <c r="F115" s="70">
        <v>133</v>
      </c>
      <c r="G115" s="70">
        <v>132.5</v>
      </c>
      <c r="H115" s="70">
        <v>130.69999999999999</v>
      </c>
      <c r="I115" s="70">
        <v>129.5</v>
      </c>
      <c r="J115" s="70">
        <v>127.4</v>
      </c>
      <c r="K115" s="70">
        <v>127.4</v>
      </c>
      <c r="L115" s="70">
        <v>124.4</v>
      </c>
      <c r="M115" s="70">
        <v>124.4</v>
      </c>
      <c r="N115" s="70">
        <v>124.4</v>
      </c>
      <c r="O115" s="70">
        <v>124.4</v>
      </c>
      <c r="P115" s="70">
        <v>124.4</v>
      </c>
      <c r="Q115" s="70">
        <v>125.9</v>
      </c>
      <c r="R115" s="70">
        <v>127.4</v>
      </c>
      <c r="S115" s="70">
        <v>130.4</v>
      </c>
      <c r="T115" s="70">
        <v>126.7</v>
      </c>
      <c r="U115" s="70">
        <v>129</v>
      </c>
      <c r="V115" s="70">
        <v>136</v>
      </c>
      <c r="W115" s="70">
        <v>131.9</v>
      </c>
      <c r="X115" s="70">
        <v>135</v>
      </c>
      <c r="Y115" s="70">
        <v>135</v>
      </c>
      <c r="Z115" s="70">
        <v>135.19999999999999</v>
      </c>
      <c r="AA115" s="70">
        <v>134.9</v>
      </c>
      <c r="AB115" s="70">
        <v>131</v>
      </c>
      <c r="AC115" s="70">
        <v>131</v>
      </c>
      <c r="AD115" s="70">
        <v>131</v>
      </c>
      <c r="AE115" s="70">
        <v>132</v>
      </c>
      <c r="AF115" s="70">
        <v>132</v>
      </c>
      <c r="AG115" s="69"/>
      <c r="AH115" s="12">
        <f t="shared" si="51"/>
        <v>136</v>
      </c>
      <c r="AI115" s="11">
        <f t="shared" si="52"/>
        <v>124.4</v>
      </c>
    </row>
    <row r="116" spans="1:35" ht="15.75" thickBot="1" x14ac:dyDescent="0.3">
      <c r="A116" s="22" t="s">
        <v>146</v>
      </c>
      <c r="B116" s="67">
        <v>67.2</v>
      </c>
      <c r="C116" s="67">
        <v>67.400000000000006</v>
      </c>
      <c r="D116" s="67">
        <v>67.3</v>
      </c>
      <c r="E116" s="67">
        <v>67.7</v>
      </c>
      <c r="F116" s="67">
        <v>67.400000000000006</v>
      </c>
      <c r="G116" s="67">
        <v>67.099999999999994</v>
      </c>
      <c r="H116" s="67">
        <v>66.5</v>
      </c>
      <c r="I116" s="67">
        <v>66.3</v>
      </c>
      <c r="J116" s="67">
        <v>65</v>
      </c>
      <c r="K116" s="67">
        <v>64.599999999999994</v>
      </c>
      <c r="L116" s="67">
        <v>64.099999999999994</v>
      </c>
      <c r="M116" s="67">
        <v>64.099999999999994</v>
      </c>
      <c r="N116" s="67">
        <v>64.2</v>
      </c>
      <c r="O116" s="67">
        <v>64.2</v>
      </c>
      <c r="P116" s="67">
        <v>64.2</v>
      </c>
      <c r="Q116" s="67">
        <v>64.099999999999994</v>
      </c>
      <c r="R116" s="67">
        <v>63.9</v>
      </c>
      <c r="S116" s="67">
        <v>64.2</v>
      </c>
      <c r="T116" s="67">
        <v>64.5</v>
      </c>
      <c r="U116" s="67">
        <v>64.8</v>
      </c>
      <c r="V116" s="67">
        <v>65.099999999999994</v>
      </c>
      <c r="W116" s="67">
        <v>65.2</v>
      </c>
      <c r="X116" s="67">
        <v>65.599999999999994</v>
      </c>
      <c r="Y116" s="67">
        <v>65.599999999999994</v>
      </c>
      <c r="Z116" s="67">
        <v>65.5</v>
      </c>
      <c r="AA116" s="67">
        <v>65.5</v>
      </c>
      <c r="AB116" s="67">
        <v>65.8</v>
      </c>
      <c r="AC116" s="67">
        <v>65.8</v>
      </c>
      <c r="AD116" s="67">
        <v>65.8</v>
      </c>
      <c r="AE116" s="67">
        <v>65.5</v>
      </c>
      <c r="AF116" s="67">
        <v>65.5</v>
      </c>
      <c r="AG116" s="66"/>
      <c r="AH116" s="12">
        <f t="shared" si="51"/>
        <v>67.7</v>
      </c>
      <c r="AI116" s="11">
        <f t="shared" si="52"/>
        <v>63.9</v>
      </c>
    </row>
    <row r="117" spans="1:35" ht="15.75" thickBot="1" x14ac:dyDescent="0.3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51"/>
        <v>0</v>
      </c>
      <c r="AI117" s="11">
        <f t="shared" si="52"/>
        <v>0</v>
      </c>
    </row>
    <row r="118" spans="1:35" ht="15.75" thickBot="1" x14ac:dyDescent="0.3">
      <c r="A118" s="65" t="s">
        <v>144</v>
      </c>
      <c r="B118" s="64">
        <f t="shared" ref="B118:O118" si="53">SUM(B22,B28,B31:B32,B66,B68:B69,B71,B73,B119:B123,B155,B161,B167,B176,B178,B190,B197,B200:B201,B208,B210,B212,B216:B218,B220:B222,B227,B233:B234,B236:B238,B246,B251)</f>
        <v>126.24000000000001</v>
      </c>
      <c r="C118" s="64">
        <f t="shared" si="53"/>
        <v>125.03999999999999</v>
      </c>
      <c r="D118" s="64">
        <f t="shared" si="53"/>
        <v>120.44</v>
      </c>
      <c r="E118" s="64">
        <f t="shared" si="53"/>
        <v>116.63999999999999</v>
      </c>
      <c r="F118" s="64">
        <f t="shared" si="53"/>
        <v>124.04</v>
      </c>
      <c r="G118" s="64">
        <f t="shared" si="53"/>
        <v>144.83999999999997</v>
      </c>
      <c r="H118" s="64">
        <f t="shared" si="53"/>
        <v>177.94</v>
      </c>
      <c r="I118" s="64">
        <f t="shared" si="53"/>
        <v>235.44</v>
      </c>
      <c r="J118" s="64">
        <f t="shared" si="53"/>
        <v>271.33999999999997</v>
      </c>
      <c r="K118" s="64">
        <f t="shared" si="53"/>
        <v>276.94</v>
      </c>
      <c r="L118" s="64">
        <f t="shared" si="53"/>
        <v>329.34</v>
      </c>
      <c r="M118" s="64">
        <f t="shared" si="53"/>
        <v>281.14</v>
      </c>
      <c r="N118" s="64">
        <f t="shared" si="53"/>
        <v>311.44</v>
      </c>
      <c r="O118" s="64">
        <f t="shared" si="53"/>
        <v>311.44</v>
      </c>
      <c r="P118" s="64">
        <v>42</v>
      </c>
      <c r="Q118" s="64">
        <f t="shared" ref="Q118:X118" si="54">SUM(Q22,Q28,Q31:Q32,Q66,Q68:Q69,Q71,Q73,Q119:Q123,Q155,Q161,Q167,Q176,Q178,Q190,Q197,Q200:Q201,Q208,Q210,Q212,Q216:Q218,Q220:Q222,Q227,Q233:Q234,Q236:Q238,Q246,Q251)</f>
        <v>295.74</v>
      </c>
      <c r="R118" s="64">
        <f t="shared" si="54"/>
        <v>297.94</v>
      </c>
      <c r="S118" s="64">
        <f t="shared" si="54"/>
        <v>258.24</v>
      </c>
      <c r="T118" s="64">
        <f t="shared" si="54"/>
        <v>261.83999999999997</v>
      </c>
      <c r="U118" s="64">
        <f t="shared" si="54"/>
        <v>261.04000000000002</v>
      </c>
      <c r="V118" s="64">
        <f t="shared" si="54"/>
        <v>259.54000000000002</v>
      </c>
      <c r="W118" s="64">
        <f t="shared" si="54"/>
        <v>265.83999999999997</v>
      </c>
      <c r="X118" s="64">
        <f t="shared" si="54"/>
        <v>272.64</v>
      </c>
      <c r="Y118" s="64">
        <f>SUM(Y20,Y26,Y37:Y38,Y66,Y68:Y69,Y71,Y73,Y119:Y123,Y148,Y154,Y160,Y169,Y171,Y183,Y190,Y193:Y194,Y201,Y203,Y205,Y209:Y211,Y213:Y215,Y220,Y226:Y227,Y229:Y231,Y239,Y244)</f>
        <v>322.60000000000002</v>
      </c>
      <c r="Z118" s="64">
        <f>SUM(Z20,Z26,Z37:Z38,Z66,Z68:Z69,Z71,Z73,Z119:Z123,Z148,Z154,Z160,Z169,Z171,Z183,Z190,Z193:Z194,Z201,Z203,Z205,Z209:Z211,Z213:Z215,Z220,Z226:Z227,Z229:Z231,Z239,Z244)</f>
        <v>331.29999999999995</v>
      </c>
      <c r="AA118" s="64">
        <f t="shared" ref="AA118:AF118" si="55">SUM(AA22,AA28,AA31:AA32,AA66,AA68:AA69,AA71,AA73,AA119:AA123,AA155,AA161,AA167,AA176,AA178,AA190,AA197,AA200:AA201,AA208,AA210,AA212,AA216:AA218,AA220:AA222,AA227,AA233:AA234,AA236:AA238,AA246,AA251)</f>
        <v>303.23999999999995</v>
      </c>
      <c r="AB118" s="64">
        <f t="shared" si="55"/>
        <v>275.64</v>
      </c>
      <c r="AC118" s="64">
        <f t="shared" si="55"/>
        <v>275.64</v>
      </c>
      <c r="AD118" s="64">
        <f t="shared" si="55"/>
        <v>221.64</v>
      </c>
      <c r="AE118" s="64">
        <f t="shared" si="55"/>
        <v>150.63999999999999</v>
      </c>
      <c r="AF118" s="64">
        <f t="shared" si="55"/>
        <v>121.64</v>
      </c>
      <c r="AG118" s="63"/>
      <c r="AH118" s="12">
        <f t="shared" si="51"/>
        <v>331.29999999999995</v>
      </c>
      <c r="AI118" s="11">
        <f t="shared" si="52"/>
        <v>42</v>
      </c>
    </row>
    <row r="119" spans="1:35" x14ac:dyDescent="0.25">
      <c r="A119" s="59" t="s">
        <v>143</v>
      </c>
      <c r="B119" s="62">
        <v>-3.4</v>
      </c>
      <c r="C119" s="62">
        <v>-5.3</v>
      </c>
      <c r="D119" s="62">
        <v>-5.8</v>
      </c>
      <c r="E119" s="62">
        <v>-10.9</v>
      </c>
      <c r="F119" s="62">
        <v>-12.5</v>
      </c>
      <c r="G119" s="62">
        <v>-14.4</v>
      </c>
      <c r="H119" s="62">
        <v>-7.8</v>
      </c>
      <c r="I119" s="62">
        <v>9.5</v>
      </c>
      <c r="J119" s="62">
        <v>16.399999999999999</v>
      </c>
      <c r="K119" s="62">
        <v>13.2</v>
      </c>
      <c r="L119" s="62">
        <v>38.9</v>
      </c>
      <c r="M119" s="62">
        <v>34.299999999999997</v>
      </c>
      <c r="N119" s="62">
        <v>23.1</v>
      </c>
      <c r="O119" s="62">
        <v>23.1</v>
      </c>
      <c r="P119" s="62">
        <v>18.399999999999999</v>
      </c>
      <c r="Q119" s="62">
        <v>3.7</v>
      </c>
      <c r="R119" s="62">
        <v>2.2999999999999998</v>
      </c>
      <c r="S119" s="62">
        <v>3.7</v>
      </c>
      <c r="T119" s="62">
        <v>6.6</v>
      </c>
      <c r="U119" s="62">
        <v>6.9</v>
      </c>
      <c r="V119" s="62">
        <v>-11.6</v>
      </c>
      <c r="W119" s="62">
        <v>-12.6</v>
      </c>
      <c r="X119" s="62">
        <v>-9.5</v>
      </c>
      <c r="Y119" s="62">
        <v>7.8</v>
      </c>
      <c r="Z119" s="62">
        <v>27</v>
      </c>
      <c r="AA119" s="62">
        <v>17.5</v>
      </c>
      <c r="AB119" s="62">
        <v>19</v>
      </c>
      <c r="AC119" s="62">
        <v>19</v>
      </c>
      <c r="AD119" s="62">
        <v>7</v>
      </c>
      <c r="AE119" s="62">
        <v>-2</v>
      </c>
      <c r="AF119" s="62">
        <v>-4</v>
      </c>
      <c r="AG119" s="55">
        <v>75</v>
      </c>
      <c r="AH119" s="12">
        <f t="shared" si="51"/>
        <v>38.9</v>
      </c>
      <c r="AI119" s="11">
        <f t="shared" si="52"/>
        <v>-14.4</v>
      </c>
    </row>
    <row r="120" spans="1:35" x14ac:dyDescent="0.25">
      <c r="A120" s="57" t="s">
        <v>142</v>
      </c>
      <c r="B120" s="61">
        <v>1.4</v>
      </c>
      <c r="C120" s="61">
        <v>-1.5</v>
      </c>
      <c r="D120" s="61">
        <v>-1.2</v>
      </c>
      <c r="E120" s="61">
        <v>-10.3</v>
      </c>
      <c r="F120" s="61">
        <v>-13.8</v>
      </c>
      <c r="G120" s="61">
        <v>-16</v>
      </c>
      <c r="H120" s="61">
        <v>-6.1</v>
      </c>
      <c r="I120" s="61">
        <v>15.5</v>
      </c>
      <c r="J120" s="61">
        <v>22.4</v>
      </c>
      <c r="K120" s="61">
        <v>17.399999999999999</v>
      </c>
      <c r="L120" s="61">
        <v>48.5</v>
      </c>
      <c r="M120" s="61">
        <v>41.7</v>
      </c>
      <c r="N120" s="61">
        <v>28.4</v>
      </c>
      <c r="O120" s="61">
        <v>28.4</v>
      </c>
      <c r="P120" s="61">
        <v>19.7</v>
      </c>
      <c r="Q120" s="61">
        <v>-0.4</v>
      </c>
      <c r="R120" s="61">
        <v>-1.8</v>
      </c>
      <c r="S120" s="61">
        <v>0.6</v>
      </c>
      <c r="T120" s="61">
        <v>4</v>
      </c>
      <c r="U120" s="61">
        <v>5</v>
      </c>
      <c r="V120" s="61">
        <v>-19.8</v>
      </c>
      <c r="W120" s="61">
        <v>-21.6</v>
      </c>
      <c r="X120" s="61">
        <v>-12.3</v>
      </c>
      <c r="Y120" s="61">
        <v>7.4</v>
      </c>
      <c r="Z120" s="61">
        <v>41</v>
      </c>
      <c r="AA120" s="61">
        <v>26.8</v>
      </c>
      <c r="AB120" s="61">
        <v>30</v>
      </c>
      <c r="AC120" s="61">
        <v>30</v>
      </c>
      <c r="AD120" s="61">
        <v>16</v>
      </c>
      <c r="AE120" s="61">
        <v>2</v>
      </c>
      <c r="AF120" s="61">
        <v>0</v>
      </c>
      <c r="AG120" s="55">
        <v>240</v>
      </c>
      <c r="AH120" s="12">
        <f t="shared" si="51"/>
        <v>48.5</v>
      </c>
      <c r="AI120" s="11">
        <f t="shared" si="52"/>
        <v>-21.6</v>
      </c>
    </row>
    <row r="121" spans="1:35" x14ac:dyDescent="0.25">
      <c r="A121" s="57" t="s">
        <v>141</v>
      </c>
      <c r="B121" s="61">
        <f>-14.8-34.3</f>
        <v>-49.099999999999994</v>
      </c>
      <c r="C121" s="61">
        <f>-11.9-20.9</f>
        <v>-32.799999999999997</v>
      </c>
      <c r="D121" s="61">
        <f>-15.2-25.5</f>
        <v>-40.700000000000003</v>
      </c>
      <c r="E121" s="61">
        <v>-30.4</v>
      </c>
      <c r="F121" s="61">
        <f>-11.2-21.2</f>
        <v>-32.4</v>
      </c>
      <c r="G121" s="61">
        <v>-15</v>
      </c>
      <c r="H121" s="61">
        <v>-15</v>
      </c>
      <c r="I121" s="61">
        <v>10.3</v>
      </c>
      <c r="J121" s="61">
        <v>-4</v>
      </c>
      <c r="K121" s="61">
        <v>-1.1000000000000001</v>
      </c>
      <c r="L121" s="61">
        <v>8.6</v>
      </c>
      <c r="M121" s="61">
        <v>-49</v>
      </c>
      <c r="N121" s="61">
        <v>17</v>
      </c>
      <c r="O121" s="61">
        <v>17</v>
      </c>
      <c r="P121" s="61">
        <v>23</v>
      </c>
      <c r="Q121" s="61">
        <v>35</v>
      </c>
      <c r="R121" s="61">
        <v>40</v>
      </c>
      <c r="S121" s="61">
        <v>3</v>
      </c>
      <c r="T121" s="61">
        <v>2</v>
      </c>
      <c r="U121" s="61">
        <v>7.5</v>
      </c>
      <c r="V121" s="61">
        <v>31.4</v>
      </c>
      <c r="W121" s="61">
        <v>34.5</v>
      </c>
      <c r="X121" s="61">
        <v>37.9</v>
      </c>
      <c r="Y121" s="61">
        <v>15</v>
      </c>
      <c r="Z121" s="61">
        <v>-20</v>
      </c>
      <c r="AA121" s="61">
        <v>-23</v>
      </c>
      <c r="AB121" s="61">
        <v>-38</v>
      </c>
      <c r="AC121" s="61">
        <v>-38</v>
      </c>
      <c r="AD121" s="61">
        <v>-45</v>
      </c>
      <c r="AE121" s="61">
        <v>-68</v>
      </c>
      <c r="AF121" s="61">
        <v>-70</v>
      </c>
      <c r="AG121" s="55">
        <v>240</v>
      </c>
      <c r="AH121" s="12">
        <f t="shared" si="51"/>
        <v>40</v>
      </c>
      <c r="AI121" s="11">
        <f t="shared" si="52"/>
        <v>-70</v>
      </c>
    </row>
    <row r="122" spans="1:35" ht="15.75" thickBot="1" x14ac:dyDescent="0.3">
      <c r="A122" s="57" t="s">
        <v>140</v>
      </c>
      <c r="B122" s="61">
        <v>27.3</v>
      </c>
      <c r="C122" s="61">
        <v>27.7</v>
      </c>
      <c r="D122" s="61">
        <v>26.6</v>
      </c>
      <c r="E122" s="61">
        <v>27.2</v>
      </c>
      <c r="F122" s="61">
        <v>27.3</v>
      </c>
      <c r="G122" s="61">
        <v>30.5</v>
      </c>
      <c r="H122" s="61">
        <v>31.7</v>
      </c>
      <c r="I122" s="61">
        <v>30.7</v>
      </c>
      <c r="J122" s="61">
        <v>30.4</v>
      </c>
      <c r="K122" s="61">
        <v>31.4</v>
      </c>
      <c r="L122" s="61">
        <v>26.1</v>
      </c>
      <c r="M122" s="61">
        <v>26.6</v>
      </c>
      <c r="N122" s="61">
        <v>16</v>
      </c>
      <c r="O122" s="61">
        <v>16</v>
      </c>
      <c r="P122" s="61">
        <v>12.5</v>
      </c>
      <c r="Q122" s="61">
        <v>27</v>
      </c>
      <c r="R122" s="61">
        <v>26</v>
      </c>
      <c r="S122" s="61">
        <v>30.6</v>
      </c>
      <c r="T122" s="61">
        <v>27.4</v>
      </c>
      <c r="U122" s="61">
        <v>32.9</v>
      </c>
      <c r="V122" s="61">
        <v>38.4</v>
      </c>
      <c r="W122" s="61">
        <v>41.6</v>
      </c>
      <c r="X122" s="61">
        <v>38.6</v>
      </c>
      <c r="Y122" s="61">
        <v>57.6</v>
      </c>
      <c r="Z122" s="61">
        <v>58</v>
      </c>
      <c r="AA122" s="61">
        <v>59.1</v>
      </c>
      <c r="AB122" s="61">
        <v>60</v>
      </c>
      <c r="AC122" s="61">
        <v>60</v>
      </c>
      <c r="AD122" s="61">
        <v>56</v>
      </c>
      <c r="AE122" s="61">
        <v>56</v>
      </c>
      <c r="AF122" s="61">
        <v>56</v>
      </c>
      <c r="AG122" s="55">
        <v>60</v>
      </c>
      <c r="AH122" s="12">
        <f t="shared" si="51"/>
        <v>60</v>
      </c>
      <c r="AI122" s="11">
        <f t="shared" si="52"/>
        <v>12.5</v>
      </c>
    </row>
    <row r="123" spans="1:35" x14ac:dyDescent="0.25">
      <c r="A123" s="59" t="s">
        <v>139</v>
      </c>
      <c r="B123" s="58">
        <v>56.2</v>
      </c>
      <c r="C123" s="58">
        <v>44.4</v>
      </c>
      <c r="D123" s="58">
        <v>48.9</v>
      </c>
      <c r="E123" s="58">
        <v>48.6</v>
      </c>
      <c r="F123" s="58">
        <v>61.2</v>
      </c>
      <c r="G123" s="58">
        <v>63.3</v>
      </c>
      <c r="H123" s="58">
        <v>78.7</v>
      </c>
      <c r="I123" s="58">
        <v>72.7</v>
      </c>
      <c r="J123" s="58">
        <v>108</v>
      </c>
      <c r="K123" s="58">
        <v>117.6</v>
      </c>
      <c r="L123" s="58">
        <v>109</v>
      </c>
      <c r="M123" s="58">
        <v>125.6</v>
      </c>
      <c r="N123" s="58">
        <v>125</v>
      </c>
      <c r="O123" s="58">
        <v>125</v>
      </c>
      <c r="P123" s="58">
        <v>124.6</v>
      </c>
      <c r="Q123" s="58">
        <v>123</v>
      </c>
      <c r="R123" s="58">
        <v>124</v>
      </c>
      <c r="S123" s="58">
        <v>117.3</v>
      </c>
      <c r="T123" s="58">
        <v>120.9</v>
      </c>
      <c r="U123" s="58">
        <v>111.3</v>
      </c>
      <c r="V123" s="58">
        <v>126.7</v>
      </c>
      <c r="W123" s="58">
        <v>130.6</v>
      </c>
      <c r="X123" s="58">
        <v>126.8</v>
      </c>
      <c r="Y123" s="58">
        <v>144.69999999999999</v>
      </c>
      <c r="Z123" s="58">
        <v>136.6</v>
      </c>
      <c r="AA123" s="58">
        <v>133.19999999999999</v>
      </c>
      <c r="AB123" s="58">
        <v>115</v>
      </c>
      <c r="AC123" s="58">
        <v>115</v>
      </c>
      <c r="AD123" s="58">
        <v>98</v>
      </c>
      <c r="AE123" s="58">
        <v>73</v>
      </c>
      <c r="AF123" s="58">
        <v>50</v>
      </c>
      <c r="AG123" s="60">
        <v>120</v>
      </c>
      <c r="AH123" s="12">
        <f t="shared" si="51"/>
        <v>144.69999999999999</v>
      </c>
      <c r="AI123" s="11">
        <f t="shared" si="52"/>
        <v>44.4</v>
      </c>
    </row>
    <row r="124" spans="1:35" x14ac:dyDescent="0.25">
      <c r="A124" s="57" t="s">
        <v>138</v>
      </c>
      <c r="B124" s="58">
        <v>51.6</v>
      </c>
      <c r="C124" s="58">
        <v>45.3</v>
      </c>
      <c r="D124" s="58">
        <v>47</v>
      </c>
      <c r="E124" s="58">
        <v>47.3</v>
      </c>
      <c r="F124" s="58">
        <v>52.8</v>
      </c>
      <c r="G124" s="58">
        <v>54</v>
      </c>
      <c r="H124" s="58">
        <v>61.2</v>
      </c>
      <c r="I124" s="58">
        <v>58.1</v>
      </c>
      <c r="J124" s="58">
        <v>75.099999999999994</v>
      </c>
      <c r="K124" s="58">
        <v>79.2</v>
      </c>
      <c r="L124" s="58">
        <v>74.099999999999994</v>
      </c>
      <c r="M124" s="58">
        <v>83.2</v>
      </c>
      <c r="N124" s="58">
        <v>83</v>
      </c>
      <c r="O124" s="58">
        <v>83</v>
      </c>
      <c r="P124" s="58">
        <v>82.9</v>
      </c>
      <c r="Q124" s="58">
        <v>82</v>
      </c>
      <c r="R124" s="58">
        <v>82</v>
      </c>
      <c r="S124" s="58">
        <v>79.400000000000006</v>
      </c>
      <c r="T124" s="58">
        <v>81.099999999999994</v>
      </c>
      <c r="U124" s="58">
        <v>76.3</v>
      </c>
      <c r="V124" s="58">
        <v>82.9</v>
      </c>
      <c r="W124" s="58">
        <v>79.3</v>
      </c>
      <c r="X124" s="58">
        <v>82.9</v>
      </c>
      <c r="Y124" s="58">
        <v>91.7</v>
      </c>
      <c r="Z124" s="58">
        <v>87.9</v>
      </c>
      <c r="AA124" s="58">
        <v>86.1</v>
      </c>
      <c r="AB124" s="58">
        <v>77</v>
      </c>
      <c r="AC124" s="58">
        <v>77</v>
      </c>
      <c r="AD124" s="58">
        <v>71</v>
      </c>
      <c r="AE124" s="58">
        <v>59</v>
      </c>
      <c r="AF124" s="58">
        <v>48</v>
      </c>
      <c r="AG124" s="60"/>
      <c r="AH124" s="12">
        <f t="shared" si="51"/>
        <v>91.7</v>
      </c>
      <c r="AI124" s="11">
        <f t="shared" si="52"/>
        <v>45.3</v>
      </c>
    </row>
    <row r="125" spans="1:35" x14ac:dyDescent="0.25">
      <c r="A125" s="57" t="s">
        <v>137</v>
      </c>
      <c r="B125" s="58">
        <v>29.4</v>
      </c>
      <c r="C125" s="58">
        <v>23.9</v>
      </c>
      <c r="D125" s="58">
        <v>32.299999999999997</v>
      </c>
      <c r="E125" s="58">
        <v>33.799999999999997</v>
      </c>
      <c r="F125" s="58">
        <v>40.5</v>
      </c>
      <c r="G125" s="58">
        <v>31</v>
      </c>
      <c r="H125" s="58">
        <v>26</v>
      </c>
      <c r="I125" s="58">
        <v>-3.4</v>
      </c>
      <c r="J125" s="58">
        <v>0.8</v>
      </c>
      <c r="K125" s="58">
        <v>9.8000000000000007</v>
      </c>
      <c r="L125" s="58">
        <v>-22.1</v>
      </c>
      <c r="M125" s="58">
        <v>-8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51"/>
        <v>40.5</v>
      </c>
      <c r="AI125" s="11">
        <f t="shared" si="52"/>
        <v>-22.1</v>
      </c>
    </row>
    <row r="126" spans="1:35" ht="15.75" thickBot="1" x14ac:dyDescent="0.3">
      <c r="A126" s="57" t="s">
        <v>136</v>
      </c>
      <c r="B126" s="58">
        <v>65.2</v>
      </c>
      <c r="C126" s="58">
        <v>52.2</v>
      </c>
      <c r="D126" s="58">
        <v>65.8</v>
      </c>
      <c r="E126" s="58">
        <v>60.2</v>
      </c>
      <c r="F126" s="58">
        <v>68.5</v>
      </c>
      <c r="G126" s="58">
        <v>65.7</v>
      </c>
      <c r="H126" s="58">
        <v>73.2</v>
      </c>
      <c r="I126" s="58">
        <v>56</v>
      </c>
      <c r="J126" s="58">
        <v>104</v>
      </c>
      <c r="K126" s="58">
        <v>102</v>
      </c>
      <c r="L126" s="58">
        <v>93.2</v>
      </c>
      <c r="M126" s="58">
        <v>98.2</v>
      </c>
      <c r="N126" s="58">
        <v>90</v>
      </c>
      <c r="O126" s="58">
        <v>90</v>
      </c>
      <c r="P126" s="58">
        <v>101</v>
      </c>
      <c r="Q126" s="58">
        <v>102</v>
      </c>
      <c r="R126" s="58">
        <v>100</v>
      </c>
      <c r="S126" s="58">
        <v>105</v>
      </c>
      <c r="T126" s="58">
        <v>104.5</v>
      </c>
      <c r="U126" s="58">
        <v>81.3</v>
      </c>
      <c r="V126" s="58">
        <v>92.2</v>
      </c>
      <c r="W126" s="58">
        <v>91</v>
      </c>
      <c r="X126" s="58">
        <v>89.8</v>
      </c>
      <c r="Y126" s="58">
        <v>71.2</v>
      </c>
      <c r="Z126" s="58">
        <v>66.8</v>
      </c>
      <c r="AA126" s="58">
        <v>81</v>
      </c>
      <c r="AB126" s="58">
        <v>75</v>
      </c>
      <c r="AC126" s="58">
        <v>78</v>
      </c>
      <c r="AD126" s="58">
        <v>90</v>
      </c>
      <c r="AE126" s="58">
        <v>88</v>
      </c>
      <c r="AF126" s="58">
        <v>80</v>
      </c>
      <c r="AG126" s="55"/>
      <c r="AH126" s="12">
        <f t="shared" si="51"/>
        <v>105</v>
      </c>
      <c r="AI126" s="11">
        <f t="shared" si="52"/>
        <v>52.2</v>
      </c>
    </row>
    <row r="127" spans="1:35" x14ac:dyDescent="0.25">
      <c r="A127" s="59" t="s">
        <v>135</v>
      </c>
      <c r="B127" s="58">
        <v>-46.1</v>
      </c>
      <c r="C127" s="58">
        <v>-45.6</v>
      </c>
      <c r="D127" s="58">
        <v>-45.2</v>
      </c>
      <c r="E127" s="58">
        <v>-47.5</v>
      </c>
      <c r="F127" s="58">
        <v>-37.6</v>
      </c>
      <c r="G127" s="58">
        <v>-32.700000000000003</v>
      </c>
      <c r="H127" s="58">
        <v>-66.2</v>
      </c>
      <c r="I127" s="58">
        <v>-75.599999999999994</v>
      </c>
      <c r="J127" s="58">
        <v>18.3</v>
      </c>
      <c r="K127" s="58">
        <v>24.4</v>
      </c>
      <c r="L127" s="58">
        <v>19.600000000000001</v>
      </c>
      <c r="M127" s="58" t="s">
        <v>284</v>
      </c>
      <c r="N127" s="58">
        <v>25</v>
      </c>
      <c r="O127" s="58">
        <v>25</v>
      </c>
      <c r="P127" s="58">
        <v>29.4</v>
      </c>
      <c r="Q127" s="58">
        <v>29</v>
      </c>
      <c r="R127" s="58">
        <v>28</v>
      </c>
      <c r="S127" s="58">
        <v>27.4</v>
      </c>
      <c r="T127" s="58">
        <v>27</v>
      </c>
      <c r="U127" s="58">
        <v>23.3</v>
      </c>
      <c r="V127" s="58">
        <v>31.1</v>
      </c>
      <c r="W127" s="58">
        <v>33.4</v>
      </c>
      <c r="X127" s="58">
        <v>128.30000000000001</v>
      </c>
      <c r="Y127" s="58">
        <v>-145.19999999999999</v>
      </c>
      <c r="Z127" s="58">
        <v>-125</v>
      </c>
      <c r="AA127" s="58">
        <v>-123.2</v>
      </c>
      <c r="AB127" s="58">
        <v>-112</v>
      </c>
      <c r="AC127" s="58">
        <v>-112</v>
      </c>
      <c r="AD127" s="58">
        <v>-111</v>
      </c>
      <c r="AE127" s="58">
        <v>-125</v>
      </c>
      <c r="AF127" s="58">
        <v>-135</v>
      </c>
      <c r="AG127" s="55"/>
      <c r="AH127" s="12">
        <f t="shared" si="51"/>
        <v>128.30000000000001</v>
      </c>
      <c r="AI127" s="11">
        <f t="shared" si="52"/>
        <v>-145.19999999999999</v>
      </c>
    </row>
    <row r="128" spans="1:35" x14ac:dyDescent="0.25">
      <c r="A128" s="57" t="s">
        <v>134</v>
      </c>
      <c r="B128" s="56">
        <v>-4.7</v>
      </c>
      <c r="C128" s="56">
        <v>-0.7</v>
      </c>
      <c r="D128" s="56">
        <v>2.1</v>
      </c>
      <c r="E128" s="56">
        <v>11.7</v>
      </c>
      <c r="F128" s="56">
        <v>26.2</v>
      </c>
      <c r="G128" s="56">
        <v>20.5</v>
      </c>
      <c r="H128" s="56">
        <v>16.600000000000001</v>
      </c>
      <c r="I128" s="56">
        <v>27</v>
      </c>
      <c r="J128" s="56">
        <v>14</v>
      </c>
      <c r="K128" s="56">
        <v>13.6</v>
      </c>
      <c r="L128" s="56">
        <v>2.8</v>
      </c>
      <c r="M128" s="56">
        <v>-0.6</v>
      </c>
      <c r="N128" s="56">
        <v>-5</v>
      </c>
      <c r="O128" s="56">
        <v>-5</v>
      </c>
      <c r="P128" s="56">
        <v>-6.8</v>
      </c>
      <c r="Q128" s="56">
        <v>-4.4000000000000004</v>
      </c>
      <c r="R128" s="56">
        <v>-14</v>
      </c>
      <c r="S128" s="56">
        <v>-17.8</v>
      </c>
      <c r="T128" s="56">
        <v>-19.600000000000001</v>
      </c>
      <c r="U128" s="56">
        <v>-19.100000000000001</v>
      </c>
      <c r="V128" s="56">
        <v>-21.9</v>
      </c>
      <c r="W128" s="56">
        <v>-28.2</v>
      </c>
      <c r="X128" s="56">
        <v>-30.4</v>
      </c>
      <c r="Y128" s="56">
        <v>-40.200000000000003</v>
      </c>
      <c r="Z128" s="56">
        <v>-42.9</v>
      </c>
      <c r="AA128" s="56">
        <v>-43.9</v>
      </c>
      <c r="AB128" s="56">
        <v>-38</v>
      </c>
      <c r="AC128" s="56">
        <v>-38</v>
      </c>
      <c r="AD128" s="56">
        <v>-26</v>
      </c>
      <c r="AE128" s="56">
        <v>-20</v>
      </c>
      <c r="AF128" s="56">
        <v>-18</v>
      </c>
      <c r="AG128" s="55"/>
      <c r="AH128" s="12">
        <f t="shared" si="51"/>
        <v>27</v>
      </c>
      <c r="AI128" s="11">
        <f t="shared" si="52"/>
        <v>-43.9</v>
      </c>
    </row>
    <row r="129" spans="1:37" x14ac:dyDescent="0.25">
      <c r="A129" s="57" t="s">
        <v>133</v>
      </c>
      <c r="B129" s="56">
        <v>68.900000000000006</v>
      </c>
      <c r="C129" s="56">
        <v>65.3</v>
      </c>
      <c r="D129" s="56">
        <v>54.3</v>
      </c>
      <c r="E129" s="56">
        <v>44.4</v>
      </c>
      <c r="F129" s="56">
        <v>38.9</v>
      </c>
      <c r="G129" s="56">
        <v>41.3</v>
      </c>
      <c r="H129" s="56">
        <v>38.9</v>
      </c>
      <c r="I129" s="56">
        <v>41.7</v>
      </c>
      <c r="J129" s="56">
        <v>88.7</v>
      </c>
      <c r="K129" s="56">
        <v>90.5</v>
      </c>
      <c r="L129" s="56">
        <v>94.6</v>
      </c>
      <c r="M129" s="56">
        <v>94.9</v>
      </c>
      <c r="N129" s="56">
        <v>115</v>
      </c>
      <c r="O129" s="56">
        <v>115</v>
      </c>
      <c r="P129" s="56">
        <v>126</v>
      </c>
      <c r="Q129" s="56">
        <v>118</v>
      </c>
      <c r="R129" s="56">
        <v>126</v>
      </c>
      <c r="S129" s="56">
        <v>120.5</v>
      </c>
      <c r="T129" s="56">
        <v>114.9</v>
      </c>
      <c r="U129" s="56">
        <v>114.5</v>
      </c>
      <c r="V129" s="56">
        <v>113.8</v>
      </c>
      <c r="W129" s="56">
        <v>108.3</v>
      </c>
      <c r="X129" s="56">
        <v>100.1</v>
      </c>
      <c r="Y129" s="56">
        <v>101.9</v>
      </c>
      <c r="Z129" s="56">
        <v>99.4</v>
      </c>
      <c r="AA129" s="56">
        <v>95.7</v>
      </c>
      <c r="AB129" s="56">
        <v>91</v>
      </c>
      <c r="AC129" s="56">
        <v>91</v>
      </c>
      <c r="AD129" s="56">
        <v>98</v>
      </c>
      <c r="AE129" s="56">
        <v>95</v>
      </c>
      <c r="AF129" s="56">
        <v>87</v>
      </c>
      <c r="AG129" s="55"/>
      <c r="AH129" s="12">
        <f t="shared" si="51"/>
        <v>126</v>
      </c>
      <c r="AI129" s="11">
        <f t="shared" si="52"/>
        <v>38.9</v>
      </c>
    </row>
    <row r="130" spans="1:37" ht="15.75" thickBot="1" x14ac:dyDescent="0.3">
      <c r="A130" s="57" t="s">
        <v>132</v>
      </c>
      <c r="B130" s="56">
        <v>83.6</v>
      </c>
      <c r="C130" s="56">
        <v>75.900000000000006</v>
      </c>
      <c r="D130" s="56">
        <v>68.900000000000006</v>
      </c>
      <c r="E130" s="56">
        <v>57.7</v>
      </c>
      <c r="F130" s="56">
        <v>50.6</v>
      </c>
      <c r="G130" s="56">
        <v>51.6</v>
      </c>
      <c r="H130" s="56">
        <v>49.7</v>
      </c>
      <c r="I130" s="56">
        <v>49.8</v>
      </c>
      <c r="J130" s="56">
        <v>89.4</v>
      </c>
      <c r="K130" s="56">
        <v>89.8</v>
      </c>
      <c r="L130" s="56">
        <v>98.2</v>
      </c>
      <c r="M130" s="56">
        <v>101.9</v>
      </c>
      <c r="N130" s="56">
        <v>121</v>
      </c>
      <c r="O130" s="56">
        <v>121</v>
      </c>
      <c r="P130" s="56">
        <v>127</v>
      </c>
      <c r="Q130" s="56">
        <v>125</v>
      </c>
      <c r="R130" s="56">
        <v>127</v>
      </c>
      <c r="S130" s="56">
        <v>130.69999999999999</v>
      </c>
      <c r="T130" s="56">
        <v>121.5</v>
      </c>
      <c r="U130" s="56">
        <v>120.4</v>
      </c>
      <c r="V130" s="56">
        <v>121</v>
      </c>
      <c r="W130" s="56">
        <v>116.9</v>
      </c>
      <c r="X130" s="56">
        <v>114.1</v>
      </c>
      <c r="Y130" s="56">
        <v>114</v>
      </c>
      <c r="Z130" s="56">
        <v>110.7</v>
      </c>
      <c r="AA130" s="56">
        <v>108.7</v>
      </c>
      <c r="AB130" s="56">
        <v>104</v>
      </c>
      <c r="AC130" s="56">
        <v>104</v>
      </c>
      <c r="AD130" s="56">
        <v>110</v>
      </c>
      <c r="AE130" s="56">
        <v>108</v>
      </c>
      <c r="AF130" s="56">
        <v>100</v>
      </c>
      <c r="AG130" s="55"/>
      <c r="AH130" s="12">
        <f t="shared" si="51"/>
        <v>130.69999999999999</v>
      </c>
      <c r="AI130" s="11">
        <f t="shared" si="52"/>
        <v>49.7</v>
      </c>
    </row>
    <row r="131" spans="1:37" x14ac:dyDescent="0.25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25">
      <c r="A132" s="47" t="s">
        <v>130</v>
      </c>
      <c r="B132" s="51">
        <v>1982.87</v>
      </c>
      <c r="C132" s="51">
        <v>1982.92</v>
      </c>
      <c r="D132" s="51">
        <v>1983</v>
      </c>
      <c r="E132" s="51">
        <v>1983.14</v>
      </c>
      <c r="F132" s="51">
        <v>1983.25</v>
      </c>
      <c r="G132" s="51">
        <v>1983.29</v>
      </c>
      <c r="H132" s="51"/>
      <c r="I132" s="51">
        <v>1983.23</v>
      </c>
      <c r="J132" s="51"/>
      <c r="K132" s="51">
        <v>1983.35</v>
      </c>
      <c r="L132" s="51"/>
      <c r="M132" s="51">
        <v>1983.63</v>
      </c>
      <c r="N132" s="51">
        <v>1983.88</v>
      </c>
      <c r="O132" s="51">
        <v>1984.12</v>
      </c>
      <c r="P132" s="51">
        <v>1984.35</v>
      </c>
      <c r="Q132" s="51">
        <v>1984.6</v>
      </c>
      <c r="R132" s="51">
        <v>1984.82</v>
      </c>
      <c r="S132" s="51">
        <v>1985.02</v>
      </c>
      <c r="T132" s="51">
        <v>1985.24</v>
      </c>
      <c r="U132" s="51">
        <v>1985.45</v>
      </c>
      <c r="V132" s="51">
        <v>1985.63</v>
      </c>
      <c r="W132" s="51"/>
      <c r="X132" s="51">
        <v>1985.83</v>
      </c>
      <c r="Y132" s="51"/>
      <c r="Z132" s="51">
        <v>1985.28</v>
      </c>
      <c r="AA132" s="51"/>
      <c r="AB132" s="51">
        <v>1984.8</v>
      </c>
      <c r="AC132" s="51"/>
      <c r="AD132" s="51">
        <v>1984.2</v>
      </c>
      <c r="AE132" s="51">
        <v>1983.62</v>
      </c>
      <c r="AF132" s="50">
        <v>1982.97</v>
      </c>
      <c r="AG132" s="44"/>
      <c r="AH132" s="12"/>
      <c r="AI132" s="11"/>
    </row>
    <row r="133" spans="1:37" x14ac:dyDescent="0.25">
      <c r="A133" s="47" t="s">
        <v>129</v>
      </c>
      <c r="B133" s="49">
        <v>520.44000000000005</v>
      </c>
      <c r="C133" s="49">
        <v>520.58000000000004</v>
      </c>
      <c r="D133" s="49">
        <v>520.78</v>
      </c>
      <c r="E133" s="49">
        <v>521</v>
      </c>
      <c r="F133" s="49">
        <v>521.20000000000005</v>
      </c>
      <c r="G133" s="49">
        <v>521.4</v>
      </c>
      <c r="H133" s="49"/>
      <c r="I133" s="49">
        <v>521.55999999999995</v>
      </c>
      <c r="J133" s="49"/>
      <c r="K133" s="49">
        <v>521.54</v>
      </c>
      <c r="L133" s="49"/>
      <c r="M133" s="49">
        <v>521.46</v>
      </c>
      <c r="N133" s="49">
        <v>521.44000000000005</v>
      </c>
      <c r="O133" s="49">
        <v>521.41</v>
      </c>
      <c r="P133" s="49">
        <v>521.20000000000005</v>
      </c>
      <c r="Q133" s="49">
        <v>521.17999999999995</v>
      </c>
      <c r="R133" s="49">
        <v>521.22</v>
      </c>
      <c r="S133" s="49">
        <v>521.1</v>
      </c>
      <c r="T133" s="49">
        <v>520.91999999999996</v>
      </c>
      <c r="U133" s="49">
        <v>520.94000000000005</v>
      </c>
      <c r="V133" s="49">
        <v>521.02</v>
      </c>
      <c r="W133" s="49"/>
      <c r="X133" s="49">
        <v>521.38</v>
      </c>
      <c r="Y133" s="49"/>
      <c r="Z133" s="49">
        <v>521.44000000000005</v>
      </c>
      <c r="AA133" s="49"/>
      <c r="AB133" s="49">
        <v>521.07000000000005</v>
      </c>
      <c r="AC133" s="49"/>
      <c r="AD133" s="49">
        <v>520.80999999999995</v>
      </c>
      <c r="AE133" s="49">
        <v>520.97</v>
      </c>
      <c r="AF133" s="48">
        <v>521.17999999999995</v>
      </c>
      <c r="AG133" s="44"/>
      <c r="AH133" s="12"/>
      <c r="AI133" s="11"/>
    </row>
    <row r="134" spans="1:37" x14ac:dyDescent="0.25">
      <c r="A134" s="47" t="s">
        <v>128</v>
      </c>
      <c r="B134" s="49">
        <v>622.76</v>
      </c>
      <c r="C134" s="49">
        <v>622.85</v>
      </c>
      <c r="D134" s="49">
        <v>622.99</v>
      </c>
      <c r="E134" s="49">
        <v>623.39</v>
      </c>
      <c r="F134" s="49">
        <v>623.84</v>
      </c>
      <c r="G134" s="49">
        <v>624.24</v>
      </c>
      <c r="H134" s="49"/>
      <c r="I134" s="49">
        <v>624.29</v>
      </c>
      <c r="J134" s="49"/>
      <c r="K134" s="49">
        <v>624.04999999999995</v>
      </c>
      <c r="L134" s="49"/>
      <c r="M134" s="49">
        <v>623.65</v>
      </c>
      <c r="N134" s="49">
        <v>623.72</v>
      </c>
      <c r="O134" s="49">
        <v>623.79999999999995</v>
      </c>
      <c r="P134" s="49">
        <v>623.83000000000004</v>
      </c>
      <c r="Q134" s="49">
        <v>623.98</v>
      </c>
      <c r="R134" s="49">
        <v>624.05999999999995</v>
      </c>
      <c r="S134" s="49">
        <v>624.12</v>
      </c>
      <c r="T134" s="49">
        <v>623.89</v>
      </c>
      <c r="U134" s="49">
        <v>623.73</v>
      </c>
      <c r="V134" s="49">
        <v>623.86</v>
      </c>
      <c r="W134" s="49"/>
      <c r="X134" s="49">
        <v>623.92999999999995</v>
      </c>
      <c r="Y134" s="49"/>
      <c r="Z134" s="49">
        <v>623.89</v>
      </c>
      <c r="AA134" s="49"/>
      <c r="AB134" s="49">
        <v>623.89</v>
      </c>
      <c r="AC134" s="49">
        <v>623.94000000000005</v>
      </c>
      <c r="AD134" s="49">
        <v>623.9</v>
      </c>
      <c r="AE134" s="49">
        <v>623.70000000000005</v>
      </c>
      <c r="AF134" s="48">
        <v>623.72</v>
      </c>
      <c r="AG134" s="44"/>
      <c r="AH134" s="12"/>
      <c r="AI134" s="11"/>
    </row>
    <row r="135" spans="1:37" x14ac:dyDescent="0.25">
      <c r="A135" s="47" t="s">
        <v>127</v>
      </c>
      <c r="B135" s="49">
        <v>334.9</v>
      </c>
      <c r="C135" s="49">
        <v>335.21</v>
      </c>
      <c r="D135" s="49">
        <v>335.56</v>
      </c>
      <c r="E135" s="49">
        <v>335.85</v>
      </c>
      <c r="F135" s="49">
        <v>336</v>
      </c>
      <c r="G135" s="49">
        <v>336.06</v>
      </c>
      <c r="H135" s="49"/>
      <c r="I135" s="49">
        <v>336.07</v>
      </c>
      <c r="J135" s="49"/>
      <c r="K135" s="49">
        <v>336.02</v>
      </c>
      <c r="L135" s="49"/>
      <c r="M135" s="49">
        <v>335.71</v>
      </c>
      <c r="N135" s="49">
        <v>335.49</v>
      </c>
      <c r="O135" s="49">
        <v>335.31</v>
      </c>
      <c r="P135" s="49">
        <v>335.01</v>
      </c>
      <c r="Q135" s="49">
        <v>334.87</v>
      </c>
      <c r="R135" s="49">
        <v>335.12</v>
      </c>
      <c r="S135" s="49">
        <v>335.41</v>
      </c>
      <c r="T135" s="49">
        <v>335.55</v>
      </c>
      <c r="U135" s="49">
        <v>335.69</v>
      </c>
      <c r="V135" s="49">
        <v>335.85</v>
      </c>
      <c r="W135" s="49"/>
      <c r="X135" s="49">
        <v>335.98</v>
      </c>
      <c r="Y135" s="49"/>
      <c r="Z135" s="49">
        <v>335.96</v>
      </c>
      <c r="AA135" s="49"/>
      <c r="AB135" s="49">
        <v>335.78</v>
      </c>
      <c r="AC135" s="49"/>
      <c r="AD135" s="49">
        <v>335.7</v>
      </c>
      <c r="AE135" s="49">
        <v>335.6</v>
      </c>
      <c r="AF135" s="48">
        <v>335.5</v>
      </c>
      <c r="AG135" s="44"/>
      <c r="AH135" s="12"/>
      <c r="AI135" s="11"/>
    </row>
    <row r="136" spans="1:37" x14ac:dyDescent="0.25">
      <c r="A136" s="47" t="s">
        <v>126</v>
      </c>
      <c r="B136" s="49">
        <v>884.3</v>
      </c>
      <c r="C136" s="49">
        <v>884.9</v>
      </c>
      <c r="D136" s="49">
        <v>885.5</v>
      </c>
      <c r="E136" s="49">
        <v>886.2</v>
      </c>
      <c r="F136" s="49">
        <v>886.7</v>
      </c>
      <c r="G136" s="49">
        <v>887</v>
      </c>
      <c r="H136" s="49"/>
      <c r="I136" s="49">
        <v>887.3</v>
      </c>
      <c r="J136" s="49"/>
      <c r="K136" s="49">
        <v>887.2</v>
      </c>
      <c r="L136" s="49"/>
      <c r="M136" s="49">
        <v>887</v>
      </c>
      <c r="N136" s="49">
        <v>886.8</v>
      </c>
      <c r="O136" s="49">
        <v>886.6</v>
      </c>
      <c r="P136" s="49">
        <v>886.3</v>
      </c>
      <c r="Q136" s="49">
        <v>886</v>
      </c>
      <c r="R136" s="49">
        <v>886.1</v>
      </c>
      <c r="S136" s="49">
        <v>886.2</v>
      </c>
      <c r="T136" s="49">
        <v>885.8</v>
      </c>
      <c r="U136" s="49">
        <v>885.4</v>
      </c>
      <c r="V136" s="49">
        <v>885.5</v>
      </c>
      <c r="W136" s="49"/>
      <c r="X136" s="49">
        <v>885.6</v>
      </c>
      <c r="Y136" s="49"/>
      <c r="Z136" s="49">
        <v>885.4</v>
      </c>
      <c r="AA136" s="49"/>
      <c r="AB136" s="49">
        <v>885</v>
      </c>
      <c r="AC136" s="49"/>
      <c r="AD136" s="49"/>
      <c r="AE136" s="49">
        <v>884.4</v>
      </c>
      <c r="AF136" s="48"/>
      <c r="AG136" s="44"/>
      <c r="AH136" s="12"/>
      <c r="AI136" s="11"/>
    </row>
    <row r="137" spans="1:37" ht="15.75" thickBot="1" x14ac:dyDescent="0.3">
      <c r="A137" s="47" t="s">
        <v>125</v>
      </c>
      <c r="B137" s="46">
        <v>1514.01</v>
      </c>
      <c r="C137" s="46"/>
      <c r="D137" s="46">
        <v>1513.95</v>
      </c>
      <c r="E137" s="46"/>
      <c r="F137" s="46"/>
      <c r="G137" s="46"/>
      <c r="H137" s="46"/>
      <c r="I137" s="46">
        <v>1513.84</v>
      </c>
      <c r="J137" s="46"/>
      <c r="K137" s="46"/>
      <c r="L137" s="46"/>
      <c r="M137" s="46">
        <v>1513.79</v>
      </c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.75" thickBot="1" x14ac:dyDescent="0.3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25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25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25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25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25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25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25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25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25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25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25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25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25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25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25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25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25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25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25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25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25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25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25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25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25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25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25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25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25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25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25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25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25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25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25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25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25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25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25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25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25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25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25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25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25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25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25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25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25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25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25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25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25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25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25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25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25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25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25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25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25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25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25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25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25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25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25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25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25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25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25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25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25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25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25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25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25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25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25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25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25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25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25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25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25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25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25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25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25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25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25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25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25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25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25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25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25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25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25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25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25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25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25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25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.75" thickBot="1" x14ac:dyDescent="0.3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.75" thickBot="1" x14ac:dyDescent="0.3">
      <c r="A244" s="31" t="s">
        <v>17</v>
      </c>
      <c r="B244" s="30">
        <f t="shared" ref="B244:AG244" si="56">SUM(B139:B243)</f>
        <v>0</v>
      </c>
      <c r="C244" s="14">
        <f t="shared" si="56"/>
        <v>0</v>
      </c>
      <c r="D244" s="14">
        <f t="shared" si="56"/>
        <v>0</v>
      </c>
      <c r="E244" s="14">
        <f t="shared" si="56"/>
        <v>0</v>
      </c>
      <c r="F244" s="14">
        <f t="shared" si="56"/>
        <v>0</v>
      </c>
      <c r="G244" s="14">
        <f t="shared" si="56"/>
        <v>0</v>
      </c>
      <c r="H244" s="14">
        <f t="shared" si="56"/>
        <v>0</v>
      </c>
      <c r="I244" s="14">
        <f t="shared" si="56"/>
        <v>0</v>
      </c>
      <c r="J244" s="14">
        <f t="shared" si="56"/>
        <v>0</v>
      </c>
      <c r="K244" s="14">
        <f t="shared" si="56"/>
        <v>0</v>
      </c>
      <c r="L244" s="14">
        <f t="shared" si="56"/>
        <v>0</v>
      </c>
      <c r="M244" s="14">
        <f t="shared" si="56"/>
        <v>0</v>
      </c>
      <c r="N244" s="14">
        <f t="shared" si="56"/>
        <v>0</v>
      </c>
      <c r="O244" s="14">
        <f t="shared" si="56"/>
        <v>0</v>
      </c>
      <c r="P244" s="14">
        <f t="shared" si="56"/>
        <v>0</v>
      </c>
      <c r="Q244" s="14">
        <f t="shared" si="56"/>
        <v>0</v>
      </c>
      <c r="R244" s="14">
        <f t="shared" si="56"/>
        <v>0</v>
      </c>
      <c r="S244" s="14">
        <f t="shared" si="56"/>
        <v>0</v>
      </c>
      <c r="T244" s="14">
        <f t="shared" si="56"/>
        <v>0</v>
      </c>
      <c r="U244" s="14">
        <f t="shared" si="56"/>
        <v>0</v>
      </c>
      <c r="V244" s="14">
        <f t="shared" si="56"/>
        <v>0</v>
      </c>
      <c r="W244" s="14">
        <f t="shared" si="56"/>
        <v>0</v>
      </c>
      <c r="X244" s="14">
        <f t="shared" si="56"/>
        <v>0</v>
      </c>
      <c r="Y244" s="14">
        <f t="shared" si="56"/>
        <v>0</v>
      </c>
      <c r="Z244" s="14">
        <f t="shared" si="56"/>
        <v>0</v>
      </c>
      <c r="AA244" s="14">
        <f t="shared" si="56"/>
        <v>0</v>
      </c>
      <c r="AB244" s="14">
        <f t="shared" si="56"/>
        <v>0</v>
      </c>
      <c r="AC244" s="14">
        <f t="shared" si="56"/>
        <v>0</v>
      </c>
      <c r="AD244" s="14">
        <f t="shared" si="56"/>
        <v>0</v>
      </c>
      <c r="AE244" s="14">
        <f t="shared" si="56"/>
        <v>0</v>
      </c>
      <c r="AF244" s="29">
        <f t="shared" si="56"/>
        <v>0</v>
      </c>
      <c r="AG244" s="28">
        <f t="shared" si="56"/>
        <v>412.72299999999984</v>
      </c>
      <c r="AH244" s="12"/>
      <c r="AI244" s="11"/>
      <c r="AK244" s="19"/>
    </row>
    <row r="245" spans="1:37" ht="15.75" thickBot="1" x14ac:dyDescent="0.3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25">
      <c r="A246" s="25" t="s">
        <v>16</v>
      </c>
      <c r="B246" s="24">
        <f t="shared" ref="B246:B251" si="57">AF246</f>
        <v>0.3</v>
      </c>
      <c r="C246" s="24">
        <v>0.3</v>
      </c>
      <c r="D246" s="24">
        <f t="shared" ref="D246:AF246" si="58">C246</f>
        <v>0.3</v>
      </c>
      <c r="E246" s="24">
        <f t="shared" si="58"/>
        <v>0.3</v>
      </c>
      <c r="F246" s="24">
        <f t="shared" si="58"/>
        <v>0.3</v>
      </c>
      <c r="G246" s="24">
        <f t="shared" si="58"/>
        <v>0.3</v>
      </c>
      <c r="H246" s="24">
        <f t="shared" si="58"/>
        <v>0.3</v>
      </c>
      <c r="I246" s="24">
        <f t="shared" si="58"/>
        <v>0.3</v>
      </c>
      <c r="J246" s="24">
        <f t="shared" si="58"/>
        <v>0.3</v>
      </c>
      <c r="K246" s="24">
        <f t="shared" si="58"/>
        <v>0.3</v>
      </c>
      <c r="L246" s="24">
        <f t="shared" si="58"/>
        <v>0.3</v>
      </c>
      <c r="M246" s="24">
        <f t="shared" si="58"/>
        <v>0.3</v>
      </c>
      <c r="N246" s="24">
        <f t="shared" si="58"/>
        <v>0.3</v>
      </c>
      <c r="O246" s="24">
        <f t="shared" si="58"/>
        <v>0.3</v>
      </c>
      <c r="P246" s="24">
        <f t="shared" si="58"/>
        <v>0.3</v>
      </c>
      <c r="Q246" s="24">
        <f t="shared" si="58"/>
        <v>0.3</v>
      </c>
      <c r="R246" s="24">
        <f t="shared" si="58"/>
        <v>0.3</v>
      </c>
      <c r="S246" s="24">
        <f t="shared" si="58"/>
        <v>0.3</v>
      </c>
      <c r="T246" s="24">
        <f t="shared" si="58"/>
        <v>0.3</v>
      </c>
      <c r="U246" s="24">
        <f t="shared" si="58"/>
        <v>0.3</v>
      </c>
      <c r="V246" s="24">
        <f t="shared" si="58"/>
        <v>0.3</v>
      </c>
      <c r="W246" s="24">
        <f t="shared" si="58"/>
        <v>0.3</v>
      </c>
      <c r="X246" s="24">
        <f t="shared" si="58"/>
        <v>0.3</v>
      </c>
      <c r="Y246" s="24">
        <f t="shared" si="58"/>
        <v>0.3</v>
      </c>
      <c r="Z246" s="24">
        <f t="shared" si="58"/>
        <v>0.3</v>
      </c>
      <c r="AA246" s="24">
        <f t="shared" si="58"/>
        <v>0.3</v>
      </c>
      <c r="AB246" s="24">
        <f t="shared" si="58"/>
        <v>0.3</v>
      </c>
      <c r="AC246" s="24">
        <f t="shared" si="58"/>
        <v>0.3</v>
      </c>
      <c r="AD246" s="24">
        <f t="shared" si="58"/>
        <v>0.3</v>
      </c>
      <c r="AE246" s="24">
        <f t="shared" si="58"/>
        <v>0.3</v>
      </c>
      <c r="AF246" s="24">
        <f t="shared" si="58"/>
        <v>0.3</v>
      </c>
      <c r="AG246" s="23">
        <v>2.4</v>
      </c>
      <c r="AH246" s="12"/>
      <c r="AI246" s="11"/>
      <c r="AK246" s="19"/>
    </row>
    <row r="247" spans="1:37" x14ac:dyDescent="0.25">
      <c r="A247" s="22" t="s">
        <v>15</v>
      </c>
      <c r="B247" s="21">
        <f t="shared" si="57"/>
        <v>0.4</v>
      </c>
      <c r="C247" s="21">
        <v>0.4</v>
      </c>
      <c r="D247" s="21">
        <f t="shared" ref="D247:AF247" si="59">C247</f>
        <v>0.4</v>
      </c>
      <c r="E247" s="21">
        <f t="shared" si="59"/>
        <v>0.4</v>
      </c>
      <c r="F247" s="21">
        <f t="shared" si="59"/>
        <v>0.4</v>
      </c>
      <c r="G247" s="21">
        <f t="shared" si="59"/>
        <v>0.4</v>
      </c>
      <c r="H247" s="21">
        <f t="shared" si="59"/>
        <v>0.4</v>
      </c>
      <c r="I247" s="21">
        <f t="shared" si="59"/>
        <v>0.4</v>
      </c>
      <c r="J247" s="21">
        <f t="shared" si="59"/>
        <v>0.4</v>
      </c>
      <c r="K247" s="21">
        <f t="shared" si="59"/>
        <v>0.4</v>
      </c>
      <c r="L247" s="21">
        <f t="shared" si="59"/>
        <v>0.4</v>
      </c>
      <c r="M247" s="21">
        <f t="shared" si="59"/>
        <v>0.4</v>
      </c>
      <c r="N247" s="21">
        <f t="shared" si="59"/>
        <v>0.4</v>
      </c>
      <c r="O247" s="21">
        <f t="shared" si="59"/>
        <v>0.4</v>
      </c>
      <c r="P247" s="21">
        <f t="shared" si="59"/>
        <v>0.4</v>
      </c>
      <c r="Q247" s="21">
        <f t="shared" si="59"/>
        <v>0.4</v>
      </c>
      <c r="R247" s="21">
        <f t="shared" si="59"/>
        <v>0.4</v>
      </c>
      <c r="S247" s="21">
        <f t="shared" si="59"/>
        <v>0.4</v>
      </c>
      <c r="T247" s="21">
        <f t="shared" si="59"/>
        <v>0.4</v>
      </c>
      <c r="U247" s="21">
        <f t="shared" si="59"/>
        <v>0.4</v>
      </c>
      <c r="V247" s="21">
        <f t="shared" si="59"/>
        <v>0.4</v>
      </c>
      <c r="W247" s="21">
        <f t="shared" si="59"/>
        <v>0.4</v>
      </c>
      <c r="X247" s="21">
        <f t="shared" si="59"/>
        <v>0.4</v>
      </c>
      <c r="Y247" s="21">
        <f t="shared" si="59"/>
        <v>0.4</v>
      </c>
      <c r="Z247" s="21">
        <f t="shared" si="59"/>
        <v>0.4</v>
      </c>
      <c r="AA247" s="21">
        <f t="shared" si="59"/>
        <v>0.4</v>
      </c>
      <c r="AB247" s="21">
        <f t="shared" si="59"/>
        <v>0.4</v>
      </c>
      <c r="AC247" s="21">
        <f t="shared" si="59"/>
        <v>0.4</v>
      </c>
      <c r="AD247" s="21">
        <f t="shared" si="59"/>
        <v>0.4</v>
      </c>
      <c r="AE247" s="21">
        <f t="shared" si="59"/>
        <v>0.4</v>
      </c>
      <c r="AF247" s="21">
        <f t="shared" si="59"/>
        <v>0.4</v>
      </c>
      <c r="AG247" s="20">
        <v>2</v>
      </c>
      <c r="AH247" s="12"/>
      <c r="AI247" s="11"/>
      <c r="AK247" s="19"/>
    </row>
    <row r="248" spans="1:37" x14ac:dyDescent="0.25">
      <c r="A248" s="22" t="s">
        <v>14</v>
      </c>
      <c r="B248" s="21">
        <f t="shared" si="57"/>
        <v>1.5</v>
      </c>
      <c r="C248" s="21">
        <v>1.5</v>
      </c>
      <c r="D248" s="21">
        <f t="shared" ref="D248:AF248" si="60">C248</f>
        <v>1.5</v>
      </c>
      <c r="E248" s="21">
        <f t="shared" si="60"/>
        <v>1.5</v>
      </c>
      <c r="F248" s="21">
        <f t="shared" si="60"/>
        <v>1.5</v>
      </c>
      <c r="G248" s="21">
        <f t="shared" si="60"/>
        <v>1.5</v>
      </c>
      <c r="H248" s="21">
        <f t="shared" si="60"/>
        <v>1.5</v>
      </c>
      <c r="I248" s="21">
        <f t="shared" si="60"/>
        <v>1.5</v>
      </c>
      <c r="J248" s="21">
        <f t="shared" si="60"/>
        <v>1.5</v>
      </c>
      <c r="K248" s="21">
        <f t="shared" si="60"/>
        <v>1.5</v>
      </c>
      <c r="L248" s="21">
        <f t="shared" si="60"/>
        <v>1.5</v>
      </c>
      <c r="M248" s="21">
        <f t="shared" si="60"/>
        <v>1.5</v>
      </c>
      <c r="N248" s="21">
        <f t="shared" si="60"/>
        <v>1.5</v>
      </c>
      <c r="O248" s="21">
        <f t="shared" si="60"/>
        <v>1.5</v>
      </c>
      <c r="P248" s="21">
        <f t="shared" si="60"/>
        <v>1.5</v>
      </c>
      <c r="Q248" s="21">
        <f t="shared" si="60"/>
        <v>1.5</v>
      </c>
      <c r="R248" s="21">
        <f t="shared" si="60"/>
        <v>1.5</v>
      </c>
      <c r="S248" s="21">
        <f t="shared" si="60"/>
        <v>1.5</v>
      </c>
      <c r="T248" s="21">
        <f t="shared" si="60"/>
        <v>1.5</v>
      </c>
      <c r="U248" s="21">
        <f t="shared" si="60"/>
        <v>1.5</v>
      </c>
      <c r="V248" s="21">
        <f t="shared" si="60"/>
        <v>1.5</v>
      </c>
      <c r="W248" s="21">
        <f t="shared" si="60"/>
        <v>1.5</v>
      </c>
      <c r="X248" s="21">
        <f t="shared" si="60"/>
        <v>1.5</v>
      </c>
      <c r="Y248" s="21">
        <f t="shared" si="60"/>
        <v>1.5</v>
      </c>
      <c r="Z248" s="21">
        <f t="shared" si="60"/>
        <v>1.5</v>
      </c>
      <c r="AA248" s="21">
        <f t="shared" si="60"/>
        <v>1.5</v>
      </c>
      <c r="AB248" s="21">
        <f t="shared" si="60"/>
        <v>1.5</v>
      </c>
      <c r="AC248" s="21">
        <f t="shared" si="60"/>
        <v>1.5</v>
      </c>
      <c r="AD248" s="21">
        <f t="shared" si="60"/>
        <v>1.5</v>
      </c>
      <c r="AE248" s="21">
        <f t="shared" si="60"/>
        <v>1.5</v>
      </c>
      <c r="AF248" s="21">
        <f t="shared" si="60"/>
        <v>1.5</v>
      </c>
      <c r="AG248" s="20">
        <v>1.5</v>
      </c>
      <c r="AH248" s="12"/>
      <c r="AI248" s="11"/>
      <c r="AK248" s="19"/>
    </row>
    <row r="249" spans="1:37" x14ac:dyDescent="0.25">
      <c r="A249" s="22" t="s">
        <v>13</v>
      </c>
      <c r="B249" s="21">
        <f t="shared" si="57"/>
        <v>0.3</v>
      </c>
      <c r="C249" s="21">
        <v>0.3</v>
      </c>
      <c r="D249" s="21">
        <f t="shared" ref="D249:AF249" si="61">C249</f>
        <v>0.3</v>
      </c>
      <c r="E249" s="21">
        <f t="shared" si="61"/>
        <v>0.3</v>
      </c>
      <c r="F249" s="21">
        <f t="shared" si="61"/>
        <v>0.3</v>
      </c>
      <c r="G249" s="21">
        <f t="shared" si="61"/>
        <v>0.3</v>
      </c>
      <c r="H249" s="21">
        <f t="shared" si="61"/>
        <v>0.3</v>
      </c>
      <c r="I249" s="21">
        <f t="shared" si="61"/>
        <v>0.3</v>
      </c>
      <c r="J249" s="21">
        <f t="shared" si="61"/>
        <v>0.3</v>
      </c>
      <c r="K249" s="21">
        <f t="shared" si="61"/>
        <v>0.3</v>
      </c>
      <c r="L249" s="21">
        <f t="shared" si="61"/>
        <v>0.3</v>
      </c>
      <c r="M249" s="21">
        <f t="shared" si="61"/>
        <v>0.3</v>
      </c>
      <c r="N249" s="21">
        <f t="shared" si="61"/>
        <v>0.3</v>
      </c>
      <c r="O249" s="21">
        <f t="shared" si="61"/>
        <v>0.3</v>
      </c>
      <c r="P249" s="21">
        <f t="shared" si="61"/>
        <v>0.3</v>
      </c>
      <c r="Q249" s="21">
        <f t="shared" si="61"/>
        <v>0.3</v>
      </c>
      <c r="R249" s="21">
        <f t="shared" si="61"/>
        <v>0.3</v>
      </c>
      <c r="S249" s="21">
        <f t="shared" si="61"/>
        <v>0.3</v>
      </c>
      <c r="T249" s="21">
        <f t="shared" si="61"/>
        <v>0.3</v>
      </c>
      <c r="U249" s="21">
        <f t="shared" si="61"/>
        <v>0.3</v>
      </c>
      <c r="V249" s="21">
        <f t="shared" si="61"/>
        <v>0.3</v>
      </c>
      <c r="W249" s="21">
        <f t="shared" si="61"/>
        <v>0.3</v>
      </c>
      <c r="X249" s="21">
        <f t="shared" si="61"/>
        <v>0.3</v>
      </c>
      <c r="Y249" s="21">
        <f t="shared" si="61"/>
        <v>0.3</v>
      </c>
      <c r="Z249" s="21">
        <f t="shared" si="61"/>
        <v>0.3</v>
      </c>
      <c r="AA249" s="21">
        <f t="shared" si="61"/>
        <v>0.3</v>
      </c>
      <c r="AB249" s="21">
        <f t="shared" si="61"/>
        <v>0.3</v>
      </c>
      <c r="AC249" s="21">
        <f t="shared" si="61"/>
        <v>0.3</v>
      </c>
      <c r="AD249" s="21">
        <f t="shared" si="61"/>
        <v>0.3</v>
      </c>
      <c r="AE249" s="21">
        <f t="shared" si="61"/>
        <v>0.3</v>
      </c>
      <c r="AF249" s="21">
        <f t="shared" si="61"/>
        <v>0.3</v>
      </c>
      <c r="AG249" s="20">
        <v>1</v>
      </c>
      <c r="AH249" s="12"/>
      <c r="AI249" s="11"/>
      <c r="AK249" s="19"/>
    </row>
    <row r="250" spans="1:37" x14ac:dyDescent="0.25">
      <c r="A250" s="22" t="s">
        <v>12</v>
      </c>
      <c r="B250" s="21">
        <f t="shared" si="57"/>
        <v>0.4</v>
      </c>
      <c r="C250" s="21">
        <v>0.4</v>
      </c>
      <c r="D250" s="21">
        <f t="shared" ref="D250:AF250" si="62">C250</f>
        <v>0.4</v>
      </c>
      <c r="E250" s="21">
        <f t="shared" si="62"/>
        <v>0.4</v>
      </c>
      <c r="F250" s="21">
        <f t="shared" si="62"/>
        <v>0.4</v>
      </c>
      <c r="G250" s="21">
        <f t="shared" si="62"/>
        <v>0.4</v>
      </c>
      <c r="H250" s="21">
        <f t="shared" si="62"/>
        <v>0.4</v>
      </c>
      <c r="I250" s="21">
        <f t="shared" si="62"/>
        <v>0.4</v>
      </c>
      <c r="J250" s="21">
        <f t="shared" si="62"/>
        <v>0.4</v>
      </c>
      <c r="K250" s="21">
        <f t="shared" si="62"/>
        <v>0.4</v>
      </c>
      <c r="L250" s="21">
        <f t="shared" si="62"/>
        <v>0.4</v>
      </c>
      <c r="M250" s="21">
        <f t="shared" si="62"/>
        <v>0.4</v>
      </c>
      <c r="N250" s="21">
        <f t="shared" si="62"/>
        <v>0.4</v>
      </c>
      <c r="O250" s="21">
        <f t="shared" si="62"/>
        <v>0.4</v>
      </c>
      <c r="P250" s="21">
        <f t="shared" si="62"/>
        <v>0.4</v>
      </c>
      <c r="Q250" s="21">
        <f t="shared" si="62"/>
        <v>0.4</v>
      </c>
      <c r="R250" s="21">
        <f t="shared" si="62"/>
        <v>0.4</v>
      </c>
      <c r="S250" s="21">
        <f t="shared" si="62"/>
        <v>0.4</v>
      </c>
      <c r="T250" s="21">
        <f t="shared" si="62"/>
        <v>0.4</v>
      </c>
      <c r="U250" s="21">
        <f t="shared" si="62"/>
        <v>0.4</v>
      </c>
      <c r="V250" s="21">
        <f t="shared" si="62"/>
        <v>0.4</v>
      </c>
      <c r="W250" s="21">
        <f t="shared" si="62"/>
        <v>0.4</v>
      </c>
      <c r="X250" s="21">
        <f t="shared" si="62"/>
        <v>0.4</v>
      </c>
      <c r="Y250" s="21">
        <f t="shared" si="62"/>
        <v>0.4</v>
      </c>
      <c r="Z250" s="21">
        <f t="shared" si="62"/>
        <v>0.4</v>
      </c>
      <c r="AA250" s="21">
        <f t="shared" si="62"/>
        <v>0.4</v>
      </c>
      <c r="AB250" s="21">
        <f t="shared" si="62"/>
        <v>0.4</v>
      </c>
      <c r="AC250" s="21">
        <f t="shared" si="62"/>
        <v>0.4</v>
      </c>
      <c r="AD250" s="21">
        <f t="shared" si="62"/>
        <v>0.4</v>
      </c>
      <c r="AE250" s="21">
        <f t="shared" si="62"/>
        <v>0.4</v>
      </c>
      <c r="AF250" s="21">
        <f t="shared" si="62"/>
        <v>0.4</v>
      </c>
      <c r="AG250" s="20">
        <v>1</v>
      </c>
      <c r="AH250" s="12"/>
      <c r="AI250" s="11"/>
      <c r="AK250" s="19"/>
    </row>
    <row r="251" spans="1:37" ht="15.75" thickBot="1" x14ac:dyDescent="0.3">
      <c r="A251" s="18" t="s">
        <v>11</v>
      </c>
      <c r="B251" s="17">
        <f t="shared" si="57"/>
        <v>0.64</v>
      </c>
      <c r="C251" s="17">
        <v>0.64</v>
      </c>
      <c r="D251" s="17">
        <f t="shared" ref="D251:AF251" si="63">C251</f>
        <v>0.64</v>
      </c>
      <c r="E251" s="17">
        <f t="shared" si="63"/>
        <v>0.64</v>
      </c>
      <c r="F251" s="17">
        <f t="shared" si="63"/>
        <v>0.64</v>
      </c>
      <c r="G251" s="17">
        <f t="shared" si="63"/>
        <v>0.64</v>
      </c>
      <c r="H251" s="17">
        <f t="shared" si="63"/>
        <v>0.64</v>
      </c>
      <c r="I251" s="17">
        <f t="shared" si="63"/>
        <v>0.64</v>
      </c>
      <c r="J251" s="17">
        <f t="shared" si="63"/>
        <v>0.64</v>
      </c>
      <c r="K251" s="17">
        <f t="shared" si="63"/>
        <v>0.64</v>
      </c>
      <c r="L251" s="17">
        <f t="shared" si="63"/>
        <v>0.64</v>
      </c>
      <c r="M251" s="17">
        <f t="shared" si="63"/>
        <v>0.64</v>
      </c>
      <c r="N251" s="17">
        <f t="shared" si="63"/>
        <v>0.64</v>
      </c>
      <c r="O251" s="17">
        <f t="shared" si="63"/>
        <v>0.64</v>
      </c>
      <c r="P251" s="17">
        <f t="shared" si="63"/>
        <v>0.64</v>
      </c>
      <c r="Q251" s="17">
        <f t="shared" si="63"/>
        <v>0.64</v>
      </c>
      <c r="R251" s="17">
        <f t="shared" si="63"/>
        <v>0.64</v>
      </c>
      <c r="S251" s="17">
        <f t="shared" si="63"/>
        <v>0.64</v>
      </c>
      <c r="T251" s="17">
        <f t="shared" si="63"/>
        <v>0.64</v>
      </c>
      <c r="U251" s="17">
        <f t="shared" si="63"/>
        <v>0.64</v>
      </c>
      <c r="V251" s="17">
        <f t="shared" si="63"/>
        <v>0.64</v>
      </c>
      <c r="W251" s="17">
        <f t="shared" si="63"/>
        <v>0.64</v>
      </c>
      <c r="X251" s="17">
        <f t="shared" si="63"/>
        <v>0.64</v>
      </c>
      <c r="Y251" s="17">
        <f t="shared" si="63"/>
        <v>0.64</v>
      </c>
      <c r="Z251" s="17">
        <f t="shared" si="63"/>
        <v>0.64</v>
      </c>
      <c r="AA251" s="17">
        <f t="shared" si="63"/>
        <v>0.64</v>
      </c>
      <c r="AB251" s="17">
        <f t="shared" si="63"/>
        <v>0.64</v>
      </c>
      <c r="AC251" s="17">
        <f t="shared" si="63"/>
        <v>0.64</v>
      </c>
      <c r="AD251" s="17">
        <f t="shared" si="63"/>
        <v>0.64</v>
      </c>
      <c r="AE251" s="17">
        <f t="shared" si="63"/>
        <v>0.64</v>
      </c>
      <c r="AF251" s="17">
        <f t="shared" si="63"/>
        <v>0.64</v>
      </c>
      <c r="AG251" s="16">
        <v>0.66</v>
      </c>
      <c r="AH251" s="12"/>
      <c r="AI251" s="11"/>
    </row>
    <row r="252" spans="1:37" ht="15.75" thickBot="1" x14ac:dyDescent="0.3">
      <c r="A252" s="15" t="s">
        <v>10</v>
      </c>
      <c r="B252" s="14">
        <f t="shared" ref="B252:AG252" si="64">SUM(B246:B251)</f>
        <v>3.54</v>
      </c>
      <c r="C252" s="14">
        <f t="shared" si="64"/>
        <v>3.54</v>
      </c>
      <c r="D252" s="14">
        <f t="shared" si="64"/>
        <v>3.54</v>
      </c>
      <c r="E252" s="14">
        <f t="shared" si="64"/>
        <v>3.54</v>
      </c>
      <c r="F252" s="14">
        <f t="shared" si="64"/>
        <v>3.54</v>
      </c>
      <c r="G252" s="14">
        <f t="shared" si="64"/>
        <v>3.54</v>
      </c>
      <c r="H252" s="14">
        <f t="shared" si="64"/>
        <v>3.54</v>
      </c>
      <c r="I252" s="14">
        <f t="shared" si="64"/>
        <v>3.54</v>
      </c>
      <c r="J252" s="14">
        <f t="shared" si="64"/>
        <v>3.54</v>
      </c>
      <c r="K252" s="14">
        <f t="shared" si="64"/>
        <v>3.54</v>
      </c>
      <c r="L252" s="14">
        <f t="shared" si="64"/>
        <v>3.54</v>
      </c>
      <c r="M252" s="14">
        <f t="shared" si="64"/>
        <v>3.54</v>
      </c>
      <c r="N252" s="14">
        <f t="shared" si="64"/>
        <v>3.54</v>
      </c>
      <c r="O252" s="14">
        <f t="shared" si="64"/>
        <v>3.54</v>
      </c>
      <c r="P252" s="14">
        <f t="shared" si="64"/>
        <v>3.54</v>
      </c>
      <c r="Q252" s="14">
        <f t="shared" si="64"/>
        <v>3.54</v>
      </c>
      <c r="R252" s="14">
        <f t="shared" si="64"/>
        <v>3.54</v>
      </c>
      <c r="S252" s="14">
        <f t="shared" si="64"/>
        <v>3.54</v>
      </c>
      <c r="T252" s="14">
        <f t="shared" si="64"/>
        <v>3.54</v>
      </c>
      <c r="U252" s="14">
        <f t="shared" si="64"/>
        <v>3.54</v>
      </c>
      <c r="V252" s="14">
        <f t="shared" si="64"/>
        <v>3.54</v>
      </c>
      <c r="W252" s="14">
        <f t="shared" si="64"/>
        <v>3.54</v>
      </c>
      <c r="X252" s="14">
        <f t="shared" si="64"/>
        <v>3.54</v>
      </c>
      <c r="Y252" s="14">
        <f t="shared" si="64"/>
        <v>3.54</v>
      </c>
      <c r="Z252" s="14">
        <f t="shared" si="64"/>
        <v>3.54</v>
      </c>
      <c r="AA252" s="14">
        <f t="shared" si="64"/>
        <v>3.54</v>
      </c>
      <c r="AB252" s="14">
        <f t="shared" si="64"/>
        <v>3.54</v>
      </c>
      <c r="AC252" s="14">
        <f t="shared" si="64"/>
        <v>3.54</v>
      </c>
      <c r="AD252" s="14">
        <f t="shared" si="64"/>
        <v>3.54</v>
      </c>
      <c r="AE252" s="14">
        <f t="shared" si="64"/>
        <v>3.54</v>
      </c>
      <c r="AF252" s="14">
        <f t="shared" si="64"/>
        <v>3.54</v>
      </c>
      <c r="AG252" s="13">
        <f t="shared" si="64"/>
        <v>8.56</v>
      </c>
      <c r="AH252" s="12"/>
      <c r="AI252" s="11"/>
    </row>
    <row r="253" spans="1:37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25">
      <c r="A256" s="9" t="s">
        <v>9</v>
      </c>
      <c r="B256" s="8">
        <f>MAX(G99:N99)</f>
        <v>1662.9399999999998</v>
      </c>
      <c r="C256" s="7">
        <f>INDEX(G9:N9,1,MATCH(MAX(G99:N99),G99:N99,0))</f>
        <v>0.33333333333333331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25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2080/10/3)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25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25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25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25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25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25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25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25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25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25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25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25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25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25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4014" priority="141">
      <formula>$AH11=0</formula>
    </cfRule>
  </conditionalFormatting>
  <conditionalFormatting sqref="A132:A253">
    <cfRule type="expression" dxfId="4013" priority="142">
      <formula>$AH132=0</formula>
    </cfRule>
  </conditionalFormatting>
  <conditionalFormatting sqref="B8">
    <cfRule type="expression" dxfId="4012" priority="198">
      <formula>C$9&lt;8/24</formula>
    </cfRule>
    <cfRule type="expression" dxfId="4011" priority="199">
      <formula>C$9&gt;=20/24</formula>
    </cfRule>
    <cfRule type="expression" dxfId="4010" priority="196">
      <formula>AND(C$9&gt;=14/24,C$9&lt;20/24)</formula>
    </cfRule>
    <cfRule type="expression" dxfId="4009" priority="197">
      <formula>AND(C$9&gt;=8/24,C$9&lt;14/24)</formula>
    </cfRule>
  </conditionalFormatting>
  <conditionalFormatting sqref="B11:D12 E12:V12">
    <cfRule type="expression" dxfId="4008" priority="14">
      <formula>B$9&lt;8/24</formula>
    </cfRule>
    <cfRule type="expression" dxfId="4007" priority="11">
      <formula>B$9&gt;=20/24</formula>
    </cfRule>
    <cfRule type="expression" dxfId="4006" priority="12">
      <formula>AND(B$9&gt;=14/24,B$9&lt;20/24)</formula>
    </cfRule>
    <cfRule type="expression" dxfId="4005" priority="13">
      <formula>AND(B$9&gt;=8/24,B$9&lt;14/24)</formula>
    </cfRule>
  </conditionalFormatting>
  <conditionalFormatting sqref="B11:D80 E20:AF56 W11:AF19 E12:V19 E57:Q62 E67:H74 I69:R74 S70:W74">
    <cfRule type="expression" dxfId="4004" priority="4">
      <formula>B11&gt;$AG11</formula>
    </cfRule>
  </conditionalFormatting>
  <conditionalFormatting sqref="B56:D57">
    <cfRule type="expression" dxfId="4003" priority="26">
      <formula>B$9&lt;8/24</formula>
    </cfRule>
    <cfRule type="expression" dxfId="4002" priority="16">
      <formula>AND(B$9&gt;=14/24,B$9&lt;20/24)</formula>
    </cfRule>
    <cfRule type="expression" dxfId="4001" priority="17">
      <formula>AND(B$9&gt;=8/24,B$9&lt;14/24)</formula>
    </cfRule>
    <cfRule type="expression" dxfId="4000" priority="15">
      <formula>B$9&gt;=20/24</formula>
    </cfRule>
  </conditionalFormatting>
  <conditionalFormatting sqref="B9:AF10 E11 S69:W69 X69:AF74 E77:AF99 B101:AF117 B119:AF137 B244:AF244 B246:B252">
    <cfRule type="expression" dxfId="3999" priority="94">
      <formula>AND(B$9&gt;=14/24,B$9&lt;20/24)</formula>
    </cfRule>
    <cfRule type="expression" dxfId="3998" priority="95">
      <formula>AND(B$9&gt;=8/24,B$9&lt;14/24)</formula>
    </cfRule>
    <cfRule type="expression" dxfId="3997" priority="96">
      <formula>B$9&lt;8/24</formula>
    </cfRule>
  </conditionalFormatting>
  <conditionalFormatting sqref="B53:AF55">
    <cfRule type="expression" dxfId="3996" priority="2">
      <formula>AND(B$9&gt;=14/24,B$9&lt;20/24)</formula>
    </cfRule>
    <cfRule type="expression" dxfId="3995" priority="3">
      <formula>AND(B$9&gt;=8/24,B$9&lt;14/24)</formula>
    </cfRule>
    <cfRule type="expression" dxfId="3994" priority="1">
      <formula>B$9&gt;=20/24</formula>
    </cfRule>
  </conditionalFormatting>
  <conditionalFormatting sqref="D246:AF252">
    <cfRule type="expression" dxfId="3993" priority="184">
      <formula>D$9&lt;8/24</formula>
    </cfRule>
    <cfRule type="expression" dxfId="3992" priority="183">
      <formula>AND(D$9&gt;=8/24,D$9&lt;14/24)</formula>
    </cfRule>
    <cfRule type="expression" dxfId="3991" priority="182">
      <formula>AND(D$9&gt;=14/24,D$9&lt;20/24)</formula>
    </cfRule>
    <cfRule type="expression" dxfId="3990" priority="181">
      <formula>D$9&gt;=20/24</formula>
    </cfRule>
  </conditionalFormatting>
  <conditionalFormatting sqref="E11 S69:W69 X69:AF74 E77:AF99 B9:AF10 B101:AF117 B119:AF137 B244:AF244 B246:B252">
    <cfRule type="expression" dxfId="3989" priority="93">
      <formula>B$9&gt;=20/24</formula>
    </cfRule>
  </conditionalFormatting>
  <conditionalFormatting sqref="E11 S57:AB62 R57:R68 AC57:AF80 AG62 W63:AB63 E63:M66 N63:Q68 S63:V69 W64:AA65 AB64:AB74 W66:X68 Y66:AA74 I67:M68 W69 X69:X74 E75:AB80 AG80">
    <cfRule type="expression" dxfId="3988" priority="92">
      <formula>E11&gt;$AG11</formula>
    </cfRule>
  </conditionalFormatting>
  <conditionalFormatting sqref="E67:H68">
    <cfRule type="expression" dxfId="3987" priority="22">
      <formula>E$9&gt;=20/24</formula>
    </cfRule>
    <cfRule type="expression" dxfId="3986" priority="23">
      <formula>AND(E$9&gt;=14/24,E$9&lt;20/24)</formula>
    </cfRule>
    <cfRule type="expression" dxfId="3985" priority="25">
      <formula>E$9&lt;8/24</formula>
    </cfRule>
    <cfRule type="expression" dxfId="3984" priority="24">
      <formula>AND(E$9&gt;=8/24,E$9&lt;14/24)</formula>
    </cfRule>
  </conditionalFormatting>
  <conditionalFormatting sqref="E63:I66 J64:J67 I67 K67">
    <cfRule type="expression" dxfId="3983" priority="109">
      <formula>E$9&lt;8/24</formula>
    </cfRule>
    <cfRule type="expression" dxfId="3982" priority="108">
      <formula>AND(E$9&gt;=8/24,E$9&lt;14/24)</formula>
    </cfRule>
    <cfRule type="expression" dxfId="3981" priority="106">
      <formula>E$9&gt;=20/24</formula>
    </cfRule>
    <cfRule type="expression" dxfId="3980" priority="107">
      <formula>AND(E$9&gt;=14/24,E$9&lt;20/24)</formula>
    </cfRule>
  </conditionalFormatting>
  <conditionalFormatting sqref="E59:Q62 B59:D68">
    <cfRule type="expression" dxfId="3979" priority="21">
      <formula>B$9&lt;8/24</formula>
    </cfRule>
    <cfRule type="expression" dxfId="3978" priority="18">
      <formula>B$9&gt;=20/24</formula>
    </cfRule>
    <cfRule type="expression" dxfId="3977" priority="19">
      <formula>AND(B$9&gt;=14/24,B$9&lt;20/24)</formula>
    </cfRule>
    <cfRule type="expression" dxfId="3976" priority="20">
      <formula>AND(B$9&gt;=8/24,B$9&lt;14/24)</formula>
    </cfRule>
  </conditionalFormatting>
  <conditionalFormatting sqref="E11:V11">
    <cfRule type="expression" dxfId="3975" priority="113">
      <formula>AND(E$9&gt;=8/24,E$9&lt;14/24)</formula>
    </cfRule>
    <cfRule type="expression" dxfId="3974" priority="112">
      <formula>AND(E$9&gt;=14/24,E$9&lt;20/24)</formula>
    </cfRule>
    <cfRule type="expression" dxfId="3973" priority="111">
      <formula>E$9&gt;=20/24</formula>
    </cfRule>
    <cfRule type="expression" dxfId="3972" priority="110">
      <formula>E11&gt;$AG11</formula>
    </cfRule>
    <cfRule type="expression" dxfId="3971" priority="114">
      <formula>E$9&lt;8/24</formula>
    </cfRule>
  </conditionalFormatting>
  <conditionalFormatting sqref="E56:AF57">
    <cfRule type="expression" dxfId="3970" priority="105">
      <formula>E$9&lt;8/24</formula>
    </cfRule>
    <cfRule type="expression" dxfId="3969" priority="99">
      <formula>AND(E$9&gt;=14/24,E$9&lt;20/24)</formula>
    </cfRule>
    <cfRule type="expression" dxfId="3968" priority="100">
      <formula>AND(E$9&gt;=8/24,E$9&lt;14/24)</formula>
    </cfRule>
    <cfRule type="expression" dxfId="3967" priority="98">
      <formula>E$9&gt;=20/24</formula>
    </cfRule>
  </conditionalFormatting>
  <conditionalFormatting sqref="F63:L65">
    <cfRule type="expression" dxfId="3966" priority="134">
      <formula>AND(F$9&gt;=14/24,F$9&lt;20/24)</formula>
    </cfRule>
    <cfRule type="expression" dxfId="3965" priority="135">
      <formula>AND(F$9&gt;=8/24,F$9&lt;14/24)</formula>
    </cfRule>
    <cfRule type="expression" dxfId="3964" priority="136">
      <formula>F$9&lt;8/24</formula>
    </cfRule>
    <cfRule type="expression" dxfId="3963" priority="133">
      <formula>F$9&gt;=20/24</formula>
    </cfRule>
  </conditionalFormatting>
  <conditionalFormatting sqref="I68:L68">
    <cfRule type="expression" dxfId="3962" priority="104">
      <formula>I$9&lt;8/24</formula>
    </cfRule>
    <cfRule type="expression" dxfId="3961" priority="103">
      <formula>AND(I$9&gt;=8/24,I$9&lt;14/24)</formula>
    </cfRule>
    <cfRule type="expression" dxfId="3960" priority="102">
      <formula>AND(I$9&gt;=14/24,I$9&lt;20/24)</formula>
    </cfRule>
    <cfRule type="expression" dxfId="3959" priority="101">
      <formula>I$9&gt;=20/24</formula>
    </cfRule>
  </conditionalFormatting>
  <conditionalFormatting sqref="M8 S8 AB8">
    <cfRule type="expression" dxfId="3958" priority="190">
      <formula>N$9&lt;8/24</formula>
    </cfRule>
    <cfRule type="expression" dxfId="3957" priority="189">
      <formula>AND(N$9&gt;=8/24,N$9&lt;14/24)</formula>
    </cfRule>
    <cfRule type="expression" dxfId="3956" priority="188">
      <formula>AND(N$9&gt;=14/24,N$9&lt;20/24)</formula>
    </cfRule>
  </conditionalFormatting>
  <conditionalFormatting sqref="M63:V68">
    <cfRule type="expression" dxfId="3955" priority="130">
      <formula>AND(M$9&gt;=14/24,M$9&lt;20/24)</formula>
    </cfRule>
    <cfRule type="expression" dxfId="3954" priority="129">
      <formula>M$9&gt;=20/24</formula>
    </cfRule>
    <cfRule type="expression" dxfId="3953" priority="131">
      <formula>AND(M$9&gt;=8/24,M$9&lt;14/24)</formula>
    </cfRule>
    <cfRule type="expression" dxfId="3952" priority="132">
      <formula>M$9&lt;8/24</formula>
    </cfRule>
  </conditionalFormatting>
  <conditionalFormatting sqref="O3:P3">
    <cfRule type="iconSet" priority="185">
      <iconSet iconSet="3TrafficLights2" reverse="1">
        <cfvo type="percent" val="0"/>
        <cfvo type="num" val="1"/>
        <cfvo type="num" val="1"/>
      </iconSet>
    </cfRule>
  </conditionalFormatting>
  <conditionalFormatting sqref="R59:AF62">
    <cfRule type="expression" dxfId="3951" priority="122">
      <formula>R$9&lt;8/24</formula>
    </cfRule>
    <cfRule type="expression" dxfId="3950" priority="121">
      <formula>AND(R$9&gt;=8/24,R$9&lt;14/24)</formula>
    </cfRule>
    <cfRule type="expression" dxfId="3949" priority="120">
      <formula>AND(R$9&gt;=14/24,R$9&lt;20/24)</formula>
    </cfRule>
    <cfRule type="expression" dxfId="3948" priority="119">
      <formula>R$9&gt;=20/24</formula>
    </cfRule>
  </conditionalFormatting>
  <conditionalFormatting sqref="S8 AB8 M8">
    <cfRule type="expression" dxfId="3947" priority="187">
      <formula>N$9&gt;=20/24</formula>
    </cfRule>
  </conditionalFormatting>
  <conditionalFormatting sqref="S8">
    <cfRule type="expression" dxfId="3946" priority="175">
      <formula>AND(U$9&gt;=14/24,U$9&lt;20/24)</formula>
    </cfRule>
    <cfRule type="expression" dxfId="3945" priority="174">
      <formula>U$9&gt;=20/24</formula>
    </cfRule>
    <cfRule type="expression" dxfId="3944" priority="177">
      <formula>U$9&lt;8/24</formula>
    </cfRule>
    <cfRule type="expression" dxfId="3943" priority="176">
      <formula>AND(U$9&gt;=8/24,U$9&lt;14/24)</formula>
    </cfRule>
  </conditionalFormatting>
  <conditionalFormatting sqref="T63:AB63 AC63:AF68 T64:AA65 AB64:AB68 W66:AA68">
    <cfRule type="expression" dxfId="3942" priority="123">
      <formula>T$9&gt;=20/24</formula>
    </cfRule>
    <cfRule type="expression" dxfId="3941" priority="124">
      <formula>AND(T$9&gt;=14/24,T$9&lt;20/24)</formula>
    </cfRule>
    <cfRule type="expression" dxfId="3940" priority="125">
      <formula>AND(T$9&gt;=8/24,T$9&lt;14/24)</formula>
    </cfRule>
    <cfRule type="expression" dxfId="3939" priority="126">
      <formula>T$9&lt;8/24</formula>
    </cfRule>
  </conditionalFormatting>
  <conditionalFormatting sqref="V3 AB3">
    <cfRule type="iconSet" priority="186">
      <iconSet iconSet="3TrafficLights2" reverse="1">
        <cfvo type="percent" val="0"/>
        <cfvo type="num" val="1"/>
        <cfvo type="num" val="1"/>
      </iconSet>
    </cfRule>
  </conditionalFormatting>
  <conditionalFormatting sqref="W11:AF19 B13:V19 B20:AF52 B69:R74 S70:W74 B77:D99">
    <cfRule type="expression" dxfId="3938" priority="6">
      <formula>AND(B$9&gt;=14/24,B$9&lt;20/24)</formula>
    </cfRule>
    <cfRule type="expression" dxfId="3937" priority="7">
      <formula>AND(B$9&gt;=8/24,B$9&lt;14/24)</formula>
    </cfRule>
    <cfRule type="expression" dxfId="3936" priority="5">
      <formula>B$9&gt;=20/24</formula>
    </cfRule>
  </conditionalFormatting>
  <conditionalFormatting sqref="W11:AF19 B13:V19 B20:AF55 B69:R74 S70:W74 B77:D99">
    <cfRule type="expression" dxfId="3935" priority="8">
      <formula>B$9&lt;8/24</formula>
    </cfRule>
  </conditionalFormatting>
  <conditionalFormatting sqref="AB8">
    <cfRule type="expression" dxfId="3934" priority="172">
      <formula>AND(AD$9&gt;=8/24,AD$9&lt;14/24)</formula>
    </cfRule>
    <cfRule type="expression" dxfId="3933" priority="171">
      <formula>AND(AD$9&gt;=14/24,AD$9&lt;20/24)</formula>
    </cfRule>
    <cfRule type="expression" dxfId="3932" priority="170">
      <formula>AD$9&gt;=20/24</formula>
    </cfRule>
    <cfRule type="expression" dxfId="3931" priority="173">
      <formula>AD$9&lt;8/24</formula>
    </cfRule>
  </conditionalFormatting>
  <conditionalFormatting sqref="AG58">
    <cfRule type="expression" dxfId="3930" priority="165">
      <formula>AG58&gt;$AG58</formula>
    </cfRule>
  </conditionalFormatting>
  <conditionalFormatting sqref="AG62">
    <cfRule type="expression" dxfId="3929" priority="151">
      <formula>AG$9&lt;8/24</formula>
    </cfRule>
    <cfRule type="expression" dxfId="3928" priority="150">
      <formula>AND(AG$9&gt;=8/24,AG$9&lt;14/24)</formula>
    </cfRule>
    <cfRule type="expression" dxfId="3927" priority="148">
      <formula>AG$9&gt;=20/24</formula>
    </cfRule>
    <cfRule type="expression" dxfId="3926" priority="149">
      <formula>AND(AG$9&gt;=14/24,AG$9&lt;20/24)</formula>
    </cfRule>
  </conditionalFormatting>
  <conditionalFormatting sqref="AG75:AG76">
    <cfRule type="expression" dxfId="3925" priority="143">
      <formula>AG75&gt;$AG75</formula>
    </cfRule>
  </conditionalFormatting>
  <conditionalFormatting sqref="AG80">
    <cfRule type="expression" dxfId="3924" priority="147">
      <formula>AG$9&lt;8/24</formula>
    </cfRule>
    <cfRule type="expression" dxfId="3923" priority="144">
      <formula>AG$9&gt;=20/24</formula>
    </cfRule>
    <cfRule type="expression" dxfId="3922" priority="145">
      <formula>AND(AG$9&gt;=14/24,AG$9&lt;20/24)</formula>
    </cfRule>
    <cfRule type="expression" dxfId="3921" priority="146">
      <formula>AND(AG$9&gt;=8/24,AG$9&lt;14/24)</formula>
    </cfRule>
  </conditionalFormatting>
  <conditionalFormatting sqref="AG97">
    <cfRule type="expression" dxfId="3920" priority="166">
      <formula>AG$9&gt;=20/24</formula>
    </cfRule>
    <cfRule type="expression" dxfId="3919" priority="167">
      <formula>AND(AG$9&gt;=14/24,AG$9&lt;20/24)</formula>
    </cfRule>
    <cfRule type="expression" dxfId="3918" priority="168">
      <formula>AND(AG$9&gt;=8/24,AG$9&lt;14/24)</formula>
    </cfRule>
    <cfRule type="expression" dxfId="3917" priority="169">
      <formula>AG$9&lt;8/24</formula>
    </cfRule>
  </conditionalFormatting>
  <conditionalFormatting sqref="AL4:AL6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53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62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95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78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916" priority="192">
      <formula>AND(AJ$9&gt;=14/24,AJ$9&lt;20/24)</formula>
    </cfRule>
    <cfRule type="expression" dxfId="3915" priority="194">
      <formula>AJ$9&lt;8/24</formula>
    </cfRule>
    <cfRule type="expression" dxfId="3914" priority="193">
      <formula>AND(AJ$9&gt;=8/24,AJ$9&lt;14/24)</formula>
    </cfRule>
    <cfRule type="expression" dxfId="3913" priority="191">
      <formula>AJ$9&gt;=20/24</formula>
    </cfRule>
  </conditionalFormatting>
  <conditionalFormatting sqref="AL88:AN88 AL94:AN94">
    <cfRule type="expression" dxfId="3912" priority="160">
      <formula>AND(AL$9&gt;=8/24,AL$9&lt;14/24)</formula>
    </cfRule>
    <cfRule type="expression" dxfId="3911" priority="161">
      <formula>AL$9&lt;8/24</formula>
    </cfRule>
    <cfRule type="expression" dxfId="3910" priority="158">
      <formula>AL$9&gt;=20/24</formula>
    </cfRule>
    <cfRule type="expression" dxfId="3909" priority="159">
      <formula>AND(AL$9&gt;=14/24,AL$9&lt;20/24)</formula>
    </cfRule>
  </conditionalFormatting>
  <conditionalFormatting sqref="AM15:AM21 AN16:AR21">
    <cfRule type="expression" dxfId="3908" priority="67">
      <formula>AND(AX$9&gt;=8/24,AX$9&lt;14/24)</formula>
    </cfRule>
    <cfRule type="expression" dxfId="3907" priority="66">
      <formula>AND(AX$9&gt;=14/24,AX$9&lt;20/24)</formula>
    </cfRule>
    <cfRule type="expression" dxfId="3906" priority="68">
      <formula>AX$9&lt;8/24</formula>
    </cfRule>
    <cfRule type="expression" dxfId="3905" priority="65">
      <formula>AX$9&gt;=20/24</formula>
    </cfRule>
  </conditionalFormatting>
  <conditionalFormatting sqref="AN89:AN92">
    <cfRule type="expression" dxfId="3904" priority="157">
      <formula>AN$9&lt;8/24</formula>
    </cfRule>
    <cfRule type="expression" dxfId="3903" priority="156">
      <formula>AND(AN$9&gt;=8/24,AN$9&lt;14/24)</formula>
    </cfRule>
    <cfRule type="expression" dxfId="3902" priority="155">
      <formula>AND(AN$9&gt;=14/24,AN$9&lt;20/24)</formula>
    </cfRule>
    <cfRule type="expression" dxfId="3901" priority="154">
      <formula>AN$9&gt;=20/24</formula>
    </cfRule>
  </conditionalFormatting>
  <conditionalFormatting sqref="AN15:AR15">
    <cfRule type="expression" dxfId="3900" priority="55">
      <formula>AND(U$9&gt;=8/24,U$9&lt;14/24)</formula>
    </cfRule>
    <cfRule type="expression" dxfId="3899" priority="56">
      <formula>U$9&lt;8/24</formula>
    </cfRule>
    <cfRule type="expression" dxfId="3898" priority="53">
      <formula>U$9&gt;=20/24</formula>
    </cfRule>
    <cfRule type="expression" dxfId="3897" priority="54">
      <formula>AND(U$9&gt;=14/24,U$9&lt;20/24)</formula>
    </cfRule>
  </conditionalFormatting>
  <conditionalFormatting sqref="AS15">
    <cfRule type="expression" dxfId="3896" priority="61">
      <formula>AA$9&gt;=20/24</formula>
    </cfRule>
    <cfRule type="expression" dxfId="3895" priority="62">
      <formula>AND(AA$9&gt;=14/24,AA$9&lt;20/24)</formula>
    </cfRule>
    <cfRule type="expression" dxfId="3894" priority="64">
      <formula>AA$9&lt;8/24</formula>
    </cfRule>
    <cfRule type="expression" dxfId="3893" priority="63">
      <formula>AND(AA$9&gt;=8/24,AA$9&lt;14/24)</formula>
    </cfRule>
  </conditionalFormatting>
  <conditionalFormatting sqref="AS16:AS21">
    <cfRule type="expression" dxfId="3892" priority="72">
      <formula>BE$9&lt;8/24</formula>
    </cfRule>
    <cfRule type="expression" dxfId="3891" priority="71">
      <formula>AND(BE$9&gt;=8/24,BE$9&lt;14/24)</formula>
    </cfRule>
    <cfRule type="expression" dxfId="3890" priority="70">
      <formula>AND(BE$9&gt;=14/24,BE$9&lt;20/24)</formula>
    </cfRule>
    <cfRule type="expression" dxfId="3889" priority="69">
      <formula>BE$9&gt;=20/24</formula>
    </cfRule>
  </conditionalFormatting>
  <conditionalFormatting sqref="AT15 AX15:BJ15">
    <cfRule type="expression" dxfId="3888" priority="75">
      <formula>AND(AC$9&gt;=8/24,AC$9&lt;14/24)</formula>
    </cfRule>
    <cfRule type="expression" dxfId="3887" priority="74">
      <formula>AND(AC$9&gt;=14/24,AC$9&lt;20/24)</formula>
    </cfRule>
    <cfRule type="expression" dxfId="3886" priority="73">
      <formula>AC$9&gt;=20/24</formula>
    </cfRule>
    <cfRule type="expression" dxfId="3885" priority="76">
      <formula>AC$9&lt;8/24</formula>
    </cfRule>
  </conditionalFormatting>
  <conditionalFormatting sqref="AT16:AT21">
    <cfRule type="expression" dxfId="3884" priority="78">
      <formula>AND(BG$9&gt;=14/24,BG$9&lt;20/24)</formula>
    </cfRule>
    <cfRule type="expression" dxfId="3883" priority="77">
      <formula>BG$9&gt;=20/24</formula>
    </cfRule>
    <cfRule type="expression" dxfId="3882" priority="80">
      <formula>BG$9&lt;8/24</formula>
    </cfRule>
    <cfRule type="expression" dxfId="3881" priority="79">
      <formula>AND(BG$9&gt;=8/24,BG$9&lt;14/24)</formula>
    </cfRule>
  </conditionalFormatting>
  <conditionalFormatting sqref="AU15:AV15">
    <cfRule type="expression" dxfId="3880" priority="82">
      <formula>AND(AE$9&gt;=14/24,AE$9&lt;20/24)</formula>
    </cfRule>
    <cfRule type="expression" dxfId="3879" priority="84">
      <formula>AE$9&lt;8/24</formula>
    </cfRule>
    <cfRule type="expression" dxfId="3878" priority="83">
      <formula>AND(AE$9&gt;=8/24,AE$9&lt;14/24)</formula>
    </cfRule>
    <cfRule type="expression" dxfId="3877" priority="81">
      <formula>AE$9&gt;=20/24</formula>
    </cfRule>
  </conditionalFormatting>
  <conditionalFormatting sqref="AU16:BJ21">
    <cfRule type="expression" dxfId="3876" priority="87">
      <formula>AND(BI$9&gt;=8/24,BI$9&lt;14/24)</formula>
    </cfRule>
    <cfRule type="expression" dxfId="3875" priority="88">
      <formula>BI$9&lt;8/24</formula>
    </cfRule>
    <cfRule type="expression" dxfId="3874" priority="85">
      <formula>BI$9&gt;=20/24</formula>
    </cfRule>
    <cfRule type="expression" dxfId="3873" priority="86">
      <formula>AND(BI$9&gt;=14/24,BI$9&lt;20/24)</formula>
    </cfRule>
  </conditionalFormatting>
  <conditionalFormatting sqref="AW15">
    <cfRule type="expression" dxfId="3872" priority="57">
      <formula>B$9&gt;=20/24</formula>
    </cfRule>
    <cfRule type="expression" dxfId="3871" priority="58">
      <formula>AND(B$9&gt;=14/24,B$9&lt;20/24)</formula>
    </cfRule>
    <cfRule type="expression" dxfId="3870" priority="59">
      <formula>AND(B$9&gt;=8/24,B$9&lt;14/24)</formula>
    </cfRule>
    <cfRule type="expression" dxfId="3869" priority="60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51E98-0238-4EF6-8E23-6DBEBB51B6BC}">
  <sheetPr codeName="Sheet7"/>
  <dimension ref="A1:CJ294"/>
  <sheetViews>
    <sheetView zoomScaleNormal="100" workbookViewId="0">
      <pane xSplit="1" ySplit="10" topLeftCell="M75" activePane="bottomRight" state="frozen"/>
      <selection activeCell="B83" sqref="B83:J83"/>
      <selection pane="topRight" activeCell="B83" sqref="B83:J83"/>
      <selection pane="bottomLeft" activeCell="B83" sqref="B83:J83"/>
      <selection pane="bottomRight" activeCell="B83" sqref="B83:J83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20.25" hidden="1" x14ac:dyDescent="0.2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9.5" hidden="1" thickBot="1" x14ac:dyDescent="0.3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3">
      <c r="A4" s="162" t="s">
        <v>273</v>
      </c>
      <c r="B4" s="205" t="str">
        <f ca="1">"2080/"&amp;"10/"&amp;INT(MID(CELL("filename",D6),FIND("]",CELL("filename",D6))+1,200))</f>
        <v>2080/10/4</v>
      </c>
      <c r="C4" s="205"/>
      <c r="D4" s="205"/>
      <c r="E4" s="206" t="str">
        <f ca="1">"2080/"&amp;"10/"&amp;INT(MID(CELL("filename",G6),FIND("]",CELL("filename",G6))+1,200))</f>
        <v>2080/10/4</v>
      </c>
      <c r="F4" s="206"/>
      <c r="G4" s="206"/>
      <c r="H4" s="206" t="str">
        <f ca="1">TEXT(E4,"dddd")</f>
        <v>Friday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3">
      <c r="A5" s="158"/>
      <c r="B5" s="161">
        <f t="shared" ref="B5:AE5" si="0">C92</f>
        <v>303</v>
      </c>
      <c r="C5" s="161">
        <f t="shared" si="0"/>
        <v>338</v>
      </c>
      <c r="D5" s="161">
        <f t="shared" si="0"/>
        <v>321.89999999999998</v>
      </c>
      <c r="E5" s="161">
        <f t="shared" si="0"/>
        <v>340.3</v>
      </c>
      <c r="F5" s="161">
        <f t="shared" si="0"/>
        <v>363.7</v>
      </c>
      <c r="G5" s="161">
        <f t="shared" si="0"/>
        <v>375.59999999999997</v>
      </c>
      <c r="H5" s="161">
        <f t="shared" si="0"/>
        <v>384.00000000000006</v>
      </c>
      <c r="I5" s="161">
        <f t="shared" si="0"/>
        <v>553.70000000000005</v>
      </c>
      <c r="J5" s="161">
        <f t="shared" si="0"/>
        <v>606.6</v>
      </c>
      <c r="K5" s="161">
        <f t="shared" si="0"/>
        <v>647.5</v>
      </c>
      <c r="L5" s="161">
        <f t="shared" si="0"/>
        <v>789.90000000000009</v>
      </c>
      <c r="M5" s="161">
        <f t="shared" si="0"/>
        <v>785.6</v>
      </c>
      <c r="N5" s="161">
        <f t="shared" si="0"/>
        <v>803.90000000000009</v>
      </c>
      <c r="O5" s="161">
        <f t="shared" si="0"/>
        <v>813.6</v>
      </c>
      <c r="P5" s="161">
        <f t="shared" si="0"/>
        <v>811.80000000000007</v>
      </c>
      <c r="Q5" s="161">
        <f t="shared" si="0"/>
        <v>844.3</v>
      </c>
      <c r="R5" s="161">
        <f t="shared" si="0"/>
        <v>834.30000000000007</v>
      </c>
      <c r="S5" s="161">
        <f t="shared" si="0"/>
        <v>808.5</v>
      </c>
      <c r="T5" s="161">
        <f t="shared" si="0"/>
        <v>692.4</v>
      </c>
      <c r="U5" s="161">
        <f t="shared" si="0"/>
        <v>738.5</v>
      </c>
      <c r="V5" s="161">
        <f t="shared" si="0"/>
        <v>679.3</v>
      </c>
      <c r="W5" s="161">
        <f t="shared" si="0"/>
        <v>471.79999999999995</v>
      </c>
      <c r="X5" s="161">
        <f t="shared" si="0"/>
        <v>97</v>
      </c>
      <c r="Y5" s="161">
        <f t="shared" si="0"/>
        <v>126.19999999999999</v>
      </c>
      <c r="Z5" s="161">
        <f t="shared" si="0"/>
        <v>103.3</v>
      </c>
      <c r="AA5" s="161">
        <f t="shared" si="0"/>
        <v>74.3</v>
      </c>
      <c r="AB5" s="161">
        <f t="shared" si="0"/>
        <v>87.5</v>
      </c>
      <c r="AC5" s="161">
        <f t="shared" si="0"/>
        <v>115.19999999999999</v>
      </c>
      <c r="AD5" s="161">
        <f t="shared" si="0"/>
        <v>134.69999999999999</v>
      </c>
      <c r="AE5" s="161">
        <f t="shared" si="0"/>
        <v>150.4</v>
      </c>
      <c r="AF5" s="161">
        <f>B92</f>
        <v>312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3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1635MW at 7:30hr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5" thickBot="1" x14ac:dyDescent="0.3">
      <c r="A7" s="151" t="str">
        <f>"Base Load="&amp;ROUND(MIN($B$7:$AF$7),0)</f>
        <v>Base Load=1240</v>
      </c>
      <c r="B7" s="150">
        <f t="shared" ref="B7:AF7" si="1">B100</f>
        <v>1454.74</v>
      </c>
      <c r="C7" s="150">
        <f t="shared" si="1"/>
        <v>1421.74</v>
      </c>
      <c r="D7" s="150">
        <f t="shared" si="1"/>
        <v>1383.74</v>
      </c>
      <c r="E7" s="150">
        <f t="shared" si="1"/>
        <v>1353.54</v>
      </c>
      <c r="F7" s="150">
        <f t="shared" si="1"/>
        <v>1356.24</v>
      </c>
      <c r="G7" s="150">
        <f t="shared" si="1"/>
        <v>1386.74</v>
      </c>
      <c r="H7" s="150">
        <f t="shared" si="1"/>
        <v>1398.6399999999999</v>
      </c>
      <c r="I7" s="150">
        <f t="shared" si="1"/>
        <v>1437.24</v>
      </c>
      <c r="J7" s="150">
        <f t="shared" si="1"/>
        <v>1508.8400000000001</v>
      </c>
      <c r="K7" s="150">
        <f t="shared" si="1"/>
        <v>1574.94</v>
      </c>
      <c r="L7" s="150">
        <f t="shared" si="1"/>
        <v>1634.54</v>
      </c>
      <c r="M7" s="150">
        <f t="shared" si="1"/>
        <v>1627.74</v>
      </c>
      <c r="N7" s="150">
        <f t="shared" si="1"/>
        <v>1581.44</v>
      </c>
      <c r="O7" s="150">
        <f t="shared" si="1"/>
        <v>1602.14</v>
      </c>
      <c r="P7" s="150">
        <f t="shared" si="1"/>
        <v>1653.74</v>
      </c>
      <c r="Q7" s="150">
        <f t="shared" si="1"/>
        <v>1619.6399999999999</v>
      </c>
      <c r="R7" s="150">
        <f t="shared" si="1"/>
        <v>1595.6399999999999</v>
      </c>
      <c r="S7" s="150">
        <f t="shared" si="1"/>
        <v>1592.04</v>
      </c>
      <c r="T7" s="150">
        <f t="shared" si="1"/>
        <v>1572.44</v>
      </c>
      <c r="U7" s="150">
        <f t="shared" si="1"/>
        <v>1440.6399999999999</v>
      </c>
      <c r="V7" s="150">
        <f t="shared" si="1"/>
        <v>1468.84</v>
      </c>
      <c r="W7" s="150">
        <f t="shared" si="1"/>
        <v>1364.84</v>
      </c>
      <c r="X7" s="150">
        <f t="shared" si="1"/>
        <v>1239.9199999999998</v>
      </c>
      <c r="Y7" s="150">
        <f t="shared" si="1"/>
        <v>1261.24</v>
      </c>
      <c r="Z7" s="150">
        <f t="shared" si="1"/>
        <v>1684.5400000000002</v>
      </c>
      <c r="AA7" s="150">
        <f t="shared" si="1"/>
        <v>1668.34</v>
      </c>
      <c r="AB7" s="150">
        <f t="shared" si="1"/>
        <v>1696.44</v>
      </c>
      <c r="AC7" s="150">
        <f t="shared" si="1"/>
        <v>1669.04</v>
      </c>
      <c r="AD7" s="150">
        <f t="shared" si="1"/>
        <v>1572.0400000000002</v>
      </c>
      <c r="AE7" s="150">
        <f t="shared" si="1"/>
        <v>1521.44</v>
      </c>
      <c r="AF7" s="150">
        <f t="shared" si="1"/>
        <v>1431.74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7.25" thickTop="1" thickBot="1" x14ac:dyDescent="0.3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1696.44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2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1696.44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.75" thickBot="1" x14ac:dyDescent="0.3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25">
      <c r="A11" s="89" t="s">
        <v>264</v>
      </c>
      <c r="B11" s="102">
        <v>26.5</v>
      </c>
      <c r="C11" s="102">
        <v>26.5</v>
      </c>
      <c r="D11" s="102">
        <v>26.5</v>
      </c>
      <c r="E11" s="102">
        <v>26.5</v>
      </c>
      <c r="F11" s="102">
        <v>26.5</v>
      </c>
      <c r="G11" s="102">
        <v>26.5</v>
      </c>
      <c r="H11" s="102">
        <v>26.5</v>
      </c>
      <c r="I11" s="102">
        <v>26.5</v>
      </c>
      <c r="J11" s="102">
        <v>26.5</v>
      </c>
      <c r="K11" s="102">
        <v>26.5</v>
      </c>
      <c r="L11" s="102">
        <v>26.5</v>
      </c>
      <c r="M11" s="102">
        <v>21.9</v>
      </c>
      <c r="N11" s="102">
        <v>24.8</v>
      </c>
      <c r="O11" s="102">
        <v>23.4</v>
      </c>
      <c r="P11" s="102">
        <v>30.3</v>
      </c>
      <c r="Q11" s="102">
        <v>21.6</v>
      </c>
      <c r="R11" s="102">
        <v>22.4</v>
      </c>
      <c r="S11" s="102">
        <v>22.4</v>
      </c>
      <c r="T11" s="102">
        <v>22.4</v>
      </c>
      <c r="U11" s="102">
        <v>22.4</v>
      </c>
      <c r="V11" s="102">
        <v>22.4</v>
      </c>
      <c r="W11" s="102">
        <v>22.4</v>
      </c>
      <c r="X11" s="102">
        <v>22.4</v>
      </c>
      <c r="Y11" s="102">
        <v>22.4</v>
      </c>
      <c r="Z11" s="102">
        <v>22.4</v>
      </c>
      <c r="AA11" s="102">
        <v>22.4</v>
      </c>
      <c r="AB11" s="102">
        <v>24.1</v>
      </c>
      <c r="AC11" s="102">
        <v>24.1</v>
      </c>
      <c r="AD11" s="102">
        <v>24.1</v>
      </c>
      <c r="AE11" s="102">
        <v>24.1</v>
      </c>
      <c r="AF11" s="102">
        <v>26.2</v>
      </c>
      <c r="AG11" s="140">
        <v>86</v>
      </c>
      <c r="AH11" s="12">
        <f t="shared" ref="AH11:AH16" si="2">MAX(B11:AF11)</f>
        <v>30.3</v>
      </c>
      <c r="AI11" s="11">
        <f t="shared" ref="AI11:AI16" si="3">MIN(B11:AF11)</f>
        <v>21.6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25">
      <c r="A12" s="89" t="s">
        <v>263</v>
      </c>
      <c r="B12" s="102">
        <v>10</v>
      </c>
      <c r="C12" s="102">
        <v>10</v>
      </c>
      <c r="D12" s="102">
        <v>10</v>
      </c>
      <c r="E12" s="102">
        <v>10</v>
      </c>
      <c r="F12" s="102">
        <v>10</v>
      </c>
      <c r="G12" s="102">
        <v>10</v>
      </c>
      <c r="H12" s="102">
        <v>10</v>
      </c>
      <c r="I12" s="102">
        <v>10</v>
      </c>
      <c r="J12" s="102">
        <v>10</v>
      </c>
      <c r="K12" s="102">
        <v>10</v>
      </c>
      <c r="L12" s="102">
        <v>10</v>
      </c>
      <c r="M12" s="102">
        <v>10</v>
      </c>
      <c r="N12" s="102">
        <v>10</v>
      </c>
      <c r="O12" s="102">
        <v>10</v>
      </c>
      <c r="P12" s="102">
        <v>10</v>
      </c>
      <c r="Q12" s="102">
        <v>10</v>
      </c>
      <c r="R12" s="102">
        <v>10</v>
      </c>
      <c r="S12" s="102">
        <v>10</v>
      </c>
      <c r="T12" s="102">
        <v>10</v>
      </c>
      <c r="U12" s="102">
        <v>10</v>
      </c>
      <c r="V12" s="102">
        <v>10</v>
      </c>
      <c r="W12" s="102">
        <v>10</v>
      </c>
      <c r="X12" s="102">
        <v>10</v>
      </c>
      <c r="Y12" s="102">
        <v>10</v>
      </c>
      <c r="Z12" s="102">
        <v>10</v>
      </c>
      <c r="AA12" s="102">
        <v>10</v>
      </c>
      <c r="AB12" s="102">
        <v>10</v>
      </c>
      <c r="AC12" s="102">
        <v>10</v>
      </c>
      <c r="AD12" s="102">
        <v>10</v>
      </c>
      <c r="AE12" s="102">
        <v>10</v>
      </c>
      <c r="AF12" s="102">
        <v>10</v>
      </c>
      <c r="AG12" s="130">
        <v>54</v>
      </c>
      <c r="AH12" s="12">
        <f t="shared" si="2"/>
        <v>10</v>
      </c>
      <c r="AI12" s="11">
        <f t="shared" si="3"/>
        <v>10</v>
      </c>
      <c r="AK12" s="19"/>
      <c r="AL12" s="6" t="str">
        <f ca="1">MID(CELL("filename",C7),FIND("]",CELL("filename",C7))+1,600)</f>
        <v>04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25">
      <c r="A13" s="89" t="s">
        <v>262</v>
      </c>
      <c r="B13" s="102">
        <v>11.5</v>
      </c>
      <c r="C13" s="102">
        <v>11.5</v>
      </c>
      <c r="D13" s="102">
        <v>11.5</v>
      </c>
      <c r="E13" s="102">
        <v>11.5</v>
      </c>
      <c r="F13" s="102">
        <v>11.5</v>
      </c>
      <c r="G13" s="102">
        <v>11.5</v>
      </c>
      <c r="H13" s="102">
        <v>11.5</v>
      </c>
      <c r="I13" s="102">
        <v>11.5</v>
      </c>
      <c r="J13" s="102">
        <v>11.5</v>
      </c>
      <c r="K13" s="102">
        <v>11.5</v>
      </c>
      <c r="L13" s="102">
        <v>11.5</v>
      </c>
      <c r="M13" s="102">
        <v>11.5</v>
      </c>
      <c r="N13" s="102">
        <v>11.5</v>
      </c>
      <c r="O13" s="102">
        <v>11.5</v>
      </c>
      <c r="P13" s="102">
        <v>11.5</v>
      </c>
      <c r="Q13" s="102">
        <v>11.5</v>
      </c>
      <c r="R13" s="102">
        <v>11.5</v>
      </c>
      <c r="S13" s="102">
        <v>11.5</v>
      </c>
      <c r="T13" s="102">
        <v>11.5</v>
      </c>
      <c r="U13" s="102">
        <v>11.5</v>
      </c>
      <c r="V13" s="102">
        <v>11.5</v>
      </c>
      <c r="W13" s="102">
        <v>11.5</v>
      </c>
      <c r="X13" s="102">
        <v>11.5</v>
      </c>
      <c r="Y13" s="102">
        <v>11.5</v>
      </c>
      <c r="Z13" s="102">
        <v>11.5</v>
      </c>
      <c r="AA13" s="102">
        <v>11.5</v>
      </c>
      <c r="AB13" s="102">
        <v>23</v>
      </c>
      <c r="AC13" s="102">
        <v>23</v>
      </c>
      <c r="AD13" s="102">
        <v>23</v>
      </c>
      <c r="AE13" s="102">
        <v>23</v>
      </c>
      <c r="AF13" s="102">
        <v>23</v>
      </c>
      <c r="AG13" s="130">
        <v>54</v>
      </c>
      <c r="AH13" s="12">
        <f t="shared" si="2"/>
        <v>23</v>
      </c>
      <c r="AI13" s="11">
        <f t="shared" si="3"/>
        <v>11.5</v>
      </c>
      <c r="AK13" s="19"/>
      <c r="AL13" s="6" t="str">
        <f ca="1">"Daily Load Curve(Excluding of Export) of Nepal ("&amp;A4&amp;" "&amp;B4&amp;")"</f>
        <v>Daily Load Curve(Excluding of Export) of Nepal (Nepali Date: 2080/10/4)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.75" thickBot="1" x14ac:dyDescent="0.3">
      <c r="A14" s="89" t="s">
        <v>261</v>
      </c>
      <c r="B14" s="102">
        <v>13.2</v>
      </c>
      <c r="C14" s="102">
        <v>13.2</v>
      </c>
      <c r="D14" s="102">
        <v>13.2</v>
      </c>
      <c r="E14" s="102">
        <v>13.2</v>
      </c>
      <c r="F14" s="102">
        <v>13.2</v>
      </c>
      <c r="G14" s="102">
        <v>13.2</v>
      </c>
      <c r="H14" s="102">
        <v>13.2</v>
      </c>
      <c r="I14" s="102">
        <v>13.2</v>
      </c>
      <c r="J14" s="102">
        <v>13.2</v>
      </c>
      <c r="K14" s="102">
        <v>13.2</v>
      </c>
      <c r="L14" s="102">
        <v>13.2</v>
      </c>
      <c r="M14" s="102">
        <v>13.2</v>
      </c>
      <c r="N14" s="102">
        <v>13.2</v>
      </c>
      <c r="O14" s="102">
        <v>13.2</v>
      </c>
      <c r="P14" s="102">
        <v>13.2</v>
      </c>
      <c r="Q14" s="102">
        <v>13.2</v>
      </c>
      <c r="R14" s="102">
        <v>13.2</v>
      </c>
      <c r="S14" s="102">
        <v>13.2</v>
      </c>
      <c r="T14" s="102">
        <v>13.2</v>
      </c>
      <c r="U14" s="102">
        <v>13.2</v>
      </c>
      <c r="V14" s="102">
        <v>13.2</v>
      </c>
      <c r="W14" s="102">
        <v>13.2</v>
      </c>
      <c r="X14" s="102">
        <v>13.2</v>
      </c>
      <c r="Y14" s="102">
        <v>13.2</v>
      </c>
      <c r="Z14" s="102">
        <v>13.2</v>
      </c>
      <c r="AA14" s="102">
        <v>13.2</v>
      </c>
      <c r="AB14" s="102">
        <v>13.2</v>
      </c>
      <c r="AC14" s="102">
        <v>13.2</v>
      </c>
      <c r="AD14" s="102">
        <v>13.2</v>
      </c>
      <c r="AE14" s="102">
        <v>13.2</v>
      </c>
      <c r="AF14" s="102">
        <v>13.2</v>
      </c>
      <c r="AG14" s="140">
        <v>52.4</v>
      </c>
      <c r="AH14" s="12">
        <f t="shared" si="2"/>
        <v>13.2</v>
      </c>
      <c r="AI14" s="11">
        <f t="shared" si="3"/>
        <v>13.2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.75" thickTop="1" x14ac:dyDescent="0.25">
      <c r="A15" s="89" t="s">
        <v>260</v>
      </c>
      <c r="B15" s="102">
        <v>34.299999999999997</v>
      </c>
      <c r="C15" s="102">
        <v>34.299999999999997</v>
      </c>
      <c r="D15" s="102">
        <v>34.299999999999997</v>
      </c>
      <c r="E15" s="102">
        <v>38.299999999999997</v>
      </c>
      <c r="F15" s="102">
        <v>38.299999999999997</v>
      </c>
      <c r="G15" s="102">
        <v>38.299999999999997</v>
      </c>
      <c r="H15" s="102">
        <v>38.299999999999997</v>
      </c>
      <c r="I15" s="102">
        <v>38.299999999999997</v>
      </c>
      <c r="J15" s="102">
        <v>38.299999999999997</v>
      </c>
      <c r="K15" s="102">
        <v>38.299999999999997</v>
      </c>
      <c r="L15" s="102">
        <v>38.299999999999997</v>
      </c>
      <c r="M15" s="102">
        <v>38.299999999999997</v>
      </c>
      <c r="N15" s="102">
        <v>38.299999999999997</v>
      </c>
      <c r="O15" s="102">
        <v>38.299999999999997</v>
      </c>
      <c r="P15" s="102">
        <v>38.299999999999997</v>
      </c>
      <c r="Q15" s="102">
        <v>38.299999999999997</v>
      </c>
      <c r="R15" s="102">
        <v>38.299999999999997</v>
      </c>
      <c r="S15" s="102">
        <v>38.299999999999997</v>
      </c>
      <c r="T15" s="102">
        <v>38.299999999999997</v>
      </c>
      <c r="U15" s="102">
        <v>38.299999999999997</v>
      </c>
      <c r="V15" s="102">
        <v>38.299999999999997</v>
      </c>
      <c r="W15" s="102">
        <v>38.299999999999997</v>
      </c>
      <c r="X15" s="102">
        <v>38.299999999999997</v>
      </c>
      <c r="Y15" s="102">
        <v>38.299999999999997</v>
      </c>
      <c r="Z15" s="123">
        <v>38.299999999999997</v>
      </c>
      <c r="AA15" s="123">
        <v>38.299999999999997</v>
      </c>
      <c r="AB15" s="123">
        <v>50.5</v>
      </c>
      <c r="AC15" s="123">
        <v>50.5</v>
      </c>
      <c r="AD15" s="123">
        <v>50.5</v>
      </c>
      <c r="AE15" s="123">
        <v>50.5</v>
      </c>
      <c r="AF15" s="123">
        <v>50.5</v>
      </c>
      <c r="AG15" s="130">
        <v>50</v>
      </c>
      <c r="AH15" s="12">
        <f t="shared" si="2"/>
        <v>50.5</v>
      </c>
      <c r="AI15" s="11">
        <f t="shared" si="3"/>
        <v>34.299999999999997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25">
      <c r="A16" s="89" t="s">
        <v>258</v>
      </c>
      <c r="B16" s="102">
        <v>15.1</v>
      </c>
      <c r="C16" s="102">
        <v>15.1</v>
      </c>
      <c r="D16" s="102">
        <v>15.1</v>
      </c>
      <c r="E16" s="102">
        <v>15.1</v>
      </c>
      <c r="F16" s="102">
        <v>15.1</v>
      </c>
      <c r="G16" s="102">
        <v>15.1</v>
      </c>
      <c r="H16" s="102">
        <v>15.1</v>
      </c>
      <c r="I16" s="102">
        <v>15.1</v>
      </c>
      <c r="J16" s="102">
        <v>15.1</v>
      </c>
      <c r="K16" s="102">
        <v>15.1</v>
      </c>
      <c r="L16" s="102">
        <v>15.1</v>
      </c>
      <c r="M16" s="102">
        <v>15.1</v>
      </c>
      <c r="N16" s="102">
        <v>15.1</v>
      </c>
      <c r="O16" s="102">
        <v>15.1</v>
      </c>
      <c r="P16" s="102">
        <v>15.1</v>
      </c>
      <c r="Q16" s="102">
        <v>15.1</v>
      </c>
      <c r="R16" s="102">
        <v>15.1</v>
      </c>
      <c r="S16" s="102">
        <v>15.1</v>
      </c>
      <c r="T16" s="102">
        <v>15.1</v>
      </c>
      <c r="U16" s="102">
        <v>15.1</v>
      </c>
      <c r="V16" s="102">
        <v>15.1</v>
      </c>
      <c r="W16" s="102">
        <v>15.1</v>
      </c>
      <c r="X16" s="102">
        <v>15.1</v>
      </c>
      <c r="Y16" s="102">
        <v>15.1</v>
      </c>
      <c r="Z16" s="102">
        <v>15.1</v>
      </c>
      <c r="AA16" s="102">
        <v>15.1</v>
      </c>
      <c r="AB16" s="102">
        <v>15.1</v>
      </c>
      <c r="AC16" s="102">
        <v>15.1</v>
      </c>
      <c r="AD16" s="102">
        <v>15.1</v>
      </c>
      <c r="AE16" s="102">
        <v>15.1</v>
      </c>
      <c r="AF16" s="102">
        <v>15.1</v>
      </c>
      <c r="AG16" s="130">
        <v>45</v>
      </c>
      <c r="AH16" s="12">
        <f t="shared" si="2"/>
        <v>15.1</v>
      </c>
      <c r="AI16" s="11">
        <f t="shared" si="3"/>
        <v>15.1</v>
      </c>
      <c r="AK16" s="19"/>
      <c r="AL16" s="135" t="s">
        <v>7</v>
      </c>
      <c r="AM16" s="134">
        <f t="shared" ref="AM16:AR16" si="4">B58</f>
        <v>469.2</v>
      </c>
      <c r="AN16" s="134">
        <f t="shared" si="4"/>
        <v>469.2</v>
      </c>
      <c r="AO16" s="134">
        <f t="shared" si="4"/>
        <v>469.2</v>
      </c>
      <c r="AP16" s="134">
        <f t="shared" si="4"/>
        <v>473.2</v>
      </c>
      <c r="AQ16" s="134">
        <f t="shared" si="4"/>
        <v>473.2</v>
      </c>
      <c r="AR16" s="134">
        <f t="shared" si="4"/>
        <v>473.2</v>
      </c>
      <c r="AS16" s="134">
        <f>I58</f>
        <v>473.2</v>
      </c>
      <c r="AT16" s="134">
        <f>K58</f>
        <v>473.2</v>
      </c>
      <c r="AU16" s="134">
        <f t="shared" ref="AU16:BD16" si="5">M58</f>
        <v>468.59999999999997</v>
      </c>
      <c r="AV16" s="134">
        <f t="shared" si="5"/>
        <v>471.49999999999994</v>
      </c>
      <c r="AW16" s="134">
        <f t="shared" si="5"/>
        <v>470.09999999999997</v>
      </c>
      <c r="AX16" s="134">
        <f t="shared" si="5"/>
        <v>476.99999999999994</v>
      </c>
      <c r="AY16" s="134">
        <f t="shared" si="5"/>
        <v>468.29999999999995</v>
      </c>
      <c r="AZ16" s="134">
        <f t="shared" si="5"/>
        <v>469.09999999999997</v>
      </c>
      <c r="BA16" s="134">
        <f t="shared" si="5"/>
        <v>469.09999999999997</v>
      </c>
      <c r="BB16" s="134">
        <f t="shared" si="5"/>
        <v>469.09999999999997</v>
      </c>
      <c r="BC16" s="134">
        <f t="shared" si="5"/>
        <v>469.09999999999997</v>
      </c>
      <c r="BD16" s="134">
        <f t="shared" si="5"/>
        <v>469.09999999999997</v>
      </c>
      <c r="BE16" s="133">
        <f>X58</f>
        <v>469.09999999999997</v>
      </c>
      <c r="BF16" s="133">
        <f>Z58</f>
        <v>469.09999999999997</v>
      </c>
      <c r="BG16" s="133">
        <f>AB58</f>
        <v>573.70000000000005</v>
      </c>
      <c r="BH16" s="133">
        <f>AD58</f>
        <v>578.70000000000005</v>
      </c>
      <c r="BI16" s="133">
        <f>AE58</f>
        <v>578.70000000000005</v>
      </c>
      <c r="BJ16" s="133">
        <f>AF58</f>
        <v>580.79999999999995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25">
      <c r="A17" s="89" t="s">
        <v>257</v>
      </c>
      <c r="B17" s="102">
        <v>12</v>
      </c>
      <c r="C17" s="102">
        <v>12</v>
      </c>
      <c r="D17" s="102">
        <v>12</v>
      </c>
      <c r="E17" s="102">
        <v>12</v>
      </c>
      <c r="F17" s="102">
        <v>12</v>
      </c>
      <c r="G17" s="102">
        <v>12</v>
      </c>
      <c r="H17" s="102">
        <v>12</v>
      </c>
      <c r="I17" s="102">
        <v>12</v>
      </c>
      <c r="J17" s="102">
        <v>12</v>
      </c>
      <c r="K17" s="102">
        <v>12</v>
      </c>
      <c r="L17" s="102">
        <v>12</v>
      </c>
      <c r="M17" s="102">
        <v>12</v>
      </c>
      <c r="N17" s="102">
        <v>12</v>
      </c>
      <c r="O17" s="102">
        <v>12</v>
      </c>
      <c r="P17" s="102">
        <v>12</v>
      </c>
      <c r="Q17" s="102">
        <v>12</v>
      </c>
      <c r="R17" s="102">
        <v>12</v>
      </c>
      <c r="S17" s="102">
        <v>12</v>
      </c>
      <c r="T17" s="102">
        <v>12</v>
      </c>
      <c r="U17" s="102">
        <v>12</v>
      </c>
      <c r="V17" s="102">
        <v>12</v>
      </c>
      <c r="W17" s="102">
        <v>12</v>
      </c>
      <c r="X17" s="102">
        <v>12</v>
      </c>
      <c r="Y17" s="102">
        <v>12</v>
      </c>
      <c r="Z17" s="102">
        <v>12</v>
      </c>
      <c r="AA17" s="102">
        <v>12</v>
      </c>
      <c r="AB17" s="102">
        <v>21</v>
      </c>
      <c r="AC17" s="102">
        <v>21</v>
      </c>
      <c r="AD17" s="102">
        <v>21</v>
      </c>
      <c r="AE17" s="102">
        <v>21</v>
      </c>
      <c r="AF17" s="102">
        <v>21</v>
      </c>
      <c r="AG17" s="130">
        <v>44</v>
      </c>
      <c r="AH17" s="12">
        <f>MAX(B17:AG17)</f>
        <v>44</v>
      </c>
      <c r="AI17" s="11">
        <f>MIN(B17:AG17)</f>
        <v>12</v>
      </c>
      <c r="AK17" s="19"/>
      <c r="AL17" s="135" t="s">
        <v>256</v>
      </c>
      <c r="AM17" s="134">
        <f t="shared" ref="AM17:AR17" si="6">B62</f>
        <v>138.80000000000001</v>
      </c>
      <c r="AN17" s="134">
        <f t="shared" si="6"/>
        <v>114.8</v>
      </c>
      <c r="AO17" s="134">
        <f t="shared" si="6"/>
        <v>114.8</v>
      </c>
      <c r="AP17" s="134">
        <f t="shared" si="6"/>
        <v>112.8</v>
      </c>
      <c r="AQ17" s="134">
        <f t="shared" si="6"/>
        <v>97.1</v>
      </c>
      <c r="AR17" s="134">
        <f t="shared" si="6"/>
        <v>100.9</v>
      </c>
      <c r="AS17" s="134">
        <f>I62</f>
        <v>100.9</v>
      </c>
      <c r="AT17" s="134">
        <f>K62</f>
        <v>40.6</v>
      </c>
      <c r="AU17" s="134">
        <f t="shared" ref="AU17:BD17" si="7">M62</f>
        <v>36.9</v>
      </c>
      <c r="AV17" s="134">
        <f t="shared" si="7"/>
        <v>36.9</v>
      </c>
      <c r="AW17" s="134">
        <f t="shared" si="7"/>
        <v>36.9</v>
      </c>
      <c r="AX17" s="134">
        <f t="shared" si="7"/>
        <v>37.4</v>
      </c>
      <c r="AY17" s="134">
        <f t="shared" si="7"/>
        <v>37.5</v>
      </c>
      <c r="AZ17" s="134">
        <f t="shared" si="7"/>
        <v>35.4</v>
      </c>
      <c r="BA17" s="134">
        <f t="shared" si="7"/>
        <v>35.4</v>
      </c>
      <c r="BB17" s="134">
        <f t="shared" si="7"/>
        <v>35.4</v>
      </c>
      <c r="BC17" s="134">
        <f t="shared" si="7"/>
        <v>35.4</v>
      </c>
      <c r="BD17" s="134">
        <f t="shared" si="7"/>
        <v>35.4</v>
      </c>
      <c r="BE17" s="133">
        <f>X62</f>
        <v>65.5</v>
      </c>
      <c r="BF17" s="133">
        <f>Z62</f>
        <v>416.4</v>
      </c>
      <c r="BG17" s="133">
        <f>AB62</f>
        <v>370.4</v>
      </c>
      <c r="BH17" s="133">
        <f>AD62</f>
        <v>294.8</v>
      </c>
      <c r="BI17" s="133">
        <f>AE62</f>
        <v>321</v>
      </c>
      <c r="BJ17" s="133">
        <f>AF62</f>
        <v>224.20000000000002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25">
      <c r="A18" s="89" t="s">
        <v>255</v>
      </c>
      <c r="B18" s="102">
        <v>8.5</v>
      </c>
      <c r="C18" s="102">
        <v>8.5</v>
      </c>
      <c r="D18" s="102">
        <v>8.5</v>
      </c>
      <c r="E18" s="102">
        <v>8.5</v>
      </c>
      <c r="F18" s="102">
        <v>8.5</v>
      </c>
      <c r="G18" s="102">
        <v>8.5</v>
      </c>
      <c r="H18" s="102">
        <v>8.5</v>
      </c>
      <c r="I18" s="102">
        <v>8.5</v>
      </c>
      <c r="J18" s="102">
        <v>8.5</v>
      </c>
      <c r="K18" s="102">
        <v>8.5</v>
      </c>
      <c r="L18" s="102">
        <v>8.5</v>
      </c>
      <c r="M18" s="102">
        <v>8.5</v>
      </c>
      <c r="N18" s="102">
        <v>8.5</v>
      </c>
      <c r="O18" s="102">
        <v>8.5</v>
      </c>
      <c r="P18" s="102">
        <v>8.5</v>
      </c>
      <c r="Q18" s="102">
        <v>8.5</v>
      </c>
      <c r="R18" s="102">
        <v>8.5</v>
      </c>
      <c r="S18" s="102">
        <v>8.5</v>
      </c>
      <c r="T18" s="102">
        <v>8.5</v>
      </c>
      <c r="U18" s="102">
        <v>8.5</v>
      </c>
      <c r="V18" s="102">
        <v>8.5</v>
      </c>
      <c r="W18" s="102">
        <v>8.5</v>
      </c>
      <c r="X18" s="102">
        <v>8.5</v>
      </c>
      <c r="Y18" s="102">
        <v>8.5</v>
      </c>
      <c r="Z18" s="102">
        <v>8.5</v>
      </c>
      <c r="AA18" s="102">
        <v>8.5</v>
      </c>
      <c r="AB18" s="102">
        <v>14.4</v>
      </c>
      <c r="AC18" s="102">
        <v>14.4</v>
      </c>
      <c r="AD18" s="102">
        <v>14.4</v>
      </c>
      <c r="AE18" s="102">
        <v>14.4</v>
      </c>
      <c r="AF18" s="102">
        <v>14.4</v>
      </c>
      <c r="AG18" s="130">
        <v>42</v>
      </c>
      <c r="AH18" s="12">
        <f t="shared" ref="AH18:AH49" si="8">MAX(B18:AF18)</f>
        <v>14.4</v>
      </c>
      <c r="AI18" s="11">
        <f t="shared" ref="AI18:AI49" si="9">MIN(B18:AF18)</f>
        <v>8.5</v>
      </c>
      <c r="AK18" s="19"/>
      <c r="AL18" s="135" t="s">
        <v>254</v>
      </c>
      <c r="AM18" s="134">
        <f t="shared" ref="AM18:AR18" si="10">B76</f>
        <v>235.74</v>
      </c>
      <c r="AN18" s="134">
        <f t="shared" si="10"/>
        <v>235.74</v>
      </c>
      <c r="AO18" s="134">
        <f t="shared" si="10"/>
        <v>163.74</v>
      </c>
      <c r="AP18" s="134">
        <f t="shared" si="10"/>
        <v>146.63999999999999</v>
      </c>
      <c r="AQ18" s="134">
        <f t="shared" si="10"/>
        <v>146.63999999999999</v>
      </c>
      <c r="AR18" s="134">
        <f t="shared" si="10"/>
        <v>149.94</v>
      </c>
      <c r="AS18" s="134">
        <f>I76</f>
        <v>180.14000000000001</v>
      </c>
      <c r="AT18" s="134">
        <f>K76</f>
        <v>275.54000000000002</v>
      </c>
      <c r="AU18" s="134">
        <f t="shared" ref="AU18:BD18" si="11">M76</f>
        <v>220.44</v>
      </c>
      <c r="AV18" s="134">
        <f t="shared" si="11"/>
        <v>216.04000000000002</v>
      </c>
      <c r="AW18" s="134">
        <f t="shared" si="11"/>
        <v>220.94</v>
      </c>
      <c r="AX18" s="134">
        <f t="shared" si="11"/>
        <v>244.03999999999996</v>
      </c>
      <c r="AY18" s="134">
        <f t="shared" si="11"/>
        <v>231.54000000000002</v>
      </c>
      <c r="AZ18" s="134">
        <f t="shared" si="11"/>
        <v>176.14</v>
      </c>
      <c r="BA18" s="134">
        <f t="shared" si="11"/>
        <v>182.54</v>
      </c>
      <c r="BB18" s="134">
        <f t="shared" si="11"/>
        <v>181.04</v>
      </c>
      <c r="BC18" s="134">
        <f t="shared" si="11"/>
        <v>177.64</v>
      </c>
      <c r="BD18" s="134">
        <f t="shared" si="11"/>
        <v>166.64000000000001</v>
      </c>
      <c r="BE18" s="133">
        <f>X76</f>
        <v>233.52</v>
      </c>
      <c r="BF18" s="133">
        <f>Z76</f>
        <v>327.24</v>
      </c>
      <c r="BG18" s="133">
        <f>AB76</f>
        <v>330.6400000000001</v>
      </c>
      <c r="BH18" s="133">
        <f>AD76</f>
        <v>336.24000000000007</v>
      </c>
      <c r="BI18" s="133">
        <f>AE76</f>
        <v>264.94</v>
      </c>
      <c r="BJ18" s="133">
        <f>AF76</f>
        <v>254.23999999999998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25">
      <c r="A19" s="89" t="s">
        <v>253</v>
      </c>
      <c r="B19" s="102">
        <v>14.4</v>
      </c>
      <c r="C19" s="102">
        <v>14.4</v>
      </c>
      <c r="D19" s="102">
        <v>14.4</v>
      </c>
      <c r="E19" s="102">
        <v>14.4</v>
      </c>
      <c r="F19" s="102">
        <v>14.4</v>
      </c>
      <c r="G19" s="102">
        <v>14.4</v>
      </c>
      <c r="H19" s="102">
        <v>14.4</v>
      </c>
      <c r="I19" s="102">
        <v>14.4</v>
      </c>
      <c r="J19" s="102">
        <v>14.4</v>
      </c>
      <c r="K19" s="102">
        <v>14.4</v>
      </c>
      <c r="L19" s="102">
        <v>14.4</v>
      </c>
      <c r="M19" s="102">
        <v>14.4</v>
      </c>
      <c r="N19" s="102">
        <v>14.4</v>
      </c>
      <c r="O19" s="102">
        <v>14.4</v>
      </c>
      <c r="P19" s="102">
        <v>14.4</v>
      </c>
      <c r="Q19" s="102">
        <v>14.4</v>
      </c>
      <c r="R19" s="102">
        <v>14.4</v>
      </c>
      <c r="S19" s="102">
        <v>14.4</v>
      </c>
      <c r="T19" s="102">
        <v>14.4</v>
      </c>
      <c r="U19" s="102">
        <v>14.4</v>
      </c>
      <c r="V19" s="102">
        <v>14.4</v>
      </c>
      <c r="W19" s="102">
        <v>14.4</v>
      </c>
      <c r="X19" s="102">
        <v>14.4</v>
      </c>
      <c r="Y19" s="102">
        <v>14.4</v>
      </c>
      <c r="Z19" s="102">
        <v>14.4</v>
      </c>
      <c r="AA19" s="102">
        <v>14.4</v>
      </c>
      <c r="AB19" s="102">
        <v>14.4</v>
      </c>
      <c r="AC19" s="102">
        <v>14.4</v>
      </c>
      <c r="AD19" s="102">
        <v>14.4</v>
      </c>
      <c r="AE19" s="102">
        <v>14.4</v>
      </c>
      <c r="AF19" s="102">
        <v>14.4</v>
      </c>
      <c r="AG19" s="130">
        <v>38.46</v>
      </c>
      <c r="AH19" s="12">
        <f t="shared" si="8"/>
        <v>14.4</v>
      </c>
      <c r="AI19" s="11">
        <f t="shared" si="9"/>
        <v>14.4</v>
      </c>
      <c r="AK19" s="19"/>
      <c r="AL19" s="135" t="s">
        <v>252</v>
      </c>
      <c r="AM19" s="134">
        <f t="shared" ref="AM19:AR19" si="12">B92</f>
        <v>312</v>
      </c>
      <c r="AN19" s="134">
        <f t="shared" si="12"/>
        <v>303</v>
      </c>
      <c r="AO19" s="134">
        <f t="shared" si="12"/>
        <v>338</v>
      </c>
      <c r="AP19" s="134">
        <f t="shared" si="12"/>
        <v>321.89999999999998</v>
      </c>
      <c r="AQ19" s="134">
        <f t="shared" si="12"/>
        <v>340.3</v>
      </c>
      <c r="AR19" s="134">
        <f t="shared" si="12"/>
        <v>363.7</v>
      </c>
      <c r="AS19" s="134">
        <f>I92</f>
        <v>384.00000000000006</v>
      </c>
      <c r="AT19" s="134">
        <f>K92</f>
        <v>606.6</v>
      </c>
      <c r="AU19" s="134">
        <f t="shared" ref="AU19:BD19" si="13">M92</f>
        <v>789.90000000000009</v>
      </c>
      <c r="AV19" s="134">
        <f t="shared" si="13"/>
        <v>785.6</v>
      </c>
      <c r="AW19" s="134">
        <f t="shared" si="13"/>
        <v>803.90000000000009</v>
      </c>
      <c r="AX19" s="134">
        <f t="shared" si="13"/>
        <v>813.6</v>
      </c>
      <c r="AY19" s="134">
        <f t="shared" si="13"/>
        <v>811.80000000000007</v>
      </c>
      <c r="AZ19" s="134">
        <f t="shared" si="13"/>
        <v>844.3</v>
      </c>
      <c r="BA19" s="134">
        <f t="shared" si="13"/>
        <v>834.30000000000007</v>
      </c>
      <c r="BB19" s="134">
        <f t="shared" si="13"/>
        <v>808.5</v>
      </c>
      <c r="BC19" s="134">
        <f t="shared" si="13"/>
        <v>692.4</v>
      </c>
      <c r="BD19" s="134">
        <f t="shared" si="13"/>
        <v>738.5</v>
      </c>
      <c r="BE19" s="133">
        <f>X92</f>
        <v>471.79999999999995</v>
      </c>
      <c r="BF19" s="133">
        <f>Z92</f>
        <v>126.19999999999999</v>
      </c>
      <c r="BG19" s="133">
        <f>AB92</f>
        <v>74.3</v>
      </c>
      <c r="BH19" s="133">
        <f>AD92</f>
        <v>115.19999999999999</v>
      </c>
      <c r="BI19" s="133">
        <f>AE92</f>
        <v>134.69999999999999</v>
      </c>
      <c r="BJ19" s="133">
        <f>AF92</f>
        <v>150.4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25">
      <c r="A20" s="89" t="s">
        <v>251</v>
      </c>
      <c r="B20" s="102">
        <v>9.6</v>
      </c>
      <c r="C20" s="102">
        <v>9.6</v>
      </c>
      <c r="D20" s="102">
        <v>9.6</v>
      </c>
      <c r="E20" s="102">
        <v>9.6</v>
      </c>
      <c r="F20" s="102">
        <v>9.6</v>
      </c>
      <c r="G20" s="102">
        <v>9.6</v>
      </c>
      <c r="H20" s="102">
        <v>9.6</v>
      </c>
      <c r="I20" s="102">
        <v>9.6</v>
      </c>
      <c r="J20" s="102">
        <v>9.6</v>
      </c>
      <c r="K20" s="102">
        <v>9.6</v>
      </c>
      <c r="L20" s="102">
        <v>9.6</v>
      </c>
      <c r="M20" s="102">
        <v>9.6</v>
      </c>
      <c r="N20" s="102">
        <v>9.6</v>
      </c>
      <c r="O20" s="102">
        <v>9.6</v>
      </c>
      <c r="P20" s="102">
        <v>9.6</v>
      </c>
      <c r="Q20" s="102">
        <v>9.6</v>
      </c>
      <c r="R20" s="102">
        <v>9.6</v>
      </c>
      <c r="S20" s="102">
        <v>9.6</v>
      </c>
      <c r="T20" s="102">
        <v>9.6</v>
      </c>
      <c r="U20" s="102">
        <v>9.6</v>
      </c>
      <c r="V20" s="102">
        <v>9.6</v>
      </c>
      <c r="W20" s="102">
        <v>9.6</v>
      </c>
      <c r="X20" s="102">
        <v>9.6</v>
      </c>
      <c r="Y20" s="102">
        <v>9.6</v>
      </c>
      <c r="Z20" s="102">
        <v>9.6</v>
      </c>
      <c r="AA20" s="102">
        <v>9.6</v>
      </c>
      <c r="AB20" s="102">
        <v>9.6</v>
      </c>
      <c r="AC20" s="102">
        <v>9.6</v>
      </c>
      <c r="AD20" s="102">
        <v>9.6</v>
      </c>
      <c r="AE20" s="102">
        <v>9.6</v>
      </c>
      <c r="AF20" s="102">
        <v>9.6</v>
      </c>
      <c r="AG20" s="130">
        <v>38.46</v>
      </c>
      <c r="AH20" s="12">
        <f t="shared" si="8"/>
        <v>9.6</v>
      </c>
      <c r="AI20" s="11">
        <f t="shared" si="9"/>
        <v>9.6</v>
      </c>
      <c r="AK20" s="19"/>
      <c r="AL20" s="135" t="s">
        <v>250</v>
      </c>
      <c r="AM20" s="134">
        <f t="shared" ref="AM20:AR20" si="14">B80</f>
        <v>79</v>
      </c>
      <c r="AN20" s="134">
        <f t="shared" si="14"/>
        <v>79</v>
      </c>
      <c r="AO20" s="134">
        <f t="shared" si="14"/>
        <v>79</v>
      </c>
      <c r="AP20" s="134">
        <f t="shared" si="14"/>
        <v>79</v>
      </c>
      <c r="AQ20" s="134">
        <f t="shared" si="14"/>
        <v>79</v>
      </c>
      <c r="AR20" s="134">
        <f t="shared" si="14"/>
        <v>79</v>
      </c>
      <c r="AS20" s="134">
        <f>I80</f>
        <v>79</v>
      </c>
      <c r="AT20" s="134">
        <f>K80</f>
        <v>79</v>
      </c>
      <c r="AU20" s="134">
        <f t="shared" ref="AU20:BD20" si="15">M80</f>
        <v>61.9</v>
      </c>
      <c r="AV20" s="134">
        <f t="shared" si="15"/>
        <v>71.399999999999991</v>
      </c>
      <c r="AW20" s="134">
        <f t="shared" si="15"/>
        <v>70.3</v>
      </c>
      <c r="AX20" s="134">
        <f t="shared" si="15"/>
        <v>81.7</v>
      </c>
      <c r="AY20" s="134">
        <f t="shared" si="15"/>
        <v>70.5</v>
      </c>
      <c r="AZ20" s="134">
        <f t="shared" si="15"/>
        <v>70.7</v>
      </c>
      <c r="BA20" s="134">
        <f t="shared" si="15"/>
        <v>70.7</v>
      </c>
      <c r="BB20" s="134">
        <f t="shared" si="15"/>
        <v>78.400000000000006</v>
      </c>
      <c r="BC20" s="134">
        <f t="shared" si="15"/>
        <v>66.100000000000009</v>
      </c>
      <c r="BD20" s="134">
        <f t="shared" si="15"/>
        <v>59.2</v>
      </c>
      <c r="BE20" s="133">
        <f>X80</f>
        <v>0</v>
      </c>
      <c r="BF20" s="133">
        <f>Z80</f>
        <v>95.6</v>
      </c>
      <c r="BG20" s="133">
        <f>AB80</f>
        <v>97.4</v>
      </c>
      <c r="BH20" s="133">
        <f>AD80</f>
        <v>97.1</v>
      </c>
      <c r="BI20" s="133">
        <f>AE80</f>
        <v>97.1</v>
      </c>
      <c r="BJ20" s="133">
        <f>AF80</f>
        <v>97.1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25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>
        <v>11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>
        <v>11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11</v>
      </c>
      <c r="AG21" s="130">
        <v>36</v>
      </c>
      <c r="AH21" s="12">
        <f t="shared" si="8"/>
        <v>11</v>
      </c>
      <c r="AI21" s="11">
        <f t="shared" si="9"/>
        <v>11</v>
      </c>
      <c r="AK21" s="19"/>
      <c r="AL21" s="135" t="s">
        <v>248</v>
      </c>
      <c r="AM21" s="134">
        <f t="shared" ref="AM21:AR21" si="16">B98</f>
        <v>220</v>
      </c>
      <c r="AN21" s="134">
        <f t="shared" si="16"/>
        <v>220</v>
      </c>
      <c r="AO21" s="134">
        <f t="shared" si="16"/>
        <v>220</v>
      </c>
      <c r="AP21" s="134">
        <f t="shared" si="16"/>
        <v>220</v>
      </c>
      <c r="AQ21" s="134">
        <f t="shared" si="16"/>
        <v>220</v>
      </c>
      <c r="AR21" s="134">
        <f t="shared" si="16"/>
        <v>220</v>
      </c>
      <c r="AS21" s="134">
        <f>I98</f>
        <v>220</v>
      </c>
      <c r="AT21" s="134">
        <f>K98</f>
        <v>100</v>
      </c>
      <c r="AU21" s="134">
        <f t="shared" ref="AU21:BD21" si="17">M98</f>
        <v>50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250</v>
      </c>
      <c r="BG21" s="133">
        <f>AB98</f>
        <v>250</v>
      </c>
      <c r="BH21" s="133">
        <f>AD98</f>
        <v>150</v>
      </c>
      <c r="BI21" s="133">
        <f>AE98</f>
        <v>125</v>
      </c>
      <c r="BJ21" s="133">
        <f>AF98</f>
        <v>125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25">
      <c r="A22" s="89" t="s">
        <v>247</v>
      </c>
      <c r="B22" s="102">
        <v>9</v>
      </c>
      <c r="C22" s="102">
        <v>9</v>
      </c>
      <c r="D22" s="102">
        <v>9</v>
      </c>
      <c r="E22" s="102">
        <v>9</v>
      </c>
      <c r="F22" s="102">
        <v>9</v>
      </c>
      <c r="G22" s="102">
        <v>9</v>
      </c>
      <c r="H22" s="102">
        <v>9</v>
      </c>
      <c r="I22" s="102">
        <v>9</v>
      </c>
      <c r="J22" s="102">
        <v>9</v>
      </c>
      <c r="K22" s="102">
        <v>9</v>
      </c>
      <c r="L22" s="102">
        <v>9</v>
      </c>
      <c r="M22" s="102">
        <v>9</v>
      </c>
      <c r="N22" s="102">
        <v>9</v>
      </c>
      <c r="O22" s="102">
        <v>9</v>
      </c>
      <c r="P22" s="102">
        <v>9</v>
      </c>
      <c r="Q22" s="102">
        <v>9</v>
      </c>
      <c r="R22" s="102">
        <v>9</v>
      </c>
      <c r="S22" s="102">
        <v>9</v>
      </c>
      <c r="T22" s="102">
        <v>9</v>
      </c>
      <c r="U22" s="102">
        <v>9</v>
      </c>
      <c r="V22" s="102">
        <v>9</v>
      </c>
      <c r="W22" s="102">
        <v>9</v>
      </c>
      <c r="X22" s="102">
        <v>9</v>
      </c>
      <c r="Y22" s="102">
        <v>9</v>
      </c>
      <c r="Z22" s="102">
        <v>9</v>
      </c>
      <c r="AA22" s="102">
        <v>9</v>
      </c>
      <c r="AB22" s="102">
        <v>17.8</v>
      </c>
      <c r="AC22" s="102">
        <v>17.8</v>
      </c>
      <c r="AD22" s="102">
        <v>17.8</v>
      </c>
      <c r="AE22" s="102">
        <v>17.8</v>
      </c>
      <c r="AF22" s="102">
        <v>17.8</v>
      </c>
      <c r="AG22" s="88">
        <v>30</v>
      </c>
      <c r="AH22" s="12">
        <f t="shared" si="8"/>
        <v>17.8</v>
      </c>
      <c r="AI22" s="11">
        <f t="shared" si="9"/>
        <v>9</v>
      </c>
      <c r="AK22" s="19"/>
      <c r="AL22" s="132" t="s">
        <v>246</v>
      </c>
      <c r="AM22" s="131">
        <f t="shared" ref="AM22:BJ22" si="18">SUM(AM16:AM21)</f>
        <v>1454.74</v>
      </c>
      <c r="AN22" s="131">
        <f t="shared" si="18"/>
        <v>1421.74</v>
      </c>
      <c r="AO22" s="131">
        <f t="shared" si="18"/>
        <v>1384.74</v>
      </c>
      <c r="AP22" s="131">
        <f t="shared" si="18"/>
        <v>1353.54</v>
      </c>
      <c r="AQ22" s="131">
        <f t="shared" si="18"/>
        <v>1356.24</v>
      </c>
      <c r="AR22" s="131">
        <f t="shared" si="18"/>
        <v>1386.74</v>
      </c>
      <c r="AS22" s="131">
        <f t="shared" si="18"/>
        <v>1437.24</v>
      </c>
      <c r="AT22" s="131">
        <f t="shared" si="18"/>
        <v>1574.94</v>
      </c>
      <c r="AU22" s="131">
        <f t="shared" si="18"/>
        <v>1627.7400000000002</v>
      </c>
      <c r="AV22" s="131">
        <f t="shared" si="18"/>
        <v>1581.44</v>
      </c>
      <c r="AW22" s="131">
        <f t="shared" si="18"/>
        <v>1602.14</v>
      </c>
      <c r="AX22" s="131">
        <f t="shared" si="18"/>
        <v>1653.74</v>
      </c>
      <c r="AY22" s="131">
        <f t="shared" si="18"/>
        <v>1619.6399999999999</v>
      </c>
      <c r="AZ22" s="131">
        <f t="shared" si="18"/>
        <v>1595.6399999999999</v>
      </c>
      <c r="BA22" s="131">
        <f t="shared" si="18"/>
        <v>1592.0400000000002</v>
      </c>
      <c r="BB22" s="131">
        <f t="shared" si="18"/>
        <v>1572.44</v>
      </c>
      <c r="BC22" s="131">
        <f t="shared" si="18"/>
        <v>1440.6399999999999</v>
      </c>
      <c r="BD22" s="131">
        <f t="shared" si="18"/>
        <v>1468.84</v>
      </c>
      <c r="BE22" s="131">
        <f t="shared" si="18"/>
        <v>1239.9199999999998</v>
      </c>
      <c r="BF22" s="131">
        <f t="shared" si="18"/>
        <v>1684.54</v>
      </c>
      <c r="BG22" s="131">
        <f t="shared" si="18"/>
        <v>1696.4400000000003</v>
      </c>
      <c r="BH22" s="131">
        <f t="shared" si="18"/>
        <v>1572.04</v>
      </c>
      <c r="BI22" s="131">
        <f t="shared" si="18"/>
        <v>1521.44</v>
      </c>
      <c r="BJ22" s="131">
        <f t="shared" si="18"/>
        <v>1431.74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25">
      <c r="A23" s="89" t="s">
        <v>245</v>
      </c>
      <c r="B23" s="102">
        <v>4.5</v>
      </c>
      <c r="C23" s="102">
        <v>4.5</v>
      </c>
      <c r="D23" s="102">
        <v>4.5</v>
      </c>
      <c r="E23" s="102">
        <v>4.5</v>
      </c>
      <c r="F23" s="102">
        <v>4.5</v>
      </c>
      <c r="G23" s="102">
        <v>4.5</v>
      </c>
      <c r="H23" s="102">
        <v>4.5</v>
      </c>
      <c r="I23" s="102">
        <v>4.5</v>
      </c>
      <c r="J23" s="102">
        <v>4.5</v>
      </c>
      <c r="K23" s="102">
        <v>4.5</v>
      </c>
      <c r="L23" s="102">
        <v>4.5</v>
      </c>
      <c r="M23" s="102">
        <v>4.5</v>
      </c>
      <c r="N23" s="102">
        <v>4.5</v>
      </c>
      <c r="O23" s="102">
        <v>4.5</v>
      </c>
      <c r="P23" s="102">
        <v>4.5</v>
      </c>
      <c r="Q23" s="102">
        <v>4.5</v>
      </c>
      <c r="R23" s="102">
        <v>4.5</v>
      </c>
      <c r="S23" s="102">
        <v>4.5</v>
      </c>
      <c r="T23" s="102">
        <v>4.5</v>
      </c>
      <c r="U23" s="102">
        <v>4.5</v>
      </c>
      <c r="V23" s="102">
        <v>4.5</v>
      </c>
      <c r="W23" s="102">
        <v>4.5</v>
      </c>
      <c r="X23" s="102">
        <v>4.5</v>
      </c>
      <c r="Y23" s="102">
        <v>4.5</v>
      </c>
      <c r="Z23" s="102">
        <v>4.5</v>
      </c>
      <c r="AA23" s="102">
        <v>4.5</v>
      </c>
      <c r="AB23" s="102">
        <v>5</v>
      </c>
      <c r="AC23" s="102">
        <v>5</v>
      </c>
      <c r="AD23" s="102">
        <v>5</v>
      </c>
      <c r="AE23" s="102">
        <v>5</v>
      </c>
      <c r="AF23" s="102">
        <v>5</v>
      </c>
      <c r="AG23" s="130">
        <v>24.2</v>
      </c>
      <c r="AH23" s="12">
        <f t="shared" si="8"/>
        <v>5</v>
      </c>
      <c r="AI23" s="11">
        <f t="shared" si="9"/>
        <v>4.5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-1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25">
      <c r="A24" s="89" t="s">
        <v>244</v>
      </c>
      <c r="B24" s="102">
        <v>7.1</v>
      </c>
      <c r="C24" s="102">
        <v>7.1</v>
      </c>
      <c r="D24" s="102">
        <v>7.1</v>
      </c>
      <c r="E24" s="102">
        <v>7.1</v>
      </c>
      <c r="F24" s="102">
        <v>7.1</v>
      </c>
      <c r="G24" s="102">
        <v>7.1</v>
      </c>
      <c r="H24" s="102">
        <v>7.1</v>
      </c>
      <c r="I24" s="102">
        <v>7.1</v>
      </c>
      <c r="J24" s="102">
        <v>7.1</v>
      </c>
      <c r="K24" s="102">
        <v>7.1</v>
      </c>
      <c r="L24" s="102">
        <v>7.1</v>
      </c>
      <c r="M24" s="102">
        <v>7.1</v>
      </c>
      <c r="N24" s="102">
        <v>7.1</v>
      </c>
      <c r="O24" s="102">
        <v>7.1</v>
      </c>
      <c r="P24" s="102">
        <v>7.1</v>
      </c>
      <c r="Q24" s="102">
        <v>7.1</v>
      </c>
      <c r="R24" s="102">
        <v>7.1</v>
      </c>
      <c r="S24" s="102">
        <v>7.1</v>
      </c>
      <c r="T24" s="102">
        <v>7.1</v>
      </c>
      <c r="U24" s="102">
        <v>7.1</v>
      </c>
      <c r="V24" s="102">
        <v>7.1</v>
      </c>
      <c r="W24" s="102">
        <v>7.1</v>
      </c>
      <c r="X24" s="102">
        <v>7.1</v>
      </c>
      <c r="Y24" s="102">
        <v>7.1</v>
      </c>
      <c r="Z24" s="102">
        <v>7.1</v>
      </c>
      <c r="AA24" s="102">
        <v>7.1</v>
      </c>
      <c r="AB24" s="102">
        <v>6.2</v>
      </c>
      <c r="AC24" s="102">
        <v>6.2</v>
      </c>
      <c r="AD24" s="102">
        <v>6.2</v>
      </c>
      <c r="AE24" s="102">
        <v>6.2</v>
      </c>
      <c r="AF24" s="102">
        <v>6.2</v>
      </c>
      <c r="AG24" s="130">
        <v>28</v>
      </c>
      <c r="AH24" s="12">
        <f t="shared" si="8"/>
        <v>7.1</v>
      </c>
      <c r="AI24" s="11">
        <f t="shared" si="9"/>
        <v>6.2</v>
      </c>
      <c r="AK24" s="19"/>
      <c r="AL24" s="132" t="s">
        <v>243</v>
      </c>
      <c r="AM24" s="131">
        <f t="shared" ref="AM24:BJ24" si="21">AM22+AM23</f>
        <v>1454.74</v>
      </c>
      <c r="AN24" s="131">
        <f t="shared" si="21"/>
        <v>1421.74</v>
      </c>
      <c r="AO24" s="131">
        <f t="shared" si="21"/>
        <v>1383.74</v>
      </c>
      <c r="AP24" s="131">
        <f t="shared" si="21"/>
        <v>1353.54</v>
      </c>
      <c r="AQ24" s="131">
        <f t="shared" si="21"/>
        <v>1356.24</v>
      </c>
      <c r="AR24" s="131">
        <f t="shared" si="21"/>
        <v>1386.74</v>
      </c>
      <c r="AS24" s="131">
        <f t="shared" si="21"/>
        <v>1437.24</v>
      </c>
      <c r="AT24" s="131">
        <f t="shared" si="21"/>
        <v>1574.94</v>
      </c>
      <c r="AU24" s="131">
        <f t="shared" si="21"/>
        <v>1627.7400000000002</v>
      </c>
      <c r="AV24" s="131">
        <f t="shared" si="21"/>
        <v>1581.44</v>
      </c>
      <c r="AW24" s="131">
        <f t="shared" si="21"/>
        <v>1602.14</v>
      </c>
      <c r="AX24" s="131">
        <f t="shared" si="21"/>
        <v>1653.74</v>
      </c>
      <c r="AY24" s="131">
        <f t="shared" si="21"/>
        <v>1619.6399999999999</v>
      </c>
      <c r="AZ24" s="131">
        <f t="shared" si="21"/>
        <v>1595.6399999999999</v>
      </c>
      <c r="BA24" s="131">
        <f t="shared" si="21"/>
        <v>1592.0400000000002</v>
      </c>
      <c r="BB24" s="131">
        <f t="shared" si="21"/>
        <v>1572.44</v>
      </c>
      <c r="BC24" s="131">
        <f t="shared" si="21"/>
        <v>1440.6399999999999</v>
      </c>
      <c r="BD24" s="131">
        <f t="shared" si="21"/>
        <v>1468.84</v>
      </c>
      <c r="BE24" s="131">
        <f t="shared" si="21"/>
        <v>1239.9199999999998</v>
      </c>
      <c r="BF24" s="131">
        <f t="shared" si="21"/>
        <v>1684.54</v>
      </c>
      <c r="BG24" s="131">
        <f t="shared" si="21"/>
        <v>1696.4400000000003</v>
      </c>
      <c r="BH24" s="131">
        <f t="shared" si="21"/>
        <v>1572.04</v>
      </c>
      <c r="BI24" s="131">
        <f t="shared" si="21"/>
        <v>1521.44</v>
      </c>
      <c r="BJ24" s="131">
        <f t="shared" si="21"/>
        <v>1431.74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25">
      <c r="A25" s="89" t="s">
        <v>242</v>
      </c>
      <c r="B25" s="102">
        <v>7.1</v>
      </c>
      <c r="C25" s="102">
        <v>7.1</v>
      </c>
      <c r="D25" s="102">
        <v>7.1</v>
      </c>
      <c r="E25" s="102">
        <v>7.1</v>
      </c>
      <c r="F25" s="102">
        <v>7.1</v>
      </c>
      <c r="G25" s="102">
        <v>7.1</v>
      </c>
      <c r="H25" s="102">
        <v>7.1</v>
      </c>
      <c r="I25" s="102">
        <v>7.1</v>
      </c>
      <c r="J25" s="102">
        <v>7.1</v>
      </c>
      <c r="K25" s="102">
        <v>7.1</v>
      </c>
      <c r="L25" s="102">
        <v>7.1</v>
      </c>
      <c r="M25" s="102">
        <v>7.1</v>
      </c>
      <c r="N25" s="102">
        <v>7.1</v>
      </c>
      <c r="O25" s="102">
        <v>7.1</v>
      </c>
      <c r="P25" s="102">
        <v>7.1</v>
      </c>
      <c r="Q25" s="102">
        <v>7.1</v>
      </c>
      <c r="R25" s="102">
        <v>7.1</v>
      </c>
      <c r="S25" s="102">
        <v>7.1</v>
      </c>
      <c r="T25" s="102">
        <v>7.1</v>
      </c>
      <c r="U25" s="102">
        <v>7.1</v>
      </c>
      <c r="V25" s="102">
        <v>7.1</v>
      </c>
      <c r="W25" s="102">
        <v>7.1</v>
      </c>
      <c r="X25" s="102">
        <v>7.1</v>
      </c>
      <c r="Y25" s="102">
        <v>7.1</v>
      </c>
      <c r="Z25" s="102">
        <v>7.1</v>
      </c>
      <c r="AA25" s="102">
        <v>7.1</v>
      </c>
      <c r="AB25" s="102">
        <v>12.2</v>
      </c>
      <c r="AC25" s="102">
        <v>12.2</v>
      </c>
      <c r="AD25" s="102">
        <v>12.2</v>
      </c>
      <c r="AE25" s="102">
        <v>12.2</v>
      </c>
      <c r="AF25" s="102">
        <v>12.2</v>
      </c>
      <c r="AG25" s="88">
        <v>30</v>
      </c>
      <c r="AH25" s="12">
        <f t="shared" si="8"/>
        <v>12.2</v>
      </c>
      <c r="AI25" s="11">
        <f t="shared" si="9"/>
        <v>7.1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25">
      <c r="A26" s="89" t="s">
        <v>241</v>
      </c>
      <c r="B26" s="102">
        <v>8.4</v>
      </c>
      <c r="C26" s="102">
        <v>8.4</v>
      </c>
      <c r="D26" s="102">
        <v>8.4</v>
      </c>
      <c r="E26" s="102">
        <v>8.4</v>
      </c>
      <c r="F26" s="102">
        <v>8.4</v>
      </c>
      <c r="G26" s="102">
        <v>8.4</v>
      </c>
      <c r="H26" s="102">
        <v>8.4</v>
      </c>
      <c r="I26" s="102">
        <v>8.4</v>
      </c>
      <c r="J26" s="102">
        <v>8.4</v>
      </c>
      <c r="K26" s="102">
        <v>8.4</v>
      </c>
      <c r="L26" s="102">
        <v>8.4</v>
      </c>
      <c r="M26" s="102">
        <v>8.4</v>
      </c>
      <c r="N26" s="102">
        <v>8.4</v>
      </c>
      <c r="O26" s="102">
        <v>8.4</v>
      </c>
      <c r="P26" s="102">
        <v>8.4</v>
      </c>
      <c r="Q26" s="102">
        <v>8.4</v>
      </c>
      <c r="R26" s="102">
        <v>8.4</v>
      </c>
      <c r="S26" s="102">
        <v>8.4</v>
      </c>
      <c r="T26" s="102">
        <v>8.4</v>
      </c>
      <c r="U26" s="102">
        <v>8.4</v>
      </c>
      <c r="V26" s="102">
        <v>8.4</v>
      </c>
      <c r="W26" s="102">
        <v>8.4</v>
      </c>
      <c r="X26" s="102">
        <v>8.4</v>
      </c>
      <c r="Y26" s="102">
        <v>8.4</v>
      </c>
      <c r="Z26" s="102">
        <v>8.4</v>
      </c>
      <c r="AA26" s="102">
        <v>8.4</v>
      </c>
      <c r="AB26" s="102">
        <v>19.600000000000001</v>
      </c>
      <c r="AC26" s="102">
        <v>19.600000000000001</v>
      </c>
      <c r="AD26" s="102">
        <v>19.600000000000001</v>
      </c>
      <c r="AE26" s="102">
        <v>19.600000000000001</v>
      </c>
      <c r="AF26" s="102">
        <v>19.600000000000001</v>
      </c>
      <c r="AG26" s="130">
        <v>25</v>
      </c>
      <c r="AH26" s="12">
        <f t="shared" si="8"/>
        <v>19.600000000000001</v>
      </c>
      <c r="AI26" s="11">
        <f t="shared" si="9"/>
        <v>8.4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25">
      <c r="A27" s="89" t="s">
        <v>240</v>
      </c>
      <c r="B27" s="102">
        <v>5</v>
      </c>
      <c r="C27" s="102">
        <v>5</v>
      </c>
      <c r="D27" s="102">
        <v>5</v>
      </c>
      <c r="E27" s="102">
        <v>5</v>
      </c>
      <c r="F27" s="102">
        <v>5</v>
      </c>
      <c r="G27" s="102">
        <v>5</v>
      </c>
      <c r="H27" s="102">
        <v>5</v>
      </c>
      <c r="I27" s="102">
        <v>5</v>
      </c>
      <c r="J27" s="102">
        <v>5</v>
      </c>
      <c r="K27" s="102">
        <v>5</v>
      </c>
      <c r="L27" s="102">
        <v>5</v>
      </c>
      <c r="M27" s="102">
        <v>5</v>
      </c>
      <c r="N27" s="102">
        <v>5</v>
      </c>
      <c r="O27" s="102">
        <v>5</v>
      </c>
      <c r="P27" s="102">
        <v>5</v>
      </c>
      <c r="Q27" s="102">
        <v>5</v>
      </c>
      <c r="R27" s="102">
        <v>5</v>
      </c>
      <c r="S27" s="102">
        <v>5</v>
      </c>
      <c r="T27" s="102">
        <v>5</v>
      </c>
      <c r="U27" s="102">
        <v>5</v>
      </c>
      <c r="V27" s="102">
        <v>5</v>
      </c>
      <c r="W27" s="102">
        <v>5</v>
      </c>
      <c r="X27" s="102">
        <v>5</v>
      </c>
      <c r="Y27" s="102">
        <v>5</v>
      </c>
      <c r="Z27" s="102">
        <v>5</v>
      </c>
      <c r="AA27" s="102">
        <v>5</v>
      </c>
      <c r="AB27" s="102">
        <v>20</v>
      </c>
      <c r="AC27" s="102">
        <v>20</v>
      </c>
      <c r="AD27" s="102">
        <v>25</v>
      </c>
      <c r="AE27" s="102">
        <v>25</v>
      </c>
      <c r="AF27" s="102">
        <v>25</v>
      </c>
      <c r="AG27" s="130">
        <v>25</v>
      </c>
      <c r="AH27" s="12">
        <f t="shared" si="8"/>
        <v>25</v>
      </c>
      <c r="AI27" s="11">
        <f t="shared" si="9"/>
        <v>5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25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25">
      <c r="A29" s="89" t="s">
        <v>238</v>
      </c>
      <c r="B29" s="102">
        <v>8.1999999999999993</v>
      </c>
      <c r="C29" s="102">
        <v>8.1999999999999993</v>
      </c>
      <c r="D29" s="102">
        <v>8.1999999999999993</v>
      </c>
      <c r="E29" s="102">
        <v>8.1999999999999993</v>
      </c>
      <c r="F29" s="102">
        <v>8.1999999999999993</v>
      </c>
      <c r="G29" s="102">
        <v>8.1999999999999993</v>
      </c>
      <c r="H29" s="102">
        <v>8.1999999999999993</v>
      </c>
      <c r="I29" s="102">
        <v>8.1999999999999993</v>
      </c>
      <c r="J29" s="102">
        <v>8.1999999999999993</v>
      </c>
      <c r="K29" s="102">
        <v>8.1999999999999993</v>
      </c>
      <c r="L29" s="102">
        <v>8.1999999999999993</v>
      </c>
      <c r="M29" s="102">
        <v>8.1999999999999993</v>
      </c>
      <c r="N29" s="102">
        <v>8.1999999999999993</v>
      </c>
      <c r="O29" s="102">
        <v>8.1999999999999993</v>
      </c>
      <c r="P29" s="102">
        <v>8.1999999999999993</v>
      </c>
      <c r="Q29" s="102">
        <v>8.1999999999999993</v>
      </c>
      <c r="R29" s="102">
        <v>8.1999999999999993</v>
      </c>
      <c r="S29" s="102">
        <v>8.1999999999999993</v>
      </c>
      <c r="T29" s="102">
        <v>8.1999999999999993</v>
      </c>
      <c r="U29" s="102">
        <v>8.1999999999999993</v>
      </c>
      <c r="V29" s="102">
        <v>8.1999999999999993</v>
      </c>
      <c r="W29" s="102">
        <v>8.1999999999999993</v>
      </c>
      <c r="X29" s="102">
        <v>8.1999999999999993</v>
      </c>
      <c r="Y29" s="102">
        <v>8.1999999999999993</v>
      </c>
      <c r="Z29" s="102">
        <v>8.1999999999999993</v>
      </c>
      <c r="AA29" s="102">
        <v>8.1999999999999993</v>
      </c>
      <c r="AB29" s="102">
        <v>15.9</v>
      </c>
      <c r="AC29" s="102">
        <v>15.9</v>
      </c>
      <c r="AD29" s="102">
        <v>15.9</v>
      </c>
      <c r="AE29" s="102">
        <v>15.9</v>
      </c>
      <c r="AF29" s="102">
        <v>15.9</v>
      </c>
      <c r="AG29" s="130">
        <v>25</v>
      </c>
      <c r="AH29" s="12">
        <f t="shared" si="8"/>
        <v>15.9</v>
      </c>
      <c r="AI29" s="11">
        <f t="shared" si="9"/>
        <v>8.1999999999999993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25">
      <c r="A30" s="89" t="s">
        <v>237</v>
      </c>
      <c r="B30" s="102">
        <v>6.5</v>
      </c>
      <c r="C30" s="102">
        <v>6.5</v>
      </c>
      <c r="D30" s="102">
        <v>6.5</v>
      </c>
      <c r="E30" s="102">
        <v>6.5</v>
      </c>
      <c r="F30" s="102">
        <v>6.5</v>
      </c>
      <c r="G30" s="102">
        <v>6.5</v>
      </c>
      <c r="H30" s="102">
        <v>6.5</v>
      </c>
      <c r="I30" s="102">
        <v>6.5</v>
      </c>
      <c r="J30" s="102">
        <v>6.5</v>
      </c>
      <c r="K30" s="102">
        <v>6.5</v>
      </c>
      <c r="L30" s="102">
        <v>6.5</v>
      </c>
      <c r="M30" s="102">
        <v>6.5</v>
      </c>
      <c r="N30" s="102">
        <v>6.5</v>
      </c>
      <c r="O30" s="102">
        <v>6.5</v>
      </c>
      <c r="P30" s="102">
        <v>6.5</v>
      </c>
      <c r="Q30" s="102">
        <v>6.5</v>
      </c>
      <c r="R30" s="102">
        <v>6.5</v>
      </c>
      <c r="S30" s="102">
        <v>6.5</v>
      </c>
      <c r="T30" s="102">
        <v>6.5</v>
      </c>
      <c r="U30" s="102">
        <v>6.5</v>
      </c>
      <c r="V30" s="102">
        <v>6.5</v>
      </c>
      <c r="W30" s="102">
        <v>6.5</v>
      </c>
      <c r="X30" s="102">
        <v>6.5</v>
      </c>
      <c r="Y30" s="102">
        <v>6.5</v>
      </c>
      <c r="Z30" s="102">
        <v>6.5</v>
      </c>
      <c r="AA30" s="102">
        <v>6.5</v>
      </c>
      <c r="AB30" s="102">
        <v>9.9</v>
      </c>
      <c r="AC30" s="102">
        <v>9.9</v>
      </c>
      <c r="AD30" s="102">
        <v>9.9</v>
      </c>
      <c r="AE30" s="102">
        <v>9.9</v>
      </c>
      <c r="AF30" s="102">
        <v>9.9</v>
      </c>
      <c r="AG30" s="130">
        <v>23.5</v>
      </c>
      <c r="AH30" s="12">
        <f t="shared" si="8"/>
        <v>9.9</v>
      </c>
      <c r="AI30" s="11">
        <f t="shared" si="9"/>
        <v>6.5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25">
      <c r="A31" s="89" t="s">
        <v>236</v>
      </c>
      <c r="B31" s="102">
        <v>3</v>
      </c>
      <c r="C31" s="102">
        <v>3</v>
      </c>
      <c r="D31" s="102">
        <v>3</v>
      </c>
      <c r="E31" s="102">
        <v>3</v>
      </c>
      <c r="F31" s="102">
        <v>3</v>
      </c>
      <c r="G31" s="102">
        <v>3</v>
      </c>
      <c r="H31" s="102">
        <v>3</v>
      </c>
      <c r="I31" s="102">
        <v>3</v>
      </c>
      <c r="J31" s="102">
        <v>3</v>
      </c>
      <c r="K31" s="102">
        <v>3</v>
      </c>
      <c r="L31" s="102">
        <v>3</v>
      </c>
      <c r="M31" s="102">
        <v>3</v>
      </c>
      <c r="N31" s="102">
        <v>3</v>
      </c>
      <c r="O31" s="102">
        <v>3</v>
      </c>
      <c r="P31" s="102">
        <v>3</v>
      </c>
      <c r="Q31" s="102">
        <v>3</v>
      </c>
      <c r="R31" s="102">
        <v>3</v>
      </c>
      <c r="S31" s="102">
        <v>3</v>
      </c>
      <c r="T31" s="102">
        <v>3</v>
      </c>
      <c r="U31" s="102">
        <v>3</v>
      </c>
      <c r="V31" s="102">
        <v>3</v>
      </c>
      <c r="W31" s="102">
        <v>3</v>
      </c>
      <c r="X31" s="102">
        <v>3</v>
      </c>
      <c r="Y31" s="102">
        <v>3</v>
      </c>
      <c r="Z31" s="102">
        <v>3</v>
      </c>
      <c r="AA31" s="102">
        <v>3</v>
      </c>
      <c r="AB31" s="102">
        <v>3</v>
      </c>
      <c r="AC31" s="102">
        <v>3</v>
      </c>
      <c r="AD31" s="102">
        <v>3</v>
      </c>
      <c r="AE31" s="102">
        <v>3</v>
      </c>
      <c r="AF31" s="102">
        <v>3</v>
      </c>
      <c r="AG31" s="130">
        <v>22.2</v>
      </c>
      <c r="AH31" s="12">
        <f t="shared" si="8"/>
        <v>3</v>
      </c>
      <c r="AI31" s="11">
        <f t="shared" si="9"/>
        <v>3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25">
      <c r="A32" s="89" t="s">
        <v>235</v>
      </c>
      <c r="B32" s="102">
        <v>5.5</v>
      </c>
      <c r="C32" s="102">
        <v>5.5</v>
      </c>
      <c r="D32" s="102">
        <v>5.5</v>
      </c>
      <c r="E32" s="102">
        <v>5.5</v>
      </c>
      <c r="F32" s="102">
        <v>5.5</v>
      </c>
      <c r="G32" s="102">
        <v>5.5</v>
      </c>
      <c r="H32" s="102">
        <v>5.5</v>
      </c>
      <c r="I32" s="102">
        <v>5.5</v>
      </c>
      <c r="J32" s="102">
        <v>5.5</v>
      </c>
      <c r="K32" s="102">
        <v>5.5</v>
      </c>
      <c r="L32" s="102">
        <v>5.5</v>
      </c>
      <c r="M32" s="102">
        <v>5.5</v>
      </c>
      <c r="N32" s="102">
        <v>5.5</v>
      </c>
      <c r="O32" s="102">
        <v>5.5</v>
      </c>
      <c r="P32" s="102">
        <v>5.5</v>
      </c>
      <c r="Q32" s="102">
        <v>5.5</v>
      </c>
      <c r="R32" s="102">
        <v>5.5</v>
      </c>
      <c r="S32" s="102">
        <v>5.5</v>
      </c>
      <c r="T32" s="102">
        <v>5.5</v>
      </c>
      <c r="U32" s="102">
        <v>5.5</v>
      </c>
      <c r="V32" s="102">
        <v>5.5</v>
      </c>
      <c r="W32" s="102">
        <v>5.5</v>
      </c>
      <c r="X32" s="102">
        <v>5.5</v>
      </c>
      <c r="Y32" s="102">
        <v>5.5</v>
      </c>
      <c r="Z32" s="102">
        <v>5.5</v>
      </c>
      <c r="AA32" s="102">
        <v>5.5</v>
      </c>
      <c r="AB32" s="102">
        <v>5.5</v>
      </c>
      <c r="AC32" s="102">
        <v>5.5</v>
      </c>
      <c r="AD32" s="102">
        <v>5.5</v>
      </c>
      <c r="AE32" s="102">
        <v>5.5</v>
      </c>
      <c r="AF32" s="102">
        <v>5.5</v>
      </c>
      <c r="AG32" s="130">
        <v>22.1</v>
      </c>
      <c r="AH32" s="12">
        <f t="shared" si="8"/>
        <v>5.5</v>
      </c>
      <c r="AI32" s="11">
        <f t="shared" si="9"/>
        <v>5.5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25">
      <c r="A33" s="89" t="s">
        <v>234</v>
      </c>
      <c r="B33" s="102">
        <v>5</v>
      </c>
      <c r="C33" s="102">
        <v>5</v>
      </c>
      <c r="D33" s="102">
        <v>5</v>
      </c>
      <c r="E33" s="102">
        <v>5</v>
      </c>
      <c r="F33" s="102">
        <v>5</v>
      </c>
      <c r="G33" s="102">
        <v>5</v>
      </c>
      <c r="H33" s="102">
        <v>5</v>
      </c>
      <c r="I33" s="102">
        <v>5</v>
      </c>
      <c r="J33" s="102">
        <v>5</v>
      </c>
      <c r="K33" s="102">
        <v>5</v>
      </c>
      <c r="L33" s="102">
        <v>5</v>
      </c>
      <c r="M33" s="102">
        <v>5</v>
      </c>
      <c r="N33" s="102">
        <v>5</v>
      </c>
      <c r="O33" s="102">
        <v>5</v>
      </c>
      <c r="P33" s="102">
        <v>5</v>
      </c>
      <c r="Q33" s="102">
        <v>5</v>
      </c>
      <c r="R33" s="102">
        <v>5</v>
      </c>
      <c r="S33" s="102">
        <v>5</v>
      </c>
      <c r="T33" s="102">
        <v>5</v>
      </c>
      <c r="U33" s="102">
        <v>5</v>
      </c>
      <c r="V33" s="102">
        <v>5</v>
      </c>
      <c r="W33" s="102">
        <v>5</v>
      </c>
      <c r="X33" s="102">
        <v>5</v>
      </c>
      <c r="Y33" s="102">
        <v>5</v>
      </c>
      <c r="Z33" s="102">
        <v>5</v>
      </c>
      <c r="AA33" s="102">
        <v>5</v>
      </c>
      <c r="AB33" s="102">
        <v>5</v>
      </c>
      <c r="AC33" s="102">
        <v>5</v>
      </c>
      <c r="AD33" s="102">
        <v>5</v>
      </c>
      <c r="AE33" s="102">
        <v>5</v>
      </c>
      <c r="AF33" s="102">
        <v>5</v>
      </c>
      <c r="AG33" s="130">
        <v>22</v>
      </c>
      <c r="AH33" s="12">
        <f t="shared" si="8"/>
        <v>5</v>
      </c>
      <c r="AI33" s="11">
        <f t="shared" si="9"/>
        <v>5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25">
      <c r="A34" s="89" t="s">
        <v>233</v>
      </c>
      <c r="B34" s="102">
        <v>9.6</v>
      </c>
      <c r="C34" s="102">
        <v>9.6</v>
      </c>
      <c r="D34" s="102">
        <v>9.6</v>
      </c>
      <c r="E34" s="102">
        <v>9.6</v>
      </c>
      <c r="F34" s="102">
        <v>9.6</v>
      </c>
      <c r="G34" s="102">
        <v>9.6</v>
      </c>
      <c r="H34" s="102">
        <v>9.6</v>
      </c>
      <c r="I34" s="102">
        <v>9.6</v>
      </c>
      <c r="J34" s="102">
        <v>9.6</v>
      </c>
      <c r="K34" s="102">
        <v>9.6</v>
      </c>
      <c r="L34" s="102">
        <v>9.6</v>
      </c>
      <c r="M34" s="102">
        <v>9.6</v>
      </c>
      <c r="N34" s="102">
        <v>9.6</v>
      </c>
      <c r="O34" s="102">
        <v>9.6</v>
      </c>
      <c r="P34" s="102">
        <v>9.6</v>
      </c>
      <c r="Q34" s="102">
        <v>9.6</v>
      </c>
      <c r="R34" s="102">
        <v>9.6</v>
      </c>
      <c r="S34" s="102">
        <v>9.6</v>
      </c>
      <c r="T34" s="102">
        <v>9.6</v>
      </c>
      <c r="U34" s="102">
        <v>9.6</v>
      </c>
      <c r="V34" s="102">
        <v>9.6</v>
      </c>
      <c r="W34" s="102">
        <v>9.6</v>
      </c>
      <c r="X34" s="102">
        <v>9.6</v>
      </c>
      <c r="Y34" s="102">
        <v>9.6</v>
      </c>
      <c r="Z34" s="102">
        <v>9.6</v>
      </c>
      <c r="AA34" s="102">
        <v>9.6</v>
      </c>
      <c r="AB34" s="102">
        <v>9.6</v>
      </c>
      <c r="AC34" s="102">
        <v>9.6</v>
      </c>
      <c r="AD34" s="102">
        <v>9.6</v>
      </c>
      <c r="AE34" s="102">
        <v>9.6</v>
      </c>
      <c r="AF34" s="102">
        <v>9.6</v>
      </c>
      <c r="AG34" s="130">
        <v>22</v>
      </c>
      <c r="AH34" s="12">
        <f t="shared" si="8"/>
        <v>9.6</v>
      </c>
      <c r="AI34" s="11">
        <f t="shared" si="9"/>
        <v>9.6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25">
      <c r="A35" s="89" t="s">
        <v>232</v>
      </c>
      <c r="B35" s="102">
        <v>4</v>
      </c>
      <c r="C35" s="102">
        <v>4</v>
      </c>
      <c r="D35" s="102">
        <v>4</v>
      </c>
      <c r="E35" s="102">
        <v>4</v>
      </c>
      <c r="F35" s="102">
        <v>4</v>
      </c>
      <c r="G35" s="102">
        <v>4</v>
      </c>
      <c r="H35" s="102">
        <v>4</v>
      </c>
      <c r="I35" s="102">
        <v>4</v>
      </c>
      <c r="J35" s="102">
        <v>4</v>
      </c>
      <c r="K35" s="102">
        <v>4</v>
      </c>
      <c r="L35" s="102">
        <v>4</v>
      </c>
      <c r="M35" s="102">
        <v>4</v>
      </c>
      <c r="N35" s="102">
        <v>4</v>
      </c>
      <c r="O35" s="102">
        <v>4</v>
      </c>
      <c r="P35" s="102">
        <v>4</v>
      </c>
      <c r="Q35" s="102">
        <v>4</v>
      </c>
      <c r="R35" s="102">
        <v>4</v>
      </c>
      <c r="S35" s="102">
        <v>4</v>
      </c>
      <c r="T35" s="102">
        <v>4</v>
      </c>
      <c r="U35" s="102">
        <v>4</v>
      </c>
      <c r="V35" s="102">
        <v>4</v>
      </c>
      <c r="W35" s="102">
        <v>4</v>
      </c>
      <c r="X35" s="102">
        <v>4</v>
      </c>
      <c r="Y35" s="102">
        <v>4</v>
      </c>
      <c r="Z35" s="102">
        <v>4</v>
      </c>
      <c r="AA35" s="102">
        <v>4</v>
      </c>
      <c r="AB35" s="102">
        <v>4</v>
      </c>
      <c r="AC35" s="102">
        <v>4</v>
      </c>
      <c r="AD35" s="102">
        <v>4</v>
      </c>
      <c r="AE35" s="102">
        <v>4</v>
      </c>
      <c r="AF35" s="102">
        <v>4</v>
      </c>
      <c r="AG35" s="130">
        <v>20</v>
      </c>
      <c r="AH35" s="12">
        <f t="shared" si="8"/>
        <v>4</v>
      </c>
      <c r="AI35" s="11">
        <f t="shared" si="9"/>
        <v>4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25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25">
      <c r="A37" s="89" t="s">
        <v>230</v>
      </c>
      <c r="B37" s="102">
        <v>5.7</v>
      </c>
      <c r="C37" s="102">
        <v>5.7</v>
      </c>
      <c r="D37" s="102">
        <v>5.7</v>
      </c>
      <c r="E37" s="102">
        <v>5.7</v>
      </c>
      <c r="F37" s="102">
        <v>5.7</v>
      </c>
      <c r="G37" s="102">
        <v>5.7</v>
      </c>
      <c r="H37" s="102">
        <v>5.7</v>
      </c>
      <c r="I37" s="102">
        <v>5.7</v>
      </c>
      <c r="J37" s="102">
        <v>5.7</v>
      </c>
      <c r="K37" s="102">
        <v>5.7</v>
      </c>
      <c r="L37" s="102">
        <v>5.7</v>
      </c>
      <c r="M37" s="102">
        <v>5.7</v>
      </c>
      <c r="N37" s="102">
        <v>5.7</v>
      </c>
      <c r="O37" s="102">
        <v>5.7</v>
      </c>
      <c r="P37" s="102">
        <v>5.7</v>
      </c>
      <c r="Q37" s="102">
        <v>5.7</v>
      </c>
      <c r="R37" s="102">
        <v>5.7</v>
      </c>
      <c r="S37" s="102">
        <v>5.7</v>
      </c>
      <c r="T37" s="102">
        <v>5.7</v>
      </c>
      <c r="U37" s="102">
        <v>5.7</v>
      </c>
      <c r="V37" s="102">
        <v>5.7</v>
      </c>
      <c r="W37" s="102">
        <v>5.7</v>
      </c>
      <c r="X37" s="102">
        <v>5.7</v>
      </c>
      <c r="Y37" s="102">
        <v>5.7</v>
      </c>
      <c r="Z37" s="102">
        <v>5.7</v>
      </c>
      <c r="AA37" s="102">
        <v>5.7</v>
      </c>
      <c r="AB37" s="102">
        <v>5.7</v>
      </c>
      <c r="AC37" s="102">
        <v>5.7</v>
      </c>
      <c r="AD37" s="102">
        <v>5.7</v>
      </c>
      <c r="AE37" s="102">
        <v>5.7</v>
      </c>
      <c r="AF37" s="102">
        <v>5.7</v>
      </c>
      <c r="AG37" s="130">
        <v>18</v>
      </c>
      <c r="AH37" s="12">
        <f t="shared" si="8"/>
        <v>5.7</v>
      </c>
      <c r="AI37" s="11">
        <f t="shared" si="9"/>
        <v>5.7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25">
      <c r="A38" s="89" t="s">
        <v>229</v>
      </c>
      <c r="B38" s="102">
        <v>0</v>
      </c>
      <c r="C38" s="102">
        <v>0</v>
      </c>
      <c r="D38" s="102">
        <v>0</v>
      </c>
      <c r="E38" s="102">
        <v>0</v>
      </c>
      <c r="F38" s="102">
        <v>0</v>
      </c>
      <c r="G38" s="102">
        <v>0</v>
      </c>
      <c r="H38" s="102">
        <v>0</v>
      </c>
      <c r="I38" s="102">
        <v>0</v>
      </c>
      <c r="J38" s="102">
        <v>0</v>
      </c>
      <c r="K38" s="102">
        <v>0</v>
      </c>
      <c r="L38" s="102">
        <v>0</v>
      </c>
      <c r="M38" s="102">
        <v>0</v>
      </c>
      <c r="N38" s="102">
        <v>0</v>
      </c>
      <c r="O38" s="102">
        <v>0</v>
      </c>
      <c r="P38" s="102">
        <v>0</v>
      </c>
      <c r="Q38" s="102">
        <v>0</v>
      </c>
      <c r="R38" s="102">
        <v>0</v>
      </c>
      <c r="S38" s="102">
        <v>0</v>
      </c>
      <c r="T38" s="102">
        <v>0</v>
      </c>
      <c r="U38" s="102">
        <v>0</v>
      </c>
      <c r="V38" s="102">
        <v>0</v>
      </c>
      <c r="W38" s="102">
        <v>0</v>
      </c>
      <c r="X38" s="102">
        <v>0</v>
      </c>
      <c r="Y38" s="102">
        <v>0</v>
      </c>
      <c r="Z38" s="102">
        <v>0</v>
      </c>
      <c r="AA38" s="102">
        <v>0</v>
      </c>
      <c r="AB38" s="102">
        <v>5</v>
      </c>
      <c r="AC38" s="102">
        <v>5</v>
      </c>
      <c r="AD38" s="102">
        <v>5</v>
      </c>
      <c r="AE38" s="102">
        <v>5</v>
      </c>
      <c r="AF38" s="102">
        <v>5</v>
      </c>
      <c r="AG38" s="130">
        <v>14.9</v>
      </c>
      <c r="AH38" s="12">
        <f t="shared" si="8"/>
        <v>5</v>
      </c>
      <c r="AI38" s="11">
        <f t="shared" si="9"/>
        <v>0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25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25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25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25">
      <c r="A42" s="89" t="s">
        <v>225</v>
      </c>
      <c r="B42" s="102">
        <v>1.8</v>
      </c>
      <c r="C42" s="102">
        <v>1.8</v>
      </c>
      <c r="D42" s="102">
        <v>1.8</v>
      </c>
      <c r="E42" s="102">
        <v>1.8</v>
      </c>
      <c r="F42" s="102">
        <v>1.8</v>
      </c>
      <c r="G42" s="102">
        <v>1.8</v>
      </c>
      <c r="H42" s="102">
        <v>1.8</v>
      </c>
      <c r="I42" s="102">
        <v>1.8</v>
      </c>
      <c r="J42" s="102">
        <v>1.8</v>
      </c>
      <c r="K42" s="102">
        <v>1.8</v>
      </c>
      <c r="L42" s="102">
        <v>1.8</v>
      </c>
      <c r="M42" s="102">
        <v>1.8</v>
      </c>
      <c r="N42" s="102">
        <v>1.8</v>
      </c>
      <c r="O42" s="102">
        <v>1.8</v>
      </c>
      <c r="P42" s="102">
        <v>1.8</v>
      </c>
      <c r="Q42" s="102">
        <v>1.8</v>
      </c>
      <c r="R42" s="102">
        <v>1.8</v>
      </c>
      <c r="S42" s="102">
        <v>1.8</v>
      </c>
      <c r="T42" s="102">
        <v>1.8</v>
      </c>
      <c r="U42" s="102">
        <v>1.8</v>
      </c>
      <c r="V42" s="102">
        <v>1.8</v>
      </c>
      <c r="W42" s="102">
        <v>1.8</v>
      </c>
      <c r="X42" s="102">
        <v>1.8</v>
      </c>
      <c r="Y42" s="102">
        <v>1.8</v>
      </c>
      <c r="Z42" s="102">
        <v>1.8</v>
      </c>
      <c r="AA42" s="102">
        <v>1.8</v>
      </c>
      <c r="AB42" s="102">
        <v>1.8</v>
      </c>
      <c r="AC42" s="102">
        <v>1.8</v>
      </c>
      <c r="AD42" s="102">
        <v>1.8</v>
      </c>
      <c r="AE42" s="102">
        <v>1.8</v>
      </c>
      <c r="AF42" s="102">
        <v>1.8</v>
      </c>
      <c r="AG42" s="130">
        <v>13.6</v>
      </c>
      <c r="AH42" s="12">
        <f t="shared" si="8"/>
        <v>1.8</v>
      </c>
      <c r="AI42" s="11">
        <f t="shared" si="9"/>
        <v>1.8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25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25">
      <c r="A44" s="89" t="s">
        <v>223</v>
      </c>
      <c r="B44" s="102">
        <v>6.4</v>
      </c>
      <c r="C44" s="102">
        <v>6.4</v>
      </c>
      <c r="D44" s="102">
        <v>6.4</v>
      </c>
      <c r="E44" s="102">
        <v>6.4</v>
      </c>
      <c r="F44" s="102">
        <v>6.4</v>
      </c>
      <c r="G44" s="102">
        <v>6.4</v>
      </c>
      <c r="H44" s="102">
        <v>6.4</v>
      </c>
      <c r="I44" s="102">
        <v>6.4</v>
      </c>
      <c r="J44" s="102">
        <v>6.4</v>
      </c>
      <c r="K44" s="102">
        <v>6.4</v>
      </c>
      <c r="L44" s="102">
        <v>6.4</v>
      </c>
      <c r="M44" s="102">
        <v>6.4</v>
      </c>
      <c r="N44" s="102">
        <v>6.4</v>
      </c>
      <c r="O44" s="102">
        <v>6.4</v>
      </c>
      <c r="P44" s="102">
        <v>6.4</v>
      </c>
      <c r="Q44" s="102">
        <v>6.4</v>
      </c>
      <c r="R44" s="102">
        <v>6.4</v>
      </c>
      <c r="S44" s="102">
        <v>6.4</v>
      </c>
      <c r="T44" s="102">
        <v>6.4</v>
      </c>
      <c r="U44" s="102">
        <v>6.4</v>
      </c>
      <c r="V44" s="102">
        <v>6.4</v>
      </c>
      <c r="W44" s="102">
        <v>6.4</v>
      </c>
      <c r="X44" s="102">
        <v>6.4</v>
      </c>
      <c r="Y44" s="102">
        <v>6.4</v>
      </c>
      <c r="Z44" s="102">
        <v>6.4</v>
      </c>
      <c r="AA44" s="102">
        <v>6.4</v>
      </c>
      <c r="AB44" s="102">
        <v>6.4</v>
      </c>
      <c r="AC44" s="102">
        <v>6.4</v>
      </c>
      <c r="AD44" s="102">
        <v>6.4</v>
      </c>
      <c r="AE44" s="102">
        <v>6.4</v>
      </c>
      <c r="AF44" s="102">
        <v>6.4</v>
      </c>
      <c r="AG44" s="130">
        <v>12</v>
      </c>
      <c r="AH44" s="12">
        <f t="shared" si="8"/>
        <v>6.4</v>
      </c>
      <c r="AI44" s="11">
        <f t="shared" si="9"/>
        <v>6.4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25">
      <c r="A45" s="89" t="s">
        <v>222</v>
      </c>
      <c r="B45" s="102">
        <v>9</v>
      </c>
      <c r="C45" s="102">
        <v>9</v>
      </c>
      <c r="D45" s="102">
        <v>9</v>
      </c>
      <c r="E45" s="102">
        <v>9</v>
      </c>
      <c r="F45" s="102">
        <v>9</v>
      </c>
      <c r="G45" s="102">
        <v>9</v>
      </c>
      <c r="H45" s="102">
        <v>9</v>
      </c>
      <c r="I45" s="102">
        <v>9</v>
      </c>
      <c r="J45" s="102">
        <v>9</v>
      </c>
      <c r="K45" s="102">
        <v>9</v>
      </c>
      <c r="L45" s="102">
        <v>9</v>
      </c>
      <c r="M45" s="102">
        <v>9</v>
      </c>
      <c r="N45" s="102">
        <v>9</v>
      </c>
      <c r="O45" s="102">
        <v>9</v>
      </c>
      <c r="P45" s="102">
        <v>9</v>
      </c>
      <c r="Q45" s="102">
        <v>9</v>
      </c>
      <c r="R45" s="102">
        <v>9</v>
      </c>
      <c r="S45" s="102">
        <v>9</v>
      </c>
      <c r="T45" s="102">
        <v>9</v>
      </c>
      <c r="U45" s="102">
        <v>9</v>
      </c>
      <c r="V45" s="102">
        <v>9</v>
      </c>
      <c r="W45" s="102">
        <v>9</v>
      </c>
      <c r="X45" s="102">
        <v>9</v>
      </c>
      <c r="Y45" s="102">
        <v>9</v>
      </c>
      <c r="Z45" s="102">
        <v>9</v>
      </c>
      <c r="AA45" s="102">
        <v>9</v>
      </c>
      <c r="AB45" s="102">
        <v>9</v>
      </c>
      <c r="AC45" s="102">
        <v>9</v>
      </c>
      <c r="AD45" s="102">
        <v>9</v>
      </c>
      <c r="AE45" s="102">
        <v>9</v>
      </c>
      <c r="AF45" s="102">
        <v>9</v>
      </c>
      <c r="AG45" s="130">
        <v>12</v>
      </c>
      <c r="AH45" s="12">
        <f t="shared" si="8"/>
        <v>9</v>
      </c>
      <c r="AI45" s="11">
        <f t="shared" si="9"/>
        <v>9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25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25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25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25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25">
      <c r="A50" s="87" t="s">
        <v>217</v>
      </c>
      <c r="B50" s="102">
        <v>0</v>
      </c>
      <c r="C50" s="102">
        <v>0</v>
      </c>
      <c r="D50" s="102">
        <v>0</v>
      </c>
      <c r="E50" s="102">
        <v>0</v>
      </c>
      <c r="F50" s="102">
        <v>0</v>
      </c>
      <c r="G50" s="102">
        <v>0</v>
      </c>
      <c r="H50" s="102">
        <v>0</v>
      </c>
      <c r="I50" s="102">
        <v>0</v>
      </c>
      <c r="J50" s="102">
        <v>0</v>
      </c>
      <c r="K50" s="102">
        <v>0</v>
      </c>
      <c r="L50" s="102">
        <v>0</v>
      </c>
      <c r="M50" s="102">
        <v>0</v>
      </c>
      <c r="N50" s="102">
        <v>0</v>
      </c>
      <c r="O50" s="102">
        <v>0</v>
      </c>
      <c r="P50" s="102">
        <v>0</v>
      </c>
      <c r="Q50" s="102">
        <v>0</v>
      </c>
      <c r="R50" s="102">
        <v>0</v>
      </c>
      <c r="S50" s="102">
        <v>0</v>
      </c>
      <c r="T50" s="102">
        <v>0</v>
      </c>
      <c r="U50" s="102">
        <v>0</v>
      </c>
      <c r="V50" s="102">
        <v>0</v>
      </c>
      <c r="W50" s="102">
        <v>0</v>
      </c>
      <c r="X50" s="102">
        <v>0</v>
      </c>
      <c r="Y50" s="102">
        <v>0</v>
      </c>
      <c r="Z50" s="102">
        <v>0</v>
      </c>
      <c r="AA50" s="102">
        <v>0</v>
      </c>
      <c r="AB50" s="102">
        <v>2.5</v>
      </c>
      <c r="AC50" s="102">
        <v>2.5</v>
      </c>
      <c r="AD50" s="102">
        <v>2.5</v>
      </c>
      <c r="AE50" s="102">
        <v>2.5</v>
      </c>
      <c r="AF50" s="102">
        <v>2.5</v>
      </c>
      <c r="AG50" s="86">
        <v>11</v>
      </c>
      <c r="AH50" s="12">
        <f t="shared" ref="AH50:AH81" si="22">MAX(B50:AF50)</f>
        <v>2.5</v>
      </c>
      <c r="AI50" s="11">
        <f t="shared" ref="AI50:AI81" si="23">MIN(B50:AF50)</f>
        <v>0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25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22"/>
        <v>3</v>
      </c>
      <c r="AI51" s="11">
        <f t="shared" si="23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25">
      <c r="A52" s="87" t="s">
        <v>215</v>
      </c>
      <c r="B52" s="102">
        <v>4</v>
      </c>
      <c r="C52" s="102">
        <v>4</v>
      </c>
      <c r="D52" s="102">
        <v>4</v>
      </c>
      <c r="E52" s="102">
        <v>4</v>
      </c>
      <c r="F52" s="102">
        <v>4</v>
      </c>
      <c r="G52" s="102">
        <v>4</v>
      </c>
      <c r="H52" s="102">
        <v>4</v>
      </c>
      <c r="I52" s="102">
        <v>4</v>
      </c>
      <c r="J52" s="102">
        <v>4</v>
      </c>
      <c r="K52" s="102">
        <v>4</v>
      </c>
      <c r="L52" s="102">
        <v>4</v>
      </c>
      <c r="M52" s="102">
        <v>4</v>
      </c>
      <c r="N52" s="102">
        <v>4</v>
      </c>
      <c r="O52" s="102">
        <v>4</v>
      </c>
      <c r="P52" s="102">
        <v>4</v>
      </c>
      <c r="Q52" s="102">
        <v>4</v>
      </c>
      <c r="R52" s="102">
        <v>4</v>
      </c>
      <c r="S52" s="102">
        <v>4</v>
      </c>
      <c r="T52" s="102">
        <v>4</v>
      </c>
      <c r="U52" s="102">
        <v>4</v>
      </c>
      <c r="V52" s="102">
        <v>4</v>
      </c>
      <c r="W52" s="102">
        <v>4</v>
      </c>
      <c r="X52" s="102">
        <v>4</v>
      </c>
      <c r="Y52" s="102">
        <v>4</v>
      </c>
      <c r="Z52" s="102">
        <v>4</v>
      </c>
      <c r="AA52" s="102">
        <v>4</v>
      </c>
      <c r="AB52" s="102">
        <v>4</v>
      </c>
      <c r="AC52" s="102">
        <v>4</v>
      </c>
      <c r="AD52" s="102">
        <v>4</v>
      </c>
      <c r="AE52" s="102">
        <v>4</v>
      </c>
      <c r="AF52" s="102">
        <v>4</v>
      </c>
      <c r="AG52" s="86">
        <v>10</v>
      </c>
      <c r="AH52" s="12">
        <f t="shared" si="22"/>
        <v>4</v>
      </c>
      <c r="AI52" s="11">
        <f t="shared" si="23"/>
        <v>4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25">
      <c r="A53" s="87" t="s">
        <v>214</v>
      </c>
      <c r="B53" s="102">
        <v>0</v>
      </c>
      <c r="C53" s="102">
        <v>0</v>
      </c>
      <c r="D53" s="102">
        <v>0</v>
      </c>
      <c r="E53" s="102">
        <v>0</v>
      </c>
      <c r="F53" s="102">
        <v>0</v>
      </c>
      <c r="G53" s="102">
        <v>0</v>
      </c>
      <c r="H53" s="102">
        <v>0</v>
      </c>
      <c r="I53" s="102">
        <v>0</v>
      </c>
      <c r="J53" s="102">
        <v>0</v>
      </c>
      <c r="K53" s="102">
        <v>0</v>
      </c>
      <c r="L53" s="102">
        <v>0</v>
      </c>
      <c r="M53" s="102">
        <v>0</v>
      </c>
      <c r="N53" s="102">
        <v>0</v>
      </c>
      <c r="O53" s="102">
        <v>0</v>
      </c>
      <c r="P53" s="102">
        <v>0</v>
      </c>
      <c r="Q53" s="102">
        <v>0</v>
      </c>
      <c r="R53" s="102">
        <v>0</v>
      </c>
      <c r="S53" s="102">
        <v>0</v>
      </c>
      <c r="T53" s="102">
        <v>0</v>
      </c>
      <c r="U53" s="102">
        <v>0</v>
      </c>
      <c r="V53" s="102">
        <v>0</v>
      </c>
      <c r="W53" s="102">
        <v>0</v>
      </c>
      <c r="X53" s="102">
        <v>0</v>
      </c>
      <c r="Y53" s="102">
        <v>0</v>
      </c>
      <c r="Z53" s="102">
        <v>0</v>
      </c>
      <c r="AA53" s="102">
        <v>0</v>
      </c>
      <c r="AB53" s="102">
        <v>6</v>
      </c>
      <c r="AC53" s="102">
        <v>6</v>
      </c>
      <c r="AD53" s="102">
        <v>6</v>
      </c>
      <c r="AE53" s="102">
        <v>6</v>
      </c>
      <c r="AF53" s="102">
        <v>6</v>
      </c>
      <c r="AG53" s="86">
        <v>10</v>
      </c>
      <c r="AH53" s="12">
        <f t="shared" si="22"/>
        <v>6</v>
      </c>
      <c r="AI53" s="11">
        <f t="shared" si="23"/>
        <v>0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25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22"/>
        <v>0</v>
      </c>
      <c r="AI54" s="11">
        <f t="shared" si="23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25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22"/>
        <v>0</v>
      </c>
      <c r="AI55" s="11">
        <f t="shared" si="23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25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22"/>
        <v>150</v>
      </c>
      <c r="AI56" s="11">
        <f t="shared" si="23"/>
        <v>150</v>
      </c>
      <c r="AK56" s="19"/>
    </row>
    <row r="57" spans="1:88" ht="15.75" thickBot="1" x14ac:dyDescent="0.3">
      <c r="A57" s="124" t="s">
        <v>210</v>
      </c>
      <c r="B57" s="122">
        <v>47.2</v>
      </c>
      <c r="C57" s="122">
        <v>47.2</v>
      </c>
      <c r="D57" s="122">
        <v>47.2</v>
      </c>
      <c r="E57" s="122">
        <v>52</v>
      </c>
      <c r="F57" s="122">
        <v>42</v>
      </c>
      <c r="G57" s="122">
        <v>42</v>
      </c>
      <c r="H57" s="122">
        <v>43</v>
      </c>
      <c r="I57" s="122">
        <v>45</v>
      </c>
      <c r="J57" s="122">
        <v>45</v>
      </c>
      <c r="K57" s="122">
        <v>45</v>
      </c>
      <c r="L57" s="122">
        <v>48</v>
      </c>
      <c r="M57" s="123">
        <f>28.6+17.3</f>
        <v>45.900000000000006</v>
      </c>
      <c r="N57" s="123">
        <f>37.9</f>
        <v>37.9</v>
      </c>
      <c r="O57" s="123">
        <f>29.2+15.7</f>
        <v>44.9</v>
      </c>
      <c r="P57" s="123">
        <f>25.6+15.3</f>
        <v>40.900000000000006</v>
      </c>
      <c r="Q57" s="123">
        <f>29.9+17.3</f>
        <v>47.2</v>
      </c>
      <c r="R57" s="123">
        <f>30.4+19.4</f>
        <v>49.8</v>
      </c>
      <c r="S57" s="123">
        <v>48.6</v>
      </c>
      <c r="T57" s="123">
        <v>48.6</v>
      </c>
      <c r="U57" s="123">
        <v>48.6</v>
      </c>
      <c r="V57" s="123">
        <v>57.5</v>
      </c>
      <c r="W57" s="123">
        <v>57.5</v>
      </c>
      <c r="X57" s="123">
        <v>64</v>
      </c>
      <c r="Y57" s="123">
        <v>62.8</v>
      </c>
      <c r="Z57" s="122">
        <v>59.7</v>
      </c>
      <c r="AA57" s="122">
        <v>60.2</v>
      </c>
      <c r="AB57" s="122">
        <v>72.400000000000006</v>
      </c>
      <c r="AC57" s="122">
        <v>72.400000000000006</v>
      </c>
      <c r="AD57" s="122">
        <v>72.400000000000006</v>
      </c>
      <c r="AE57" s="122">
        <f>23.1+48.7</f>
        <v>71.800000000000011</v>
      </c>
      <c r="AF57" s="122">
        <f>23.1+48.7</f>
        <v>71.800000000000011</v>
      </c>
      <c r="AG57" s="86">
        <v>240</v>
      </c>
      <c r="AH57" s="12">
        <f t="shared" si="22"/>
        <v>72.400000000000006</v>
      </c>
      <c r="AI57" s="11">
        <f t="shared" si="23"/>
        <v>37.9</v>
      </c>
      <c r="AK57" s="19"/>
    </row>
    <row r="58" spans="1:88" ht="15.75" thickBot="1" x14ac:dyDescent="0.3">
      <c r="A58" s="121" t="s">
        <v>209</v>
      </c>
      <c r="B58" s="76">
        <f t="shared" ref="B58:AF58" si="24">SUM(B11:B56)</f>
        <v>469.2</v>
      </c>
      <c r="C58" s="76">
        <f t="shared" si="24"/>
        <v>469.2</v>
      </c>
      <c r="D58" s="76">
        <f t="shared" si="24"/>
        <v>469.2</v>
      </c>
      <c r="E58" s="76">
        <f t="shared" si="24"/>
        <v>473.2</v>
      </c>
      <c r="F58" s="76">
        <f t="shared" si="24"/>
        <v>473.2</v>
      </c>
      <c r="G58" s="76">
        <f t="shared" si="24"/>
        <v>473.2</v>
      </c>
      <c r="H58" s="76">
        <f t="shared" si="24"/>
        <v>473.2</v>
      </c>
      <c r="I58" s="76">
        <f t="shared" si="24"/>
        <v>473.2</v>
      </c>
      <c r="J58" s="76">
        <f t="shared" si="24"/>
        <v>473.2</v>
      </c>
      <c r="K58" s="76">
        <f t="shared" si="24"/>
        <v>473.2</v>
      </c>
      <c r="L58" s="76">
        <f t="shared" si="24"/>
        <v>473.2</v>
      </c>
      <c r="M58" s="76">
        <f t="shared" si="24"/>
        <v>468.59999999999997</v>
      </c>
      <c r="N58" s="76">
        <f t="shared" si="24"/>
        <v>471.49999999999994</v>
      </c>
      <c r="O58" s="76">
        <f t="shared" si="24"/>
        <v>470.09999999999997</v>
      </c>
      <c r="P58" s="76">
        <f t="shared" si="24"/>
        <v>476.99999999999994</v>
      </c>
      <c r="Q58" s="76">
        <f t="shared" si="24"/>
        <v>468.29999999999995</v>
      </c>
      <c r="R58" s="76">
        <f t="shared" si="24"/>
        <v>469.09999999999997</v>
      </c>
      <c r="S58" s="76">
        <f t="shared" si="24"/>
        <v>469.09999999999997</v>
      </c>
      <c r="T58" s="76">
        <f t="shared" si="24"/>
        <v>469.09999999999997</v>
      </c>
      <c r="U58" s="76">
        <f t="shared" si="24"/>
        <v>469.09999999999997</v>
      </c>
      <c r="V58" s="76">
        <f t="shared" si="24"/>
        <v>469.09999999999997</v>
      </c>
      <c r="W58" s="76">
        <f t="shared" si="24"/>
        <v>469.09999999999997</v>
      </c>
      <c r="X58" s="76">
        <f t="shared" si="24"/>
        <v>469.09999999999997</v>
      </c>
      <c r="Y58" s="76">
        <f t="shared" si="24"/>
        <v>469.09999999999997</v>
      </c>
      <c r="Z58" s="76">
        <f t="shared" si="24"/>
        <v>469.09999999999997</v>
      </c>
      <c r="AA58" s="76">
        <f t="shared" si="24"/>
        <v>469.09999999999997</v>
      </c>
      <c r="AB58" s="76">
        <f t="shared" si="24"/>
        <v>573.70000000000005</v>
      </c>
      <c r="AC58" s="76">
        <f t="shared" si="24"/>
        <v>573.70000000000005</v>
      </c>
      <c r="AD58" s="76">
        <f t="shared" si="24"/>
        <v>578.70000000000005</v>
      </c>
      <c r="AE58" s="76">
        <f t="shared" si="24"/>
        <v>578.70000000000005</v>
      </c>
      <c r="AF58" s="76">
        <f t="shared" si="24"/>
        <v>580.79999999999995</v>
      </c>
      <c r="AG58" s="93">
        <f>SUM(AG14:AG56)</f>
        <v>1042.4000000000001</v>
      </c>
      <c r="AH58" s="12">
        <f t="shared" si="22"/>
        <v>580.79999999999995</v>
      </c>
      <c r="AI58" s="11">
        <f t="shared" si="23"/>
        <v>468.29999999999995</v>
      </c>
      <c r="AK58" s="19"/>
    </row>
    <row r="59" spans="1:88" x14ac:dyDescent="0.25">
      <c r="A59" s="120" t="s">
        <v>208</v>
      </c>
      <c r="B59" s="102">
        <v>100</v>
      </c>
      <c r="C59" s="102">
        <v>76</v>
      </c>
      <c r="D59" s="102">
        <v>76</v>
      </c>
      <c r="E59" s="102">
        <v>76</v>
      </c>
      <c r="F59" s="102">
        <v>60.3</v>
      </c>
      <c r="G59" s="102">
        <v>60.3</v>
      </c>
      <c r="H59" s="102">
        <v>60.3</v>
      </c>
      <c r="I59" s="102">
        <v>60.3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19">
        <v>0</v>
      </c>
      <c r="X59" s="119">
        <v>30.1</v>
      </c>
      <c r="Y59" s="119">
        <v>344</v>
      </c>
      <c r="Z59" s="102">
        <v>381</v>
      </c>
      <c r="AA59" s="102">
        <v>381</v>
      </c>
      <c r="AB59" s="102">
        <v>331.5</v>
      </c>
      <c r="AC59" s="102">
        <v>300</v>
      </c>
      <c r="AD59" s="102">
        <v>253.3</v>
      </c>
      <c r="AE59" s="102">
        <v>253.5</v>
      </c>
      <c r="AF59" s="102">
        <v>150.9</v>
      </c>
      <c r="AG59" s="88">
        <v>456</v>
      </c>
      <c r="AH59" s="12">
        <f t="shared" si="22"/>
        <v>381</v>
      </c>
      <c r="AI59" s="11">
        <f t="shared" si="23"/>
        <v>0</v>
      </c>
      <c r="AK59" s="19"/>
    </row>
    <row r="60" spans="1:88" x14ac:dyDescent="0.25">
      <c r="A60" s="118" t="s">
        <v>207</v>
      </c>
      <c r="B60" s="70">
        <v>22.5</v>
      </c>
      <c r="C60" s="70">
        <v>22.5</v>
      </c>
      <c r="D60" s="70">
        <v>22.5</v>
      </c>
      <c r="E60" s="70">
        <v>22.5</v>
      </c>
      <c r="F60" s="70">
        <v>22.5</v>
      </c>
      <c r="G60" s="70">
        <v>22.5</v>
      </c>
      <c r="H60" s="70">
        <v>22.5</v>
      </c>
      <c r="I60" s="70">
        <v>22.5</v>
      </c>
      <c r="J60" s="70">
        <v>22.5</v>
      </c>
      <c r="K60" s="70">
        <v>22.5</v>
      </c>
      <c r="L60" s="70">
        <v>22.5</v>
      </c>
      <c r="M60" s="70">
        <v>22.5</v>
      </c>
      <c r="N60" s="70">
        <v>22.5</v>
      </c>
      <c r="O60" s="70">
        <v>22.5</v>
      </c>
      <c r="P60" s="70">
        <v>23</v>
      </c>
      <c r="Q60" s="70">
        <v>23</v>
      </c>
      <c r="R60" s="70">
        <v>23</v>
      </c>
      <c r="S60" s="70">
        <v>23</v>
      </c>
      <c r="T60" s="70">
        <v>23</v>
      </c>
      <c r="U60" s="70">
        <v>23</v>
      </c>
      <c r="V60" s="70">
        <v>23</v>
      </c>
      <c r="W60" s="70">
        <v>23</v>
      </c>
      <c r="X60" s="70">
        <v>23</v>
      </c>
      <c r="Y60" s="70">
        <v>23</v>
      </c>
      <c r="Z60" s="70">
        <v>23</v>
      </c>
      <c r="AA60" s="70">
        <v>23</v>
      </c>
      <c r="AB60" s="70">
        <v>23</v>
      </c>
      <c r="AC60" s="70">
        <v>25.2</v>
      </c>
      <c r="AD60" s="70">
        <v>27.2</v>
      </c>
      <c r="AE60" s="70">
        <v>49.3</v>
      </c>
      <c r="AF60" s="70">
        <v>53</v>
      </c>
      <c r="AG60" s="86">
        <v>60</v>
      </c>
      <c r="AH60" s="12">
        <f t="shared" si="22"/>
        <v>53</v>
      </c>
      <c r="AI60" s="11">
        <f t="shared" si="23"/>
        <v>22.5</v>
      </c>
      <c r="AK60" s="19"/>
    </row>
    <row r="61" spans="1:88" ht="15.75" thickBot="1" x14ac:dyDescent="0.3">
      <c r="A61" s="117" t="s">
        <v>206</v>
      </c>
      <c r="B61" s="110">
        <v>16.3</v>
      </c>
      <c r="C61" s="110">
        <v>16.3</v>
      </c>
      <c r="D61" s="110">
        <v>16.3</v>
      </c>
      <c r="E61" s="110">
        <v>14.3</v>
      </c>
      <c r="F61" s="110">
        <v>14.3</v>
      </c>
      <c r="G61" s="110">
        <v>18.100000000000001</v>
      </c>
      <c r="H61" s="110">
        <v>18.100000000000001</v>
      </c>
      <c r="I61" s="110">
        <v>18.100000000000001</v>
      </c>
      <c r="J61" s="110">
        <v>18.100000000000001</v>
      </c>
      <c r="K61" s="110">
        <v>18.100000000000001</v>
      </c>
      <c r="L61" s="110">
        <v>14.5</v>
      </c>
      <c r="M61" s="110">
        <v>14.4</v>
      </c>
      <c r="N61" s="110">
        <v>14.4</v>
      </c>
      <c r="O61" s="110">
        <v>14.4</v>
      </c>
      <c r="P61" s="110">
        <v>14.4</v>
      </c>
      <c r="Q61" s="110">
        <v>14.5</v>
      </c>
      <c r="R61" s="110">
        <v>12.4</v>
      </c>
      <c r="S61" s="110">
        <v>12.4</v>
      </c>
      <c r="T61" s="110">
        <v>12.4</v>
      </c>
      <c r="U61" s="110">
        <v>12.4</v>
      </c>
      <c r="V61" s="110">
        <v>12.4</v>
      </c>
      <c r="W61" s="110">
        <v>12.4</v>
      </c>
      <c r="X61" s="110">
        <v>12.4</v>
      </c>
      <c r="Y61" s="110">
        <v>12.4</v>
      </c>
      <c r="Z61" s="110">
        <v>12.4</v>
      </c>
      <c r="AA61" s="110">
        <v>12.4</v>
      </c>
      <c r="AB61" s="110">
        <v>15.9</v>
      </c>
      <c r="AC61" s="110">
        <v>22.4</v>
      </c>
      <c r="AD61" s="110">
        <v>14.3</v>
      </c>
      <c r="AE61" s="110">
        <v>18.2</v>
      </c>
      <c r="AF61" s="110">
        <v>20.3</v>
      </c>
      <c r="AG61" s="109">
        <v>22.1</v>
      </c>
      <c r="AH61" s="12">
        <f t="shared" si="22"/>
        <v>22.4</v>
      </c>
      <c r="AI61" s="11">
        <f t="shared" si="23"/>
        <v>12.4</v>
      </c>
      <c r="AK61" s="19"/>
    </row>
    <row r="62" spans="1:88" ht="15.75" thickBot="1" x14ac:dyDescent="0.3">
      <c r="A62" s="116" t="s">
        <v>205</v>
      </c>
      <c r="B62" s="76">
        <f t="shared" ref="B62:AG62" si="25">SUM(B59:B61)</f>
        <v>138.80000000000001</v>
      </c>
      <c r="C62" s="76">
        <f t="shared" si="25"/>
        <v>114.8</v>
      </c>
      <c r="D62" s="76">
        <f t="shared" si="25"/>
        <v>114.8</v>
      </c>
      <c r="E62" s="76">
        <f t="shared" si="25"/>
        <v>112.8</v>
      </c>
      <c r="F62" s="76">
        <f t="shared" si="25"/>
        <v>97.1</v>
      </c>
      <c r="G62" s="76">
        <f t="shared" si="25"/>
        <v>100.9</v>
      </c>
      <c r="H62" s="76">
        <f t="shared" si="25"/>
        <v>100.9</v>
      </c>
      <c r="I62" s="76">
        <f t="shared" si="25"/>
        <v>100.9</v>
      </c>
      <c r="J62" s="76">
        <f t="shared" si="25"/>
        <v>40.6</v>
      </c>
      <c r="K62" s="76">
        <f t="shared" si="25"/>
        <v>40.6</v>
      </c>
      <c r="L62" s="76">
        <f t="shared" si="25"/>
        <v>37</v>
      </c>
      <c r="M62" s="76">
        <f t="shared" si="25"/>
        <v>36.9</v>
      </c>
      <c r="N62" s="76">
        <f t="shared" si="25"/>
        <v>36.9</v>
      </c>
      <c r="O62" s="76">
        <f t="shared" si="25"/>
        <v>36.9</v>
      </c>
      <c r="P62" s="76">
        <f t="shared" si="25"/>
        <v>37.4</v>
      </c>
      <c r="Q62" s="76">
        <f t="shared" si="25"/>
        <v>37.5</v>
      </c>
      <c r="R62" s="76">
        <f t="shared" si="25"/>
        <v>35.4</v>
      </c>
      <c r="S62" s="76">
        <f t="shared" si="25"/>
        <v>35.4</v>
      </c>
      <c r="T62" s="76">
        <f t="shared" si="25"/>
        <v>35.4</v>
      </c>
      <c r="U62" s="76">
        <f t="shared" si="25"/>
        <v>35.4</v>
      </c>
      <c r="V62" s="76">
        <f t="shared" si="25"/>
        <v>35.4</v>
      </c>
      <c r="W62" s="76">
        <f t="shared" si="25"/>
        <v>35.4</v>
      </c>
      <c r="X62" s="76">
        <f t="shared" si="25"/>
        <v>65.5</v>
      </c>
      <c r="Y62" s="76">
        <f t="shared" si="25"/>
        <v>379.4</v>
      </c>
      <c r="Z62" s="76">
        <f t="shared" si="25"/>
        <v>416.4</v>
      </c>
      <c r="AA62" s="76">
        <f t="shared" si="25"/>
        <v>416.4</v>
      </c>
      <c r="AB62" s="76">
        <f t="shared" si="25"/>
        <v>370.4</v>
      </c>
      <c r="AC62" s="76">
        <f t="shared" si="25"/>
        <v>347.59999999999997</v>
      </c>
      <c r="AD62" s="76">
        <f t="shared" si="25"/>
        <v>294.8</v>
      </c>
      <c r="AE62" s="76">
        <f t="shared" si="25"/>
        <v>321</v>
      </c>
      <c r="AF62" s="76">
        <f t="shared" si="25"/>
        <v>224.20000000000002</v>
      </c>
      <c r="AG62" s="93">
        <f t="shared" si="25"/>
        <v>538.1</v>
      </c>
      <c r="AH62" s="12">
        <f t="shared" si="22"/>
        <v>416.4</v>
      </c>
      <c r="AI62" s="11">
        <f t="shared" si="23"/>
        <v>35.4</v>
      </c>
      <c r="AK62" s="19"/>
    </row>
    <row r="63" spans="1:88" x14ac:dyDescent="0.25">
      <c r="A63" s="89" t="s">
        <v>204</v>
      </c>
      <c r="B63" s="102">
        <v>45</v>
      </c>
      <c r="C63" s="102">
        <v>45</v>
      </c>
      <c r="D63" s="102">
        <v>45</v>
      </c>
      <c r="E63" s="102">
        <v>31.2</v>
      </c>
      <c r="F63" s="102">
        <v>31.2</v>
      </c>
      <c r="G63" s="102">
        <v>31.2</v>
      </c>
      <c r="H63" s="102">
        <v>31.2</v>
      </c>
      <c r="I63" s="102">
        <v>61.1</v>
      </c>
      <c r="J63" s="102">
        <v>75</v>
      </c>
      <c r="K63" s="102">
        <v>90</v>
      </c>
      <c r="L63" s="102">
        <v>90</v>
      </c>
      <c r="M63" s="102">
        <v>58.6</v>
      </c>
      <c r="N63" s="102">
        <v>57.2</v>
      </c>
      <c r="O63" s="102">
        <v>56.8</v>
      </c>
      <c r="P63" s="102">
        <v>57.3</v>
      </c>
      <c r="Q63" s="102">
        <v>70.5</v>
      </c>
      <c r="R63" s="102">
        <v>32</v>
      </c>
      <c r="S63" s="102">
        <v>35.1</v>
      </c>
      <c r="T63" s="102">
        <v>30.5</v>
      </c>
      <c r="U63" s="102">
        <v>30.5</v>
      </c>
      <c r="V63" s="102">
        <v>30.8</v>
      </c>
      <c r="W63" s="102">
        <v>30.8</v>
      </c>
      <c r="X63" s="102">
        <v>62</v>
      </c>
      <c r="Y63" s="102">
        <v>97.1</v>
      </c>
      <c r="Z63" s="102">
        <v>97.1</v>
      </c>
      <c r="AA63" s="102">
        <v>97.1</v>
      </c>
      <c r="AB63" s="102">
        <v>97.3</v>
      </c>
      <c r="AC63" s="102">
        <v>97</v>
      </c>
      <c r="AD63" s="102">
        <v>99</v>
      </c>
      <c r="AE63" s="102">
        <v>71.400000000000006</v>
      </c>
      <c r="AF63" s="102">
        <v>70.7</v>
      </c>
      <c r="AG63" s="88">
        <v>144</v>
      </c>
      <c r="AH63" s="12">
        <f t="shared" si="22"/>
        <v>99</v>
      </c>
      <c r="AI63" s="11">
        <f t="shared" si="23"/>
        <v>30.5</v>
      </c>
      <c r="AK63" s="19"/>
    </row>
    <row r="64" spans="1:88" x14ac:dyDescent="0.25">
      <c r="A64" s="87" t="s">
        <v>203</v>
      </c>
      <c r="B64" s="70">
        <v>60</v>
      </c>
      <c r="C64" s="70">
        <v>60</v>
      </c>
      <c r="D64" s="70">
        <v>24</v>
      </c>
      <c r="E64" s="70">
        <v>22.5</v>
      </c>
      <c r="F64" s="70">
        <v>22.5</v>
      </c>
      <c r="G64" s="70">
        <v>25.8</v>
      </c>
      <c r="H64" s="70">
        <v>25.8</v>
      </c>
      <c r="I64" s="70">
        <v>25.8</v>
      </c>
      <c r="J64" s="70">
        <v>25.8</v>
      </c>
      <c r="K64" s="70">
        <v>48</v>
      </c>
      <c r="L64" s="70">
        <v>48</v>
      </c>
      <c r="M64" s="70">
        <v>24.4</v>
      </c>
      <c r="N64" s="70">
        <v>24.9</v>
      </c>
      <c r="O64" s="70">
        <v>25.3</v>
      </c>
      <c r="P64" s="70">
        <v>35</v>
      </c>
      <c r="Q64" s="70">
        <v>24.7</v>
      </c>
      <c r="R64" s="70">
        <v>24.4</v>
      </c>
      <c r="S64" s="70">
        <v>24.6</v>
      </c>
      <c r="T64" s="70">
        <v>34.799999999999997</v>
      </c>
      <c r="U64" s="70">
        <v>34.799999999999997</v>
      </c>
      <c r="V64" s="70">
        <v>45.6</v>
      </c>
      <c r="W64" s="70">
        <v>45.6</v>
      </c>
      <c r="X64" s="70">
        <v>48.1</v>
      </c>
      <c r="Y64" s="70">
        <v>52.8</v>
      </c>
      <c r="Z64" s="102">
        <v>70.2</v>
      </c>
      <c r="AA64" s="102">
        <v>70.2</v>
      </c>
      <c r="AB64" s="102">
        <v>69.400000000000006</v>
      </c>
      <c r="AC64" s="102">
        <v>69.2</v>
      </c>
      <c r="AD64" s="102">
        <v>69.3</v>
      </c>
      <c r="AE64" s="102">
        <v>46.1</v>
      </c>
      <c r="AF64" s="102">
        <v>53.7</v>
      </c>
      <c r="AG64" s="86">
        <v>70</v>
      </c>
      <c r="AH64" s="12">
        <f t="shared" si="22"/>
        <v>70.2</v>
      </c>
      <c r="AI64" s="11">
        <f t="shared" si="23"/>
        <v>22.5</v>
      </c>
      <c r="AK64" s="19"/>
    </row>
    <row r="65" spans="1:75" x14ac:dyDescent="0.25">
      <c r="A65" s="87" t="s">
        <v>202</v>
      </c>
      <c r="B65" s="70">
        <v>45</v>
      </c>
      <c r="C65" s="70">
        <v>45</v>
      </c>
      <c r="D65" s="70">
        <v>19</v>
      </c>
      <c r="E65" s="70">
        <v>15.7</v>
      </c>
      <c r="F65" s="70">
        <v>15.7</v>
      </c>
      <c r="G65" s="70">
        <v>15.7</v>
      </c>
      <c r="H65" s="70">
        <v>15.7</v>
      </c>
      <c r="I65" s="70">
        <v>15.7</v>
      </c>
      <c r="J65" s="70">
        <v>34</v>
      </c>
      <c r="K65" s="70">
        <v>50</v>
      </c>
      <c r="L65" s="70">
        <v>69</v>
      </c>
      <c r="M65" s="70">
        <v>32.200000000000003</v>
      </c>
      <c r="N65" s="70">
        <v>31.9</v>
      </c>
      <c r="O65" s="70">
        <v>32.1</v>
      </c>
      <c r="P65" s="70">
        <v>40.299999999999997</v>
      </c>
      <c r="Q65" s="70">
        <v>32.299999999999997</v>
      </c>
      <c r="R65" s="70">
        <v>16.100000000000001</v>
      </c>
      <c r="S65" s="70">
        <v>22.3</v>
      </c>
      <c r="T65" s="70">
        <v>15.6</v>
      </c>
      <c r="U65" s="70">
        <v>15.6</v>
      </c>
      <c r="V65" s="70">
        <v>0</v>
      </c>
      <c r="W65" s="70">
        <v>0</v>
      </c>
      <c r="X65" s="70">
        <v>35.28</v>
      </c>
      <c r="Y65" s="70">
        <v>65.5</v>
      </c>
      <c r="Z65" s="102">
        <v>69.599999999999994</v>
      </c>
      <c r="AA65" s="102">
        <v>69.599999999999994</v>
      </c>
      <c r="AB65" s="102">
        <v>68.400000000000006</v>
      </c>
      <c r="AC65" s="102">
        <v>68.099999999999994</v>
      </c>
      <c r="AD65" s="102">
        <v>61.7</v>
      </c>
      <c r="AE65" s="102">
        <v>49.6</v>
      </c>
      <c r="AF65" s="102">
        <v>32</v>
      </c>
      <c r="AG65" s="86">
        <v>69</v>
      </c>
      <c r="AH65" s="12">
        <f t="shared" si="22"/>
        <v>69.599999999999994</v>
      </c>
      <c r="AI65" s="11">
        <f t="shared" si="23"/>
        <v>0</v>
      </c>
      <c r="AK65" s="19"/>
    </row>
    <row r="66" spans="1:75" x14ac:dyDescent="0.25">
      <c r="A66" s="87" t="s">
        <v>201</v>
      </c>
      <c r="B66" s="70">
        <v>37.299999999999997</v>
      </c>
      <c r="C66" s="70">
        <v>37.299999999999997</v>
      </c>
      <c r="D66" s="70">
        <v>37.299999999999997</v>
      </c>
      <c r="E66" s="70">
        <v>37.299999999999997</v>
      </c>
      <c r="F66" s="70">
        <v>37.299999999999997</v>
      </c>
      <c r="G66" s="70">
        <v>37.299999999999997</v>
      </c>
      <c r="H66" s="70">
        <v>37.299999999999997</v>
      </c>
      <c r="I66" s="70">
        <v>37.299999999999997</v>
      </c>
      <c r="J66" s="70">
        <v>37.299999999999997</v>
      </c>
      <c r="K66" s="70">
        <v>37.299999999999997</v>
      </c>
      <c r="L66" s="70">
        <v>37.299999999999997</v>
      </c>
      <c r="M66" s="70">
        <v>49.4</v>
      </c>
      <c r="N66" s="70">
        <v>48.3</v>
      </c>
      <c r="O66" s="70">
        <v>48.3</v>
      </c>
      <c r="P66" s="70">
        <v>46.1</v>
      </c>
      <c r="Q66" s="70">
        <v>43.8</v>
      </c>
      <c r="R66" s="70">
        <v>44.3</v>
      </c>
      <c r="S66" s="70">
        <v>44.3</v>
      </c>
      <c r="T66" s="70">
        <v>44.3</v>
      </c>
      <c r="U66" s="70">
        <v>44.3</v>
      </c>
      <c r="V66" s="70">
        <v>44.3</v>
      </c>
      <c r="W66" s="70">
        <v>44.3</v>
      </c>
      <c r="X66" s="70">
        <v>42.3</v>
      </c>
      <c r="Y66" s="70">
        <v>42.3</v>
      </c>
      <c r="Z66" s="102">
        <v>42.3</v>
      </c>
      <c r="AA66" s="102">
        <v>42.3</v>
      </c>
      <c r="AB66" s="102">
        <v>40</v>
      </c>
      <c r="AC66" s="102">
        <v>40</v>
      </c>
      <c r="AD66" s="102">
        <v>42.6</v>
      </c>
      <c r="AE66" s="102">
        <v>42.6</v>
      </c>
      <c r="AF66" s="102">
        <v>42.6</v>
      </c>
      <c r="AG66" s="86">
        <v>60</v>
      </c>
      <c r="AH66" s="12">
        <f t="shared" si="22"/>
        <v>49.4</v>
      </c>
      <c r="AI66" s="11">
        <f t="shared" si="23"/>
        <v>37.299999999999997</v>
      </c>
      <c r="AK66" s="19"/>
    </row>
    <row r="67" spans="1:75" x14ac:dyDescent="0.25">
      <c r="A67" s="87" t="s">
        <v>200</v>
      </c>
      <c r="B67" s="102">
        <v>10</v>
      </c>
      <c r="C67" s="102">
        <v>10</v>
      </c>
      <c r="D67" s="102">
        <v>0</v>
      </c>
      <c r="E67" s="102">
        <v>0</v>
      </c>
      <c r="F67" s="102">
        <v>0</v>
      </c>
      <c r="G67" s="102">
        <v>0</v>
      </c>
      <c r="H67" s="102">
        <v>0</v>
      </c>
      <c r="I67" s="102">
        <v>0</v>
      </c>
      <c r="J67" s="102">
        <v>0</v>
      </c>
      <c r="K67" s="102">
        <v>10</v>
      </c>
      <c r="L67" s="102">
        <v>10</v>
      </c>
      <c r="M67" s="70">
        <v>11.9</v>
      </c>
      <c r="N67" s="70">
        <v>9.8000000000000007</v>
      </c>
      <c r="O67" s="70">
        <v>9.8000000000000007</v>
      </c>
      <c r="P67" s="70">
        <v>10.199999999999999</v>
      </c>
      <c r="Q67" s="70">
        <v>9.9</v>
      </c>
      <c r="R67" s="70">
        <v>9.9</v>
      </c>
      <c r="S67" s="70">
        <v>9.9</v>
      </c>
      <c r="T67" s="70">
        <v>15</v>
      </c>
      <c r="U67" s="70">
        <v>15</v>
      </c>
      <c r="V67" s="70">
        <v>10.199999999999999</v>
      </c>
      <c r="W67" s="70">
        <v>10.199999999999999</v>
      </c>
      <c r="X67" s="70">
        <v>10.4</v>
      </c>
      <c r="Y67" s="70">
        <v>22.6</v>
      </c>
      <c r="Z67" s="102">
        <v>22.6</v>
      </c>
      <c r="AA67" s="102">
        <v>22.6</v>
      </c>
      <c r="AB67" s="102">
        <v>22.6</v>
      </c>
      <c r="AC67" s="102">
        <v>22.8</v>
      </c>
      <c r="AD67" s="102">
        <v>22.6</v>
      </c>
      <c r="AE67" s="102">
        <v>14.2</v>
      </c>
      <c r="AF67" s="102">
        <v>14.2</v>
      </c>
      <c r="AG67" s="86">
        <v>30</v>
      </c>
      <c r="AH67" s="12">
        <f t="shared" si="22"/>
        <v>22.8</v>
      </c>
      <c r="AI67" s="11">
        <f t="shared" si="23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25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0.3</v>
      </c>
      <c r="J68" s="102">
        <v>0.3</v>
      </c>
      <c r="K68" s="102">
        <v>0.3</v>
      </c>
      <c r="L68" s="102">
        <v>3.6</v>
      </c>
      <c r="M68" s="70">
        <v>4</v>
      </c>
      <c r="N68" s="70">
        <v>4</v>
      </c>
      <c r="O68" s="70">
        <v>8.6999999999999993</v>
      </c>
      <c r="P68" s="70">
        <v>15.2</v>
      </c>
      <c r="Q68" s="70">
        <v>14.9</v>
      </c>
      <c r="R68" s="70">
        <v>14</v>
      </c>
      <c r="S68" s="70">
        <v>10.9</v>
      </c>
      <c r="T68" s="70">
        <v>5.4</v>
      </c>
      <c r="U68" s="70">
        <v>2</v>
      </c>
      <c r="V68" s="70">
        <v>0.3</v>
      </c>
      <c r="W68" s="70">
        <v>0</v>
      </c>
      <c r="X68" s="70">
        <v>0</v>
      </c>
      <c r="Y68" s="70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22"/>
        <v>15.2</v>
      </c>
      <c r="AI68" s="11">
        <f t="shared" si="23"/>
        <v>0</v>
      </c>
      <c r="AK68" s="19"/>
      <c r="AY68" s="1" t="s">
        <v>198</v>
      </c>
      <c r="AZ68" s="78">
        <f>ROUND(C81,0)</f>
        <v>28</v>
      </c>
      <c r="BA68" s="83">
        <f t="shared" ref="BA68:BD72" si="26">D81</f>
        <v>36</v>
      </c>
      <c r="BB68" s="83">
        <f t="shared" si="26"/>
        <v>32.4</v>
      </c>
      <c r="BC68" s="83">
        <f t="shared" si="26"/>
        <v>29.8</v>
      </c>
      <c r="BD68" s="83">
        <f t="shared" si="26"/>
        <v>29</v>
      </c>
      <c r="BE68" s="78">
        <f>I81</f>
        <v>30.1</v>
      </c>
      <c r="BF68" s="78">
        <f>K81</f>
        <v>66</v>
      </c>
      <c r="BG68" s="78">
        <f t="shared" ref="BG68:BP72" si="27">M81</f>
        <v>52.5</v>
      </c>
      <c r="BH68" s="78">
        <f t="shared" si="27"/>
        <v>64</v>
      </c>
      <c r="BI68" s="78">
        <f t="shared" si="27"/>
        <v>68.599999999999994</v>
      </c>
      <c r="BJ68" s="78">
        <f t="shared" si="27"/>
        <v>66.099999999999994</v>
      </c>
      <c r="BK68" s="78">
        <f t="shared" si="27"/>
        <v>67.2</v>
      </c>
      <c r="BL68" s="78">
        <f t="shared" si="27"/>
        <v>56.1</v>
      </c>
      <c r="BM68" s="78">
        <f t="shared" si="27"/>
        <v>65.2</v>
      </c>
      <c r="BN68" s="78">
        <f t="shared" si="27"/>
        <v>67.7</v>
      </c>
      <c r="BO68" s="78">
        <f t="shared" si="27"/>
        <v>53.9</v>
      </c>
      <c r="BP68" s="78">
        <f t="shared" si="27"/>
        <v>52.2</v>
      </c>
      <c r="BQ68" s="78">
        <f>X81</f>
        <v>53</v>
      </c>
      <c r="BR68" s="78">
        <f>Z81</f>
        <v>19.600000000000001</v>
      </c>
      <c r="BS68" s="83">
        <f>AB81</f>
        <v>20.8</v>
      </c>
      <c r="BT68" s="83">
        <f t="shared" ref="BT68:BV72" si="28">AD81</f>
        <v>24.7</v>
      </c>
      <c r="BU68" s="83">
        <f t="shared" si="28"/>
        <v>47.2</v>
      </c>
      <c r="BV68" s="83">
        <f t="shared" si="28"/>
        <v>39.5</v>
      </c>
      <c r="BW68" s="83">
        <f>B81</f>
        <v>32</v>
      </c>
    </row>
    <row r="69" spans="1:75" x14ac:dyDescent="0.25">
      <c r="A69" s="87" t="s">
        <v>197</v>
      </c>
      <c r="B69" s="70">
        <v>14.5</v>
      </c>
      <c r="C69" s="70">
        <v>14.5</v>
      </c>
      <c r="D69" s="70">
        <v>14.5</v>
      </c>
      <c r="E69" s="70">
        <v>14.5</v>
      </c>
      <c r="F69" s="70">
        <v>14.5</v>
      </c>
      <c r="G69" s="70">
        <v>14.5</v>
      </c>
      <c r="H69" s="70">
        <v>14.5</v>
      </c>
      <c r="I69" s="70">
        <v>14.5</v>
      </c>
      <c r="J69" s="70">
        <v>14.5</v>
      </c>
      <c r="K69" s="70">
        <v>14.5</v>
      </c>
      <c r="L69" s="70">
        <v>14.5</v>
      </c>
      <c r="M69" s="70">
        <v>14.5</v>
      </c>
      <c r="N69" s="70">
        <v>14.5</v>
      </c>
      <c r="O69" s="70">
        <v>14.5</v>
      </c>
      <c r="P69" s="70">
        <v>14.5</v>
      </c>
      <c r="Q69" s="70">
        <v>10</v>
      </c>
      <c r="R69" s="70">
        <v>10</v>
      </c>
      <c r="S69" s="70">
        <v>10</v>
      </c>
      <c r="T69" s="70">
        <v>10</v>
      </c>
      <c r="U69" s="70">
        <v>10</v>
      </c>
      <c r="V69" s="70">
        <v>10</v>
      </c>
      <c r="W69" s="70">
        <v>10</v>
      </c>
      <c r="X69" s="70">
        <v>10</v>
      </c>
      <c r="Y69" s="70">
        <v>10</v>
      </c>
      <c r="Z69" s="70">
        <v>0</v>
      </c>
      <c r="AA69" s="70">
        <v>12</v>
      </c>
      <c r="AB69" s="70">
        <v>12</v>
      </c>
      <c r="AC69" s="70">
        <v>14</v>
      </c>
      <c r="AD69" s="70">
        <v>14</v>
      </c>
      <c r="AE69" s="70">
        <v>14</v>
      </c>
      <c r="AF69" s="70">
        <v>14</v>
      </c>
      <c r="AG69" s="86">
        <v>24</v>
      </c>
      <c r="AH69" s="12">
        <f t="shared" si="22"/>
        <v>14.5</v>
      </c>
      <c r="AI69" s="11">
        <f t="shared" si="23"/>
        <v>0</v>
      </c>
      <c r="AK69" s="19"/>
      <c r="AY69" s="1" t="s">
        <v>196</v>
      </c>
      <c r="AZ69" s="78">
        <f>ROUND(C82,0)</f>
        <v>0</v>
      </c>
      <c r="BA69" s="83">
        <f t="shared" si="26"/>
        <v>0</v>
      </c>
      <c r="BB69" s="83">
        <f t="shared" si="26"/>
        <v>0</v>
      </c>
      <c r="BC69" s="83">
        <f t="shared" si="26"/>
        <v>0</v>
      </c>
      <c r="BD69" s="83">
        <f t="shared" si="26"/>
        <v>0</v>
      </c>
      <c r="BE69" s="78">
        <f>I82</f>
        <v>0</v>
      </c>
      <c r="BF69" s="78">
        <f>K82</f>
        <v>0</v>
      </c>
      <c r="BG69" s="78">
        <f t="shared" si="27"/>
        <v>0</v>
      </c>
      <c r="BH69" s="78">
        <f t="shared" si="27"/>
        <v>0</v>
      </c>
      <c r="BI69" s="78">
        <f t="shared" si="27"/>
        <v>0</v>
      </c>
      <c r="BJ69" s="78">
        <f t="shared" si="27"/>
        <v>0</v>
      </c>
      <c r="BK69" s="78">
        <f t="shared" si="27"/>
        <v>0</v>
      </c>
      <c r="BL69" s="78">
        <f t="shared" si="27"/>
        <v>0</v>
      </c>
      <c r="BM69" s="78">
        <f t="shared" si="27"/>
        <v>0</v>
      </c>
      <c r="BN69" s="78">
        <f t="shared" si="27"/>
        <v>0</v>
      </c>
      <c r="BO69" s="78">
        <f t="shared" si="27"/>
        <v>0</v>
      </c>
      <c r="BP69" s="78">
        <f t="shared" si="27"/>
        <v>0</v>
      </c>
      <c r="BQ69" s="78">
        <f>X82</f>
        <v>0</v>
      </c>
      <c r="BR69" s="78">
        <f>Z82</f>
        <v>0</v>
      </c>
      <c r="BS69" s="83">
        <f>AB82</f>
        <v>0</v>
      </c>
      <c r="BT69" s="83">
        <f t="shared" si="28"/>
        <v>0</v>
      </c>
      <c r="BU69" s="83">
        <f t="shared" si="28"/>
        <v>0</v>
      </c>
      <c r="BV69" s="83">
        <f t="shared" si="28"/>
        <v>0</v>
      </c>
      <c r="BW69" s="83">
        <f>B82</f>
        <v>0</v>
      </c>
    </row>
    <row r="70" spans="1:75" x14ac:dyDescent="0.25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22"/>
        <v>0</v>
      </c>
      <c r="AI70" s="11">
        <f t="shared" si="23"/>
        <v>0</v>
      </c>
      <c r="AK70" s="19"/>
      <c r="AL70" s="115"/>
      <c r="AO70" s="115"/>
      <c r="AY70" s="1" t="s">
        <v>194</v>
      </c>
      <c r="AZ70" s="78">
        <f>ROUND(C83,0)</f>
        <v>200</v>
      </c>
      <c r="BA70" s="83">
        <f t="shared" si="26"/>
        <v>227</v>
      </c>
      <c r="BB70" s="83">
        <f t="shared" si="26"/>
        <v>218</v>
      </c>
      <c r="BC70" s="83">
        <f t="shared" si="26"/>
        <v>239.8</v>
      </c>
      <c r="BD70" s="83">
        <f t="shared" si="26"/>
        <v>266.2</v>
      </c>
      <c r="BE70" s="78">
        <f>I83</f>
        <v>288</v>
      </c>
      <c r="BF70" s="78">
        <f>K83</f>
        <v>481</v>
      </c>
      <c r="BG70" s="78">
        <f t="shared" si="27"/>
        <v>547.6</v>
      </c>
      <c r="BH70" s="78">
        <f t="shared" si="27"/>
        <v>545.79999999999995</v>
      </c>
      <c r="BI70" s="78">
        <f t="shared" si="27"/>
        <v>540.6</v>
      </c>
      <c r="BJ70" s="78">
        <f t="shared" si="27"/>
        <v>540</v>
      </c>
      <c r="BK70" s="78">
        <f t="shared" si="27"/>
        <v>538</v>
      </c>
      <c r="BL70" s="78">
        <f t="shared" si="27"/>
        <v>550.4</v>
      </c>
      <c r="BM70" s="78">
        <f t="shared" si="27"/>
        <v>521.70000000000005</v>
      </c>
      <c r="BN70" s="78">
        <f t="shared" si="27"/>
        <v>507.4</v>
      </c>
      <c r="BO70" s="78">
        <f t="shared" si="27"/>
        <v>495.1</v>
      </c>
      <c r="BP70" s="78">
        <f t="shared" si="27"/>
        <v>500.4</v>
      </c>
      <c r="BQ70" s="78">
        <f>X83</f>
        <v>315.89999999999998</v>
      </c>
      <c r="BR70" s="78">
        <f>Z83</f>
        <v>67</v>
      </c>
      <c r="BS70" s="83">
        <f>AB83</f>
        <v>23.2</v>
      </c>
      <c r="BT70" s="83">
        <f t="shared" si="28"/>
        <v>55.6</v>
      </c>
      <c r="BU70" s="83">
        <f t="shared" si="28"/>
        <v>51</v>
      </c>
      <c r="BV70" s="83">
        <f t="shared" si="28"/>
        <v>69.7</v>
      </c>
      <c r="BW70" s="83">
        <f>B83</f>
        <v>205</v>
      </c>
    </row>
    <row r="71" spans="1:75" s="115" customFormat="1" x14ac:dyDescent="0.25">
      <c r="A71" s="87" t="s">
        <v>193</v>
      </c>
      <c r="B71" s="70">
        <v>9.4</v>
      </c>
      <c r="C71" s="70">
        <v>9.4</v>
      </c>
      <c r="D71" s="70">
        <v>9.4</v>
      </c>
      <c r="E71" s="70">
        <v>9.4</v>
      </c>
      <c r="F71" s="70">
        <v>9.4</v>
      </c>
      <c r="G71" s="70">
        <v>9.4</v>
      </c>
      <c r="H71" s="70">
        <v>9.4</v>
      </c>
      <c r="I71" s="70">
        <v>9.4</v>
      </c>
      <c r="J71" s="70">
        <v>9.4</v>
      </c>
      <c r="K71" s="70">
        <v>9.4</v>
      </c>
      <c r="L71" s="70">
        <v>9.4</v>
      </c>
      <c r="M71" s="70">
        <v>9.4</v>
      </c>
      <c r="N71" s="70">
        <v>9.4</v>
      </c>
      <c r="O71" s="70">
        <v>9.4</v>
      </c>
      <c r="P71" s="70">
        <v>9.4</v>
      </c>
      <c r="Q71" s="70">
        <v>9.4</v>
      </c>
      <c r="R71" s="70">
        <v>9.4</v>
      </c>
      <c r="S71" s="70">
        <v>9.4</v>
      </c>
      <c r="T71" s="70">
        <v>9.4</v>
      </c>
      <c r="U71" s="70">
        <v>9.4</v>
      </c>
      <c r="V71" s="70">
        <v>9.4</v>
      </c>
      <c r="W71" s="70">
        <v>9.4</v>
      </c>
      <c r="X71" s="70">
        <v>9.4</v>
      </c>
      <c r="Y71" s="70">
        <v>9.4</v>
      </c>
      <c r="Z71" s="70">
        <v>9.4</v>
      </c>
      <c r="AA71" s="70">
        <v>4.0999999999999996</v>
      </c>
      <c r="AB71" s="70">
        <v>4.0999999999999996</v>
      </c>
      <c r="AC71" s="70">
        <v>10.199999999999999</v>
      </c>
      <c r="AD71" s="70">
        <v>10.199999999999999</v>
      </c>
      <c r="AE71" s="70">
        <v>10.199999999999999</v>
      </c>
      <c r="AF71" s="70">
        <v>10.199999999999999</v>
      </c>
      <c r="AG71" s="86">
        <v>14.1</v>
      </c>
      <c r="AH71" s="12">
        <f t="shared" si="22"/>
        <v>10.199999999999999</v>
      </c>
      <c r="AI71" s="11">
        <f t="shared" si="23"/>
        <v>4.0999999999999996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13</v>
      </c>
      <c r="BA71" s="83">
        <f t="shared" si="26"/>
        <v>13</v>
      </c>
      <c r="BB71" s="83">
        <f t="shared" si="26"/>
        <v>13</v>
      </c>
      <c r="BC71" s="83">
        <f t="shared" si="26"/>
        <v>12.7</v>
      </c>
      <c r="BD71" s="83">
        <f t="shared" si="26"/>
        <v>12.9</v>
      </c>
      <c r="BE71" s="78">
        <f>I84</f>
        <v>12.3</v>
      </c>
      <c r="BF71" s="78">
        <f>K84</f>
        <v>11.6</v>
      </c>
      <c r="BG71" s="78">
        <f t="shared" si="27"/>
        <v>10</v>
      </c>
      <c r="BH71" s="78">
        <f t="shared" si="27"/>
        <v>8</v>
      </c>
      <c r="BI71" s="78">
        <f t="shared" si="27"/>
        <v>6.5</v>
      </c>
      <c r="BJ71" s="78">
        <f t="shared" si="27"/>
        <v>7.5</v>
      </c>
      <c r="BK71" s="78">
        <f t="shared" si="27"/>
        <v>6.7</v>
      </c>
      <c r="BL71" s="78">
        <f t="shared" si="27"/>
        <v>36</v>
      </c>
      <c r="BM71" s="78">
        <f t="shared" si="27"/>
        <v>42.8</v>
      </c>
      <c r="BN71" s="78">
        <f t="shared" si="27"/>
        <v>44.2</v>
      </c>
      <c r="BO71" s="78">
        <f t="shared" si="27"/>
        <v>28.6</v>
      </c>
      <c r="BP71" s="78">
        <f t="shared" si="27"/>
        <v>33.299999999999997</v>
      </c>
      <c r="BQ71" s="78">
        <f>X84</f>
        <v>0</v>
      </c>
      <c r="BR71" s="78">
        <f>Z84</f>
        <v>0</v>
      </c>
      <c r="BS71" s="83">
        <f>AB84</f>
        <v>0</v>
      </c>
      <c r="BT71" s="83">
        <f t="shared" si="28"/>
        <v>0</v>
      </c>
      <c r="BU71" s="83">
        <f t="shared" si="28"/>
        <v>0</v>
      </c>
      <c r="BV71" s="83">
        <f t="shared" si="28"/>
        <v>0</v>
      </c>
      <c r="BW71" s="83">
        <f>B84</f>
        <v>13</v>
      </c>
    </row>
    <row r="72" spans="1:75" x14ac:dyDescent="0.25">
      <c r="A72" s="111" t="s">
        <v>191</v>
      </c>
      <c r="B72" s="70">
        <v>5.8</v>
      </c>
      <c r="C72" s="70">
        <v>5.8</v>
      </c>
      <c r="D72" s="70">
        <v>5.8</v>
      </c>
      <c r="E72" s="70">
        <v>7.3</v>
      </c>
      <c r="F72" s="70">
        <v>7.3</v>
      </c>
      <c r="G72" s="70">
        <v>7.3</v>
      </c>
      <c r="H72" s="70">
        <v>7.3</v>
      </c>
      <c r="I72" s="70">
        <v>7.3</v>
      </c>
      <c r="J72" s="70">
        <v>7.3</v>
      </c>
      <c r="K72" s="70">
        <v>7.3</v>
      </c>
      <c r="L72" s="70">
        <v>7.3</v>
      </c>
      <c r="M72" s="70">
        <v>7.3</v>
      </c>
      <c r="N72" s="70">
        <v>7.3</v>
      </c>
      <c r="O72" s="70">
        <v>7.3</v>
      </c>
      <c r="P72" s="70">
        <v>7.3</v>
      </c>
      <c r="Q72" s="70">
        <v>7.3</v>
      </c>
      <c r="R72" s="70">
        <v>7.3</v>
      </c>
      <c r="S72" s="70">
        <v>7.3</v>
      </c>
      <c r="T72" s="70">
        <v>7.3</v>
      </c>
      <c r="U72" s="70">
        <v>7.3</v>
      </c>
      <c r="V72" s="70">
        <v>7.3</v>
      </c>
      <c r="W72" s="70">
        <v>7.3</v>
      </c>
      <c r="X72" s="70">
        <v>7.3</v>
      </c>
      <c r="Y72" s="70">
        <v>7.3</v>
      </c>
      <c r="Z72" s="70">
        <v>7.3</v>
      </c>
      <c r="AA72" s="70">
        <v>7.3</v>
      </c>
      <c r="AB72" s="70">
        <v>7.3</v>
      </c>
      <c r="AC72" s="70">
        <v>7.3</v>
      </c>
      <c r="AD72" s="70">
        <v>7.3</v>
      </c>
      <c r="AE72" s="70">
        <v>7.3</v>
      </c>
      <c r="AF72" s="70">
        <v>7.3</v>
      </c>
      <c r="AG72" s="86">
        <v>14</v>
      </c>
      <c r="AH72" s="12">
        <f t="shared" si="22"/>
        <v>7.3</v>
      </c>
      <c r="AI72" s="11">
        <f t="shared" si="23"/>
        <v>5.8</v>
      </c>
      <c r="AK72" s="19"/>
      <c r="AY72" s="1" t="s">
        <v>190</v>
      </c>
      <c r="AZ72" s="78">
        <f>ROUND(C85,0)</f>
        <v>0</v>
      </c>
      <c r="BA72" s="83">
        <f t="shared" si="26"/>
        <v>0</v>
      </c>
      <c r="BB72" s="83">
        <f t="shared" si="26"/>
        <v>0</v>
      </c>
      <c r="BC72" s="83">
        <f t="shared" si="26"/>
        <v>0</v>
      </c>
      <c r="BD72" s="83">
        <f t="shared" si="26"/>
        <v>0</v>
      </c>
      <c r="BE72" s="78">
        <f>I85</f>
        <v>0</v>
      </c>
      <c r="BF72" s="78">
        <f>K85</f>
        <v>0</v>
      </c>
      <c r="BG72" s="78">
        <f t="shared" si="27"/>
        <v>126.1</v>
      </c>
      <c r="BH72" s="78">
        <f t="shared" si="27"/>
        <v>111.6</v>
      </c>
      <c r="BI72" s="78">
        <f t="shared" si="27"/>
        <v>129.69999999999999</v>
      </c>
      <c r="BJ72" s="78">
        <f t="shared" si="27"/>
        <v>145</v>
      </c>
      <c r="BK72" s="78">
        <f t="shared" si="27"/>
        <v>145</v>
      </c>
      <c r="BL72" s="78">
        <f t="shared" si="27"/>
        <v>150</v>
      </c>
      <c r="BM72" s="78">
        <f t="shared" si="27"/>
        <v>153.6</v>
      </c>
      <c r="BN72" s="78">
        <f t="shared" si="27"/>
        <v>143.19999999999999</v>
      </c>
      <c r="BO72" s="78">
        <f t="shared" si="27"/>
        <v>114.8</v>
      </c>
      <c r="BP72" s="78">
        <f t="shared" si="27"/>
        <v>119.6</v>
      </c>
      <c r="BQ72" s="78">
        <f>X85</f>
        <v>62</v>
      </c>
      <c r="BR72" s="78">
        <f>Z85</f>
        <v>0</v>
      </c>
      <c r="BS72" s="83">
        <f>AB85</f>
        <v>0</v>
      </c>
      <c r="BT72" s="83">
        <f t="shared" si="28"/>
        <v>0</v>
      </c>
      <c r="BU72" s="83">
        <f t="shared" si="28"/>
        <v>0</v>
      </c>
      <c r="BV72" s="83">
        <f t="shared" si="28"/>
        <v>0</v>
      </c>
      <c r="BW72" s="83">
        <f>B85</f>
        <v>0</v>
      </c>
    </row>
    <row r="73" spans="1:75" x14ac:dyDescent="0.25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22"/>
        <v>4</v>
      </c>
      <c r="AI73" s="11">
        <f t="shared" si="23"/>
        <v>4</v>
      </c>
      <c r="AK73" s="19"/>
      <c r="AY73" s="1" t="s">
        <v>188</v>
      </c>
      <c r="AZ73" s="78">
        <f>ROUND(C91,0)</f>
        <v>55</v>
      </c>
      <c r="BA73" s="78">
        <f>D91</f>
        <v>55</v>
      </c>
      <c r="BB73" s="78">
        <f>E91</f>
        <v>51.5</v>
      </c>
      <c r="BC73" s="78">
        <f>F91</f>
        <v>51</v>
      </c>
      <c r="BD73" s="78">
        <f>G91</f>
        <v>48.6</v>
      </c>
      <c r="BE73" s="78">
        <f>I91</f>
        <v>46.6</v>
      </c>
      <c r="BF73" s="78">
        <f>K91</f>
        <v>41</v>
      </c>
      <c r="BG73" s="78">
        <f t="shared" ref="BG73:BP73" si="29">M91</f>
        <v>46.7</v>
      </c>
      <c r="BH73" s="78">
        <f t="shared" si="29"/>
        <v>49.2</v>
      </c>
      <c r="BI73" s="78">
        <f t="shared" si="29"/>
        <v>51.5</v>
      </c>
      <c r="BJ73" s="78">
        <f t="shared" si="29"/>
        <v>48</v>
      </c>
      <c r="BK73" s="78">
        <f t="shared" si="29"/>
        <v>47.9</v>
      </c>
      <c r="BL73" s="78">
        <f t="shared" si="29"/>
        <v>51.8</v>
      </c>
      <c r="BM73" s="78">
        <f t="shared" si="29"/>
        <v>51</v>
      </c>
      <c r="BN73" s="78">
        <f t="shared" si="29"/>
        <v>46</v>
      </c>
      <c r="BO73" s="78">
        <f t="shared" si="29"/>
        <v>0</v>
      </c>
      <c r="BP73" s="78">
        <f t="shared" si="29"/>
        <v>33</v>
      </c>
      <c r="BQ73" s="78">
        <f>X91</f>
        <v>40.9</v>
      </c>
      <c r="BR73" s="78">
        <f>Z91</f>
        <v>39.6</v>
      </c>
      <c r="BS73" s="78">
        <f>AB91</f>
        <v>30.3</v>
      </c>
      <c r="BT73" s="78">
        <f>AD91</f>
        <v>34.9</v>
      </c>
      <c r="BU73" s="78">
        <f>AE91</f>
        <v>36.5</v>
      </c>
      <c r="BV73" s="78">
        <f>AF91</f>
        <v>41.2</v>
      </c>
      <c r="BW73" s="78">
        <f>B91</f>
        <v>55</v>
      </c>
    </row>
    <row r="74" spans="1:75" x14ac:dyDescent="0.25">
      <c r="A74" s="87" t="s">
        <v>187</v>
      </c>
      <c r="B74" s="70">
        <v>1.2</v>
      </c>
      <c r="C74" s="70">
        <v>1.2</v>
      </c>
      <c r="D74" s="70">
        <v>1.2</v>
      </c>
      <c r="E74" s="70">
        <v>1.2</v>
      </c>
      <c r="F74" s="70">
        <v>1.2</v>
      </c>
      <c r="G74" s="70">
        <v>1.2</v>
      </c>
      <c r="H74" s="70">
        <v>1.2</v>
      </c>
      <c r="I74" s="70">
        <v>1.2</v>
      </c>
      <c r="J74" s="70">
        <v>1.2</v>
      </c>
      <c r="K74" s="70">
        <v>1.2</v>
      </c>
      <c r="L74" s="70">
        <v>1.2</v>
      </c>
      <c r="M74" s="70">
        <v>1.2</v>
      </c>
      <c r="N74" s="70">
        <v>1.2</v>
      </c>
      <c r="O74" s="70">
        <v>1.2</v>
      </c>
      <c r="P74" s="70">
        <v>1.2</v>
      </c>
      <c r="Q74" s="70">
        <v>1.2</v>
      </c>
      <c r="R74" s="70">
        <v>1.2</v>
      </c>
      <c r="S74" s="70">
        <v>1.2</v>
      </c>
      <c r="T74" s="70">
        <v>1.2</v>
      </c>
      <c r="U74" s="70">
        <v>1.2</v>
      </c>
      <c r="V74" s="70">
        <v>1.2</v>
      </c>
      <c r="W74" s="70">
        <v>1.2</v>
      </c>
      <c r="X74" s="70">
        <v>1.2</v>
      </c>
      <c r="Y74" s="70">
        <v>1.2</v>
      </c>
      <c r="Z74" s="70">
        <v>1.2</v>
      </c>
      <c r="AA74" s="70">
        <v>1.2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22"/>
        <v>2</v>
      </c>
      <c r="AI74" s="11">
        <f t="shared" si="23"/>
        <v>1.2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.75" thickBot="1" x14ac:dyDescent="0.3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3.54</v>
      </c>
      <c r="Z75" s="113">
        <v>3.54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22"/>
        <v>3.54</v>
      </c>
      <c r="AI75" s="11">
        <f t="shared" si="23"/>
        <v>3.54</v>
      </c>
      <c r="AK75" s="19"/>
      <c r="AZ75" s="78">
        <f t="shared" ref="AZ75:BW75" si="30">VALUE(AZ68)</f>
        <v>28</v>
      </c>
      <c r="BA75" s="78">
        <f t="shared" si="30"/>
        <v>36</v>
      </c>
      <c r="BB75" s="78">
        <f t="shared" si="30"/>
        <v>32.4</v>
      </c>
      <c r="BC75" s="78">
        <f t="shared" si="30"/>
        <v>29.8</v>
      </c>
      <c r="BD75" s="78">
        <f t="shared" si="30"/>
        <v>29</v>
      </c>
      <c r="BE75" s="78">
        <f t="shared" si="30"/>
        <v>30.1</v>
      </c>
      <c r="BF75" s="78">
        <f t="shared" si="30"/>
        <v>66</v>
      </c>
      <c r="BG75" s="78">
        <f t="shared" si="30"/>
        <v>52.5</v>
      </c>
      <c r="BH75" s="78">
        <f t="shared" si="30"/>
        <v>64</v>
      </c>
      <c r="BI75" s="78">
        <f t="shared" si="30"/>
        <v>68.599999999999994</v>
      </c>
      <c r="BJ75" s="78">
        <f t="shared" si="30"/>
        <v>66.099999999999994</v>
      </c>
      <c r="BK75" s="78">
        <f t="shared" si="30"/>
        <v>67.2</v>
      </c>
      <c r="BL75" s="78">
        <f t="shared" si="30"/>
        <v>56.1</v>
      </c>
      <c r="BM75" s="78">
        <f t="shared" si="30"/>
        <v>65.2</v>
      </c>
      <c r="BN75" s="78">
        <f t="shared" si="30"/>
        <v>67.7</v>
      </c>
      <c r="BO75" s="78">
        <f t="shared" si="30"/>
        <v>53.9</v>
      </c>
      <c r="BP75" s="78">
        <f t="shared" si="30"/>
        <v>52.2</v>
      </c>
      <c r="BQ75" s="78">
        <f t="shared" si="30"/>
        <v>53</v>
      </c>
      <c r="BR75" s="78">
        <f t="shared" si="30"/>
        <v>19.600000000000001</v>
      </c>
      <c r="BS75" s="78">
        <f t="shared" si="30"/>
        <v>20.8</v>
      </c>
      <c r="BT75" s="78">
        <f t="shared" si="30"/>
        <v>24.7</v>
      </c>
      <c r="BU75" s="78">
        <f t="shared" si="30"/>
        <v>47.2</v>
      </c>
      <c r="BV75" s="78">
        <f t="shared" si="30"/>
        <v>39.5</v>
      </c>
      <c r="BW75" s="78">
        <f t="shared" si="30"/>
        <v>32</v>
      </c>
    </row>
    <row r="76" spans="1:75" ht="15.75" thickBot="1" x14ac:dyDescent="0.3">
      <c r="A76" s="77" t="s">
        <v>186</v>
      </c>
      <c r="B76" s="76">
        <f t="shared" ref="B76:AG76" si="31">SUM(B63:B75)</f>
        <v>235.74</v>
      </c>
      <c r="C76" s="76">
        <f t="shared" si="31"/>
        <v>235.74</v>
      </c>
      <c r="D76" s="76">
        <f t="shared" si="31"/>
        <v>163.74</v>
      </c>
      <c r="E76" s="76">
        <f t="shared" si="31"/>
        <v>146.63999999999999</v>
      </c>
      <c r="F76" s="76">
        <f t="shared" si="31"/>
        <v>146.63999999999999</v>
      </c>
      <c r="G76" s="76">
        <f t="shared" si="31"/>
        <v>149.94</v>
      </c>
      <c r="H76" s="76">
        <f t="shared" si="31"/>
        <v>149.94</v>
      </c>
      <c r="I76" s="76">
        <f t="shared" si="31"/>
        <v>180.14000000000001</v>
      </c>
      <c r="J76" s="76">
        <f t="shared" si="31"/>
        <v>212.34000000000003</v>
      </c>
      <c r="K76" s="76">
        <f t="shared" si="31"/>
        <v>275.54000000000002</v>
      </c>
      <c r="L76" s="76">
        <f t="shared" si="31"/>
        <v>297.84000000000003</v>
      </c>
      <c r="M76" s="76">
        <f t="shared" si="31"/>
        <v>220.44</v>
      </c>
      <c r="N76" s="76">
        <f t="shared" si="31"/>
        <v>216.04000000000002</v>
      </c>
      <c r="O76" s="76">
        <f t="shared" si="31"/>
        <v>220.94</v>
      </c>
      <c r="P76" s="76">
        <f t="shared" si="31"/>
        <v>244.03999999999996</v>
      </c>
      <c r="Q76" s="76">
        <f t="shared" si="31"/>
        <v>231.54000000000002</v>
      </c>
      <c r="R76" s="76">
        <f t="shared" si="31"/>
        <v>176.14</v>
      </c>
      <c r="S76" s="76">
        <f t="shared" si="31"/>
        <v>182.54</v>
      </c>
      <c r="T76" s="76">
        <f t="shared" si="31"/>
        <v>181.04</v>
      </c>
      <c r="U76" s="76">
        <f t="shared" si="31"/>
        <v>177.64</v>
      </c>
      <c r="V76" s="76">
        <f t="shared" si="31"/>
        <v>166.64000000000001</v>
      </c>
      <c r="W76" s="76">
        <f t="shared" si="31"/>
        <v>166.34</v>
      </c>
      <c r="X76" s="76">
        <f t="shared" si="31"/>
        <v>233.52</v>
      </c>
      <c r="Y76" s="76">
        <f t="shared" si="31"/>
        <v>315.74</v>
      </c>
      <c r="Z76" s="76">
        <f t="shared" si="31"/>
        <v>327.24</v>
      </c>
      <c r="AA76" s="76">
        <f t="shared" si="31"/>
        <v>333.94000000000005</v>
      </c>
      <c r="AB76" s="76">
        <f t="shared" si="31"/>
        <v>330.6400000000001</v>
      </c>
      <c r="AC76" s="76">
        <f t="shared" si="31"/>
        <v>338.14</v>
      </c>
      <c r="AD76" s="76">
        <f t="shared" si="31"/>
        <v>336.24000000000007</v>
      </c>
      <c r="AE76" s="76">
        <f t="shared" si="31"/>
        <v>264.94</v>
      </c>
      <c r="AF76" s="76">
        <f t="shared" si="31"/>
        <v>254.23999999999998</v>
      </c>
      <c r="AG76" s="93">
        <f t="shared" si="31"/>
        <v>489.91</v>
      </c>
      <c r="AH76" s="12">
        <f t="shared" si="22"/>
        <v>338.14</v>
      </c>
      <c r="AI76" s="11">
        <f t="shared" si="23"/>
        <v>146.63999999999999</v>
      </c>
      <c r="AK76" s="19"/>
      <c r="AZ76" s="78">
        <f t="shared" ref="AZ76:BW76" si="32">VALUE(AZ69)</f>
        <v>0</v>
      </c>
      <c r="BA76" s="78">
        <f t="shared" si="32"/>
        <v>0</v>
      </c>
      <c r="BB76" s="78">
        <f t="shared" si="32"/>
        <v>0</v>
      </c>
      <c r="BC76" s="78">
        <f t="shared" si="32"/>
        <v>0</v>
      </c>
      <c r="BD76" s="78">
        <f t="shared" si="32"/>
        <v>0</v>
      </c>
      <c r="BE76" s="78">
        <f t="shared" si="32"/>
        <v>0</v>
      </c>
      <c r="BF76" s="78">
        <f t="shared" si="32"/>
        <v>0</v>
      </c>
      <c r="BG76" s="78">
        <f t="shared" si="32"/>
        <v>0</v>
      </c>
      <c r="BH76" s="78">
        <f t="shared" si="32"/>
        <v>0</v>
      </c>
      <c r="BI76" s="78">
        <f t="shared" si="32"/>
        <v>0</v>
      </c>
      <c r="BJ76" s="78">
        <f t="shared" si="32"/>
        <v>0</v>
      </c>
      <c r="BK76" s="78">
        <f t="shared" si="32"/>
        <v>0</v>
      </c>
      <c r="BL76" s="78">
        <f t="shared" si="32"/>
        <v>0</v>
      </c>
      <c r="BM76" s="78">
        <f t="shared" si="32"/>
        <v>0</v>
      </c>
      <c r="BN76" s="78">
        <f t="shared" si="32"/>
        <v>0</v>
      </c>
      <c r="BO76" s="78">
        <f t="shared" si="32"/>
        <v>0</v>
      </c>
      <c r="BP76" s="78">
        <f t="shared" si="32"/>
        <v>0</v>
      </c>
      <c r="BQ76" s="78">
        <f t="shared" si="32"/>
        <v>0</v>
      </c>
      <c r="BR76" s="78">
        <f t="shared" si="32"/>
        <v>0</v>
      </c>
      <c r="BS76" s="78">
        <f t="shared" si="32"/>
        <v>0</v>
      </c>
      <c r="BT76" s="78">
        <f t="shared" si="32"/>
        <v>0</v>
      </c>
      <c r="BU76" s="78">
        <f t="shared" si="32"/>
        <v>0</v>
      </c>
      <c r="BV76" s="78">
        <f t="shared" si="32"/>
        <v>0</v>
      </c>
      <c r="BW76" s="78">
        <f t="shared" si="32"/>
        <v>0</v>
      </c>
    </row>
    <row r="77" spans="1:75" x14ac:dyDescent="0.25">
      <c r="A77" s="89" t="s">
        <v>185</v>
      </c>
      <c r="B77" s="102">
        <v>50</v>
      </c>
      <c r="C77" s="102">
        <v>50</v>
      </c>
      <c r="D77" s="102">
        <v>50</v>
      </c>
      <c r="E77" s="102">
        <v>50</v>
      </c>
      <c r="F77" s="102">
        <v>50</v>
      </c>
      <c r="G77" s="102">
        <v>50</v>
      </c>
      <c r="H77" s="102">
        <v>50</v>
      </c>
      <c r="I77" s="102">
        <v>50</v>
      </c>
      <c r="J77" s="102">
        <v>50</v>
      </c>
      <c r="K77" s="102">
        <v>50</v>
      </c>
      <c r="L77" s="102">
        <v>50</v>
      </c>
      <c r="M77" s="102">
        <v>39.299999999999997</v>
      </c>
      <c r="N77" s="102">
        <v>44</v>
      </c>
      <c r="O77" s="102">
        <v>44.1</v>
      </c>
      <c r="P77" s="102">
        <v>54</v>
      </c>
      <c r="Q77" s="102">
        <v>45</v>
      </c>
      <c r="R77" s="102">
        <v>45</v>
      </c>
      <c r="S77" s="102">
        <v>45</v>
      </c>
      <c r="T77" s="102">
        <v>49.7</v>
      </c>
      <c r="U77" s="102">
        <v>39.200000000000003</v>
      </c>
      <c r="V77" s="102">
        <v>39.700000000000003</v>
      </c>
      <c r="W77" s="102">
        <v>10.6</v>
      </c>
      <c r="X77" s="102">
        <v>0</v>
      </c>
      <c r="Y77" s="102">
        <v>0</v>
      </c>
      <c r="Z77" s="102">
        <v>59.7</v>
      </c>
      <c r="AA77" s="102">
        <v>59.7</v>
      </c>
      <c r="AB77" s="102">
        <v>59.7</v>
      </c>
      <c r="AC77" s="102">
        <v>59.3</v>
      </c>
      <c r="AD77" s="102">
        <v>59.3</v>
      </c>
      <c r="AE77" s="102">
        <v>59.3</v>
      </c>
      <c r="AF77" s="102">
        <v>59.3</v>
      </c>
      <c r="AG77" s="88">
        <v>60</v>
      </c>
      <c r="AH77" s="12">
        <f t="shared" si="22"/>
        <v>59.7</v>
      </c>
      <c r="AI77" s="11">
        <f t="shared" si="23"/>
        <v>0</v>
      </c>
      <c r="AK77" s="19"/>
      <c r="AZ77" s="78">
        <f t="shared" ref="AZ77:BW77" si="33">VALUE(AZ70)</f>
        <v>200</v>
      </c>
      <c r="BA77" s="78">
        <f t="shared" si="33"/>
        <v>227</v>
      </c>
      <c r="BB77" s="78">
        <f t="shared" si="33"/>
        <v>218</v>
      </c>
      <c r="BC77" s="78">
        <f t="shared" si="33"/>
        <v>239.8</v>
      </c>
      <c r="BD77" s="78">
        <f t="shared" si="33"/>
        <v>266.2</v>
      </c>
      <c r="BE77" s="78">
        <f t="shared" si="33"/>
        <v>288</v>
      </c>
      <c r="BF77" s="78">
        <f t="shared" si="33"/>
        <v>481</v>
      </c>
      <c r="BG77" s="78">
        <f t="shared" si="33"/>
        <v>547.6</v>
      </c>
      <c r="BH77" s="78">
        <f t="shared" si="33"/>
        <v>545.79999999999995</v>
      </c>
      <c r="BI77" s="78">
        <f t="shared" si="33"/>
        <v>540.6</v>
      </c>
      <c r="BJ77" s="78">
        <f t="shared" si="33"/>
        <v>540</v>
      </c>
      <c r="BK77" s="78">
        <f t="shared" si="33"/>
        <v>538</v>
      </c>
      <c r="BL77" s="78">
        <f t="shared" si="33"/>
        <v>550.4</v>
      </c>
      <c r="BM77" s="78">
        <f t="shared" si="33"/>
        <v>521.70000000000005</v>
      </c>
      <c r="BN77" s="78">
        <f t="shared" si="33"/>
        <v>507.4</v>
      </c>
      <c r="BO77" s="78">
        <f t="shared" si="33"/>
        <v>495.1</v>
      </c>
      <c r="BP77" s="78">
        <f t="shared" si="33"/>
        <v>500.4</v>
      </c>
      <c r="BQ77" s="78">
        <f t="shared" si="33"/>
        <v>315.89999999999998</v>
      </c>
      <c r="BR77" s="78">
        <f t="shared" si="33"/>
        <v>67</v>
      </c>
      <c r="BS77" s="78">
        <f t="shared" si="33"/>
        <v>23.2</v>
      </c>
      <c r="BT77" s="78">
        <f t="shared" si="33"/>
        <v>55.6</v>
      </c>
      <c r="BU77" s="78">
        <f t="shared" si="33"/>
        <v>51</v>
      </c>
      <c r="BV77" s="78">
        <f t="shared" si="33"/>
        <v>69.7</v>
      </c>
      <c r="BW77" s="78">
        <f t="shared" si="33"/>
        <v>205</v>
      </c>
    </row>
    <row r="78" spans="1:75" x14ac:dyDescent="0.25">
      <c r="A78" s="87" t="s">
        <v>184</v>
      </c>
      <c r="B78" s="70">
        <v>21</v>
      </c>
      <c r="C78" s="70">
        <v>21</v>
      </c>
      <c r="D78" s="70">
        <v>21</v>
      </c>
      <c r="E78" s="70">
        <v>21</v>
      </c>
      <c r="F78" s="70">
        <v>21</v>
      </c>
      <c r="G78" s="70">
        <v>21</v>
      </c>
      <c r="H78" s="70">
        <v>21</v>
      </c>
      <c r="I78" s="70">
        <v>21</v>
      </c>
      <c r="J78" s="70">
        <v>21</v>
      </c>
      <c r="K78" s="70">
        <v>21</v>
      </c>
      <c r="L78" s="70">
        <v>21</v>
      </c>
      <c r="M78" s="70">
        <v>16.600000000000001</v>
      </c>
      <c r="N78" s="70">
        <v>20.100000000000001</v>
      </c>
      <c r="O78" s="70">
        <v>19.2</v>
      </c>
      <c r="P78" s="70">
        <v>20.3</v>
      </c>
      <c r="Q78" s="70">
        <v>18.7</v>
      </c>
      <c r="R78" s="70">
        <v>18.8</v>
      </c>
      <c r="S78" s="70">
        <v>18.8</v>
      </c>
      <c r="T78" s="70">
        <v>21</v>
      </c>
      <c r="U78" s="70">
        <v>19.7</v>
      </c>
      <c r="V78" s="70">
        <v>14.3</v>
      </c>
      <c r="W78" s="70">
        <v>3</v>
      </c>
      <c r="X78" s="70">
        <v>0</v>
      </c>
      <c r="Y78" s="70">
        <v>0</v>
      </c>
      <c r="Z78" s="70">
        <v>26.3</v>
      </c>
      <c r="AA78" s="70">
        <v>26.3</v>
      </c>
      <c r="AB78" s="70">
        <v>27.7</v>
      </c>
      <c r="AC78" s="70">
        <v>27.7</v>
      </c>
      <c r="AD78" s="70">
        <v>27.7</v>
      </c>
      <c r="AE78" s="70">
        <v>27.7</v>
      </c>
      <c r="AF78" s="70">
        <v>27.7</v>
      </c>
      <c r="AG78" s="86">
        <v>32</v>
      </c>
      <c r="AH78" s="12">
        <f t="shared" si="22"/>
        <v>27.7</v>
      </c>
      <c r="AI78" s="11">
        <f t="shared" si="23"/>
        <v>0</v>
      </c>
      <c r="AK78" s="19"/>
      <c r="AZ78" s="78">
        <f t="shared" ref="AZ78:BW78" si="34">VALUE(AZ71)</f>
        <v>13</v>
      </c>
      <c r="BA78" s="78">
        <f t="shared" si="34"/>
        <v>13</v>
      </c>
      <c r="BB78" s="78">
        <f t="shared" si="34"/>
        <v>13</v>
      </c>
      <c r="BC78" s="78">
        <f t="shared" si="34"/>
        <v>12.7</v>
      </c>
      <c r="BD78" s="78">
        <f t="shared" si="34"/>
        <v>12.9</v>
      </c>
      <c r="BE78" s="78">
        <f t="shared" si="34"/>
        <v>12.3</v>
      </c>
      <c r="BF78" s="78">
        <f t="shared" si="34"/>
        <v>11.6</v>
      </c>
      <c r="BG78" s="78">
        <f t="shared" si="34"/>
        <v>10</v>
      </c>
      <c r="BH78" s="78">
        <f t="shared" si="34"/>
        <v>8</v>
      </c>
      <c r="BI78" s="78">
        <f t="shared" si="34"/>
        <v>6.5</v>
      </c>
      <c r="BJ78" s="78">
        <f t="shared" si="34"/>
        <v>7.5</v>
      </c>
      <c r="BK78" s="78">
        <f t="shared" si="34"/>
        <v>6.7</v>
      </c>
      <c r="BL78" s="78">
        <f t="shared" si="34"/>
        <v>36</v>
      </c>
      <c r="BM78" s="78">
        <f t="shared" si="34"/>
        <v>42.8</v>
      </c>
      <c r="BN78" s="78">
        <f t="shared" si="34"/>
        <v>44.2</v>
      </c>
      <c r="BO78" s="78">
        <f t="shared" si="34"/>
        <v>28.6</v>
      </c>
      <c r="BP78" s="78">
        <f t="shared" si="34"/>
        <v>33.299999999999997</v>
      </c>
      <c r="BQ78" s="78">
        <f t="shared" si="34"/>
        <v>0</v>
      </c>
      <c r="BR78" s="78">
        <f t="shared" si="34"/>
        <v>0</v>
      </c>
      <c r="BS78" s="78">
        <f t="shared" si="34"/>
        <v>0</v>
      </c>
      <c r="BT78" s="78">
        <f t="shared" si="34"/>
        <v>0</v>
      </c>
      <c r="BU78" s="78">
        <f t="shared" si="34"/>
        <v>0</v>
      </c>
      <c r="BV78" s="78">
        <f t="shared" si="34"/>
        <v>0</v>
      </c>
      <c r="BW78" s="78">
        <f t="shared" si="34"/>
        <v>13</v>
      </c>
    </row>
    <row r="79" spans="1:75" ht="15.75" thickBot="1" x14ac:dyDescent="0.3">
      <c r="A79" s="111" t="s">
        <v>183</v>
      </c>
      <c r="B79" s="110">
        <v>8</v>
      </c>
      <c r="C79" s="110">
        <v>8</v>
      </c>
      <c r="D79" s="110">
        <v>8</v>
      </c>
      <c r="E79" s="110">
        <v>8</v>
      </c>
      <c r="F79" s="110">
        <v>8</v>
      </c>
      <c r="G79" s="110">
        <v>8</v>
      </c>
      <c r="H79" s="110">
        <v>8</v>
      </c>
      <c r="I79" s="110">
        <v>8</v>
      </c>
      <c r="J79" s="110">
        <v>8</v>
      </c>
      <c r="K79" s="110">
        <v>8</v>
      </c>
      <c r="L79" s="110">
        <v>8</v>
      </c>
      <c r="M79" s="110">
        <v>6</v>
      </c>
      <c r="N79" s="110">
        <v>7.3</v>
      </c>
      <c r="O79" s="110">
        <v>7</v>
      </c>
      <c r="P79" s="110">
        <v>7.4</v>
      </c>
      <c r="Q79" s="110">
        <v>6.8</v>
      </c>
      <c r="R79" s="110">
        <v>6.9</v>
      </c>
      <c r="S79" s="110">
        <v>6.9</v>
      </c>
      <c r="T79" s="110">
        <v>7.7</v>
      </c>
      <c r="U79" s="110">
        <v>7.2</v>
      </c>
      <c r="V79" s="110">
        <v>5.2</v>
      </c>
      <c r="W79" s="110">
        <v>1.1000000000000001</v>
      </c>
      <c r="X79" s="110">
        <v>0</v>
      </c>
      <c r="Y79" s="110">
        <v>0</v>
      </c>
      <c r="Z79" s="110">
        <v>9.6</v>
      </c>
      <c r="AA79" s="110">
        <v>9.6</v>
      </c>
      <c r="AB79" s="110">
        <v>10</v>
      </c>
      <c r="AC79" s="110">
        <v>10.1</v>
      </c>
      <c r="AD79" s="110">
        <v>10.1</v>
      </c>
      <c r="AE79" s="110">
        <v>10.1</v>
      </c>
      <c r="AF79" s="110">
        <v>10.1</v>
      </c>
      <c r="AG79" s="109">
        <v>14</v>
      </c>
      <c r="AH79" s="12">
        <f t="shared" si="22"/>
        <v>10.1</v>
      </c>
      <c r="AI79" s="11">
        <f t="shared" si="23"/>
        <v>0</v>
      </c>
      <c r="AK79" s="19"/>
      <c r="AZ79" s="78">
        <f t="shared" ref="AZ79:BW79" si="35">VALUE(AZ72)</f>
        <v>0</v>
      </c>
      <c r="BA79" s="78">
        <f t="shared" si="35"/>
        <v>0</v>
      </c>
      <c r="BB79" s="78">
        <f t="shared" si="35"/>
        <v>0</v>
      </c>
      <c r="BC79" s="78">
        <f t="shared" si="35"/>
        <v>0</v>
      </c>
      <c r="BD79" s="78">
        <f t="shared" si="35"/>
        <v>0</v>
      </c>
      <c r="BE79" s="78">
        <f t="shared" si="35"/>
        <v>0</v>
      </c>
      <c r="BF79" s="78">
        <f t="shared" si="35"/>
        <v>0</v>
      </c>
      <c r="BG79" s="78">
        <f t="shared" si="35"/>
        <v>126.1</v>
      </c>
      <c r="BH79" s="78">
        <f t="shared" si="35"/>
        <v>111.6</v>
      </c>
      <c r="BI79" s="78">
        <f t="shared" si="35"/>
        <v>129.69999999999999</v>
      </c>
      <c r="BJ79" s="78">
        <f t="shared" si="35"/>
        <v>145</v>
      </c>
      <c r="BK79" s="78">
        <f t="shared" si="35"/>
        <v>145</v>
      </c>
      <c r="BL79" s="78">
        <f t="shared" si="35"/>
        <v>150</v>
      </c>
      <c r="BM79" s="78">
        <f t="shared" si="35"/>
        <v>153.6</v>
      </c>
      <c r="BN79" s="78">
        <f t="shared" si="35"/>
        <v>143.19999999999999</v>
      </c>
      <c r="BO79" s="78">
        <f t="shared" si="35"/>
        <v>114.8</v>
      </c>
      <c r="BP79" s="78">
        <f t="shared" si="35"/>
        <v>119.6</v>
      </c>
      <c r="BQ79" s="78">
        <f t="shared" si="35"/>
        <v>62</v>
      </c>
      <c r="BR79" s="78">
        <f t="shared" si="35"/>
        <v>0</v>
      </c>
      <c r="BS79" s="78">
        <f t="shared" si="35"/>
        <v>0</v>
      </c>
      <c r="BT79" s="78">
        <f t="shared" si="35"/>
        <v>0</v>
      </c>
      <c r="BU79" s="78">
        <f t="shared" si="35"/>
        <v>0</v>
      </c>
      <c r="BV79" s="78">
        <f t="shared" si="35"/>
        <v>0</v>
      </c>
      <c r="BW79" s="78">
        <f t="shared" si="35"/>
        <v>0</v>
      </c>
    </row>
    <row r="80" spans="1:75" ht="15.75" thickBot="1" x14ac:dyDescent="0.3">
      <c r="A80" s="77" t="s">
        <v>182</v>
      </c>
      <c r="B80" s="76">
        <f t="shared" ref="B80:AF80" si="36">B77+B78+B79</f>
        <v>79</v>
      </c>
      <c r="C80" s="76">
        <f t="shared" si="36"/>
        <v>79</v>
      </c>
      <c r="D80" s="76">
        <f t="shared" si="36"/>
        <v>79</v>
      </c>
      <c r="E80" s="76">
        <f t="shared" si="36"/>
        <v>79</v>
      </c>
      <c r="F80" s="76">
        <f t="shared" si="36"/>
        <v>79</v>
      </c>
      <c r="G80" s="76">
        <f t="shared" si="36"/>
        <v>79</v>
      </c>
      <c r="H80" s="76">
        <f t="shared" si="36"/>
        <v>79</v>
      </c>
      <c r="I80" s="76">
        <f t="shared" si="36"/>
        <v>79</v>
      </c>
      <c r="J80" s="76">
        <f t="shared" si="36"/>
        <v>79</v>
      </c>
      <c r="K80" s="76">
        <f t="shared" si="36"/>
        <v>79</v>
      </c>
      <c r="L80" s="76">
        <f t="shared" si="36"/>
        <v>79</v>
      </c>
      <c r="M80" s="76">
        <f t="shared" si="36"/>
        <v>61.9</v>
      </c>
      <c r="N80" s="76">
        <f t="shared" si="36"/>
        <v>71.399999999999991</v>
      </c>
      <c r="O80" s="76">
        <f t="shared" si="36"/>
        <v>70.3</v>
      </c>
      <c r="P80" s="76">
        <f t="shared" si="36"/>
        <v>81.7</v>
      </c>
      <c r="Q80" s="76">
        <f t="shared" si="36"/>
        <v>70.5</v>
      </c>
      <c r="R80" s="76">
        <f t="shared" si="36"/>
        <v>70.7</v>
      </c>
      <c r="S80" s="76">
        <f t="shared" si="36"/>
        <v>70.7</v>
      </c>
      <c r="T80" s="76">
        <f t="shared" si="36"/>
        <v>78.400000000000006</v>
      </c>
      <c r="U80" s="76">
        <f t="shared" si="36"/>
        <v>66.100000000000009</v>
      </c>
      <c r="V80" s="76">
        <f t="shared" si="36"/>
        <v>59.2</v>
      </c>
      <c r="W80" s="76">
        <f t="shared" si="36"/>
        <v>14.7</v>
      </c>
      <c r="X80" s="76">
        <f t="shared" si="36"/>
        <v>0</v>
      </c>
      <c r="Y80" s="76">
        <f t="shared" si="36"/>
        <v>0</v>
      </c>
      <c r="Z80" s="76">
        <f t="shared" si="36"/>
        <v>95.6</v>
      </c>
      <c r="AA80" s="76">
        <f t="shared" si="36"/>
        <v>95.6</v>
      </c>
      <c r="AB80" s="76">
        <f t="shared" si="36"/>
        <v>97.4</v>
      </c>
      <c r="AC80" s="76">
        <f t="shared" si="36"/>
        <v>97.1</v>
      </c>
      <c r="AD80" s="76">
        <f t="shared" si="36"/>
        <v>97.1</v>
      </c>
      <c r="AE80" s="76">
        <f t="shared" si="36"/>
        <v>97.1</v>
      </c>
      <c r="AF80" s="76">
        <f t="shared" si="36"/>
        <v>97.1</v>
      </c>
      <c r="AG80" s="93">
        <f>SUM(AG77:AG79)</f>
        <v>106</v>
      </c>
      <c r="AH80" s="12">
        <f t="shared" si="22"/>
        <v>97.4</v>
      </c>
      <c r="AI80" s="11">
        <f t="shared" si="23"/>
        <v>0</v>
      </c>
      <c r="AK80" s="19"/>
      <c r="AZ80" s="78">
        <f t="shared" ref="AZ80:BW80" si="37">VALUE(AZ73)</f>
        <v>55</v>
      </c>
      <c r="BA80" s="78">
        <f t="shared" si="37"/>
        <v>55</v>
      </c>
      <c r="BB80" s="78">
        <f t="shared" si="37"/>
        <v>51.5</v>
      </c>
      <c r="BC80" s="78">
        <f t="shared" si="37"/>
        <v>51</v>
      </c>
      <c r="BD80" s="78">
        <f t="shared" si="37"/>
        <v>48.6</v>
      </c>
      <c r="BE80" s="78">
        <f t="shared" si="37"/>
        <v>46.6</v>
      </c>
      <c r="BF80" s="78">
        <f t="shared" si="37"/>
        <v>41</v>
      </c>
      <c r="BG80" s="78">
        <f t="shared" si="37"/>
        <v>46.7</v>
      </c>
      <c r="BH80" s="78">
        <f t="shared" si="37"/>
        <v>49.2</v>
      </c>
      <c r="BI80" s="78">
        <f t="shared" si="37"/>
        <v>51.5</v>
      </c>
      <c r="BJ80" s="78">
        <f t="shared" si="37"/>
        <v>48</v>
      </c>
      <c r="BK80" s="78">
        <f t="shared" si="37"/>
        <v>47.9</v>
      </c>
      <c r="BL80" s="78">
        <f t="shared" si="37"/>
        <v>51.8</v>
      </c>
      <c r="BM80" s="78">
        <f t="shared" si="37"/>
        <v>51</v>
      </c>
      <c r="BN80" s="78">
        <f t="shared" si="37"/>
        <v>46</v>
      </c>
      <c r="BO80" s="78">
        <f t="shared" si="37"/>
        <v>0</v>
      </c>
      <c r="BP80" s="78">
        <f t="shared" si="37"/>
        <v>33</v>
      </c>
      <c r="BQ80" s="78">
        <f t="shared" si="37"/>
        <v>40.9</v>
      </c>
      <c r="BR80" s="78">
        <f t="shared" si="37"/>
        <v>39.6</v>
      </c>
      <c r="BS80" s="78">
        <f t="shared" si="37"/>
        <v>30.3</v>
      </c>
      <c r="BT80" s="78">
        <f t="shared" si="37"/>
        <v>34.9</v>
      </c>
      <c r="BU80" s="78">
        <f t="shared" si="37"/>
        <v>36.5</v>
      </c>
      <c r="BV80" s="78">
        <f t="shared" si="37"/>
        <v>41.2</v>
      </c>
      <c r="BW80" s="78">
        <f t="shared" si="37"/>
        <v>55</v>
      </c>
    </row>
    <row r="81" spans="1:64" x14ac:dyDescent="0.25">
      <c r="A81" s="89" t="s">
        <v>157</v>
      </c>
      <c r="B81" s="102">
        <v>32</v>
      </c>
      <c r="C81" s="102">
        <v>28</v>
      </c>
      <c r="D81" s="102">
        <v>36</v>
      </c>
      <c r="E81" s="102">
        <v>32.4</v>
      </c>
      <c r="F81" s="102">
        <v>29.8</v>
      </c>
      <c r="G81" s="102">
        <v>29</v>
      </c>
      <c r="H81" s="102">
        <v>30</v>
      </c>
      <c r="I81" s="102">
        <v>30.1</v>
      </c>
      <c r="J81" s="102">
        <v>57.4</v>
      </c>
      <c r="K81" s="102">
        <v>66</v>
      </c>
      <c r="L81" s="102">
        <v>66</v>
      </c>
      <c r="M81" s="102">
        <v>52.5</v>
      </c>
      <c r="N81" s="102">
        <v>64</v>
      </c>
      <c r="O81" s="102">
        <v>68.599999999999994</v>
      </c>
      <c r="P81" s="102">
        <v>66.099999999999994</v>
      </c>
      <c r="Q81" s="102">
        <v>67.2</v>
      </c>
      <c r="R81" s="102">
        <v>56.1</v>
      </c>
      <c r="S81" s="102">
        <v>65.2</v>
      </c>
      <c r="T81" s="102">
        <v>67.7</v>
      </c>
      <c r="U81" s="102">
        <v>53.9</v>
      </c>
      <c r="V81" s="102">
        <v>52.2</v>
      </c>
      <c r="W81" s="102">
        <v>58.3</v>
      </c>
      <c r="X81" s="102">
        <v>53</v>
      </c>
      <c r="Y81" s="102">
        <v>15.6</v>
      </c>
      <c r="Z81" s="102">
        <v>19.600000000000001</v>
      </c>
      <c r="AA81" s="102">
        <v>22.8</v>
      </c>
      <c r="AB81" s="102">
        <v>20.8</v>
      </c>
      <c r="AC81" s="102">
        <v>24.7</v>
      </c>
      <c r="AD81" s="102">
        <v>24.7</v>
      </c>
      <c r="AE81" s="102">
        <v>47.2</v>
      </c>
      <c r="AF81" s="102">
        <v>39.5</v>
      </c>
      <c r="AG81" s="88"/>
      <c r="AH81" s="12">
        <f t="shared" si="22"/>
        <v>68.599999999999994</v>
      </c>
      <c r="AI81" s="11">
        <f t="shared" si="23"/>
        <v>15.6</v>
      </c>
      <c r="AK81" s="19"/>
      <c r="AY81" s="78"/>
    </row>
    <row r="82" spans="1:64" x14ac:dyDescent="0.25">
      <c r="A82" s="87" t="s">
        <v>160</v>
      </c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>
        <v>0</v>
      </c>
      <c r="AA82" s="70">
        <v>0</v>
      </c>
      <c r="AB82" s="70"/>
      <c r="AC82" s="70"/>
      <c r="AD82" s="70"/>
      <c r="AE82" s="70"/>
      <c r="AF82" s="70"/>
      <c r="AG82" s="86"/>
      <c r="AH82" s="12">
        <f t="shared" ref="AH82:AH113" si="38">MAX(B82:AF82)</f>
        <v>0</v>
      </c>
      <c r="AI82" s="11">
        <f t="shared" ref="AI82:AI113" si="39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25">
      <c r="A83" s="87" t="s">
        <v>181</v>
      </c>
      <c r="B83" s="70">
        <v>205</v>
      </c>
      <c r="C83" s="70">
        <v>200</v>
      </c>
      <c r="D83" s="70">
        <v>227</v>
      </c>
      <c r="E83" s="70">
        <v>218</v>
      </c>
      <c r="F83" s="70">
        <v>239.8</v>
      </c>
      <c r="G83" s="70">
        <v>266.2</v>
      </c>
      <c r="H83" s="70">
        <v>279</v>
      </c>
      <c r="I83" s="70">
        <v>288</v>
      </c>
      <c r="J83" s="70">
        <v>428</v>
      </c>
      <c r="K83" s="70">
        <v>481</v>
      </c>
      <c r="L83" s="70">
        <v>520</v>
      </c>
      <c r="M83" s="70">
        <v>547.6</v>
      </c>
      <c r="N83" s="70">
        <v>545.79999999999995</v>
      </c>
      <c r="O83" s="70">
        <v>540.6</v>
      </c>
      <c r="P83" s="70">
        <v>540</v>
      </c>
      <c r="Q83" s="70">
        <v>538</v>
      </c>
      <c r="R83" s="70">
        <v>550.4</v>
      </c>
      <c r="S83" s="70">
        <v>521.70000000000005</v>
      </c>
      <c r="T83" s="70">
        <v>507.4</v>
      </c>
      <c r="U83" s="70">
        <v>495.1</v>
      </c>
      <c r="V83" s="70">
        <v>500.4</v>
      </c>
      <c r="W83" s="70">
        <v>466.8</v>
      </c>
      <c r="X83" s="70">
        <v>315.89999999999998</v>
      </c>
      <c r="Y83" s="70">
        <v>40.799999999999997</v>
      </c>
      <c r="Z83" s="70">
        <v>67</v>
      </c>
      <c r="AA83" s="70">
        <v>43.7</v>
      </c>
      <c r="AB83" s="70">
        <v>23.2</v>
      </c>
      <c r="AC83" s="70">
        <v>28</v>
      </c>
      <c r="AD83" s="70">
        <v>55.6</v>
      </c>
      <c r="AE83" s="70">
        <v>51</v>
      </c>
      <c r="AF83" s="70">
        <v>69.7</v>
      </c>
      <c r="AG83" s="96"/>
      <c r="AH83" s="12">
        <f t="shared" si="38"/>
        <v>550.4</v>
      </c>
      <c r="AI83" s="11">
        <f t="shared" si="39"/>
        <v>23.2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25">
      <c r="A84" s="87" t="s">
        <v>161</v>
      </c>
      <c r="B84" s="70">
        <v>13</v>
      </c>
      <c r="C84" s="70">
        <v>13</v>
      </c>
      <c r="D84" s="70">
        <v>13</v>
      </c>
      <c r="E84" s="85">
        <v>13</v>
      </c>
      <c r="F84" s="85">
        <v>12.7</v>
      </c>
      <c r="G84" s="85">
        <v>12.9</v>
      </c>
      <c r="H84" s="85">
        <v>12.2</v>
      </c>
      <c r="I84" s="85">
        <v>12.3</v>
      </c>
      <c r="J84" s="85">
        <v>11.6</v>
      </c>
      <c r="K84" s="85">
        <v>11.6</v>
      </c>
      <c r="L84" s="85">
        <v>10</v>
      </c>
      <c r="M84" s="85">
        <v>10</v>
      </c>
      <c r="N84" s="85">
        <v>8</v>
      </c>
      <c r="O84" s="85">
        <v>6.5</v>
      </c>
      <c r="P84" s="85">
        <v>7.5</v>
      </c>
      <c r="Q84" s="85">
        <v>6.7</v>
      </c>
      <c r="R84" s="85">
        <v>36</v>
      </c>
      <c r="S84" s="85">
        <v>42.8</v>
      </c>
      <c r="T84" s="85">
        <v>44.2</v>
      </c>
      <c r="U84" s="85">
        <v>28.6</v>
      </c>
      <c r="V84" s="85">
        <v>33.299999999999997</v>
      </c>
      <c r="W84" s="85">
        <v>20.100000000000001</v>
      </c>
      <c r="X84" s="85">
        <v>0</v>
      </c>
      <c r="Y84" s="85">
        <v>0</v>
      </c>
      <c r="Z84" s="85">
        <v>0</v>
      </c>
      <c r="AA84" s="85">
        <v>0</v>
      </c>
      <c r="AB84" s="85">
        <v>0</v>
      </c>
      <c r="AC84" s="85">
        <v>0</v>
      </c>
      <c r="AD84" s="85">
        <v>0</v>
      </c>
      <c r="AE84" s="85">
        <v>0</v>
      </c>
      <c r="AF84" s="85">
        <v>0</v>
      </c>
      <c r="AG84" s="96"/>
      <c r="AH84" s="12">
        <f t="shared" si="38"/>
        <v>44.2</v>
      </c>
      <c r="AI84" s="11">
        <f t="shared" si="39"/>
        <v>0</v>
      </c>
      <c r="AK84" s="19"/>
      <c r="AY84" s="78"/>
      <c r="BF84" s="83"/>
      <c r="BG84" s="78">
        <f t="array" ref="BG84:BL107">TRANSPOSE(AZ68:BW73)</f>
        <v>28</v>
      </c>
      <c r="BH84" s="78">
        <v>0</v>
      </c>
      <c r="BI84" s="78">
        <v>200</v>
      </c>
      <c r="BJ84" s="78">
        <v>13</v>
      </c>
      <c r="BK84" s="78">
        <v>0</v>
      </c>
      <c r="BL84" s="78">
        <v>55</v>
      </c>
    </row>
    <row r="85" spans="1:64" x14ac:dyDescent="0.25">
      <c r="A85" s="87" t="s">
        <v>180</v>
      </c>
      <c r="B85" s="102">
        <v>0</v>
      </c>
      <c r="C85" s="102">
        <v>0</v>
      </c>
      <c r="D85" s="102">
        <v>0</v>
      </c>
      <c r="E85" s="102"/>
      <c r="F85" s="102"/>
      <c r="G85" s="102"/>
      <c r="H85" s="102"/>
      <c r="I85" s="102"/>
      <c r="J85" s="102"/>
      <c r="K85" s="102"/>
      <c r="L85" s="102"/>
      <c r="M85" s="102">
        <v>126.1</v>
      </c>
      <c r="N85" s="102">
        <v>111.6</v>
      </c>
      <c r="O85" s="102">
        <v>129.69999999999999</v>
      </c>
      <c r="P85" s="102">
        <v>145</v>
      </c>
      <c r="Q85" s="102">
        <v>145</v>
      </c>
      <c r="R85" s="102">
        <v>150</v>
      </c>
      <c r="S85" s="102">
        <v>153.6</v>
      </c>
      <c r="T85" s="102">
        <v>143.19999999999999</v>
      </c>
      <c r="U85" s="102">
        <v>114.8</v>
      </c>
      <c r="V85" s="102">
        <v>119.6</v>
      </c>
      <c r="W85" s="102">
        <v>93.3</v>
      </c>
      <c r="X85" s="102">
        <v>62</v>
      </c>
      <c r="Y85" s="102">
        <v>0</v>
      </c>
      <c r="Z85" s="102">
        <v>0</v>
      </c>
      <c r="AA85" s="102">
        <v>0</v>
      </c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38"/>
        <v>153.6</v>
      </c>
      <c r="AI85" s="11">
        <f t="shared" si="39"/>
        <v>0</v>
      </c>
      <c r="AK85" s="19"/>
      <c r="AY85" s="78"/>
      <c r="BF85" s="83"/>
      <c r="BG85" s="78">
        <v>36</v>
      </c>
      <c r="BH85" s="78">
        <v>0</v>
      </c>
      <c r="BI85" s="78">
        <v>227</v>
      </c>
      <c r="BJ85" s="78">
        <v>13</v>
      </c>
      <c r="BK85" s="78">
        <v>0</v>
      </c>
      <c r="BL85" s="78">
        <v>55</v>
      </c>
    </row>
    <row r="86" spans="1:64" x14ac:dyDescent="0.25">
      <c r="A86" s="87" t="s">
        <v>179</v>
      </c>
      <c r="B86" s="97">
        <v>7</v>
      </c>
      <c r="C86" s="97">
        <v>7</v>
      </c>
      <c r="D86" s="97">
        <v>7</v>
      </c>
      <c r="E86" s="97">
        <v>7</v>
      </c>
      <c r="F86" s="97">
        <v>7</v>
      </c>
      <c r="G86" s="97">
        <v>7</v>
      </c>
      <c r="H86" s="97">
        <v>7</v>
      </c>
      <c r="I86" s="97">
        <v>7</v>
      </c>
      <c r="J86" s="97">
        <v>7</v>
      </c>
      <c r="K86" s="97">
        <v>7</v>
      </c>
      <c r="L86" s="97">
        <v>7</v>
      </c>
      <c r="M86" s="97">
        <v>7</v>
      </c>
      <c r="N86" s="97">
        <v>7</v>
      </c>
      <c r="O86" s="97">
        <v>7</v>
      </c>
      <c r="P86" s="97">
        <v>7</v>
      </c>
      <c r="Q86" s="97">
        <v>7</v>
      </c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38"/>
        <v>7</v>
      </c>
      <c r="AI86" s="11">
        <f t="shared" si="39"/>
        <v>7</v>
      </c>
      <c r="AK86" s="19"/>
      <c r="AY86" s="78"/>
      <c r="BF86" s="83"/>
      <c r="BG86" s="78">
        <v>32.4</v>
      </c>
      <c r="BH86" s="78">
        <v>0</v>
      </c>
      <c r="BI86" s="78">
        <v>218</v>
      </c>
      <c r="BJ86" s="78">
        <v>13</v>
      </c>
      <c r="BK86" s="78">
        <v>0</v>
      </c>
      <c r="BL86" s="78">
        <v>51.5</v>
      </c>
    </row>
    <row r="87" spans="1:64" ht="15.75" thickBot="1" x14ac:dyDescent="0.3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38"/>
        <v>0</v>
      </c>
      <c r="AI87" s="11">
        <f t="shared" si="39"/>
        <v>0</v>
      </c>
      <c r="AK87" s="19"/>
      <c r="AL87" s="108" t="s">
        <v>177</v>
      </c>
      <c r="AM87" s="108"/>
      <c r="AY87" s="78"/>
      <c r="BF87" s="78"/>
      <c r="BG87" s="78">
        <v>29.8</v>
      </c>
      <c r="BH87" s="78">
        <v>0</v>
      </c>
      <c r="BI87" s="78">
        <v>239.8</v>
      </c>
      <c r="BJ87" s="78">
        <v>12.7</v>
      </c>
      <c r="BK87" s="78">
        <v>0</v>
      </c>
      <c r="BL87" s="78">
        <v>51</v>
      </c>
    </row>
    <row r="88" spans="1:64" x14ac:dyDescent="0.25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38"/>
        <v>0</v>
      </c>
      <c r="AI88" s="11">
        <f t="shared" si="39"/>
        <v>0</v>
      </c>
      <c r="AK88" s="107"/>
      <c r="AL88" s="106"/>
      <c r="AM88" s="106"/>
      <c r="AN88" s="105"/>
      <c r="AY88" s="78"/>
      <c r="BF88" s="78"/>
      <c r="BG88" s="78">
        <v>29</v>
      </c>
      <c r="BH88" s="78">
        <v>0</v>
      </c>
      <c r="BI88" s="78">
        <v>266.2</v>
      </c>
      <c r="BJ88" s="78">
        <v>12.9</v>
      </c>
      <c r="BK88" s="78">
        <v>0</v>
      </c>
      <c r="BL88" s="78">
        <v>48.6</v>
      </c>
    </row>
    <row r="89" spans="1:64" x14ac:dyDescent="0.25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38"/>
        <v>0</v>
      </c>
      <c r="AI89" s="11">
        <f t="shared" si="39"/>
        <v>0</v>
      </c>
      <c r="AK89" s="104" t="s">
        <v>174</v>
      </c>
      <c r="AL89" s="70"/>
      <c r="AM89" s="85"/>
      <c r="AN89" s="103"/>
      <c r="AY89" s="78"/>
      <c r="BF89" s="78"/>
      <c r="BG89" s="78">
        <v>30.1</v>
      </c>
      <c r="BH89" s="78">
        <v>0</v>
      </c>
      <c r="BI89" s="78">
        <v>288</v>
      </c>
      <c r="BJ89" s="78">
        <v>12.3</v>
      </c>
      <c r="BK89" s="78">
        <v>0</v>
      </c>
      <c r="BL89" s="78">
        <v>46.6</v>
      </c>
    </row>
    <row r="90" spans="1:64" x14ac:dyDescent="0.25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38"/>
        <v>0</v>
      </c>
      <c r="AI90" s="11">
        <f t="shared" si="39"/>
        <v>0</v>
      </c>
      <c r="AK90" s="104" t="s">
        <v>172</v>
      </c>
      <c r="AL90" s="85"/>
      <c r="AM90" s="85"/>
      <c r="AN90" s="103"/>
      <c r="AY90" s="78"/>
      <c r="BF90" s="78"/>
      <c r="BG90" s="78">
        <v>66</v>
      </c>
      <c r="BH90" s="78">
        <v>0</v>
      </c>
      <c r="BI90" s="78">
        <v>481</v>
      </c>
      <c r="BJ90" s="78">
        <v>11.6</v>
      </c>
      <c r="BK90" s="78">
        <v>0</v>
      </c>
      <c r="BL90" s="78">
        <v>41</v>
      </c>
    </row>
    <row r="91" spans="1:64" ht="15.75" thickBot="1" x14ac:dyDescent="0.3">
      <c r="A91" s="82" t="s">
        <v>171</v>
      </c>
      <c r="B91" s="97">
        <v>55</v>
      </c>
      <c r="C91" s="97">
        <v>55</v>
      </c>
      <c r="D91" s="97">
        <v>55</v>
      </c>
      <c r="E91" s="97">
        <v>51.5</v>
      </c>
      <c r="F91" s="97">
        <v>51</v>
      </c>
      <c r="G91" s="97">
        <v>48.6</v>
      </c>
      <c r="H91" s="97">
        <v>47.4</v>
      </c>
      <c r="I91" s="97">
        <v>46.6</v>
      </c>
      <c r="J91" s="97">
        <v>49.7</v>
      </c>
      <c r="K91" s="97">
        <v>41</v>
      </c>
      <c r="L91" s="97">
        <v>44.5</v>
      </c>
      <c r="M91" s="97">
        <v>46.7</v>
      </c>
      <c r="N91" s="97">
        <v>49.2</v>
      </c>
      <c r="O91" s="97">
        <v>51.5</v>
      </c>
      <c r="P91" s="97">
        <v>48</v>
      </c>
      <c r="Q91" s="97">
        <v>47.9</v>
      </c>
      <c r="R91" s="97">
        <v>51.8</v>
      </c>
      <c r="S91" s="97">
        <v>51</v>
      </c>
      <c r="T91" s="97">
        <v>46</v>
      </c>
      <c r="U91" s="97">
        <v>0</v>
      </c>
      <c r="V91" s="97">
        <v>33</v>
      </c>
      <c r="W91" s="97">
        <v>40.799999999999997</v>
      </c>
      <c r="X91" s="97">
        <v>40.9</v>
      </c>
      <c r="Y91" s="97">
        <v>40.6</v>
      </c>
      <c r="Z91" s="97">
        <v>39.6</v>
      </c>
      <c r="AA91" s="97">
        <v>36.799999999999997</v>
      </c>
      <c r="AB91" s="97">
        <v>30.3</v>
      </c>
      <c r="AC91" s="97">
        <v>34.799999999999997</v>
      </c>
      <c r="AD91" s="97">
        <v>34.9</v>
      </c>
      <c r="AE91" s="97">
        <v>36.5</v>
      </c>
      <c r="AF91" s="97">
        <v>41.2</v>
      </c>
      <c r="AG91" s="80"/>
      <c r="AH91" s="12">
        <f t="shared" si="38"/>
        <v>55</v>
      </c>
      <c r="AI91" s="11">
        <f t="shared" si="39"/>
        <v>0</v>
      </c>
      <c r="AK91" s="98"/>
      <c r="AL91" s="102"/>
      <c r="AM91" s="102"/>
      <c r="AN91" s="101"/>
      <c r="AY91" s="78"/>
      <c r="BF91" s="78"/>
      <c r="BG91" s="78">
        <v>52.5</v>
      </c>
      <c r="BH91" s="78">
        <v>0</v>
      </c>
      <c r="BI91" s="78">
        <v>547.6</v>
      </c>
      <c r="BJ91" s="78">
        <v>10</v>
      </c>
      <c r="BK91" s="78">
        <v>126.1</v>
      </c>
      <c r="BL91" s="78">
        <v>46.7</v>
      </c>
    </row>
    <row r="92" spans="1:64" ht="15.75" thickBot="1" x14ac:dyDescent="0.3">
      <c r="A92" s="77" t="s">
        <v>170</v>
      </c>
      <c r="B92" s="76">
        <f t="shared" ref="B92:AF92" si="40">SUMIF(B81:B91,"&gt;0")</f>
        <v>312</v>
      </c>
      <c r="C92" s="76">
        <f t="shared" si="40"/>
        <v>303</v>
      </c>
      <c r="D92" s="76">
        <f t="shared" si="40"/>
        <v>338</v>
      </c>
      <c r="E92" s="76">
        <f t="shared" si="40"/>
        <v>321.89999999999998</v>
      </c>
      <c r="F92" s="76">
        <f t="shared" si="40"/>
        <v>340.3</v>
      </c>
      <c r="G92" s="76">
        <f t="shared" si="40"/>
        <v>363.7</v>
      </c>
      <c r="H92" s="76">
        <f t="shared" si="40"/>
        <v>375.59999999999997</v>
      </c>
      <c r="I92" s="76">
        <f t="shared" si="40"/>
        <v>384.00000000000006</v>
      </c>
      <c r="J92" s="76">
        <f t="shared" si="40"/>
        <v>553.70000000000005</v>
      </c>
      <c r="K92" s="76">
        <f t="shared" si="40"/>
        <v>606.6</v>
      </c>
      <c r="L92" s="76">
        <f t="shared" si="40"/>
        <v>647.5</v>
      </c>
      <c r="M92" s="76">
        <f t="shared" si="40"/>
        <v>789.90000000000009</v>
      </c>
      <c r="N92" s="76">
        <f t="shared" si="40"/>
        <v>785.6</v>
      </c>
      <c r="O92" s="76">
        <f t="shared" si="40"/>
        <v>803.90000000000009</v>
      </c>
      <c r="P92" s="76">
        <f t="shared" si="40"/>
        <v>813.6</v>
      </c>
      <c r="Q92" s="76">
        <f t="shared" si="40"/>
        <v>811.80000000000007</v>
      </c>
      <c r="R92" s="76">
        <f t="shared" si="40"/>
        <v>844.3</v>
      </c>
      <c r="S92" s="76">
        <f t="shared" si="40"/>
        <v>834.30000000000007</v>
      </c>
      <c r="T92" s="76">
        <f t="shared" si="40"/>
        <v>808.5</v>
      </c>
      <c r="U92" s="76">
        <f t="shared" si="40"/>
        <v>692.4</v>
      </c>
      <c r="V92" s="76">
        <f t="shared" si="40"/>
        <v>738.5</v>
      </c>
      <c r="W92" s="76">
        <f t="shared" si="40"/>
        <v>679.3</v>
      </c>
      <c r="X92" s="76">
        <f t="shared" si="40"/>
        <v>471.79999999999995</v>
      </c>
      <c r="Y92" s="76">
        <f t="shared" si="40"/>
        <v>97</v>
      </c>
      <c r="Z92" s="76">
        <f t="shared" si="40"/>
        <v>126.19999999999999</v>
      </c>
      <c r="AA92" s="76">
        <f t="shared" si="40"/>
        <v>103.3</v>
      </c>
      <c r="AB92" s="76">
        <f t="shared" si="40"/>
        <v>74.3</v>
      </c>
      <c r="AC92" s="76">
        <f t="shared" si="40"/>
        <v>87.5</v>
      </c>
      <c r="AD92" s="76">
        <f t="shared" si="40"/>
        <v>115.19999999999999</v>
      </c>
      <c r="AE92" s="76">
        <f t="shared" si="40"/>
        <v>134.69999999999999</v>
      </c>
      <c r="AF92" s="76">
        <f t="shared" si="40"/>
        <v>150.4</v>
      </c>
      <c r="AG92" s="75">
        <f>SUM(AG81:AG91)</f>
        <v>0</v>
      </c>
      <c r="AH92" s="12">
        <f t="shared" si="38"/>
        <v>844.3</v>
      </c>
      <c r="AI92" s="11">
        <f t="shared" si="39"/>
        <v>74.3</v>
      </c>
      <c r="AK92" s="98"/>
      <c r="AL92" s="97"/>
      <c r="AM92" s="100"/>
      <c r="AN92" s="220"/>
      <c r="AY92" s="78"/>
      <c r="BF92" s="78"/>
      <c r="BG92" s="78">
        <v>64</v>
      </c>
      <c r="BH92" s="78">
        <v>0</v>
      </c>
      <c r="BI92" s="78">
        <v>545.79999999999995</v>
      </c>
      <c r="BJ92" s="78">
        <v>8</v>
      </c>
      <c r="BK92" s="78">
        <v>111.6</v>
      </c>
      <c r="BL92" s="78">
        <v>49.2</v>
      </c>
    </row>
    <row r="93" spans="1:64" x14ac:dyDescent="0.25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38"/>
        <v>0</v>
      </c>
      <c r="AI93" s="11">
        <f t="shared" si="39"/>
        <v>0</v>
      </c>
      <c r="AK93" s="98"/>
      <c r="AL93" s="97"/>
      <c r="AM93" s="97"/>
      <c r="AN93" s="221"/>
      <c r="BF93" s="78"/>
      <c r="BG93" s="78">
        <v>68.599999999999994</v>
      </c>
      <c r="BH93" s="78">
        <v>0</v>
      </c>
      <c r="BI93" s="78">
        <v>540.6</v>
      </c>
      <c r="BJ93" s="78">
        <v>6.5</v>
      </c>
      <c r="BK93" s="78">
        <v>129.69999999999999</v>
      </c>
      <c r="BL93" s="78">
        <v>51.5</v>
      </c>
    </row>
    <row r="94" spans="1:64" ht="15.75" thickBot="1" x14ac:dyDescent="0.3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38"/>
        <v>0</v>
      </c>
      <c r="AI94" s="11">
        <f t="shared" si="39"/>
        <v>0</v>
      </c>
      <c r="AK94" s="95"/>
      <c r="AL94" s="67"/>
      <c r="AM94" s="67"/>
      <c r="AN94" s="94"/>
      <c r="BF94" s="78"/>
      <c r="BG94" s="78">
        <v>66.099999999999994</v>
      </c>
      <c r="BH94" s="78">
        <v>0</v>
      </c>
      <c r="BI94" s="78">
        <v>540</v>
      </c>
      <c r="BJ94" s="78">
        <v>7.5</v>
      </c>
      <c r="BK94" s="78">
        <v>145</v>
      </c>
      <c r="BL94" s="78">
        <v>48</v>
      </c>
    </row>
    <row r="95" spans="1:64" ht="15.75" thickBot="1" x14ac:dyDescent="0.3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38"/>
        <v>0</v>
      </c>
      <c r="AI95" s="11">
        <f t="shared" si="39"/>
        <v>0</v>
      </c>
      <c r="BF95" s="78"/>
      <c r="BG95" s="78">
        <v>67.2</v>
      </c>
      <c r="BH95" s="78">
        <v>0</v>
      </c>
      <c r="BI95" s="78">
        <v>538</v>
      </c>
      <c r="BJ95" s="78">
        <v>6.7</v>
      </c>
      <c r="BK95" s="78">
        <v>145</v>
      </c>
      <c r="BL95" s="78">
        <v>47.9</v>
      </c>
    </row>
    <row r="96" spans="1:64" ht="15.75" thickBot="1" x14ac:dyDescent="0.3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38"/>
        <v>0</v>
      </c>
      <c r="AI96" s="11">
        <f t="shared" si="39"/>
        <v>0</v>
      </c>
      <c r="BF96" s="78"/>
      <c r="BG96" s="78">
        <v>56.1</v>
      </c>
      <c r="BH96" s="78">
        <v>0</v>
      </c>
      <c r="BI96" s="78">
        <v>550.4</v>
      </c>
      <c r="BJ96" s="78">
        <v>36</v>
      </c>
      <c r="BK96" s="78">
        <v>150</v>
      </c>
      <c r="BL96" s="78">
        <v>51.8</v>
      </c>
    </row>
    <row r="97" spans="1:64" ht="15.75" thickBot="1" x14ac:dyDescent="0.3">
      <c r="A97" s="77" t="s">
        <v>165</v>
      </c>
      <c r="B97" s="90">
        <f t="shared" ref="B97:AG97" si="41">B58+B62+B80+B76+B92+B96</f>
        <v>1234.74</v>
      </c>
      <c r="C97" s="90">
        <f t="shared" si="41"/>
        <v>1201.74</v>
      </c>
      <c r="D97" s="90">
        <f t="shared" si="41"/>
        <v>1164.74</v>
      </c>
      <c r="E97" s="90">
        <f t="shared" si="41"/>
        <v>1133.54</v>
      </c>
      <c r="F97" s="90">
        <f t="shared" si="41"/>
        <v>1136.24</v>
      </c>
      <c r="G97" s="90">
        <f t="shared" si="41"/>
        <v>1166.74</v>
      </c>
      <c r="H97" s="90">
        <f t="shared" si="41"/>
        <v>1178.6399999999999</v>
      </c>
      <c r="I97" s="90">
        <f t="shared" si="41"/>
        <v>1217.24</v>
      </c>
      <c r="J97" s="90">
        <f t="shared" si="41"/>
        <v>1358.8400000000001</v>
      </c>
      <c r="K97" s="90">
        <f t="shared" si="41"/>
        <v>1474.94</v>
      </c>
      <c r="L97" s="90">
        <f t="shared" si="41"/>
        <v>1534.54</v>
      </c>
      <c r="M97" s="90">
        <f t="shared" si="41"/>
        <v>1577.74</v>
      </c>
      <c r="N97" s="90">
        <f t="shared" si="41"/>
        <v>1581.44</v>
      </c>
      <c r="O97" s="90">
        <f t="shared" si="41"/>
        <v>1602.14</v>
      </c>
      <c r="P97" s="90">
        <f t="shared" si="41"/>
        <v>1653.74</v>
      </c>
      <c r="Q97" s="90">
        <f t="shared" si="41"/>
        <v>1619.6399999999999</v>
      </c>
      <c r="R97" s="90">
        <f t="shared" si="41"/>
        <v>1595.6399999999999</v>
      </c>
      <c r="S97" s="90">
        <f t="shared" si="41"/>
        <v>1592.04</v>
      </c>
      <c r="T97" s="90">
        <f t="shared" si="41"/>
        <v>1572.44</v>
      </c>
      <c r="U97" s="90">
        <f t="shared" si="41"/>
        <v>1440.6399999999999</v>
      </c>
      <c r="V97" s="90">
        <f t="shared" si="41"/>
        <v>1468.84</v>
      </c>
      <c r="W97" s="90">
        <f t="shared" si="41"/>
        <v>1364.84</v>
      </c>
      <c r="X97" s="90">
        <f t="shared" si="41"/>
        <v>1239.9199999999998</v>
      </c>
      <c r="Y97" s="90">
        <f t="shared" si="41"/>
        <v>1261.24</v>
      </c>
      <c r="Z97" s="90">
        <f t="shared" si="41"/>
        <v>1434.5400000000002</v>
      </c>
      <c r="AA97" s="90">
        <f t="shared" si="41"/>
        <v>1418.34</v>
      </c>
      <c r="AB97" s="90">
        <f t="shared" si="41"/>
        <v>1446.44</v>
      </c>
      <c r="AC97" s="90">
        <f t="shared" si="41"/>
        <v>1444.04</v>
      </c>
      <c r="AD97" s="90">
        <f t="shared" si="41"/>
        <v>1422.0400000000002</v>
      </c>
      <c r="AE97" s="90">
        <f t="shared" si="41"/>
        <v>1396.44</v>
      </c>
      <c r="AF97" s="90">
        <f t="shared" si="41"/>
        <v>1306.74</v>
      </c>
      <c r="AG97" s="93">
        <f t="shared" si="41"/>
        <v>2231.81</v>
      </c>
      <c r="AH97" s="12">
        <f t="shared" si="38"/>
        <v>1653.74</v>
      </c>
      <c r="AI97" s="11">
        <f t="shared" si="39"/>
        <v>1133.54</v>
      </c>
      <c r="BF97" s="78"/>
      <c r="BG97" s="78">
        <v>65.2</v>
      </c>
      <c r="BH97" s="78">
        <v>0</v>
      </c>
      <c r="BI97" s="78">
        <v>521.70000000000005</v>
      </c>
      <c r="BJ97" s="78">
        <v>42.8</v>
      </c>
      <c r="BK97" s="78">
        <v>153.6</v>
      </c>
      <c r="BL97" s="78">
        <v>51</v>
      </c>
    </row>
    <row r="98" spans="1:64" ht="15.75" thickBot="1" x14ac:dyDescent="0.3">
      <c r="A98" s="92" t="s">
        <v>164</v>
      </c>
      <c r="B98" s="91">
        <v>220</v>
      </c>
      <c r="C98" s="91">
        <v>220</v>
      </c>
      <c r="D98" s="91">
        <v>220</v>
      </c>
      <c r="E98" s="91">
        <v>220</v>
      </c>
      <c r="F98" s="91">
        <v>220</v>
      </c>
      <c r="G98" s="91">
        <v>220</v>
      </c>
      <c r="H98" s="91">
        <v>220</v>
      </c>
      <c r="I98" s="91">
        <v>220</v>
      </c>
      <c r="J98" s="91">
        <v>150</v>
      </c>
      <c r="K98" s="91">
        <v>100</v>
      </c>
      <c r="L98" s="91">
        <v>100</v>
      </c>
      <c r="M98" s="91">
        <v>50</v>
      </c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>
        <v>250</v>
      </c>
      <c r="AA98" s="91">
        <v>250</v>
      </c>
      <c r="AB98" s="91">
        <v>250</v>
      </c>
      <c r="AC98" s="91">
        <v>225</v>
      </c>
      <c r="AD98" s="91">
        <v>150</v>
      </c>
      <c r="AE98" s="91">
        <v>125</v>
      </c>
      <c r="AF98" s="91">
        <v>125</v>
      </c>
      <c r="AG98" s="75"/>
      <c r="AH98" s="12">
        <f t="shared" si="38"/>
        <v>250</v>
      </c>
      <c r="AI98" s="11">
        <f t="shared" si="39"/>
        <v>50</v>
      </c>
      <c r="BF98" s="78"/>
      <c r="BG98" s="78">
        <v>67.7</v>
      </c>
      <c r="BH98" s="78">
        <v>0</v>
      </c>
      <c r="BI98" s="78">
        <v>507.4</v>
      </c>
      <c r="BJ98" s="78">
        <v>44.2</v>
      </c>
      <c r="BK98" s="78">
        <v>143.19999999999999</v>
      </c>
      <c r="BL98" s="78">
        <v>46</v>
      </c>
    </row>
    <row r="99" spans="1:64" ht="15.75" thickBot="1" x14ac:dyDescent="0.3">
      <c r="A99" s="77" t="s">
        <v>163</v>
      </c>
      <c r="B99" s="90">
        <f t="shared" ref="B99:AF99" si="42">B97+B98</f>
        <v>1454.74</v>
      </c>
      <c r="C99" s="90">
        <f t="shared" si="42"/>
        <v>1421.74</v>
      </c>
      <c r="D99" s="90">
        <f t="shared" si="42"/>
        <v>1384.74</v>
      </c>
      <c r="E99" s="90">
        <f t="shared" si="42"/>
        <v>1353.54</v>
      </c>
      <c r="F99" s="90">
        <f t="shared" si="42"/>
        <v>1356.24</v>
      </c>
      <c r="G99" s="90">
        <f t="shared" si="42"/>
        <v>1386.74</v>
      </c>
      <c r="H99" s="90">
        <f t="shared" si="42"/>
        <v>1398.6399999999999</v>
      </c>
      <c r="I99" s="90">
        <f t="shared" si="42"/>
        <v>1437.24</v>
      </c>
      <c r="J99" s="90">
        <f t="shared" si="42"/>
        <v>1508.8400000000001</v>
      </c>
      <c r="K99" s="90">
        <f t="shared" si="42"/>
        <v>1574.94</v>
      </c>
      <c r="L99" s="90">
        <f t="shared" si="42"/>
        <v>1634.54</v>
      </c>
      <c r="M99" s="90">
        <f t="shared" si="42"/>
        <v>1627.74</v>
      </c>
      <c r="N99" s="90">
        <f t="shared" si="42"/>
        <v>1581.44</v>
      </c>
      <c r="O99" s="90">
        <f t="shared" si="42"/>
        <v>1602.14</v>
      </c>
      <c r="P99" s="90">
        <f t="shared" si="42"/>
        <v>1653.74</v>
      </c>
      <c r="Q99" s="90">
        <f t="shared" si="42"/>
        <v>1619.6399999999999</v>
      </c>
      <c r="R99" s="90">
        <f t="shared" si="42"/>
        <v>1595.6399999999999</v>
      </c>
      <c r="S99" s="90">
        <f t="shared" si="42"/>
        <v>1592.04</v>
      </c>
      <c r="T99" s="90">
        <f t="shared" si="42"/>
        <v>1572.44</v>
      </c>
      <c r="U99" s="90">
        <f t="shared" si="42"/>
        <v>1440.6399999999999</v>
      </c>
      <c r="V99" s="90">
        <f t="shared" si="42"/>
        <v>1468.84</v>
      </c>
      <c r="W99" s="90">
        <f t="shared" si="42"/>
        <v>1364.84</v>
      </c>
      <c r="X99" s="90">
        <f t="shared" si="42"/>
        <v>1239.9199999999998</v>
      </c>
      <c r="Y99" s="90">
        <f t="shared" si="42"/>
        <v>1261.24</v>
      </c>
      <c r="Z99" s="90">
        <f t="shared" si="42"/>
        <v>1684.5400000000002</v>
      </c>
      <c r="AA99" s="90">
        <f t="shared" si="42"/>
        <v>1668.34</v>
      </c>
      <c r="AB99" s="90">
        <f t="shared" si="42"/>
        <v>1696.44</v>
      </c>
      <c r="AC99" s="90">
        <f t="shared" si="42"/>
        <v>1669.04</v>
      </c>
      <c r="AD99" s="90">
        <f t="shared" si="42"/>
        <v>1572.0400000000002</v>
      </c>
      <c r="AE99" s="90">
        <f t="shared" si="42"/>
        <v>1521.44</v>
      </c>
      <c r="AF99" s="90">
        <f t="shared" si="42"/>
        <v>1431.74</v>
      </c>
      <c r="AG99" s="75">
        <f>AG96+AG92+AG80+AG76+AG58+AG98</f>
        <v>1693.71</v>
      </c>
      <c r="AH99" s="12">
        <f t="shared" si="38"/>
        <v>1696.44</v>
      </c>
      <c r="AI99" s="11">
        <f t="shared" si="39"/>
        <v>1239.9199999999998</v>
      </c>
      <c r="BF99" s="78"/>
      <c r="BG99" s="78">
        <v>53.9</v>
      </c>
      <c r="BH99" s="78">
        <v>0</v>
      </c>
      <c r="BI99" s="78">
        <v>495.1</v>
      </c>
      <c r="BJ99" s="78">
        <v>28.6</v>
      </c>
      <c r="BK99" s="78">
        <v>114.8</v>
      </c>
      <c r="BL99" s="78">
        <v>0</v>
      </c>
    </row>
    <row r="100" spans="1:64" ht="15.75" thickBot="1" x14ac:dyDescent="0.3">
      <c r="A100" s="77" t="s">
        <v>162</v>
      </c>
      <c r="B100" s="90">
        <f t="shared" ref="B100:AF100" si="43">B99-(B107)</f>
        <v>1454.74</v>
      </c>
      <c r="C100" s="90">
        <f t="shared" si="43"/>
        <v>1421.74</v>
      </c>
      <c r="D100" s="90">
        <f t="shared" si="43"/>
        <v>1383.74</v>
      </c>
      <c r="E100" s="90">
        <f t="shared" si="43"/>
        <v>1353.54</v>
      </c>
      <c r="F100" s="90">
        <f t="shared" si="43"/>
        <v>1356.24</v>
      </c>
      <c r="G100" s="90">
        <f t="shared" si="43"/>
        <v>1386.74</v>
      </c>
      <c r="H100" s="90">
        <f t="shared" si="43"/>
        <v>1398.6399999999999</v>
      </c>
      <c r="I100" s="90">
        <f t="shared" si="43"/>
        <v>1437.24</v>
      </c>
      <c r="J100" s="90">
        <f t="shared" si="43"/>
        <v>1508.8400000000001</v>
      </c>
      <c r="K100" s="90">
        <f t="shared" si="43"/>
        <v>1574.94</v>
      </c>
      <c r="L100" s="90">
        <f t="shared" si="43"/>
        <v>1634.54</v>
      </c>
      <c r="M100" s="90">
        <f t="shared" si="43"/>
        <v>1627.74</v>
      </c>
      <c r="N100" s="90">
        <f t="shared" si="43"/>
        <v>1581.44</v>
      </c>
      <c r="O100" s="90">
        <f t="shared" si="43"/>
        <v>1602.14</v>
      </c>
      <c r="P100" s="90">
        <f t="shared" si="43"/>
        <v>1653.74</v>
      </c>
      <c r="Q100" s="90">
        <f t="shared" si="43"/>
        <v>1619.6399999999999</v>
      </c>
      <c r="R100" s="90">
        <f t="shared" si="43"/>
        <v>1595.6399999999999</v>
      </c>
      <c r="S100" s="90">
        <f t="shared" si="43"/>
        <v>1592.04</v>
      </c>
      <c r="T100" s="90">
        <f t="shared" si="43"/>
        <v>1572.44</v>
      </c>
      <c r="U100" s="90">
        <f t="shared" si="43"/>
        <v>1440.6399999999999</v>
      </c>
      <c r="V100" s="90">
        <f t="shared" si="43"/>
        <v>1468.84</v>
      </c>
      <c r="W100" s="90">
        <f t="shared" si="43"/>
        <v>1364.84</v>
      </c>
      <c r="X100" s="90">
        <f t="shared" si="43"/>
        <v>1239.9199999999998</v>
      </c>
      <c r="Y100" s="90">
        <f t="shared" si="43"/>
        <v>1261.24</v>
      </c>
      <c r="Z100" s="90">
        <f t="shared" si="43"/>
        <v>1684.5400000000002</v>
      </c>
      <c r="AA100" s="90">
        <f t="shared" si="43"/>
        <v>1668.34</v>
      </c>
      <c r="AB100" s="90">
        <f t="shared" si="43"/>
        <v>1696.44</v>
      </c>
      <c r="AC100" s="90">
        <f t="shared" si="43"/>
        <v>1669.04</v>
      </c>
      <c r="AD100" s="90">
        <f t="shared" si="43"/>
        <v>1572.0400000000002</v>
      </c>
      <c r="AE100" s="90">
        <f t="shared" si="43"/>
        <v>1521.44</v>
      </c>
      <c r="AF100" s="90">
        <f t="shared" si="43"/>
        <v>1431.74</v>
      </c>
      <c r="AG100" s="75"/>
      <c r="AH100" s="12">
        <f t="shared" si="38"/>
        <v>1696.44</v>
      </c>
      <c r="AI100" s="11">
        <f t="shared" si="39"/>
        <v>1239.9199999999998</v>
      </c>
      <c r="BF100" s="78"/>
      <c r="BG100" s="78">
        <v>52.2</v>
      </c>
      <c r="BH100" s="78">
        <v>0</v>
      </c>
      <c r="BI100" s="78">
        <v>500.4</v>
      </c>
      <c r="BJ100" s="78">
        <v>33.299999999999997</v>
      </c>
      <c r="BK100" s="78">
        <v>119.6</v>
      </c>
      <c r="BL100" s="78">
        <v>33</v>
      </c>
    </row>
    <row r="101" spans="1:64" x14ac:dyDescent="0.25">
      <c r="A101" s="89" t="s">
        <v>161</v>
      </c>
      <c r="B101" s="85">
        <f t="shared" ref="B101:AF101" si="44">IF(B84&lt;0,B84*-1,0)</f>
        <v>0</v>
      </c>
      <c r="C101" s="85">
        <f t="shared" si="44"/>
        <v>0</v>
      </c>
      <c r="D101" s="85">
        <f t="shared" si="44"/>
        <v>0</v>
      </c>
      <c r="E101" s="85">
        <f t="shared" si="44"/>
        <v>0</v>
      </c>
      <c r="F101" s="85">
        <f t="shared" si="44"/>
        <v>0</v>
      </c>
      <c r="G101" s="85">
        <f t="shared" si="44"/>
        <v>0</v>
      </c>
      <c r="H101" s="85">
        <f t="shared" si="44"/>
        <v>0</v>
      </c>
      <c r="I101" s="85">
        <f t="shared" si="44"/>
        <v>0</v>
      </c>
      <c r="J101" s="85">
        <f t="shared" si="44"/>
        <v>0</v>
      </c>
      <c r="K101" s="85">
        <f t="shared" si="44"/>
        <v>0</v>
      </c>
      <c r="L101" s="85">
        <f t="shared" si="44"/>
        <v>0</v>
      </c>
      <c r="M101" s="85">
        <f t="shared" si="44"/>
        <v>0</v>
      </c>
      <c r="N101" s="85">
        <f t="shared" si="44"/>
        <v>0</v>
      </c>
      <c r="O101" s="85">
        <f t="shared" si="44"/>
        <v>0</v>
      </c>
      <c r="P101" s="85">
        <f t="shared" si="44"/>
        <v>0</v>
      </c>
      <c r="Q101" s="85">
        <f t="shared" si="44"/>
        <v>0</v>
      </c>
      <c r="R101" s="85">
        <f t="shared" si="44"/>
        <v>0</v>
      </c>
      <c r="S101" s="85">
        <f t="shared" si="44"/>
        <v>0</v>
      </c>
      <c r="T101" s="85">
        <f t="shared" si="44"/>
        <v>0</v>
      </c>
      <c r="U101" s="85">
        <f t="shared" si="44"/>
        <v>0</v>
      </c>
      <c r="V101" s="85">
        <f t="shared" si="44"/>
        <v>0</v>
      </c>
      <c r="W101" s="85">
        <f t="shared" si="44"/>
        <v>0</v>
      </c>
      <c r="X101" s="85">
        <f t="shared" si="44"/>
        <v>0</v>
      </c>
      <c r="Y101" s="85">
        <f t="shared" si="44"/>
        <v>0</v>
      </c>
      <c r="Z101" s="85">
        <f t="shared" si="44"/>
        <v>0</v>
      </c>
      <c r="AA101" s="85">
        <f t="shared" si="44"/>
        <v>0</v>
      </c>
      <c r="AB101" s="85">
        <f t="shared" si="44"/>
        <v>0</v>
      </c>
      <c r="AC101" s="85">
        <f t="shared" si="44"/>
        <v>0</v>
      </c>
      <c r="AD101" s="85">
        <f t="shared" si="44"/>
        <v>0</v>
      </c>
      <c r="AE101" s="85">
        <f t="shared" si="44"/>
        <v>0</v>
      </c>
      <c r="AF101" s="85">
        <f t="shared" si="44"/>
        <v>0</v>
      </c>
      <c r="AG101" s="88"/>
      <c r="AH101" s="12">
        <f t="shared" si="38"/>
        <v>0</v>
      </c>
      <c r="AI101" s="11">
        <f t="shared" si="39"/>
        <v>0</v>
      </c>
      <c r="BF101" s="83"/>
      <c r="BG101" s="78">
        <v>53</v>
      </c>
      <c r="BH101" s="78">
        <v>0</v>
      </c>
      <c r="BI101" s="78">
        <v>315.89999999999998</v>
      </c>
      <c r="BJ101" s="78">
        <v>0</v>
      </c>
      <c r="BK101" s="78">
        <v>62</v>
      </c>
      <c r="BL101" s="78">
        <v>40.9</v>
      </c>
    </row>
    <row r="102" spans="1:64" x14ac:dyDescent="0.25">
      <c r="A102" s="87" t="s">
        <v>160</v>
      </c>
      <c r="B102" s="85">
        <f t="shared" ref="B102:AF102" si="45">IF(B82&lt;0,B82*-1,0)</f>
        <v>0</v>
      </c>
      <c r="C102" s="85">
        <f t="shared" si="45"/>
        <v>0</v>
      </c>
      <c r="D102" s="85">
        <f t="shared" si="45"/>
        <v>0</v>
      </c>
      <c r="E102" s="85">
        <f t="shared" si="45"/>
        <v>0</v>
      </c>
      <c r="F102" s="85">
        <f t="shared" si="45"/>
        <v>0</v>
      </c>
      <c r="G102" s="85">
        <f t="shared" si="45"/>
        <v>0</v>
      </c>
      <c r="H102" s="85">
        <f t="shared" si="45"/>
        <v>0</v>
      </c>
      <c r="I102" s="85">
        <f t="shared" si="45"/>
        <v>0</v>
      </c>
      <c r="J102" s="85">
        <f t="shared" si="45"/>
        <v>0</v>
      </c>
      <c r="K102" s="85">
        <f t="shared" si="45"/>
        <v>0</v>
      </c>
      <c r="L102" s="85">
        <f t="shared" si="45"/>
        <v>0</v>
      </c>
      <c r="M102" s="85">
        <f t="shared" si="45"/>
        <v>0</v>
      </c>
      <c r="N102" s="85">
        <f t="shared" si="45"/>
        <v>0</v>
      </c>
      <c r="O102" s="85">
        <f t="shared" si="45"/>
        <v>0</v>
      </c>
      <c r="P102" s="85">
        <f t="shared" si="45"/>
        <v>0</v>
      </c>
      <c r="Q102" s="85">
        <f t="shared" si="45"/>
        <v>0</v>
      </c>
      <c r="R102" s="85">
        <f t="shared" si="45"/>
        <v>0</v>
      </c>
      <c r="S102" s="85">
        <f t="shared" si="45"/>
        <v>0</v>
      </c>
      <c r="T102" s="85">
        <f t="shared" si="45"/>
        <v>0</v>
      </c>
      <c r="U102" s="85">
        <f t="shared" si="45"/>
        <v>0</v>
      </c>
      <c r="V102" s="85">
        <f t="shared" si="45"/>
        <v>0</v>
      </c>
      <c r="W102" s="85">
        <f t="shared" si="45"/>
        <v>0</v>
      </c>
      <c r="X102" s="85">
        <f t="shared" si="45"/>
        <v>0</v>
      </c>
      <c r="Y102" s="85">
        <f t="shared" si="45"/>
        <v>0</v>
      </c>
      <c r="Z102" s="85">
        <f t="shared" si="45"/>
        <v>0</v>
      </c>
      <c r="AA102" s="85">
        <f t="shared" si="45"/>
        <v>0</v>
      </c>
      <c r="AB102" s="85">
        <f t="shared" si="45"/>
        <v>0</v>
      </c>
      <c r="AC102" s="85">
        <f t="shared" si="45"/>
        <v>0</v>
      </c>
      <c r="AD102" s="85">
        <f t="shared" si="45"/>
        <v>0</v>
      </c>
      <c r="AE102" s="85">
        <f t="shared" si="45"/>
        <v>0</v>
      </c>
      <c r="AF102" s="85">
        <f t="shared" si="45"/>
        <v>0</v>
      </c>
      <c r="AG102" s="86"/>
      <c r="AH102" s="12">
        <f t="shared" si="38"/>
        <v>0</v>
      </c>
      <c r="AI102" s="11">
        <f t="shared" si="39"/>
        <v>0</v>
      </c>
      <c r="BF102" s="83"/>
      <c r="BG102" s="78">
        <v>19.600000000000001</v>
      </c>
      <c r="BH102" s="78">
        <v>0</v>
      </c>
      <c r="BI102" s="78">
        <v>67</v>
      </c>
      <c r="BJ102" s="78">
        <v>0</v>
      </c>
      <c r="BK102" s="78">
        <v>0</v>
      </c>
      <c r="BL102" s="78">
        <v>39.6</v>
      </c>
    </row>
    <row r="103" spans="1:64" x14ac:dyDescent="0.25">
      <c r="A103" s="82" t="s">
        <v>159</v>
      </c>
      <c r="B103" s="85">
        <f t="shared" ref="B103:AF103" si="46">IF(B85&lt;0,B85*-1,0)</f>
        <v>0</v>
      </c>
      <c r="C103" s="85">
        <f t="shared" si="46"/>
        <v>0</v>
      </c>
      <c r="D103" s="85">
        <f t="shared" si="46"/>
        <v>0</v>
      </c>
      <c r="E103" s="85">
        <f t="shared" si="46"/>
        <v>0</v>
      </c>
      <c r="F103" s="85">
        <f t="shared" si="46"/>
        <v>0</v>
      </c>
      <c r="G103" s="85">
        <f t="shared" si="46"/>
        <v>0</v>
      </c>
      <c r="H103" s="85">
        <f t="shared" si="46"/>
        <v>0</v>
      </c>
      <c r="I103" s="85">
        <f t="shared" si="46"/>
        <v>0</v>
      </c>
      <c r="J103" s="85">
        <f t="shared" si="46"/>
        <v>0</v>
      </c>
      <c r="K103" s="85">
        <f t="shared" si="46"/>
        <v>0</v>
      </c>
      <c r="L103" s="85">
        <f t="shared" si="46"/>
        <v>0</v>
      </c>
      <c r="M103" s="85">
        <f t="shared" si="46"/>
        <v>0</v>
      </c>
      <c r="N103" s="85">
        <f t="shared" si="46"/>
        <v>0</v>
      </c>
      <c r="O103" s="85">
        <f t="shared" si="46"/>
        <v>0</v>
      </c>
      <c r="P103" s="85">
        <f t="shared" si="46"/>
        <v>0</v>
      </c>
      <c r="Q103" s="85">
        <f t="shared" si="46"/>
        <v>0</v>
      </c>
      <c r="R103" s="85">
        <f t="shared" si="46"/>
        <v>0</v>
      </c>
      <c r="S103" s="85">
        <f t="shared" si="46"/>
        <v>0</v>
      </c>
      <c r="T103" s="85">
        <f t="shared" si="46"/>
        <v>0</v>
      </c>
      <c r="U103" s="85">
        <f t="shared" si="46"/>
        <v>0</v>
      </c>
      <c r="V103" s="85">
        <f t="shared" si="46"/>
        <v>0</v>
      </c>
      <c r="W103" s="85">
        <f t="shared" si="46"/>
        <v>0</v>
      </c>
      <c r="X103" s="85">
        <f t="shared" si="46"/>
        <v>0</v>
      </c>
      <c r="Y103" s="85">
        <f t="shared" si="46"/>
        <v>0</v>
      </c>
      <c r="Z103" s="85">
        <f t="shared" si="46"/>
        <v>0</v>
      </c>
      <c r="AA103" s="85">
        <f t="shared" si="46"/>
        <v>0</v>
      </c>
      <c r="AB103" s="85">
        <f t="shared" si="46"/>
        <v>0</v>
      </c>
      <c r="AC103" s="85">
        <f t="shared" si="46"/>
        <v>0</v>
      </c>
      <c r="AD103" s="85">
        <f t="shared" si="46"/>
        <v>0</v>
      </c>
      <c r="AE103" s="85">
        <f t="shared" si="46"/>
        <v>0</v>
      </c>
      <c r="AF103" s="85">
        <f t="shared" si="46"/>
        <v>0</v>
      </c>
      <c r="AG103" s="84"/>
      <c r="AH103" s="12">
        <f t="shared" si="38"/>
        <v>0</v>
      </c>
      <c r="AI103" s="11">
        <f t="shared" si="39"/>
        <v>0</v>
      </c>
      <c r="BF103" s="83"/>
      <c r="BG103" s="78">
        <v>20.8</v>
      </c>
      <c r="BH103" s="78">
        <v>0</v>
      </c>
      <c r="BI103" s="78">
        <v>23.2</v>
      </c>
      <c r="BJ103" s="78">
        <v>0</v>
      </c>
      <c r="BK103" s="78">
        <v>0</v>
      </c>
      <c r="BL103" s="78">
        <v>30.3</v>
      </c>
    </row>
    <row r="104" spans="1:64" x14ac:dyDescent="0.25">
      <c r="A104" s="82" t="s">
        <v>158</v>
      </c>
      <c r="B104" s="85">
        <f t="shared" ref="B104:AF104" si="47">IF(B83&lt;0,B83*-1,0)</f>
        <v>0</v>
      </c>
      <c r="C104" s="85">
        <f t="shared" si="47"/>
        <v>0</v>
      </c>
      <c r="D104" s="85">
        <f t="shared" si="47"/>
        <v>0</v>
      </c>
      <c r="E104" s="85">
        <f t="shared" si="47"/>
        <v>0</v>
      </c>
      <c r="F104" s="85">
        <f t="shared" si="47"/>
        <v>0</v>
      </c>
      <c r="G104" s="85">
        <f t="shared" si="47"/>
        <v>0</v>
      </c>
      <c r="H104" s="85">
        <f t="shared" si="47"/>
        <v>0</v>
      </c>
      <c r="I104" s="85">
        <f t="shared" si="47"/>
        <v>0</v>
      </c>
      <c r="J104" s="85">
        <f t="shared" si="47"/>
        <v>0</v>
      </c>
      <c r="K104" s="85">
        <f t="shared" si="47"/>
        <v>0</v>
      </c>
      <c r="L104" s="85">
        <f t="shared" si="47"/>
        <v>0</v>
      </c>
      <c r="M104" s="85">
        <f t="shared" si="47"/>
        <v>0</v>
      </c>
      <c r="N104" s="85">
        <f t="shared" si="47"/>
        <v>0</v>
      </c>
      <c r="O104" s="85">
        <f t="shared" si="47"/>
        <v>0</v>
      </c>
      <c r="P104" s="85">
        <f t="shared" si="47"/>
        <v>0</v>
      </c>
      <c r="Q104" s="85">
        <f t="shared" si="47"/>
        <v>0</v>
      </c>
      <c r="R104" s="85">
        <f t="shared" si="47"/>
        <v>0</v>
      </c>
      <c r="S104" s="85">
        <f t="shared" si="47"/>
        <v>0</v>
      </c>
      <c r="T104" s="85">
        <f t="shared" si="47"/>
        <v>0</v>
      </c>
      <c r="U104" s="85">
        <f t="shared" si="47"/>
        <v>0</v>
      </c>
      <c r="V104" s="85">
        <f t="shared" si="47"/>
        <v>0</v>
      </c>
      <c r="W104" s="85">
        <f t="shared" si="47"/>
        <v>0</v>
      </c>
      <c r="X104" s="85">
        <f t="shared" si="47"/>
        <v>0</v>
      </c>
      <c r="Y104" s="85">
        <f t="shared" si="47"/>
        <v>0</v>
      </c>
      <c r="Z104" s="85">
        <f t="shared" si="47"/>
        <v>0</v>
      </c>
      <c r="AA104" s="85">
        <f t="shared" si="47"/>
        <v>0</v>
      </c>
      <c r="AB104" s="85">
        <f t="shared" si="47"/>
        <v>0</v>
      </c>
      <c r="AC104" s="85">
        <f t="shared" si="47"/>
        <v>0</v>
      </c>
      <c r="AD104" s="85">
        <f t="shared" si="47"/>
        <v>0</v>
      </c>
      <c r="AE104" s="85">
        <f t="shared" si="47"/>
        <v>0</v>
      </c>
      <c r="AF104" s="85">
        <f t="shared" si="47"/>
        <v>0</v>
      </c>
      <c r="AG104" s="84"/>
      <c r="AH104" s="12">
        <f t="shared" si="38"/>
        <v>0</v>
      </c>
      <c r="AI104" s="11">
        <f t="shared" si="39"/>
        <v>0</v>
      </c>
      <c r="BF104" s="83"/>
      <c r="BG104" s="78">
        <v>24.7</v>
      </c>
      <c r="BH104" s="78">
        <v>0</v>
      </c>
      <c r="BI104" s="78">
        <v>55.6</v>
      </c>
      <c r="BJ104" s="78">
        <v>0</v>
      </c>
      <c r="BK104" s="78">
        <v>0</v>
      </c>
      <c r="BL104" s="78">
        <v>34.9</v>
      </c>
    </row>
    <row r="105" spans="1:64" x14ac:dyDescent="0.25">
      <c r="A105" s="82" t="s">
        <v>157</v>
      </c>
      <c r="B105" s="85">
        <f t="shared" ref="B105:AF105" si="48">IF(B81&lt;0,B81*-1,0)</f>
        <v>0</v>
      </c>
      <c r="C105" s="85">
        <f t="shared" si="48"/>
        <v>0</v>
      </c>
      <c r="D105" s="85">
        <f t="shared" si="48"/>
        <v>0</v>
      </c>
      <c r="E105" s="85">
        <f t="shared" si="48"/>
        <v>0</v>
      </c>
      <c r="F105" s="85">
        <f t="shared" si="48"/>
        <v>0</v>
      </c>
      <c r="G105" s="85">
        <f t="shared" si="48"/>
        <v>0</v>
      </c>
      <c r="H105" s="85">
        <f t="shared" si="48"/>
        <v>0</v>
      </c>
      <c r="I105" s="85">
        <f t="shared" si="48"/>
        <v>0</v>
      </c>
      <c r="J105" s="85">
        <f t="shared" si="48"/>
        <v>0</v>
      </c>
      <c r="K105" s="85">
        <f t="shared" si="48"/>
        <v>0</v>
      </c>
      <c r="L105" s="85">
        <f t="shared" si="48"/>
        <v>0</v>
      </c>
      <c r="M105" s="85">
        <f t="shared" si="48"/>
        <v>0</v>
      </c>
      <c r="N105" s="85">
        <f t="shared" si="48"/>
        <v>0</v>
      </c>
      <c r="O105" s="85">
        <f t="shared" si="48"/>
        <v>0</v>
      </c>
      <c r="P105" s="85">
        <f t="shared" si="48"/>
        <v>0</v>
      </c>
      <c r="Q105" s="85">
        <f t="shared" si="48"/>
        <v>0</v>
      </c>
      <c r="R105" s="85">
        <f t="shared" si="48"/>
        <v>0</v>
      </c>
      <c r="S105" s="85">
        <f t="shared" si="48"/>
        <v>0</v>
      </c>
      <c r="T105" s="85">
        <f t="shared" si="48"/>
        <v>0</v>
      </c>
      <c r="U105" s="85">
        <f t="shared" si="48"/>
        <v>0</v>
      </c>
      <c r="V105" s="85">
        <f t="shared" si="48"/>
        <v>0</v>
      </c>
      <c r="W105" s="85">
        <f t="shared" si="48"/>
        <v>0</v>
      </c>
      <c r="X105" s="85">
        <f t="shared" si="48"/>
        <v>0</v>
      </c>
      <c r="Y105" s="85">
        <f t="shared" si="48"/>
        <v>0</v>
      </c>
      <c r="Z105" s="85">
        <f t="shared" si="48"/>
        <v>0</v>
      </c>
      <c r="AA105" s="85">
        <f t="shared" si="48"/>
        <v>0</v>
      </c>
      <c r="AB105" s="85">
        <f t="shared" si="48"/>
        <v>0</v>
      </c>
      <c r="AC105" s="85">
        <f t="shared" si="48"/>
        <v>0</v>
      </c>
      <c r="AD105" s="85">
        <f t="shared" si="48"/>
        <v>0</v>
      </c>
      <c r="AE105" s="85">
        <f t="shared" si="48"/>
        <v>0</v>
      </c>
      <c r="AF105" s="85">
        <f t="shared" si="48"/>
        <v>0</v>
      </c>
      <c r="AG105" s="84"/>
      <c r="AH105" s="12">
        <f t="shared" si="38"/>
        <v>0</v>
      </c>
      <c r="AI105" s="11">
        <f t="shared" si="39"/>
        <v>0</v>
      </c>
      <c r="BF105" s="83"/>
      <c r="BG105" s="78">
        <v>47.2</v>
      </c>
      <c r="BH105" s="78">
        <v>0</v>
      </c>
      <c r="BI105" s="78">
        <v>51</v>
      </c>
      <c r="BJ105" s="78">
        <v>0</v>
      </c>
      <c r="BK105" s="78">
        <v>0</v>
      </c>
      <c r="BL105" s="78">
        <v>36.5</v>
      </c>
    </row>
    <row r="106" spans="1:64" ht="15.75" thickBot="1" x14ac:dyDescent="0.3">
      <c r="A106" s="82" t="s">
        <v>156</v>
      </c>
      <c r="B106" s="81">
        <v>0</v>
      </c>
      <c r="C106" s="81">
        <v>0</v>
      </c>
      <c r="D106" s="81">
        <v>1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38"/>
        <v>1</v>
      </c>
      <c r="AI106" s="11">
        <f t="shared" si="39"/>
        <v>0</v>
      </c>
      <c r="BG106" s="78">
        <v>39.5</v>
      </c>
      <c r="BH106" s="78">
        <v>0</v>
      </c>
      <c r="BI106" s="78">
        <v>69.7</v>
      </c>
      <c r="BJ106" s="78">
        <v>0</v>
      </c>
      <c r="BK106" s="78">
        <v>0</v>
      </c>
      <c r="BL106" s="78">
        <v>41.2</v>
      </c>
    </row>
    <row r="107" spans="1:64" ht="15.75" thickBot="1" x14ac:dyDescent="0.3">
      <c r="A107" s="79" t="s">
        <v>155</v>
      </c>
      <c r="B107" s="76">
        <f t="shared" ref="B107:S107" si="49">SUM(B101:B106)</f>
        <v>0</v>
      </c>
      <c r="C107" s="76">
        <f t="shared" si="49"/>
        <v>0</v>
      </c>
      <c r="D107" s="76">
        <f t="shared" si="49"/>
        <v>1</v>
      </c>
      <c r="E107" s="76">
        <f t="shared" si="49"/>
        <v>0</v>
      </c>
      <c r="F107" s="76">
        <f t="shared" si="49"/>
        <v>0</v>
      </c>
      <c r="G107" s="76">
        <f t="shared" si="49"/>
        <v>0</v>
      </c>
      <c r="H107" s="76">
        <f t="shared" si="49"/>
        <v>0</v>
      </c>
      <c r="I107" s="76">
        <f t="shared" si="49"/>
        <v>0</v>
      </c>
      <c r="J107" s="76">
        <f t="shared" si="49"/>
        <v>0</v>
      </c>
      <c r="K107" s="76">
        <f t="shared" si="49"/>
        <v>0</v>
      </c>
      <c r="L107" s="76">
        <f t="shared" si="49"/>
        <v>0</v>
      </c>
      <c r="M107" s="76">
        <f t="shared" si="49"/>
        <v>0</v>
      </c>
      <c r="N107" s="76">
        <f t="shared" si="49"/>
        <v>0</v>
      </c>
      <c r="O107" s="76">
        <f t="shared" si="49"/>
        <v>0</v>
      </c>
      <c r="P107" s="76">
        <f t="shared" si="49"/>
        <v>0</v>
      </c>
      <c r="Q107" s="76">
        <f t="shared" si="49"/>
        <v>0</v>
      </c>
      <c r="R107" s="76">
        <f t="shared" si="49"/>
        <v>0</v>
      </c>
      <c r="S107" s="76">
        <f t="shared" si="49"/>
        <v>0</v>
      </c>
      <c r="T107" s="76">
        <v>0</v>
      </c>
      <c r="U107" s="76">
        <v>0</v>
      </c>
      <c r="V107" s="76">
        <v>0</v>
      </c>
      <c r="W107" s="76">
        <v>0</v>
      </c>
      <c r="X107" s="76">
        <v>0</v>
      </c>
      <c r="Y107" s="76">
        <v>0</v>
      </c>
      <c r="Z107" s="76">
        <v>0</v>
      </c>
      <c r="AA107" s="76">
        <v>0</v>
      </c>
      <c r="AB107" s="76">
        <f>SUM(AB101:AB106)</f>
        <v>0</v>
      </c>
      <c r="AC107" s="76">
        <f>SUM(AC101:AC106)</f>
        <v>0</v>
      </c>
      <c r="AD107" s="76">
        <f>SUM(AD101:AD106)</f>
        <v>0</v>
      </c>
      <c r="AE107" s="76">
        <f>SUM(AE101:AE106)</f>
        <v>0</v>
      </c>
      <c r="AF107" s="76">
        <f>SUM(AF101:AF106)</f>
        <v>0</v>
      </c>
      <c r="AG107" s="75"/>
      <c r="AH107" s="12">
        <f t="shared" si="38"/>
        <v>1</v>
      </c>
      <c r="AI107" s="11">
        <f t="shared" si="39"/>
        <v>0</v>
      </c>
      <c r="AK107" s="19"/>
      <c r="BG107" s="78">
        <v>32</v>
      </c>
      <c r="BH107" s="78">
        <v>0</v>
      </c>
      <c r="BI107" s="78">
        <v>205</v>
      </c>
      <c r="BJ107" s="78">
        <v>13</v>
      </c>
      <c r="BK107" s="78">
        <v>0</v>
      </c>
      <c r="BL107" s="78">
        <v>55</v>
      </c>
    </row>
    <row r="108" spans="1:64" ht="15.75" thickBot="1" x14ac:dyDescent="0.3">
      <c r="A108" s="77" t="s">
        <v>154</v>
      </c>
      <c r="B108" s="76">
        <f t="shared" ref="B108:AF108" si="50">B92-B107</f>
        <v>312</v>
      </c>
      <c r="C108" s="76">
        <f t="shared" si="50"/>
        <v>303</v>
      </c>
      <c r="D108" s="76">
        <f t="shared" si="50"/>
        <v>337</v>
      </c>
      <c r="E108" s="76">
        <f t="shared" si="50"/>
        <v>321.89999999999998</v>
      </c>
      <c r="F108" s="76">
        <f t="shared" si="50"/>
        <v>340.3</v>
      </c>
      <c r="G108" s="76">
        <f t="shared" si="50"/>
        <v>363.7</v>
      </c>
      <c r="H108" s="76">
        <f t="shared" si="50"/>
        <v>375.59999999999997</v>
      </c>
      <c r="I108" s="76">
        <f t="shared" si="50"/>
        <v>384.00000000000006</v>
      </c>
      <c r="J108" s="76">
        <f t="shared" si="50"/>
        <v>553.70000000000005</v>
      </c>
      <c r="K108" s="76">
        <f t="shared" si="50"/>
        <v>606.6</v>
      </c>
      <c r="L108" s="76">
        <f t="shared" si="50"/>
        <v>647.5</v>
      </c>
      <c r="M108" s="76">
        <f t="shared" si="50"/>
        <v>789.90000000000009</v>
      </c>
      <c r="N108" s="76">
        <f t="shared" si="50"/>
        <v>785.6</v>
      </c>
      <c r="O108" s="76">
        <f t="shared" si="50"/>
        <v>803.90000000000009</v>
      </c>
      <c r="P108" s="76">
        <f t="shared" si="50"/>
        <v>813.6</v>
      </c>
      <c r="Q108" s="76">
        <f t="shared" si="50"/>
        <v>811.80000000000007</v>
      </c>
      <c r="R108" s="76">
        <f t="shared" si="50"/>
        <v>844.3</v>
      </c>
      <c r="S108" s="76">
        <f t="shared" si="50"/>
        <v>834.30000000000007</v>
      </c>
      <c r="T108" s="76">
        <f t="shared" si="50"/>
        <v>808.5</v>
      </c>
      <c r="U108" s="76">
        <f t="shared" si="50"/>
        <v>692.4</v>
      </c>
      <c r="V108" s="76">
        <f t="shared" si="50"/>
        <v>738.5</v>
      </c>
      <c r="W108" s="76">
        <f t="shared" si="50"/>
        <v>679.3</v>
      </c>
      <c r="X108" s="76">
        <f t="shared" si="50"/>
        <v>471.79999999999995</v>
      </c>
      <c r="Y108" s="76">
        <f t="shared" si="50"/>
        <v>97</v>
      </c>
      <c r="Z108" s="76">
        <f t="shared" si="50"/>
        <v>126.19999999999999</v>
      </c>
      <c r="AA108" s="76">
        <f t="shared" si="50"/>
        <v>103.3</v>
      </c>
      <c r="AB108" s="76">
        <f t="shared" si="50"/>
        <v>74.3</v>
      </c>
      <c r="AC108" s="76">
        <f t="shared" si="50"/>
        <v>87.5</v>
      </c>
      <c r="AD108" s="76">
        <f t="shared" si="50"/>
        <v>115.19999999999999</v>
      </c>
      <c r="AE108" s="76">
        <f t="shared" si="50"/>
        <v>134.69999999999999</v>
      </c>
      <c r="AF108" s="76">
        <f t="shared" si="50"/>
        <v>150.4</v>
      </c>
      <c r="AG108" s="75"/>
      <c r="AH108" s="12">
        <f t="shared" si="38"/>
        <v>844.3</v>
      </c>
      <c r="AI108" s="11">
        <f t="shared" si="39"/>
        <v>74.3</v>
      </c>
    </row>
    <row r="109" spans="1:64" x14ac:dyDescent="0.25">
      <c r="A109" s="25" t="s">
        <v>153</v>
      </c>
      <c r="B109" s="74">
        <v>50.03</v>
      </c>
      <c r="C109" s="74">
        <v>50</v>
      </c>
      <c r="D109" s="74">
        <v>49.98</v>
      </c>
      <c r="E109" s="74">
        <v>49.994</v>
      </c>
      <c r="F109" s="74">
        <v>50.037999999999997</v>
      </c>
      <c r="G109" s="74">
        <v>49.978000000000002</v>
      </c>
      <c r="H109" s="74">
        <v>49.988</v>
      </c>
      <c r="I109" s="74">
        <v>49.951999999999998</v>
      </c>
      <c r="J109" s="74">
        <v>50.04</v>
      </c>
      <c r="K109" s="74">
        <v>50.09</v>
      </c>
      <c r="L109" s="74">
        <v>50.088999999999999</v>
      </c>
      <c r="M109" s="74">
        <v>50.06</v>
      </c>
      <c r="N109" s="74">
        <v>50.021000000000001</v>
      </c>
      <c r="O109" s="74">
        <v>50.012999999999998</v>
      </c>
      <c r="P109" s="74">
        <v>50</v>
      </c>
      <c r="Q109" s="74">
        <v>49.981000000000002</v>
      </c>
      <c r="R109" s="74">
        <v>50.067</v>
      </c>
      <c r="S109" s="74">
        <v>50.15</v>
      </c>
      <c r="T109" s="74">
        <v>50.02</v>
      </c>
      <c r="U109" s="74">
        <v>50.04</v>
      </c>
      <c r="V109" s="74">
        <v>50</v>
      </c>
      <c r="W109" s="74">
        <v>50.02</v>
      </c>
      <c r="X109" s="74">
        <v>50.02</v>
      </c>
      <c r="Y109" s="74">
        <v>50.07</v>
      </c>
      <c r="Z109" s="74">
        <v>49.96</v>
      </c>
      <c r="AA109" s="74">
        <v>50.02</v>
      </c>
      <c r="AB109" s="74">
        <v>50.033999999999999</v>
      </c>
      <c r="AC109" s="74">
        <v>50.037999999999997</v>
      </c>
      <c r="AD109" s="74">
        <v>50.045999999999999</v>
      </c>
      <c r="AE109" s="74">
        <v>50.045000000000002</v>
      </c>
      <c r="AF109" s="74">
        <v>50.037999999999997</v>
      </c>
      <c r="AG109" s="73"/>
      <c r="AH109" s="12">
        <f t="shared" si="38"/>
        <v>50.15</v>
      </c>
      <c r="AI109" s="11">
        <f t="shared" si="39"/>
        <v>49.951999999999998</v>
      </c>
    </row>
    <row r="110" spans="1:64" x14ac:dyDescent="0.25">
      <c r="A110" s="22" t="s">
        <v>152</v>
      </c>
      <c r="B110" s="70">
        <v>130</v>
      </c>
      <c r="C110" s="70">
        <v>131</v>
      </c>
      <c r="D110" s="70">
        <v>131</v>
      </c>
      <c r="E110" s="70">
        <v>131.30000000000001</v>
      </c>
      <c r="F110" s="70">
        <v>131.19999999999999</v>
      </c>
      <c r="G110" s="70">
        <v>130.80000000000001</v>
      </c>
      <c r="H110" s="70">
        <v>130.1</v>
      </c>
      <c r="I110" s="70">
        <v>129.69999999999999</v>
      </c>
      <c r="J110" s="70">
        <v>126.5</v>
      </c>
      <c r="K110" s="70">
        <v>125</v>
      </c>
      <c r="L110" s="70">
        <v>128.80000000000001</v>
      </c>
      <c r="M110" s="70">
        <v>125.8</v>
      </c>
      <c r="N110" s="70">
        <v>125.8</v>
      </c>
      <c r="O110" s="70">
        <v>124.7</v>
      </c>
      <c r="P110" s="70">
        <v>125.2</v>
      </c>
      <c r="Q110" s="70">
        <v>126.3</v>
      </c>
      <c r="R110" s="70">
        <v>126.1</v>
      </c>
      <c r="S110" s="70">
        <v>127.5</v>
      </c>
      <c r="T110" s="70">
        <v>128.19999999999999</v>
      </c>
      <c r="U110" s="70">
        <v>128</v>
      </c>
      <c r="V110" s="70">
        <v>127.5</v>
      </c>
      <c r="W110" s="70">
        <v>127.9</v>
      </c>
      <c r="X110" s="70">
        <v>127.9</v>
      </c>
      <c r="Y110" s="70">
        <v>126.5</v>
      </c>
      <c r="Z110" s="70">
        <v>125.5</v>
      </c>
      <c r="AA110" s="70">
        <v>126</v>
      </c>
      <c r="AB110" s="70">
        <v>126</v>
      </c>
      <c r="AC110" s="70">
        <v>126.8</v>
      </c>
      <c r="AD110" s="70">
        <v>124.9</v>
      </c>
      <c r="AE110" s="70">
        <v>123.6</v>
      </c>
      <c r="AF110" s="70">
        <v>124.5</v>
      </c>
      <c r="AG110" s="69"/>
      <c r="AH110" s="12">
        <f t="shared" si="38"/>
        <v>131.30000000000001</v>
      </c>
      <c r="AI110" s="11">
        <f t="shared" si="39"/>
        <v>123.6</v>
      </c>
    </row>
    <row r="111" spans="1:64" x14ac:dyDescent="0.25">
      <c r="A111" s="22" t="s">
        <v>151</v>
      </c>
      <c r="B111" s="70">
        <v>133</v>
      </c>
      <c r="C111" s="70">
        <v>134</v>
      </c>
      <c r="D111" s="70">
        <v>134</v>
      </c>
      <c r="E111" s="70">
        <v>134.69999999999999</v>
      </c>
      <c r="F111" s="70">
        <v>134.4</v>
      </c>
      <c r="G111" s="70">
        <v>133.80000000000001</v>
      </c>
      <c r="H111" s="70">
        <v>133</v>
      </c>
      <c r="I111" s="70">
        <v>132.69999999999999</v>
      </c>
      <c r="J111" s="70">
        <v>130.30000000000001</v>
      </c>
      <c r="K111" s="70">
        <v>129</v>
      </c>
      <c r="L111" s="70">
        <v>130.9</v>
      </c>
      <c r="M111" s="70">
        <v>129</v>
      </c>
      <c r="N111" s="70">
        <v>128.69999999999999</v>
      </c>
      <c r="O111" s="70">
        <v>127.9</v>
      </c>
      <c r="P111" s="70">
        <v>128.69999999999999</v>
      </c>
      <c r="Q111" s="70">
        <v>129.69999999999999</v>
      </c>
      <c r="R111" s="70">
        <v>129.5</v>
      </c>
      <c r="S111" s="70">
        <v>130.69999999999999</v>
      </c>
      <c r="T111" s="70">
        <v>130.80000000000001</v>
      </c>
      <c r="U111" s="70">
        <v>130.9</v>
      </c>
      <c r="V111" s="70">
        <v>130.4</v>
      </c>
      <c r="W111" s="70">
        <v>130.9</v>
      </c>
      <c r="X111" s="70">
        <v>130.9</v>
      </c>
      <c r="Y111" s="70">
        <v>130.1</v>
      </c>
      <c r="Z111" s="70">
        <v>128.69999999999999</v>
      </c>
      <c r="AA111" s="70">
        <v>129.6</v>
      </c>
      <c r="AB111" s="70">
        <v>129.6</v>
      </c>
      <c r="AC111" s="70">
        <v>130.6</v>
      </c>
      <c r="AD111" s="70">
        <v>129.9</v>
      </c>
      <c r="AE111" s="70">
        <v>129.80000000000001</v>
      </c>
      <c r="AF111" s="70">
        <v>130.5</v>
      </c>
      <c r="AG111" s="69"/>
      <c r="AH111" s="12">
        <f t="shared" si="38"/>
        <v>134.69999999999999</v>
      </c>
      <c r="AI111" s="11">
        <f t="shared" si="39"/>
        <v>127.9</v>
      </c>
    </row>
    <row r="112" spans="1:64" x14ac:dyDescent="0.25">
      <c r="A112" s="22" t="s">
        <v>150</v>
      </c>
      <c r="B112" s="70">
        <v>132</v>
      </c>
      <c r="C112" s="70">
        <v>133</v>
      </c>
      <c r="D112" s="70">
        <v>132</v>
      </c>
      <c r="E112" s="70">
        <v>132.30000000000001</v>
      </c>
      <c r="F112" s="70">
        <v>133.6</v>
      </c>
      <c r="G112" s="70">
        <v>133.30000000000001</v>
      </c>
      <c r="H112" s="70">
        <v>133.6</v>
      </c>
      <c r="I112" s="70">
        <v>131.19999999999999</v>
      </c>
      <c r="J112" s="70">
        <v>124.7</v>
      </c>
      <c r="K112" s="70">
        <v>126</v>
      </c>
      <c r="L112" s="70">
        <v>128.30000000000001</v>
      </c>
      <c r="M112" s="70">
        <v>124.8</v>
      </c>
      <c r="N112" s="70">
        <v>126.1</v>
      </c>
      <c r="O112" s="70">
        <v>124.9</v>
      </c>
      <c r="P112" s="70">
        <v>127.2</v>
      </c>
      <c r="Q112" s="70">
        <v>127.1</v>
      </c>
      <c r="R112" s="70">
        <v>125.8</v>
      </c>
      <c r="S112" s="70">
        <v>127.8</v>
      </c>
      <c r="T112" s="70">
        <v>126</v>
      </c>
      <c r="U112" s="70">
        <v>125.1</v>
      </c>
      <c r="V112" s="70">
        <v>127.6</v>
      </c>
      <c r="W112" s="70">
        <v>130.1</v>
      </c>
      <c r="X112" s="70">
        <v>130.1</v>
      </c>
      <c r="Y112" s="70">
        <v>129.9</v>
      </c>
      <c r="Z112" s="70">
        <v>127.3</v>
      </c>
      <c r="AA112" s="70">
        <v>130.80000000000001</v>
      </c>
      <c r="AB112" s="70">
        <v>130.80000000000001</v>
      </c>
      <c r="AC112" s="70">
        <v>131.4</v>
      </c>
      <c r="AD112" s="70">
        <v>131.9</v>
      </c>
      <c r="AE112" s="70">
        <v>132.19999999999999</v>
      </c>
      <c r="AF112" s="70">
        <v>131.9</v>
      </c>
      <c r="AG112" s="69"/>
      <c r="AH112" s="12">
        <f t="shared" si="38"/>
        <v>133.6</v>
      </c>
      <c r="AI112" s="11">
        <f t="shared" si="39"/>
        <v>124.7</v>
      </c>
    </row>
    <row r="113" spans="1:35" x14ac:dyDescent="0.25">
      <c r="A113" s="72" t="s">
        <v>149</v>
      </c>
      <c r="B113" s="70">
        <v>134</v>
      </c>
      <c r="C113" s="70">
        <v>134</v>
      </c>
      <c r="D113" s="70">
        <v>133</v>
      </c>
      <c r="E113" s="70">
        <v>134</v>
      </c>
      <c r="F113" s="70">
        <v>134.4</v>
      </c>
      <c r="G113" s="70">
        <v>133.9</v>
      </c>
      <c r="H113" s="70">
        <v>133.1</v>
      </c>
      <c r="I113" s="70">
        <v>130.9</v>
      </c>
      <c r="J113" s="70">
        <v>127</v>
      </c>
      <c r="K113" s="70">
        <v>128</v>
      </c>
      <c r="L113" s="70">
        <v>126.6</v>
      </c>
      <c r="M113" s="70">
        <v>124.7</v>
      </c>
      <c r="N113" s="70">
        <v>125.21</v>
      </c>
      <c r="O113" s="70">
        <v>123.7</v>
      </c>
      <c r="P113" s="70">
        <v>129.1</v>
      </c>
      <c r="Q113" s="70">
        <v>127.1</v>
      </c>
      <c r="R113" s="70">
        <v>125.6</v>
      </c>
      <c r="S113" s="70">
        <v>128.30000000000001</v>
      </c>
      <c r="T113" s="70">
        <v>127.3</v>
      </c>
      <c r="U113" s="70">
        <v>124.5</v>
      </c>
      <c r="V113" s="70">
        <v>128.6</v>
      </c>
      <c r="W113" s="70">
        <v>130.9</v>
      </c>
      <c r="X113" s="70">
        <v>130.9</v>
      </c>
      <c r="Y113" s="70">
        <v>129.4</v>
      </c>
      <c r="Z113" s="70">
        <v>127.5</v>
      </c>
      <c r="AA113" s="70">
        <v>131.4</v>
      </c>
      <c r="AB113" s="70">
        <v>131.4</v>
      </c>
      <c r="AC113" s="70">
        <v>133.30000000000001</v>
      </c>
      <c r="AD113" s="70">
        <v>133.4</v>
      </c>
      <c r="AE113" s="70">
        <v>134.4</v>
      </c>
      <c r="AF113" s="70">
        <v>133.1</v>
      </c>
      <c r="AG113" s="69"/>
      <c r="AH113" s="12">
        <f t="shared" si="38"/>
        <v>134.4</v>
      </c>
      <c r="AI113" s="11">
        <f t="shared" si="39"/>
        <v>123.7</v>
      </c>
    </row>
    <row r="114" spans="1:35" x14ac:dyDescent="0.25">
      <c r="A114" s="72" t="s">
        <v>148</v>
      </c>
      <c r="B114" s="56">
        <v>132</v>
      </c>
      <c r="C114" s="56">
        <v>135</v>
      </c>
      <c r="D114" s="56">
        <v>135</v>
      </c>
      <c r="E114" s="56">
        <v>135.30000000000001</v>
      </c>
      <c r="F114" s="56">
        <v>134.80000000000001</v>
      </c>
      <c r="G114" s="56">
        <v>132.69999999999999</v>
      </c>
      <c r="H114" s="56">
        <v>132.9</v>
      </c>
      <c r="I114" s="56">
        <v>136.4</v>
      </c>
      <c r="J114" s="56">
        <v>134.4</v>
      </c>
      <c r="K114" s="56">
        <v>132.5</v>
      </c>
      <c r="L114" s="56">
        <v>132.4</v>
      </c>
      <c r="M114" s="56">
        <v>131.19999999999999</v>
      </c>
      <c r="N114" s="56">
        <v>130</v>
      </c>
      <c r="O114" s="56">
        <v>129.19999999999999</v>
      </c>
      <c r="P114" s="56">
        <v>131.9</v>
      </c>
      <c r="Q114" s="56">
        <v>136</v>
      </c>
      <c r="R114" s="56">
        <v>130.69999999999999</v>
      </c>
      <c r="S114" s="56">
        <v>135.6</v>
      </c>
      <c r="T114" s="56">
        <v>135.1</v>
      </c>
      <c r="U114" s="56">
        <v>135.30000000000001</v>
      </c>
      <c r="V114" s="56">
        <v>134.30000000000001</v>
      </c>
      <c r="W114" s="56">
        <v>135.19999999999999</v>
      </c>
      <c r="X114" s="56">
        <v>135.19999999999999</v>
      </c>
      <c r="Y114" s="56">
        <v>133.80000000000001</v>
      </c>
      <c r="Z114" s="56">
        <v>132.19999999999999</v>
      </c>
      <c r="AA114" s="56">
        <v>133.1</v>
      </c>
      <c r="AB114" s="56">
        <v>133.1</v>
      </c>
      <c r="AC114" s="56">
        <v>133.5</v>
      </c>
      <c r="AD114" s="56">
        <v>134.80000000000001</v>
      </c>
      <c r="AE114" s="56">
        <v>134.19999999999999</v>
      </c>
      <c r="AF114" s="56">
        <v>133.80000000000001</v>
      </c>
      <c r="AG114" s="71"/>
      <c r="AH114" s="12">
        <f t="shared" ref="AH114:AH130" si="51">MAX(B114:AF114)</f>
        <v>136.4</v>
      </c>
      <c r="AI114" s="11">
        <f t="shared" ref="AI114:AI130" si="52">MIN(B114:AF114)</f>
        <v>129.19999999999999</v>
      </c>
    </row>
    <row r="115" spans="1:35" x14ac:dyDescent="0.25">
      <c r="A115" s="22" t="s">
        <v>147</v>
      </c>
      <c r="B115" s="70">
        <v>132</v>
      </c>
      <c r="C115" s="70">
        <v>133</v>
      </c>
      <c r="D115" s="70">
        <v>134</v>
      </c>
      <c r="E115" s="70">
        <v>134.5</v>
      </c>
      <c r="F115" s="70">
        <v>133.69999999999999</v>
      </c>
      <c r="G115" s="70">
        <v>135.4</v>
      </c>
      <c r="H115" s="70">
        <v>130.5</v>
      </c>
      <c r="I115" s="70">
        <v>137.69999999999999</v>
      </c>
      <c r="J115" s="70">
        <v>129.19999999999999</v>
      </c>
      <c r="K115" s="70">
        <v>130</v>
      </c>
      <c r="L115" s="70">
        <v>129.80000000000001</v>
      </c>
      <c r="M115" s="70">
        <v>129.69999999999999</v>
      </c>
      <c r="N115" s="70">
        <v>130.6</v>
      </c>
      <c r="O115" s="70">
        <v>130.9</v>
      </c>
      <c r="P115" s="70">
        <v>127.8</v>
      </c>
      <c r="Q115" s="70">
        <v>130.6</v>
      </c>
      <c r="R115" s="70">
        <v>133.4</v>
      </c>
      <c r="S115" s="70">
        <v>132.4</v>
      </c>
      <c r="T115" s="70">
        <v>127</v>
      </c>
      <c r="U115" s="70">
        <v>132.9</v>
      </c>
      <c r="V115" s="70">
        <v>131</v>
      </c>
      <c r="W115" s="70">
        <v>127.7</v>
      </c>
      <c r="X115" s="70">
        <v>127.7</v>
      </c>
      <c r="Y115" s="70">
        <v>133.19999999999999</v>
      </c>
      <c r="Z115" s="70">
        <v>131.69999999999999</v>
      </c>
      <c r="AA115" s="70">
        <v>131.5</v>
      </c>
      <c r="AB115" s="70">
        <v>131.5</v>
      </c>
      <c r="AC115" s="70">
        <v>133.4</v>
      </c>
      <c r="AD115" s="70">
        <v>133</v>
      </c>
      <c r="AE115" s="70">
        <v>132.5</v>
      </c>
      <c r="AF115" s="70">
        <v>132.19999999999999</v>
      </c>
      <c r="AG115" s="69"/>
      <c r="AH115" s="12">
        <f t="shared" si="51"/>
        <v>137.69999999999999</v>
      </c>
      <c r="AI115" s="11">
        <f t="shared" si="52"/>
        <v>127</v>
      </c>
    </row>
    <row r="116" spans="1:35" ht="15.75" thickBot="1" x14ac:dyDescent="0.3">
      <c r="A116" s="22" t="s">
        <v>146</v>
      </c>
      <c r="B116" s="67">
        <v>65.5</v>
      </c>
      <c r="C116" s="67">
        <v>66.7</v>
      </c>
      <c r="D116" s="67">
        <v>66.7</v>
      </c>
      <c r="E116" s="67">
        <v>66.8</v>
      </c>
      <c r="F116" s="67">
        <v>66.599999999999994</v>
      </c>
      <c r="G116" s="67">
        <v>66.3</v>
      </c>
      <c r="H116" s="67">
        <v>66</v>
      </c>
      <c r="I116" s="67">
        <v>65.7</v>
      </c>
      <c r="J116" s="67">
        <v>65.099999999999994</v>
      </c>
      <c r="K116" s="67">
        <v>64.599999999999994</v>
      </c>
      <c r="L116" s="67">
        <v>65.3</v>
      </c>
      <c r="M116" s="67">
        <v>64.400000000000006</v>
      </c>
      <c r="N116" s="67">
        <v>64.400000000000006</v>
      </c>
      <c r="O116" s="67">
        <v>64</v>
      </c>
      <c r="P116" s="67">
        <v>64.2</v>
      </c>
      <c r="Q116" s="67">
        <v>64.7</v>
      </c>
      <c r="R116" s="67">
        <v>64.7</v>
      </c>
      <c r="S116" s="67">
        <v>65.099999999999994</v>
      </c>
      <c r="T116" s="67">
        <v>65.099999999999994</v>
      </c>
      <c r="U116" s="67">
        <v>65.3</v>
      </c>
      <c r="V116" s="67">
        <v>65.099999999999994</v>
      </c>
      <c r="W116" s="67">
        <v>65.099999999999994</v>
      </c>
      <c r="X116" s="67">
        <v>65.099999999999994</v>
      </c>
      <c r="Y116" s="67">
        <v>65.099999999999994</v>
      </c>
      <c r="Z116" s="67">
        <v>64.3</v>
      </c>
      <c r="AA116" s="67">
        <v>65.2</v>
      </c>
      <c r="AB116" s="67">
        <v>65.2</v>
      </c>
      <c r="AC116" s="67">
        <v>65.7</v>
      </c>
      <c r="AD116" s="67">
        <v>65.400000000000006</v>
      </c>
      <c r="AE116" s="67">
        <v>65.3</v>
      </c>
      <c r="AF116" s="67">
        <v>65.599999999999994</v>
      </c>
      <c r="AG116" s="66"/>
      <c r="AH116" s="12">
        <f t="shared" si="51"/>
        <v>66.8</v>
      </c>
      <c r="AI116" s="11">
        <f t="shared" si="52"/>
        <v>64</v>
      </c>
    </row>
    <row r="117" spans="1:35" ht="15.75" thickBot="1" x14ac:dyDescent="0.3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51"/>
        <v>0</v>
      </c>
      <c r="AI117" s="11">
        <f t="shared" si="52"/>
        <v>0</v>
      </c>
    </row>
    <row r="118" spans="1:35" ht="15.75" thickBot="1" x14ac:dyDescent="0.3">
      <c r="A118" s="65" t="s">
        <v>144</v>
      </c>
      <c r="B118" s="64">
        <f t="shared" ref="B118:O118" si="53">SUM(B22,B28,B31:B32,B66,B68:B69,B71,B73,B119:B123,B155,B161,B167,B176,B178,B190,B197,B200:B201,B208,B210,B212,B216:B218,B220:B222,B227,B233:B234,B236:B238,B246,B251)</f>
        <v>97.64</v>
      </c>
      <c r="C118" s="64">
        <f t="shared" si="53"/>
        <v>92.64</v>
      </c>
      <c r="D118" s="64">
        <f t="shared" si="53"/>
        <v>79.64</v>
      </c>
      <c r="E118" s="64">
        <f t="shared" si="53"/>
        <v>106.44000000000001</v>
      </c>
      <c r="F118" s="64">
        <f t="shared" si="53"/>
        <v>113.03999999999999</v>
      </c>
      <c r="G118" s="64">
        <f t="shared" si="53"/>
        <v>136.44</v>
      </c>
      <c r="H118" s="64">
        <f t="shared" si="53"/>
        <v>160.24</v>
      </c>
      <c r="I118" s="64">
        <f t="shared" si="53"/>
        <v>192.04000000000002</v>
      </c>
      <c r="J118" s="64">
        <f t="shared" si="53"/>
        <v>234.64000000000001</v>
      </c>
      <c r="K118" s="64">
        <f t="shared" si="53"/>
        <v>230.94</v>
      </c>
      <c r="L118" s="64">
        <f t="shared" si="53"/>
        <v>288.23999999999995</v>
      </c>
      <c r="M118" s="64">
        <f t="shared" si="53"/>
        <v>307.64000000000004</v>
      </c>
      <c r="N118" s="64">
        <f t="shared" si="53"/>
        <v>306.84000000000003</v>
      </c>
      <c r="O118" s="64">
        <f t="shared" si="53"/>
        <v>305.54000000000002</v>
      </c>
      <c r="P118" s="64">
        <v>42</v>
      </c>
      <c r="Q118" s="64">
        <f t="shared" ref="Q118:AF118" si="54">SUM(Q22,Q28,Q31:Q32,Q66,Q68:Q69,Q71,Q73,Q119:Q123,Q155,Q161,Q167,Q176,Q178,Q190,Q197,Q200:Q201,Q208,Q210,Q212,Q216:Q218,Q220:Q222,Q227,Q233:Q234,Q236:Q238,Q246,Q251)</f>
        <v>285.23999999999995</v>
      </c>
      <c r="R118" s="64">
        <f t="shared" si="54"/>
        <v>284.04000000000002</v>
      </c>
      <c r="S118" s="64">
        <f t="shared" si="54"/>
        <v>292.33999999999997</v>
      </c>
      <c r="T118" s="64">
        <f t="shared" si="54"/>
        <v>292.83999999999997</v>
      </c>
      <c r="U118" s="64">
        <f t="shared" si="54"/>
        <v>288.83999999999997</v>
      </c>
      <c r="V118" s="64">
        <f t="shared" si="54"/>
        <v>292.04000000000002</v>
      </c>
      <c r="W118" s="64">
        <f t="shared" si="54"/>
        <v>299.04000000000002</v>
      </c>
      <c r="X118" s="64">
        <f t="shared" si="54"/>
        <v>276.74</v>
      </c>
      <c r="Y118" s="64">
        <f t="shared" si="54"/>
        <v>505.44</v>
      </c>
      <c r="Z118" s="64">
        <f t="shared" si="54"/>
        <v>361.94</v>
      </c>
      <c r="AA118" s="64">
        <f t="shared" si="54"/>
        <v>331.64</v>
      </c>
      <c r="AB118" s="64">
        <f t="shared" si="54"/>
        <v>266.44</v>
      </c>
      <c r="AC118" s="64">
        <f t="shared" si="54"/>
        <v>233.14</v>
      </c>
      <c r="AD118" s="64">
        <f t="shared" si="54"/>
        <v>206.34</v>
      </c>
      <c r="AE118" s="64">
        <f t="shared" si="54"/>
        <v>146.83999999999997</v>
      </c>
      <c r="AF118" s="64">
        <f t="shared" si="54"/>
        <v>114.24000000000001</v>
      </c>
      <c r="AG118" s="63"/>
      <c r="AH118" s="12">
        <f t="shared" si="51"/>
        <v>505.44</v>
      </c>
      <c r="AI118" s="11">
        <f t="shared" si="52"/>
        <v>42</v>
      </c>
    </row>
    <row r="119" spans="1:35" x14ac:dyDescent="0.25">
      <c r="A119" s="59" t="s">
        <v>143</v>
      </c>
      <c r="B119" s="62">
        <v>7</v>
      </c>
      <c r="C119" s="62">
        <v>9</v>
      </c>
      <c r="D119" s="62">
        <v>-7</v>
      </c>
      <c r="E119" s="62">
        <v>-8.1</v>
      </c>
      <c r="F119" s="62">
        <v>-7</v>
      </c>
      <c r="G119" s="62">
        <v>-11.2</v>
      </c>
      <c r="H119" s="62">
        <v>-12.4</v>
      </c>
      <c r="I119" s="62">
        <v>-4.8</v>
      </c>
      <c r="J119" s="62">
        <v>8.1999999999999993</v>
      </c>
      <c r="K119" s="62">
        <v>21</v>
      </c>
      <c r="L119" s="62">
        <v>21.8</v>
      </c>
      <c r="M119" s="62">
        <v>-0.1</v>
      </c>
      <c r="N119" s="62">
        <v>-2.2999999999999998</v>
      </c>
      <c r="O119" s="62">
        <v>1.7</v>
      </c>
      <c r="P119" s="62">
        <v>0.7</v>
      </c>
      <c r="Q119" s="62">
        <v>1.1000000000000001</v>
      </c>
      <c r="R119" s="62">
        <v>-1.3</v>
      </c>
      <c r="S119" s="62">
        <v>2.2999999999999998</v>
      </c>
      <c r="T119" s="62">
        <v>7.8</v>
      </c>
      <c r="U119" s="62">
        <v>9.6</v>
      </c>
      <c r="V119" s="62">
        <v>13.9</v>
      </c>
      <c r="W119" s="62">
        <v>26.3</v>
      </c>
      <c r="X119" s="62">
        <v>45.6</v>
      </c>
      <c r="Y119" s="62">
        <v>58.3</v>
      </c>
      <c r="Z119" s="62">
        <v>55.9</v>
      </c>
      <c r="AA119" s="62">
        <v>55</v>
      </c>
      <c r="AB119" s="62">
        <v>61.6</v>
      </c>
      <c r="AC119" s="62">
        <v>61.3</v>
      </c>
      <c r="AD119" s="62">
        <v>55.9</v>
      </c>
      <c r="AE119" s="62">
        <v>27.1</v>
      </c>
      <c r="AF119" s="62">
        <v>23.2</v>
      </c>
      <c r="AG119" s="55">
        <v>75</v>
      </c>
      <c r="AH119" s="12">
        <f t="shared" si="51"/>
        <v>61.6</v>
      </c>
      <c r="AI119" s="11">
        <f t="shared" si="52"/>
        <v>-12.4</v>
      </c>
    </row>
    <row r="120" spans="1:35" x14ac:dyDescent="0.25">
      <c r="A120" s="57" t="s">
        <v>142</v>
      </c>
      <c r="B120" s="61">
        <v>18</v>
      </c>
      <c r="C120" s="61">
        <v>22</v>
      </c>
      <c r="D120" s="61">
        <v>0</v>
      </c>
      <c r="E120" s="61">
        <v>-2.2999999999999998</v>
      </c>
      <c r="F120" s="61">
        <v>-2.2999999999999998</v>
      </c>
      <c r="G120" s="61">
        <v>-7.5</v>
      </c>
      <c r="H120" s="61">
        <v>-10</v>
      </c>
      <c r="I120" s="61">
        <v>-1.1000000000000001</v>
      </c>
      <c r="J120" s="61">
        <v>5.9</v>
      </c>
      <c r="K120" s="61">
        <v>26</v>
      </c>
      <c r="L120" s="61">
        <v>26.2</v>
      </c>
      <c r="M120" s="61">
        <v>-6.8</v>
      </c>
      <c r="N120" s="61">
        <v>-9.3000000000000007</v>
      </c>
      <c r="O120" s="61">
        <v>-3</v>
      </c>
      <c r="P120" s="61">
        <v>-3.1</v>
      </c>
      <c r="Q120" s="61">
        <v>-1.4</v>
      </c>
      <c r="R120" s="61">
        <v>-5.7</v>
      </c>
      <c r="S120" s="61">
        <v>-1.7</v>
      </c>
      <c r="T120" s="61">
        <v>6.6</v>
      </c>
      <c r="U120" s="61">
        <v>8.6999999999999993</v>
      </c>
      <c r="V120" s="61">
        <v>18.2</v>
      </c>
      <c r="W120" s="61">
        <v>36.5</v>
      </c>
      <c r="X120" s="61">
        <v>71.3</v>
      </c>
      <c r="Y120" s="61">
        <v>86.7</v>
      </c>
      <c r="Z120" s="61">
        <v>84.1</v>
      </c>
      <c r="AA120" s="61">
        <v>84</v>
      </c>
      <c r="AB120" s="61">
        <v>92.8</v>
      </c>
      <c r="AC120" s="61">
        <v>92.5</v>
      </c>
      <c r="AD120" s="61">
        <v>85</v>
      </c>
      <c r="AE120" s="61">
        <v>42.8</v>
      </c>
      <c r="AF120" s="61">
        <v>40.6</v>
      </c>
      <c r="AG120" s="55">
        <v>240</v>
      </c>
      <c r="AH120" s="12">
        <f t="shared" si="51"/>
        <v>92.8</v>
      </c>
      <c r="AI120" s="11">
        <f t="shared" si="52"/>
        <v>-10</v>
      </c>
    </row>
    <row r="121" spans="1:35" x14ac:dyDescent="0.25">
      <c r="A121" s="57" t="s">
        <v>141</v>
      </c>
      <c r="B121" s="61">
        <v>-96</v>
      </c>
      <c r="C121" s="61">
        <v>-100</v>
      </c>
      <c r="D121" s="61">
        <v>-84</v>
      </c>
      <c r="E121" s="61">
        <v>-53</v>
      </c>
      <c r="F121" s="61">
        <v>-50</v>
      </c>
      <c r="G121" s="61">
        <v>-33</v>
      </c>
      <c r="H121" s="61">
        <v>-19</v>
      </c>
      <c r="I121" s="61">
        <v>-18</v>
      </c>
      <c r="J121" s="61">
        <v>-9</v>
      </c>
      <c r="K121" s="61">
        <v>-56</v>
      </c>
      <c r="L121" s="61">
        <v>3</v>
      </c>
      <c r="M121" s="61">
        <f>21.4+17.5</f>
        <v>38.9</v>
      </c>
      <c r="N121" s="61">
        <v>40.700000000000003</v>
      </c>
      <c r="O121" s="61">
        <v>35.6</v>
      </c>
      <c r="P121" s="61">
        <v>26</v>
      </c>
      <c r="Q121" s="61">
        <f>13.8+8</f>
        <v>21.8</v>
      </c>
      <c r="R121" s="61">
        <v>24.2</v>
      </c>
      <c r="S121" s="61">
        <v>28</v>
      </c>
      <c r="T121" s="61">
        <v>21</v>
      </c>
      <c r="U121" s="61">
        <v>25</v>
      </c>
      <c r="V121" s="61">
        <v>16</v>
      </c>
      <c r="W121" s="61">
        <v>5.8</v>
      </c>
      <c r="X121" s="61">
        <v>-43</v>
      </c>
      <c r="Y121" s="61">
        <v>91</v>
      </c>
      <c r="Z121" s="61">
        <v>-75</v>
      </c>
      <c r="AA121" s="61">
        <v>-53</v>
      </c>
      <c r="AB121" s="61">
        <v>-113</v>
      </c>
      <c r="AC121" s="61">
        <v>-127</v>
      </c>
      <c r="AD121" s="61">
        <v>-140</v>
      </c>
      <c r="AE121" s="61">
        <v>-130</v>
      </c>
      <c r="AF121" s="61">
        <v>-128</v>
      </c>
      <c r="AG121" s="55">
        <v>240</v>
      </c>
      <c r="AH121" s="12">
        <f t="shared" si="51"/>
        <v>91</v>
      </c>
      <c r="AI121" s="11">
        <f t="shared" si="52"/>
        <v>-140</v>
      </c>
    </row>
    <row r="122" spans="1:35" ht="15.75" thickBot="1" x14ac:dyDescent="0.3">
      <c r="A122" s="57" t="s">
        <v>140</v>
      </c>
      <c r="B122" s="61">
        <v>55</v>
      </c>
      <c r="C122" s="61">
        <v>55</v>
      </c>
      <c r="D122" s="61">
        <v>55</v>
      </c>
      <c r="E122" s="61">
        <v>55.2</v>
      </c>
      <c r="F122" s="61">
        <v>55.3</v>
      </c>
      <c r="G122" s="61">
        <v>55</v>
      </c>
      <c r="H122" s="61">
        <v>55</v>
      </c>
      <c r="I122" s="61">
        <v>54</v>
      </c>
      <c r="J122" s="61">
        <v>52.5</v>
      </c>
      <c r="K122" s="61">
        <v>53</v>
      </c>
      <c r="L122" s="61">
        <v>53</v>
      </c>
      <c r="M122" s="61">
        <v>42.5</v>
      </c>
      <c r="N122" s="61">
        <v>46.9</v>
      </c>
      <c r="O122" s="61">
        <v>46.2</v>
      </c>
      <c r="P122" s="61">
        <v>56.1</v>
      </c>
      <c r="Q122" s="61">
        <v>48.1</v>
      </c>
      <c r="R122" s="61">
        <v>46.7</v>
      </c>
      <c r="S122" s="61">
        <v>46.8</v>
      </c>
      <c r="T122" s="61">
        <v>50.6</v>
      </c>
      <c r="U122" s="61">
        <v>40.799999999999997</v>
      </c>
      <c r="V122" s="61">
        <v>39.9</v>
      </c>
      <c r="W122" s="61">
        <v>22.4</v>
      </c>
      <c r="X122" s="61">
        <v>13.9</v>
      </c>
      <c r="Y122" s="61">
        <v>36.6</v>
      </c>
      <c r="Z122" s="61">
        <v>47.7</v>
      </c>
      <c r="AA122" s="61">
        <v>54.3</v>
      </c>
      <c r="AB122" s="61">
        <v>52.9</v>
      </c>
      <c r="AC122" s="61">
        <v>50.2</v>
      </c>
      <c r="AD122" s="61">
        <v>47.4</v>
      </c>
      <c r="AE122" s="61">
        <v>42.1</v>
      </c>
      <c r="AF122" s="61">
        <v>39.799999999999997</v>
      </c>
      <c r="AG122" s="55">
        <v>60</v>
      </c>
      <c r="AH122" s="12">
        <f t="shared" si="51"/>
        <v>56.1</v>
      </c>
      <c r="AI122" s="11">
        <f t="shared" si="52"/>
        <v>13.9</v>
      </c>
    </row>
    <row r="123" spans="1:35" x14ac:dyDescent="0.25">
      <c r="A123" s="59" t="s">
        <v>139</v>
      </c>
      <c r="B123" s="58">
        <v>24</v>
      </c>
      <c r="C123" s="58">
        <v>17</v>
      </c>
      <c r="D123" s="58">
        <v>26</v>
      </c>
      <c r="E123" s="58">
        <v>25</v>
      </c>
      <c r="F123" s="58">
        <v>27.4</v>
      </c>
      <c r="G123" s="58">
        <v>43.5</v>
      </c>
      <c r="H123" s="58">
        <v>57</v>
      </c>
      <c r="I123" s="58">
        <v>72</v>
      </c>
      <c r="J123" s="58">
        <v>87.1</v>
      </c>
      <c r="K123" s="58">
        <v>97</v>
      </c>
      <c r="L123" s="58">
        <v>91</v>
      </c>
      <c r="M123" s="58">
        <v>127.4</v>
      </c>
      <c r="N123" s="58">
        <v>126.2</v>
      </c>
      <c r="O123" s="58">
        <v>115.7</v>
      </c>
      <c r="P123" s="58">
        <v>104</v>
      </c>
      <c r="Q123" s="58">
        <v>109.1</v>
      </c>
      <c r="R123" s="58">
        <v>114</v>
      </c>
      <c r="S123" s="58">
        <v>113.9</v>
      </c>
      <c r="T123" s="58">
        <v>109.3</v>
      </c>
      <c r="U123" s="58">
        <v>110.6</v>
      </c>
      <c r="V123" s="58">
        <v>111.6</v>
      </c>
      <c r="W123" s="58">
        <v>115.9</v>
      </c>
      <c r="X123" s="58">
        <v>98.8</v>
      </c>
      <c r="Y123" s="58">
        <v>142.69999999999999</v>
      </c>
      <c r="Z123" s="58">
        <v>169.1</v>
      </c>
      <c r="AA123" s="58">
        <v>104.5</v>
      </c>
      <c r="AB123" s="58">
        <v>78.8</v>
      </c>
      <c r="AC123" s="58">
        <v>54.7</v>
      </c>
      <c r="AD123" s="58">
        <v>54</v>
      </c>
      <c r="AE123" s="58">
        <v>60.8</v>
      </c>
      <c r="AF123" s="58">
        <v>34.6</v>
      </c>
      <c r="AG123" s="60">
        <v>120</v>
      </c>
      <c r="AH123" s="12">
        <f t="shared" si="51"/>
        <v>169.1</v>
      </c>
      <c r="AI123" s="11">
        <f t="shared" si="52"/>
        <v>17</v>
      </c>
    </row>
    <row r="124" spans="1:35" x14ac:dyDescent="0.25">
      <c r="A124" s="57" t="s">
        <v>138</v>
      </c>
      <c r="B124" s="58">
        <v>35</v>
      </c>
      <c r="C124" s="58">
        <v>31</v>
      </c>
      <c r="D124" s="58">
        <v>33</v>
      </c>
      <c r="E124" s="58">
        <v>35.200000000000003</v>
      </c>
      <c r="F124" s="58">
        <v>35.6</v>
      </c>
      <c r="G124" s="58">
        <v>45</v>
      </c>
      <c r="H124" s="58">
        <v>51.1</v>
      </c>
      <c r="I124" s="58">
        <v>58</v>
      </c>
      <c r="J124" s="58">
        <v>66</v>
      </c>
      <c r="K124" s="58">
        <v>69</v>
      </c>
      <c r="L124" s="58">
        <v>67</v>
      </c>
      <c r="M124" s="58">
        <v>84.5</v>
      </c>
      <c r="N124" s="58">
        <v>82.4</v>
      </c>
      <c r="O124" s="58">
        <v>79.3</v>
      </c>
      <c r="P124" s="58">
        <v>74</v>
      </c>
      <c r="Q124" s="58">
        <v>75.8</v>
      </c>
      <c r="R124" s="58">
        <v>78</v>
      </c>
      <c r="S124" s="58">
        <v>72.400000000000006</v>
      </c>
      <c r="T124" s="58">
        <v>70.7</v>
      </c>
      <c r="U124" s="58">
        <v>70.900000000000006</v>
      </c>
      <c r="V124" s="58">
        <v>71.599999999999994</v>
      </c>
      <c r="W124" s="58">
        <v>73.400000000000006</v>
      </c>
      <c r="X124" s="58">
        <v>65.3</v>
      </c>
      <c r="Y124" s="58">
        <v>84.7</v>
      </c>
      <c r="Z124" s="58">
        <v>96.7</v>
      </c>
      <c r="AA124" s="58">
        <v>69.8</v>
      </c>
      <c r="AB124" s="58">
        <v>62.9</v>
      </c>
      <c r="AC124" s="58">
        <v>50.7</v>
      </c>
      <c r="AD124" s="58">
        <v>50.7</v>
      </c>
      <c r="AE124" s="58">
        <v>53.9</v>
      </c>
      <c r="AF124" s="58">
        <v>41.9</v>
      </c>
      <c r="AG124" s="60"/>
      <c r="AH124" s="12">
        <f t="shared" si="51"/>
        <v>96.7</v>
      </c>
      <c r="AI124" s="11">
        <f t="shared" si="52"/>
        <v>31</v>
      </c>
    </row>
    <row r="125" spans="1:35" x14ac:dyDescent="0.25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51"/>
        <v>0</v>
      </c>
      <c r="AI125" s="11">
        <f t="shared" si="52"/>
        <v>0</v>
      </c>
    </row>
    <row r="126" spans="1:35" ht="15.75" thickBot="1" x14ac:dyDescent="0.3">
      <c r="A126" s="57" t="s">
        <v>136</v>
      </c>
      <c r="B126" s="58">
        <v>50</v>
      </c>
      <c r="C126" s="58">
        <v>46</v>
      </c>
      <c r="D126" s="58">
        <v>64</v>
      </c>
      <c r="E126" s="58">
        <v>62.2</v>
      </c>
      <c r="F126" s="58">
        <v>65.2</v>
      </c>
      <c r="G126" s="58">
        <v>74.099999999999994</v>
      </c>
      <c r="H126" s="58">
        <v>81</v>
      </c>
      <c r="I126" s="58">
        <v>83</v>
      </c>
      <c r="J126" s="58">
        <v>95</v>
      </c>
      <c r="K126" s="58">
        <v>101</v>
      </c>
      <c r="L126" s="58">
        <v>62</v>
      </c>
      <c r="M126" s="58">
        <v>110.6</v>
      </c>
      <c r="N126" s="58">
        <v>105.1</v>
      </c>
      <c r="O126" s="58">
        <v>101.6</v>
      </c>
      <c r="P126" s="58">
        <v>105.8</v>
      </c>
      <c r="Q126" s="58">
        <v>102</v>
      </c>
      <c r="R126" s="58">
        <v>105</v>
      </c>
      <c r="S126" s="58">
        <v>94.6</v>
      </c>
      <c r="T126" s="58">
        <v>83.4</v>
      </c>
      <c r="U126" s="58">
        <v>81.400000000000006</v>
      </c>
      <c r="V126" s="58">
        <v>73.2</v>
      </c>
      <c r="W126" s="58">
        <v>72.8</v>
      </c>
      <c r="X126" s="58">
        <v>50.8</v>
      </c>
      <c r="Y126" s="58">
        <v>28.8</v>
      </c>
      <c r="Z126" s="58">
        <v>45.8</v>
      </c>
      <c r="AA126" s="58">
        <v>64.099999999999994</v>
      </c>
      <c r="AB126" s="58">
        <v>48</v>
      </c>
      <c r="AC126" s="58">
        <v>39.9</v>
      </c>
      <c r="AD126" s="58">
        <v>51.3</v>
      </c>
      <c r="AE126" s="58">
        <v>75</v>
      </c>
      <c r="AF126" s="58">
        <v>63</v>
      </c>
      <c r="AG126" s="55"/>
      <c r="AH126" s="12">
        <f t="shared" si="51"/>
        <v>110.6</v>
      </c>
      <c r="AI126" s="11">
        <f t="shared" si="52"/>
        <v>28.8</v>
      </c>
    </row>
    <row r="127" spans="1:35" x14ac:dyDescent="0.25">
      <c r="A127" s="59" t="s">
        <v>135</v>
      </c>
      <c r="B127" s="58">
        <v>-70</v>
      </c>
      <c r="C127" s="58">
        <v>-62</v>
      </c>
      <c r="D127" s="58">
        <v>-57</v>
      </c>
      <c r="E127" s="58">
        <v>-58</v>
      </c>
      <c r="F127" s="58">
        <v>-50</v>
      </c>
      <c r="G127" s="58">
        <v>-42</v>
      </c>
      <c r="H127" s="58">
        <v>-35.4</v>
      </c>
      <c r="I127" s="58">
        <v>-29.2</v>
      </c>
      <c r="J127" s="58">
        <v>9</v>
      </c>
      <c r="K127" s="58">
        <v>15</v>
      </c>
      <c r="L127" s="58">
        <v>13</v>
      </c>
      <c r="M127" s="58">
        <v>31</v>
      </c>
      <c r="N127" s="58">
        <v>29.8</v>
      </c>
      <c r="O127" s="58">
        <v>26.6</v>
      </c>
      <c r="P127" s="58">
        <v>20.399999999999999</v>
      </c>
      <c r="Q127" s="58">
        <v>22.7</v>
      </c>
      <c r="R127" s="58">
        <v>25.8</v>
      </c>
      <c r="S127" s="58">
        <v>25.6</v>
      </c>
      <c r="T127" s="58">
        <v>22.9</v>
      </c>
      <c r="U127" s="58">
        <v>14.1</v>
      </c>
      <c r="V127" s="58">
        <v>24.1</v>
      </c>
      <c r="W127" s="58">
        <v>26.8</v>
      </c>
      <c r="X127" s="58">
        <v>2.2000000000000002</v>
      </c>
      <c r="Y127" s="58">
        <v>-118.7</v>
      </c>
      <c r="Z127" s="58">
        <v>-135.19999999999999</v>
      </c>
      <c r="AA127" s="58">
        <v>-168.9</v>
      </c>
      <c r="AB127" s="58">
        <v>-160</v>
      </c>
      <c r="AC127" s="58">
        <v>-163.30000000000001</v>
      </c>
      <c r="AD127" s="58">
        <v>-138.19999999999999</v>
      </c>
      <c r="AE127" s="58">
        <v>-146.5</v>
      </c>
      <c r="AF127" s="58">
        <v>-112.9</v>
      </c>
      <c r="AG127" s="55"/>
      <c r="AH127" s="12">
        <f t="shared" si="51"/>
        <v>31</v>
      </c>
      <c r="AI127" s="11">
        <f t="shared" si="52"/>
        <v>-168.9</v>
      </c>
    </row>
    <row r="128" spans="1:35" x14ac:dyDescent="0.25">
      <c r="A128" s="57" t="s">
        <v>134</v>
      </c>
      <c r="B128" s="56">
        <v>-18</v>
      </c>
      <c r="C128" s="56">
        <v>-18</v>
      </c>
      <c r="D128" s="56">
        <v>-15</v>
      </c>
      <c r="E128" s="56">
        <v>-17.399999999999999</v>
      </c>
      <c r="F128" s="56">
        <v>-15.8</v>
      </c>
      <c r="G128" s="56">
        <v>-16.5</v>
      </c>
      <c r="H128" s="56">
        <v>-11</v>
      </c>
      <c r="I128" s="56">
        <v>-18</v>
      </c>
      <c r="J128" s="56">
        <v>-21</v>
      </c>
      <c r="K128" s="56">
        <v>-22</v>
      </c>
      <c r="L128" s="56">
        <v>-27</v>
      </c>
      <c r="M128" s="56">
        <v>-26.4</v>
      </c>
      <c r="N128" s="56">
        <v>-26.5</v>
      </c>
      <c r="O128" s="56">
        <v>-29.6</v>
      </c>
      <c r="P128" s="56">
        <v>-23.7</v>
      </c>
      <c r="Q128" s="56">
        <v>-21.1</v>
      </c>
      <c r="R128" s="56">
        <v>-22.8</v>
      </c>
      <c r="S128" s="56">
        <v>-29.21</v>
      </c>
      <c r="T128" s="56">
        <v>-26.1</v>
      </c>
      <c r="U128" s="56">
        <v>-24.3</v>
      </c>
      <c r="V128" s="56">
        <v>-22</v>
      </c>
      <c r="W128" s="56">
        <v>-25.3</v>
      </c>
      <c r="X128" s="56">
        <v>-17.899999999999999</v>
      </c>
      <c r="Y128" s="56">
        <v>-23.8</v>
      </c>
      <c r="Z128" s="56">
        <v>-27.2</v>
      </c>
      <c r="AA128" s="56">
        <v>-22.9</v>
      </c>
      <c r="AB128" s="56">
        <v>-9.1</v>
      </c>
      <c r="AC128" s="56">
        <v>-13.4</v>
      </c>
      <c r="AD128" s="56">
        <v>-11.6</v>
      </c>
      <c r="AE128" s="56">
        <v>0.3</v>
      </c>
      <c r="AF128" s="56">
        <v>33</v>
      </c>
      <c r="AG128" s="55"/>
      <c r="AH128" s="12">
        <f t="shared" si="51"/>
        <v>33</v>
      </c>
      <c r="AI128" s="11">
        <f t="shared" si="52"/>
        <v>-29.6</v>
      </c>
    </row>
    <row r="129" spans="1:37" x14ac:dyDescent="0.25">
      <c r="A129" s="57" t="s">
        <v>133</v>
      </c>
      <c r="B129" s="56">
        <v>85</v>
      </c>
      <c r="C129" s="56">
        <v>78</v>
      </c>
      <c r="D129" s="56">
        <v>74</v>
      </c>
      <c r="E129" s="56">
        <v>70.099999999999994</v>
      </c>
      <c r="F129" s="56">
        <v>70.400000000000006</v>
      </c>
      <c r="G129" s="56">
        <v>69</v>
      </c>
      <c r="H129" s="56">
        <v>60</v>
      </c>
      <c r="I129" s="56">
        <v>67</v>
      </c>
      <c r="J129" s="56">
        <v>94</v>
      </c>
      <c r="K129" s="56">
        <v>114</v>
      </c>
      <c r="L129" s="56">
        <v>123</v>
      </c>
      <c r="M129" s="56">
        <v>122.2</v>
      </c>
      <c r="N129" s="56">
        <v>117.6</v>
      </c>
      <c r="O129" s="56">
        <v>122.2</v>
      </c>
      <c r="P129" s="56">
        <v>122.9</v>
      </c>
      <c r="Q129" s="56">
        <v>122.5</v>
      </c>
      <c r="R129" s="56">
        <v>126.1</v>
      </c>
      <c r="S129" s="56">
        <v>116</v>
      </c>
      <c r="T129" s="56">
        <v>123</v>
      </c>
      <c r="U129" s="56">
        <v>115.4</v>
      </c>
      <c r="V129" s="56">
        <v>113.1</v>
      </c>
      <c r="W129" s="56">
        <v>110.2</v>
      </c>
      <c r="X129" s="56">
        <v>78</v>
      </c>
      <c r="Y129" s="56">
        <v>84.8</v>
      </c>
      <c r="Z129" s="56">
        <v>88</v>
      </c>
      <c r="AA129" s="56">
        <v>90.2</v>
      </c>
      <c r="AB129" s="56">
        <v>88.4</v>
      </c>
      <c r="AC129" s="56">
        <v>84</v>
      </c>
      <c r="AD129" s="56">
        <v>79.900000000000006</v>
      </c>
      <c r="AE129" s="56">
        <v>63.2</v>
      </c>
      <c r="AF129" s="56">
        <v>49.7</v>
      </c>
      <c r="AG129" s="55"/>
      <c r="AH129" s="12">
        <f t="shared" si="51"/>
        <v>126.1</v>
      </c>
      <c r="AI129" s="11">
        <f t="shared" si="52"/>
        <v>49.7</v>
      </c>
    </row>
    <row r="130" spans="1:37" ht="15.75" thickBot="1" x14ac:dyDescent="0.3">
      <c r="A130" s="57" t="s">
        <v>132</v>
      </c>
      <c r="B130" s="56">
        <v>96</v>
      </c>
      <c r="C130" s="56">
        <v>93</v>
      </c>
      <c r="D130" s="56">
        <v>86</v>
      </c>
      <c r="E130" s="56">
        <v>85.1</v>
      </c>
      <c r="F130" s="56">
        <v>83</v>
      </c>
      <c r="G130" s="56">
        <v>82.2</v>
      </c>
      <c r="H130" s="56">
        <v>74.2</v>
      </c>
      <c r="I130" s="56">
        <v>80.2</v>
      </c>
      <c r="J130" s="56">
        <v>101</v>
      </c>
      <c r="K130" s="56">
        <v>115</v>
      </c>
      <c r="L130" s="56">
        <v>128</v>
      </c>
      <c r="M130" s="56">
        <v>119.9</v>
      </c>
      <c r="N130" s="56">
        <v>122.8</v>
      </c>
      <c r="O130" s="56">
        <v>119.1</v>
      </c>
      <c r="P130" s="56">
        <v>126.4</v>
      </c>
      <c r="Q130" s="56">
        <v>120.5</v>
      </c>
      <c r="R130" s="56">
        <v>121.2</v>
      </c>
      <c r="S130" s="56">
        <v>131.9</v>
      </c>
      <c r="T130" s="56">
        <v>122.8</v>
      </c>
      <c r="U130" s="56">
        <v>117</v>
      </c>
      <c r="V130" s="56">
        <v>115.6</v>
      </c>
      <c r="W130" s="56">
        <v>109.3</v>
      </c>
      <c r="X130" s="56">
        <v>87.6</v>
      </c>
      <c r="Y130" s="56">
        <v>92.1</v>
      </c>
      <c r="Z130" s="56">
        <v>99.6</v>
      </c>
      <c r="AA130" s="56">
        <v>101.2</v>
      </c>
      <c r="AB130" s="56">
        <v>101.9</v>
      </c>
      <c r="AC130" s="56">
        <v>100.4</v>
      </c>
      <c r="AD130" s="56">
        <v>93.7</v>
      </c>
      <c r="AE130" s="56">
        <v>76.3</v>
      </c>
      <c r="AF130" s="56">
        <v>59.4</v>
      </c>
      <c r="AG130" s="55"/>
      <c r="AH130" s="12">
        <f t="shared" si="51"/>
        <v>131.9</v>
      </c>
      <c r="AI130" s="11">
        <f t="shared" si="52"/>
        <v>59.4</v>
      </c>
    </row>
    <row r="131" spans="1:37" x14ac:dyDescent="0.25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25">
      <c r="A132" s="47" t="s">
        <v>130</v>
      </c>
      <c r="B132" s="51">
        <v>1982.6</v>
      </c>
      <c r="C132" s="51">
        <v>1982.63</v>
      </c>
      <c r="D132" s="51">
        <v>1982.7</v>
      </c>
      <c r="E132" s="51">
        <v>1982.79</v>
      </c>
      <c r="F132" s="51">
        <v>1982.9</v>
      </c>
      <c r="G132" s="51">
        <v>1983.02</v>
      </c>
      <c r="H132" s="51"/>
      <c r="I132" s="51">
        <v>1983.18</v>
      </c>
      <c r="J132" s="51"/>
      <c r="K132" s="51">
        <v>1983.4</v>
      </c>
      <c r="L132" s="51"/>
      <c r="M132" s="51">
        <v>1983.72</v>
      </c>
      <c r="N132" s="51">
        <v>1984</v>
      </c>
      <c r="O132" s="51">
        <v>1984.3</v>
      </c>
      <c r="P132" s="51">
        <v>1984.52</v>
      </c>
      <c r="Q132" s="51">
        <v>1984.78</v>
      </c>
      <c r="R132" s="51">
        <v>1985.02</v>
      </c>
      <c r="S132" s="51">
        <v>1985.25</v>
      </c>
      <c r="T132" s="51">
        <v>1985.48</v>
      </c>
      <c r="U132" s="51">
        <v>1985.68</v>
      </c>
      <c r="V132" s="51">
        <v>1985.87</v>
      </c>
      <c r="W132" s="51"/>
      <c r="X132" s="51">
        <v>1986.1</v>
      </c>
      <c r="Y132" s="51"/>
      <c r="Z132" s="51">
        <v>1985.7</v>
      </c>
      <c r="AA132" s="51"/>
      <c r="AB132" s="51">
        <v>1984.9</v>
      </c>
      <c r="AC132" s="51"/>
      <c r="AD132" s="51">
        <v>1984.3</v>
      </c>
      <c r="AE132" s="51">
        <v>1983.8</v>
      </c>
      <c r="AF132" s="50">
        <v>1983.48</v>
      </c>
      <c r="AG132" s="44"/>
      <c r="AH132" s="12"/>
      <c r="AI132" s="11"/>
    </row>
    <row r="133" spans="1:37" x14ac:dyDescent="0.25">
      <c r="A133" s="47" t="s">
        <v>129</v>
      </c>
      <c r="B133" s="49">
        <v>521.28</v>
      </c>
      <c r="C133" s="49">
        <v>521.38</v>
      </c>
      <c r="D133" s="49">
        <v>521.48</v>
      </c>
      <c r="E133" s="49">
        <v>521.58000000000004</v>
      </c>
      <c r="F133" s="49">
        <v>521.75</v>
      </c>
      <c r="G133" s="49">
        <v>521.95000000000005</v>
      </c>
      <c r="H133" s="49"/>
      <c r="I133" s="49">
        <v>522.1</v>
      </c>
      <c r="J133" s="49"/>
      <c r="K133" s="49">
        <v>522</v>
      </c>
      <c r="L133" s="49"/>
      <c r="M133" s="49">
        <v>521.88</v>
      </c>
      <c r="N133" s="49">
        <v>521.94000000000005</v>
      </c>
      <c r="O133" s="49">
        <v>522.01</v>
      </c>
      <c r="P133" s="49">
        <v>522.1</v>
      </c>
      <c r="Q133" s="49">
        <v>522.14</v>
      </c>
      <c r="R133" s="49">
        <v>522.21</v>
      </c>
      <c r="S133" s="49">
        <v>522.38</v>
      </c>
      <c r="T133" s="49">
        <v>522.58000000000004</v>
      </c>
      <c r="U133" s="49">
        <v>522.80999999999995</v>
      </c>
      <c r="V133" s="49">
        <v>523</v>
      </c>
      <c r="W133" s="49"/>
      <c r="X133" s="49">
        <v>523.20000000000005</v>
      </c>
      <c r="Y133" s="49"/>
      <c r="Z133" s="49">
        <v>623.13</v>
      </c>
      <c r="AA133" s="49"/>
      <c r="AB133" s="49">
        <v>522.97</v>
      </c>
      <c r="AC133" s="49"/>
      <c r="AD133" s="49">
        <v>522.79999999999995</v>
      </c>
      <c r="AE133" s="49">
        <v>522.63</v>
      </c>
      <c r="AF133" s="48">
        <v>522.6</v>
      </c>
      <c r="AG133" s="44"/>
      <c r="AH133" s="12"/>
      <c r="AI133" s="11"/>
    </row>
    <row r="134" spans="1:37" x14ac:dyDescent="0.25">
      <c r="A134" s="47" t="s">
        <v>128</v>
      </c>
      <c r="B134" s="49">
        <v>623.57000000000005</v>
      </c>
      <c r="C134" s="49">
        <v>623.13</v>
      </c>
      <c r="D134" s="49">
        <v>623.08000000000004</v>
      </c>
      <c r="E134" s="49">
        <v>623.26</v>
      </c>
      <c r="F134" s="49">
        <v>623.38</v>
      </c>
      <c r="G134" s="49">
        <v>623.64</v>
      </c>
      <c r="H134" s="49"/>
      <c r="I134" s="49">
        <v>623.74</v>
      </c>
      <c r="J134" s="49"/>
      <c r="K134" s="49">
        <v>623.80999999999995</v>
      </c>
      <c r="L134" s="49"/>
      <c r="M134" s="49">
        <v>623.79999999999995</v>
      </c>
      <c r="N134" s="49">
        <v>624.04</v>
      </c>
      <c r="O134" s="49">
        <v>624.21</v>
      </c>
      <c r="P134" s="49">
        <v>624.34</v>
      </c>
      <c r="Q134" s="49">
        <v>624.5</v>
      </c>
      <c r="R134" s="49">
        <v>624.73</v>
      </c>
      <c r="S134" s="49">
        <v>624.86</v>
      </c>
      <c r="T134" s="49"/>
      <c r="U134" s="49">
        <v>625.01</v>
      </c>
      <c r="V134" s="49">
        <v>625</v>
      </c>
      <c r="W134" s="49"/>
      <c r="X134" s="49">
        <v>624.89</v>
      </c>
      <c r="Y134" s="49"/>
      <c r="Z134" s="49">
        <v>624.72</v>
      </c>
      <c r="AA134" s="49"/>
      <c r="AB134" s="49">
        <v>624.42999999999995</v>
      </c>
      <c r="AC134" s="49"/>
      <c r="AD134" s="49">
        <v>624.29</v>
      </c>
      <c r="AE134" s="49">
        <v>624.15</v>
      </c>
      <c r="AF134" s="48">
        <v>624.21</v>
      </c>
      <c r="AG134" s="44"/>
      <c r="AH134" s="12"/>
      <c r="AI134" s="11"/>
    </row>
    <row r="135" spans="1:37" x14ac:dyDescent="0.25">
      <c r="A135" s="47" t="s">
        <v>127</v>
      </c>
      <c r="B135" s="49">
        <v>335.32</v>
      </c>
      <c r="C135" s="49">
        <v>335.21</v>
      </c>
      <c r="D135" s="49">
        <v>335.12</v>
      </c>
      <c r="E135" s="49">
        <v>335.34</v>
      </c>
      <c r="F135" s="49">
        <v>335.58</v>
      </c>
      <c r="G135" s="49">
        <v>335.81</v>
      </c>
      <c r="H135" s="49"/>
      <c r="I135" s="49">
        <v>336.19</v>
      </c>
      <c r="J135" s="49"/>
      <c r="K135" s="49">
        <v>336.39</v>
      </c>
      <c r="L135" s="49"/>
      <c r="M135" s="49">
        <v>336.23</v>
      </c>
      <c r="N135" s="49">
        <v>336.2</v>
      </c>
      <c r="O135" s="49">
        <v>336.16</v>
      </c>
      <c r="P135" s="49">
        <v>336.04</v>
      </c>
      <c r="Q135" s="49">
        <v>335.97</v>
      </c>
      <c r="R135" s="49">
        <v>336.03</v>
      </c>
      <c r="S135" s="49">
        <v>336.18</v>
      </c>
      <c r="T135" s="49">
        <v>336.25</v>
      </c>
      <c r="U135" s="49">
        <v>336.35</v>
      </c>
      <c r="V135" s="49">
        <v>336.49</v>
      </c>
      <c r="W135" s="49"/>
      <c r="X135" s="49">
        <v>336.7</v>
      </c>
      <c r="Y135" s="49"/>
      <c r="Z135" s="49">
        <v>336.59</v>
      </c>
      <c r="AA135" s="49"/>
      <c r="AB135" s="49">
        <v>336.13</v>
      </c>
      <c r="AC135" s="49"/>
      <c r="AD135" s="49">
        <v>335.68</v>
      </c>
      <c r="AE135" s="49">
        <v>335.34</v>
      </c>
      <c r="AF135" s="48">
        <v>335.28</v>
      </c>
      <c r="AG135" s="44"/>
      <c r="AH135" s="12"/>
      <c r="AI135" s="11"/>
    </row>
    <row r="136" spans="1:37" x14ac:dyDescent="0.25">
      <c r="A136" s="47" t="s">
        <v>126</v>
      </c>
      <c r="B136" s="49">
        <v>883.7</v>
      </c>
      <c r="C136" s="49">
        <v>883.6</v>
      </c>
      <c r="D136" s="49">
        <v>883.8</v>
      </c>
      <c r="E136" s="49">
        <v>884.6</v>
      </c>
      <c r="F136" s="49">
        <v>885.4</v>
      </c>
      <c r="G136" s="49">
        <v>886</v>
      </c>
      <c r="H136" s="49"/>
      <c r="I136" s="49">
        <v>886.5</v>
      </c>
      <c r="J136" s="49"/>
      <c r="K136" s="49">
        <v>886.8</v>
      </c>
      <c r="L136" s="49"/>
      <c r="M136" s="49">
        <v>886.8</v>
      </c>
      <c r="N136" s="49">
        <v>886.8</v>
      </c>
      <c r="O136" s="49">
        <v>886.7</v>
      </c>
      <c r="P136" s="49">
        <v>886.6</v>
      </c>
      <c r="Q136" s="49">
        <v>886.7</v>
      </c>
      <c r="R136" s="49">
        <v>886.6</v>
      </c>
      <c r="S136" s="49">
        <v>886.6</v>
      </c>
      <c r="T136" s="49">
        <v>886.4</v>
      </c>
      <c r="U136" s="49">
        <v>886.1</v>
      </c>
      <c r="V136" s="49">
        <v>886.1</v>
      </c>
      <c r="W136" s="49"/>
      <c r="X136" s="49">
        <v>886</v>
      </c>
      <c r="Y136" s="49"/>
      <c r="Z136" s="49">
        <v>885.5</v>
      </c>
      <c r="AA136" s="49"/>
      <c r="AB136" s="49">
        <v>884.5</v>
      </c>
      <c r="AC136" s="49"/>
      <c r="AD136" s="49">
        <v>883.3</v>
      </c>
      <c r="AE136" s="49">
        <v>882.5</v>
      </c>
      <c r="AF136" s="48">
        <v>882</v>
      </c>
      <c r="AG136" s="44"/>
      <c r="AH136" s="12"/>
      <c r="AI136" s="11"/>
    </row>
    <row r="137" spans="1:37" ht="15.75" thickBot="1" x14ac:dyDescent="0.3">
      <c r="A137" s="47" t="s">
        <v>125</v>
      </c>
      <c r="B137" s="46">
        <v>1513.43</v>
      </c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>
        <v>1513.26</v>
      </c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>
        <v>1513.03</v>
      </c>
      <c r="AC137" s="46"/>
      <c r="AD137" s="46"/>
      <c r="AE137" s="46"/>
      <c r="AF137" s="45"/>
      <c r="AG137" s="44"/>
      <c r="AH137" s="12"/>
      <c r="AI137" s="11"/>
    </row>
    <row r="138" spans="1:37" ht="15.75" thickBot="1" x14ac:dyDescent="0.3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25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25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25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25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25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25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25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25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25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25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25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25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25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25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25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25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25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25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25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25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25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25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25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25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25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25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25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25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25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25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25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25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25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25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25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25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25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25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25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25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25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25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25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25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25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25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25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25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25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25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25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25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25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25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25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25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25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25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25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25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25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25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25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25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25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25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25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25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25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25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25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25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25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25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25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25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25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25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25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25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25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25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25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25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25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25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25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25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25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25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25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25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25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25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25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25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25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25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25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25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25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25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25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25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.75" thickBot="1" x14ac:dyDescent="0.3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.75" thickBot="1" x14ac:dyDescent="0.3">
      <c r="A244" s="31" t="s">
        <v>17</v>
      </c>
      <c r="B244" s="30">
        <f t="shared" ref="B244:AG244" si="55">SUM(B139:B243)</f>
        <v>0</v>
      </c>
      <c r="C244" s="14">
        <f t="shared" si="55"/>
        <v>0</v>
      </c>
      <c r="D244" s="14">
        <f t="shared" si="55"/>
        <v>0</v>
      </c>
      <c r="E244" s="14">
        <f t="shared" si="55"/>
        <v>0</v>
      </c>
      <c r="F244" s="14">
        <f t="shared" si="55"/>
        <v>0</v>
      </c>
      <c r="G244" s="14">
        <f t="shared" si="55"/>
        <v>0</v>
      </c>
      <c r="H244" s="14">
        <f t="shared" si="55"/>
        <v>0</v>
      </c>
      <c r="I244" s="14">
        <f t="shared" si="55"/>
        <v>0</v>
      </c>
      <c r="J244" s="14">
        <f t="shared" si="55"/>
        <v>0</v>
      </c>
      <c r="K244" s="14">
        <f t="shared" si="55"/>
        <v>0</v>
      </c>
      <c r="L244" s="14">
        <f t="shared" si="55"/>
        <v>0</v>
      </c>
      <c r="M244" s="14">
        <f t="shared" si="55"/>
        <v>0</v>
      </c>
      <c r="N244" s="14">
        <f t="shared" si="55"/>
        <v>0</v>
      </c>
      <c r="O244" s="14">
        <f t="shared" si="55"/>
        <v>0</v>
      </c>
      <c r="P244" s="14">
        <f t="shared" si="55"/>
        <v>0</v>
      </c>
      <c r="Q244" s="14">
        <f t="shared" si="55"/>
        <v>0</v>
      </c>
      <c r="R244" s="14">
        <f t="shared" si="55"/>
        <v>0</v>
      </c>
      <c r="S244" s="14">
        <f t="shared" si="55"/>
        <v>0</v>
      </c>
      <c r="T244" s="14">
        <f t="shared" si="55"/>
        <v>0</v>
      </c>
      <c r="U244" s="14">
        <f t="shared" si="55"/>
        <v>0</v>
      </c>
      <c r="V244" s="14">
        <f t="shared" si="55"/>
        <v>0</v>
      </c>
      <c r="W244" s="14">
        <f t="shared" si="55"/>
        <v>0</v>
      </c>
      <c r="X244" s="14">
        <f t="shared" si="55"/>
        <v>0</v>
      </c>
      <c r="Y244" s="14">
        <f t="shared" si="55"/>
        <v>0</v>
      </c>
      <c r="Z244" s="14">
        <f t="shared" si="55"/>
        <v>0</v>
      </c>
      <c r="AA244" s="14">
        <f t="shared" si="55"/>
        <v>0</v>
      </c>
      <c r="AB244" s="14">
        <f t="shared" si="55"/>
        <v>0</v>
      </c>
      <c r="AC244" s="14">
        <f t="shared" si="55"/>
        <v>0</v>
      </c>
      <c r="AD244" s="14">
        <f t="shared" si="55"/>
        <v>0</v>
      </c>
      <c r="AE244" s="14">
        <f t="shared" si="55"/>
        <v>0</v>
      </c>
      <c r="AF244" s="29">
        <f t="shared" si="55"/>
        <v>0</v>
      </c>
      <c r="AG244" s="28">
        <f t="shared" si="55"/>
        <v>412.72299999999984</v>
      </c>
      <c r="AH244" s="12"/>
      <c r="AI244" s="11"/>
      <c r="AK244" s="19"/>
    </row>
    <row r="245" spans="1:37" ht="15.75" thickBot="1" x14ac:dyDescent="0.3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25">
      <c r="A246" s="25" t="s">
        <v>16</v>
      </c>
      <c r="B246" s="24">
        <f t="shared" ref="B246:B251" si="56">AF246</f>
        <v>0.3</v>
      </c>
      <c r="C246" s="24">
        <v>0.3</v>
      </c>
      <c r="D246" s="24">
        <f t="shared" ref="D246:AF246" si="57">C246</f>
        <v>0.3</v>
      </c>
      <c r="E246" s="24">
        <f t="shared" si="57"/>
        <v>0.3</v>
      </c>
      <c r="F246" s="24">
        <f t="shared" si="57"/>
        <v>0.3</v>
      </c>
      <c r="G246" s="24">
        <f t="shared" si="57"/>
        <v>0.3</v>
      </c>
      <c r="H246" s="24">
        <f t="shared" si="57"/>
        <v>0.3</v>
      </c>
      <c r="I246" s="24">
        <f t="shared" si="57"/>
        <v>0.3</v>
      </c>
      <c r="J246" s="24">
        <f t="shared" si="57"/>
        <v>0.3</v>
      </c>
      <c r="K246" s="24">
        <f t="shared" si="57"/>
        <v>0.3</v>
      </c>
      <c r="L246" s="24">
        <f t="shared" si="57"/>
        <v>0.3</v>
      </c>
      <c r="M246" s="24">
        <f t="shared" si="57"/>
        <v>0.3</v>
      </c>
      <c r="N246" s="24">
        <f t="shared" si="57"/>
        <v>0.3</v>
      </c>
      <c r="O246" s="24">
        <f t="shared" si="57"/>
        <v>0.3</v>
      </c>
      <c r="P246" s="24">
        <f t="shared" si="57"/>
        <v>0.3</v>
      </c>
      <c r="Q246" s="24">
        <f t="shared" si="57"/>
        <v>0.3</v>
      </c>
      <c r="R246" s="24">
        <f t="shared" si="57"/>
        <v>0.3</v>
      </c>
      <c r="S246" s="24">
        <f t="shared" si="57"/>
        <v>0.3</v>
      </c>
      <c r="T246" s="24">
        <f t="shared" si="57"/>
        <v>0.3</v>
      </c>
      <c r="U246" s="24">
        <f t="shared" si="57"/>
        <v>0.3</v>
      </c>
      <c r="V246" s="24">
        <f t="shared" si="57"/>
        <v>0.3</v>
      </c>
      <c r="W246" s="24">
        <f t="shared" si="57"/>
        <v>0.3</v>
      </c>
      <c r="X246" s="24">
        <f t="shared" si="57"/>
        <v>0.3</v>
      </c>
      <c r="Y246" s="24">
        <f t="shared" si="57"/>
        <v>0.3</v>
      </c>
      <c r="Z246" s="24">
        <f t="shared" si="57"/>
        <v>0.3</v>
      </c>
      <c r="AA246" s="24">
        <f t="shared" si="57"/>
        <v>0.3</v>
      </c>
      <c r="AB246" s="24">
        <f t="shared" si="57"/>
        <v>0.3</v>
      </c>
      <c r="AC246" s="24">
        <f t="shared" si="57"/>
        <v>0.3</v>
      </c>
      <c r="AD246" s="24">
        <f t="shared" si="57"/>
        <v>0.3</v>
      </c>
      <c r="AE246" s="24">
        <f t="shared" si="57"/>
        <v>0.3</v>
      </c>
      <c r="AF246" s="24">
        <f t="shared" si="57"/>
        <v>0.3</v>
      </c>
      <c r="AG246" s="23">
        <v>2.4</v>
      </c>
      <c r="AH246" s="12"/>
      <c r="AI246" s="11"/>
      <c r="AK246" s="19"/>
    </row>
    <row r="247" spans="1:37" x14ac:dyDescent="0.25">
      <c r="A247" s="22" t="s">
        <v>15</v>
      </c>
      <c r="B247" s="21">
        <f t="shared" si="56"/>
        <v>0.4</v>
      </c>
      <c r="C247" s="21">
        <v>0.4</v>
      </c>
      <c r="D247" s="21">
        <f t="shared" ref="D247:AF247" si="58">C247</f>
        <v>0.4</v>
      </c>
      <c r="E247" s="21">
        <f t="shared" si="58"/>
        <v>0.4</v>
      </c>
      <c r="F247" s="21">
        <f t="shared" si="58"/>
        <v>0.4</v>
      </c>
      <c r="G247" s="21">
        <f t="shared" si="58"/>
        <v>0.4</v>
      </c>
      <c r="H247" s="21">
        <f t="shared" si="58"/>
        <v>0.4</v>
      </c>
      <c r="I247" s="21">
        <f t="shared" si="58"/>
        <v>0.4</v>
      </c>
      <c r="J247" s="21">
        <f t="shared" si="58"/>
        <v>0.4</v>
      </c>
      <c r="K247" s="21">
        <f t="shared" si="58"/>
        <v>0.4</v>
      </c>
      <c r="L247" s="21">
        <f t="shared" si="58"/>
        <v>0.4</v>
      </c>
      <c r="M247" s="21">
        <f t="shared" si="58"/>
        <v>0.4</v>
      </c>
      <c r="N247" s="21">
        <f t="shared" si="58"/>
        <v>0.4</v>
      </c>
      <c r="O247" s="21">
        <f t="shared" si="58"/>
        <v>0.4</v>
      </c>
      <c r="P247" s="21">
        <f t="shared" si="58"/>
        <v>0.4</v>
      </c>
      <c r="Q247" s="21">
        <f t="shared" si="58"/>
        <v>0.4</v>
      </c>
      <c r="R247" s="21">
        <f t="shared" si="58"/>
        <v>0.4</v>
      </c>
      <c r="S247" s="21">
        <f t="shared" si="58"/>
        <v>0.4</v>
      </c>
      <c r="T247" s="21">
        <f t="shared" si="58"/>
        <v>0.4</v>
      </c>
      <c r="U247" s="21">
        <f t="shared" si="58"/>
        <v>0.4</v>
      </c>
      <c r="V247" s="21">
        <f t="shared" si="58"/>
        <v>0.4</v>
      </c>
      <c r="W247" s="21">
        <f t="shared" si="58"/>
        <v>0.4</v>
      </c>
      <c r="X247" s="21">
        <f t="shared" si="58"/>
        <v>0.4</v>
      </c>
      <c r="Y247" s="21">
        <f t="shared" si="58"/>
        <v>0.4</v>
      </c>
      <c r="Z247" s="21">
        <f t="shared" si="58"/>
        <v>0.4</v>
      </c>
      <c r="AA247" s="21">
        <f t="shared" si="58"/>
        <v>0.4</v>
      </c>
      <c r="AB247" s="21">
        <f t="shared" si="58"/>
        <v>0.4</v>
      </c>
      <c r="AC247" s="21">
        <f t="shared" si="58"/>
        <v>0.4</v>
      </c>
      <c r="AD247" s="21">
        <f t="shared" si="58"/>
        <v>0.4</v>
      </c>
      <c r="AE247" s="21">
        <f t="shared" si="58"/>
        <v>0.4</v>
      </c>
      <c r="AF247" s="21">
        <f t="shared" si="58"/>
        <v>0.4</v>
      </c>
      <c r="AG247" s="20">
        <v>2</v>
      </c>
      <c r="AH247" s="12"/>
      <c r="AI247" s="11"/>
      <c r="AK247" s="19"/>
    </row>
    <row r="248" spans="1:37" x14ac:dyDescent="0.25">
      <c r="A248" s="22" t="s">
        <v>14</v>
      </c>
      <c r="B248" s="21">
        <f t="shared" si="56"/>
        <v>1.5</v>
      </c>
      <c r="C248" s="21">
        <v>1.5</v>
      </c>
      <c r="D248" s="21">
        <f t="shared" ref="D248:AF248" si="59">C248</f>
        <v>1.5</v>
      </c>
      <c r="E248" s="21">
        <f t="shared" si="59"/>
        <v>1.5</v>
      </c>
      <c r="F248" s="21">
        <f t="shared" si="59"/>
        <v>1.5</v>
      </c>
      <c r="G248" s="21">
        <f t="shared" si="59"/>
        <v>1.5</v>
      </c>
      <c r="H248" s="21">
        <f t="shared" si="59"/>
        <v>1.5</v>
      </c>
      <c r="I248" s="21">
        <f t="shared" si="59"/>
        <v>1.5</v>
      </c>
      <c r="J248" s="21">
        <f t="shared" si="59"/>
        <v>1.5</v>
      </c>
      <c r="K248" s="21">
        <f t="shared" si="59"/>
        <v>1.5</v>
      </c>
      <c r="L248" s="21">
        <f t="shared" si="59"/>
        <v>1.5</v>
      </c>
      <c r="M248" s="21">
        <f t="shared" si="59"/>
        <v>1.5</v>
      </c>
      <c r="N248" s="21">
        <f t="shared" si="59"/>
        <v>1.5</v>
      </c>
      <c r="O248" s="21">
        <f t="shared" si="59"/>
        <v>1.5</v>
      </c>
      <c r="P248" s="21">
        <f t="shared" si="59"/>
        <v>1.5</v>
      </c>
      <c r="Q248" s="21">
        <f t="shared" si="59"/>
        <v>1.5</v>
      </c>
      <c r="R248" s="21">
        <f t="shared" si="59"/>
        <v>1.5</v>
      </c>
      <c r="S248" s="21">
        <f t="shared" si="59"/>
        <v>1.5</v>
      </c>
      <c r="T248" s="21">
        <f t="shared" si="59"/>
        <v>1.5</v>
      </c>
      <c r="U248" s="21">
        <f t="shared" si="59"/>
        <v>1.5</v>
      </c>
      <c r="V248" s="21">
        <f t="shared" si="59"/>
        <v>1.5</v>
      </c>
      <c r="W248" s="21">
        <f t="shared" si="59"/>
        <v>1.5</v>
      </c>
      <c r="X248" s="21">
        <f t="shared" si="59"/>
        <v>1.5</v>
      </c>
      <c r="Y248" s="21">
        <f t="shared" si="59"/>
        <v>1.5</v>
      </c>
      <c r="Z248" s="21">
        <f t="shared" si="59"/>
        <v>1.5</v>
      </c>
      <c r="AA248" s="21">
        <f t="shared" si="59"/>
        <v>1.5</v>
      </c>
      <c r="AB248" s="21">
        <f t="shared" si="59"/>
        <v>1.5</v>
      </c>
      <c r="AC248" s="21">
        <f t="shared" si="59"/>
        <v>1.5</v>
      </c>
      <c r="AD248" s="21">
        <f t="shared" si="59"/>
        <v>1.5</v>
      </c>
      <c r="AE248" s="21">
        <f t="shared" si="59"/>
        <v>1.5</v>
      </c>
      <c r="AF248" s="21">
        <f t="shared" si="59"/>
        <v>1.5</v>
      </c>
      <c r="AG248" s="20">
        <v>1.5</v>
      </c>
      <c r="AH248" s="12"/>
      <c r="AI248" s="11"/>
      <c r="AK248" s="19"/>
    </row>
    <row r="249" spans="1:37" x14ac:dyDescent="0.25">
      <c r="A249" s="22" t="s">
        <v>13</v>
      </c>
      <c r="B249" s="21">
        <f t="shared" si="56"/>
        <v>0.3</v>
      </c>
      <c r="C249" s="21">
        <v>0.3</v>
      </c>
      <c r="D249" s="21">
        <f t="shared" ref="D249:AF249" si="60">C249</f>
        <v>0.3</v>
      </c>
      <c r="E249" s="21">
        <f t="shared" si="60"/>
        <v>0.3</v>
      </c>
      <c r="F249" s="21">
        <f t="shared" si="60"/>
        <v>0.3</v>
      </c>
      <c r="G249" s="21">
        <f t="shared" si="60"/>
        <v>0.3</v>
      </c>
      <c r="H249" s="21">
        <f t="shared" si="60"/>
        <v>0.3</v>
      </c>
      <c r="I249" s="21">
        <f t="shared" si="60"/>
        <v>0.3</v>
      </c>
      <c r="J249" s="21">
        <f t="shared" si="60"/>
        <v>0.3</v>
      </c>
      <c r="K249" s="21">
        <f t="shared" si="60"/>
        <v>0.3</v>
      </c>
      <c r="L249" s="21">
        <f t="shared" si="60"/>
        <v>0.3</v>
      </c>
      <c r="M249" s="21">
        <f t="shared" si="60"/>
        <v>0.3</v>
      </c>
      <c r="N249" s="21">
        <f t="shared" si="60"/>
        <v>0.3</v>
      </c>
      <c r="O249" s="21">
        <f t="shared" si="60"/>
        <v>0.3</v>
      </c>
      <c r="P249" s="21">
        <f t="shared" si="60"/>
        <v>0.3</v>
      </c>
      <c r="Q249" s="21">
        <f t="shared" si="60"/>
        <v>0.3</v>
      </c>
      <c r="R249" s="21">
        <f t="shared" si="60"/>
        <v>0.3</v>
      </c>
      <c r="S249" s="21">
        <f t="shared" si="60"/>
        <v>0.3</v>
      </c>
      <c r="T249" s="21">
        <f t="shared" si="60"/>
        <v>0.3</v>
      </c>
      <c r="U249" s="21">
        <f t="shared" si="60"/>
        <v>0.3</v>
      </c>
      <c r="V249" s="21">
        <f t="shared" si="60"/>
        <v>0.3</v>
      </c>
      <c r="W249" s="21">
        <f t="shared" si="60"/>
        <v>0.3</v>
      </c>
      <c r="X249" s="21">
        <f t="shared" si="60"/>
        <v>0.3</v>
      </c>
      <c r="Y249" s="21">
        <f t="shared" si="60"/>
        <v>0.3</v>
      </c>
      <c r="Z249" s="21">
        <f t="shared" si="60"/>
        <v>0.3</v>
      </c>
      <c r="AA249" s="21">
        <f t="shared" si="60"/>
        <v>0.3</v>
      </c>
      <c r="AB249" s="21">
        <f t="shared" si="60"/>
        <v>0.3</v>
      </c>
      <c r="AC249" s="21">
        <f t="shared" si="60"/>
        <v>0.3</v>
      </c>
      <c r="AD249" s="21">
        <f t="shared" si="60"/>
        <v>0.3</v>
      </c>
      <c r="AE249" s="21">
        <f t="shared" si="60"/>
        <v>0.3</v>
      </c>
      <c r="AF249" s="21">
        <f t="shared" si="60"/>
        <v>0.3</v>
      </c>
      <c r="AG249" s="20">
        <v>1</v>
      </c>
      <c r="AH249" s="12"/>
      <c r="AI249" s="11"/>
      <c r="AK249" s="19"/>
    </row>
    <row r="250" spans="1:37" x14ac:dyDescent="0.25">
      <c r="A250" s="22" t="s">
        <v>12</v>
      </c>
      <c r="B250" s="21">
        <f t="shared" si="56"/>
        <v>0.4</v>
      </c>
      <c r="C250" s="21">
        <v>0.4</v>
      </c>
      <c r="D250" s="21">
        <f t="shared" ref="D250:AF250" si="61">C250</f>
        <v>0.4</v>
      </c>
      <c r="E250" s="21">
        <f t="shared" si="61"/>
        <v>0.4</v>
      </c>
      <c r="F250" s="21">
        <f t="shared" si="61"/>
        <v>0.4</v>
      </c>
      <c r="G250" s="21">
        <f t="shared" si="61"/>
        <v>0.4</v>
      </c>
      <c r="H250" s="21">
        <f t="shared" si="61"/>
        <v>0.4</v>
      </c>
      <c r="I250" s="21">
        <f t="shared" si="61"/>
        <v>0.4</v>
      </c>
      <c r="J250" s="21">
        <f t="shared" si="61"/>
        <v>0.4</v>
      </c>
      <c r="K250" s="21">
        <f t="shared" si="61"/>
        <v>0.4</v>
      </c>
      <c r="L250" s="21">
        <f t="shared" si="61"/>
        <v>0.4</v>
      </c>
      <c r="M250" s="21">
        <f t="shared" si="61"/>
        <v>0.4</v>
      </c>
      <c r="N250" s="21">
        <f t="shared" si="61"/>
        <v>0.4</v>
      </c>
      <c r="O250" s="21">
        <f t="shared" si="61"/>
        <v>0.4</v>
      </c>
      <c r="P250" s="21">
        <f t="shared" si="61"/>
        <v>0.4</v>
      </c>
      <c r="Q250" s="21">
        <f t="shared" si="61"/>
        <v>0.4</v>
      </c>
      <c r="R250" s="21">
        <f t="shared" si="61"/>
        <v>0.4</v>
      </c>
      <c r="S250" s="21">
        <f t="shared" si="61"/>
        <v>0.4</v>
      </c>
      <c r="T250" s="21">
        <f t="shared" si="61"/>
        <v>0.4</v>
      </c>
      <c r="U250" s="21">
        <f t="shared" si="61"/>
        <v>0.4</v>
      </c>
      <c r="V250" s="21">
        <f t="shared" si="61"/>
        <v>0.4</v>
      </c>
      <c r="W250" s="21">
        <f t="shared" si="61"/>
        <v>0.4</v>
      </c>
      <c r="X250" s="21">
        <f t="shared" si="61"/>
        <v>0.4</v>
      </c>
      <c r="Y250" s="21">
        <f t="shared" si="61"/>
        <v>0.4</v>
      </c>
      <c r="Z250" s="21">
        <f t="shared" si="61"/>
        <v>0.4</v>
      </c>
      <c r="AA250" s="21">
        <f t="shared" si="61"/>
        <v>0.4</v>
      </c>
      <c r="AB250" s="21">
        <f t="shared" si="61"/>
        <v>0.4</v>
      </c>
      <c r="AC250" s="21">
        <f t="shared" si="61"/>
        <v>0.4</v>
      </c>
      <c r="AD250" s="21">
        <f t="shared" si="61"/>
        <v>0.4</v>
      </c>
      <c r="AE250" s="21">
        <f t="shared" si="61"/>
        <v>0.4</v>
      </c>
      <c r="AF250" s="21">
        <f t="shared" si="61"/>
        <v>0.4</v>
      </c>
      <c r="AG250" s="20">
        <v>1</v>
      </c>
      <c r="AH250" s="12"/>
      <c r="AI250" s="11"/>
      <c r="AK250" s="19"/>
    </row>
    <row r="251" spans="1:37" ht="15.75" thickBot="1" x14ac:dyDescent="0.3">
      <c r="A251" s="18" t="s">
        <v>11</v>
      </c>
      <c r="B251" s="17">
        <f t="shared" si="56"/>
        <v>0.64</v>
      </c>
      <c r="C251" s="17">
        <v>0.64</v>
      </c>
      <c r="D251" s="17">
        <f t="shared" ref="D251:AF251" si="62">C251</f>
        <v>0.64</v>
      </c>
      <c r="E251" s="17">
        <f t="shared" si="62"/>
        <v>0.64</v>
      </c>
      <c r="F251" s="17">
        <f t="shared" si="62"/>
        <v>0.64</v>
      </c>
      <c r="G251" s="17">
        <f t="shared" si="62"/>
        <v>0.64</v>
      </c>
      <c r="H251" s="17">
        <f t="shared" si="62"/>
        <v>0.64</v>
      </c>
      <c r="I251" s="17">
        <f t="shared" si="62"/>
        <v>0.64</v>
      </c>
      <c r="J251" s="17">
        <f t="shared" si="62"/>
        <v>0.64</v>
      </c>
      <c r="K251" s="17">
        <f t="shared" si="62"/>
        <v>0.64</v>
      </c>
      <c r="L251" s="17">
        <f t="shared" si="62"/>
        <v>0.64</v>
      </c>
      <c r="M251" s="17">
        <f t="shared" si="62"/>
        <v>0.64</v>
      </c>
      <c r="N251" s="17">
        <f t="shared" si="62"/>
        <v>0.64</v>
      </c>
      <c r="O251" s="17">
        <f t="shared" si="62"/>
        <v>0.64</v>
      </c>
      <c r="P251" s="17">
        <f t="shared" si="62"/>
        <v>0.64</v>
      </c>
      <c r="Q251" s="17">
        <f t="shared" si="62"/>
        <v>0.64</v>
      </c>
      <c r="R251" s="17">
        <f t="shared" si="62"/>
        <v>0.64</v>
      </c>
      <c r="S251" s="17">
        <f t="shared" si="62"/>
        <v>0.64</v>
      </c>
      <c r="T251" s="17">
        <f t="shared" si="62"/>
        <v>0.64</v>
      </c>
      <c r="U251" s="17">
        <f t="shared" si="62"/>
        <v>0.64</v>
      </c>
      <c r="V251" s="17">
        <f t="shared" si="62"/>
        <v>0.64</v>
      </c>
      <c r="W251" s="17">
        <f t="shared" si="62"/>
        <v>0.64</v>
      </c>
      <c r="X251" s="17">
        <f t="shared" si="62"/>
        <v>0.64</v>
      </c>
      <c r="Y251" s="17">
        <f t="shared" si="62"/>
        <v>0.64</v>
      </c>
      <c r="Z251" s="17">
        <f t="shared" si="62"/>
        <v>0.64</v>
      </c>
      <c r="AA251" s="17">
        <f t="shared" si="62"/>
        <v>0.64</v>
      </c>
      <c r="AB251" s="17">
        <f t="shared" si="62"/>
        <v>0.64</v>
      </c>
      <c r="AC251" s="17">
        <f t="shared" si="62"/>
        <v>0.64</v>
      </c>
      <c r="AD251" s="17">
        <f t="shared" si="62"/>
        <v>0.64</v>
      </c>
      <c r="AE251" s="17">
        <f t="shared" si="62"/>
        <v>0.64</v>
      </c>
      <c r="AF251" s="17">
        <f t="shared" si="62"/>
        <v>0.64</v>
      </c>
      <c r="AG251" s="16">
        <v>0.66</v>
      </c>
      <c r="AH251" s="12"/>
      <c r="AI251" s="11"/>
    </row>
    <row r="252" spans="1:37" ht="15.75" thickBot="1" x14ac:dyDescent="0.3">
      <c r="A252" s="15" t="s">
        <v>10</v>
      </c>
      <c r="B252" s="14">
        <f t="shared" ref="B252:AG252" si="63">SUM(B246:B251)</f>
        <v>3.54</v>
      </c>
      <c r="C252" s="14">
        <f t="shared" si="63"/>
        <v>3.54</v>
      </c>
      <c r="D252" s="14">
        <f t="shared" si="63"/>
        <v>3.54</v>
      </c>
      <c r="E252" s="14">
        <f t="shared" si="63"/>
        <v>3.54</v>
      </c>
      <c r="F252" s="14">
        <f t="shared" si="63"/>
        <v>3.54</v>
      </c>
      <c r="G252" s="14">
        <f t="shared" si="63"/>
        <v>3.54</v>
      </c>
      <c r="H252" s="14">
        <f t="shared" si="63"/>
        <v>3.54</v>
      </c>
      <c r="I252" s="14">
        <f t="shared" si="63"/>
        <v>3.54</v>
      </c>
      <c r="J252" s="14">
        <f t="shared" si="63"/>
        <v>3.54</v>
      </c>
      <c r="K252" s="14">
        <f t="shared" si="63"/>
        <v>3.54</v>
      </c>
      <c r="L252" s="14">
        <f t="shared" si="63"/>
        <v>3.54</v>
      </c>
      <c r="M252" s="14">
        <f t="shared" si="63"/>
        <v>3.54</v>
      </c>
      <c r="N252" s="14">
        <f t="shared" si="63"/>
        <v>3.54</v>
      </c>
      <c r="O252" s="14">
        <f t="shared" si="63"/>
        <v>3.54</v>
      </c>
      <c r="P252" s="14">
        <f t="shared" si="63"/>
        <v>3.54</v>
      </c>
      <c r="Q252" s="14">
        <f t="shared" si="63"/>
        <v>3.54</v>
      </c>
      <c r="R252" s="14">
        <f t="shared" si="63"/>
        <v>3.54</v>
      </c>
      <c r="S252" s="14">
        <f t="shared" si="63"/>
        <v>3.54</v>
      </c>
      <c r="T252" s="14">
        <f t="shared" si="63"/>
        <v>3.54</v>
      </c>
      <c r="U252" s="14">
        <f t="shared" si="63"/>
        <v>3.54</v>
      </c>
      <c r="V252" s="14">
        <f t="shared" si="63"/>
        <v>3.54</v>
      </c>
      <c r="W252" s="14">
        <f t="shared" si="63"/>
        <v>3.54</v>
      </c>
      <c r="X252" s="14">
        <f t="shared" si="63"/>
        <v>3.54</v>
      </c>
      <c r="Y252" s="14">
        <f t="shared" si="63"/>
        <v>3.54</v>
      </c>
      <c r="Z252" s="14">
        <f t="shared" si="63"/>
        <v>3.54</v>
      </c>
      <c r="AA252" s="14">
        <f t="shared" si="63"/>
        <v>3.54</v>
      </c>
      <c r="AB252" s="14">
        <f t="shared" si="63"/>
        <v>3.54</v>
      </c>
      <c r="AC252" s="14">
        <f t="shared" si="63"/>
        <v>3.54</v>
      </c>
      <c r="AD252" s="14">
        <f t="shared" si="63"/>
        <v>3.54</v>
      </c>
      <c r="AE252" s="14">
        <f t="shared" si="63"/>
        <v>3.54</v>
      </c>
      <c r="AF252" s="14">
        <f t="shared" si="63"/>
        <v>3.54</v>
      </c>
      <c r="AG252" s="13">
        <f t="shared" si="63"/>
        <v>8.56</v>
      </c>
      <c r="AH252" s="12"/>
      <c r="AI252" s="11"/>
    </row>
    <row r="253" spans="1:37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25">
      <c r="A256" s="9" t="s">
        <v>9</v>
      </c>
      <c r="B256" s="8">
        <f>MAX(G99:N99)</f>
        <v>1634.54</v>
      </c>
      <c r="C256" s="7">
        <f>INDEX(G9:N9,1,MATCH(MAX(G99:N99),G99:N99,0))</f>
        <v>0.3125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25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2080/10/4)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25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25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25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25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25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25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25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25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25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25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25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25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25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25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3868" priority="89">
      <formula>$AH11=0</formula>
    </cfRule>
  </conditionalFormatting>
  <conditionalFormatting sqref="A132:A253">
    <cfRule type="expression" dxfId="3867" priority="90">
      <formula>$AH132=0</formula>
    </cfRule>
  </conditionalFormatting>
  <conditionalFormatting sqref="B8">
    <cfRule type="expression" dxfId="3866" priority="144">
      <formula>AND(C$9&gt;=14/24,C$9&lt;20/24)</formula>
    </cfRule>
    <cfRule type="expression" dxfId="3865" priority="146">
      <formula>C$9&lt;8/24</formula>
    </cfRule>
    <cfRule type="expression" dxfId="3864" priority="145">
      <formula>AND(C$9&gt;=8/24,C$9&lt;14/24)</formula>
    </cfRule>
    <cfRule type="expression" dxfId="3863" priority="147">
      <formula>C$9&gt;=20/24</formula>
    </cfRule>
  </conditionalFormatting>
  <conditionalFormatting sqref="B11:L52 M12:P52 Q13:Y52 E59:L61 B59:D74 E63:L74 L69:AF74 B77:AF99 B9:AF10 B101:AF117 B119:AF137 B244:AF244 B246:B252">
    <cfRule type="expression" dxfId="3862" priority="41">
      <formula>B$9&gt;=20/24</formula>
    </cfRule>
  </conditionalFormatting>
  <conditionalFormatting sqref="B53:Y57">
    <cfRule type="expression" dxfId="3861" priority="53">
      <formula>B$9&lt;8/24</formula>
    </cfRule>
  </conditionalFormatting>
  <conditionalFormatting sqref="B9:AF10 B11:L52 M12:P52 Q13:Y52 E59:L61 B59:D74 E63:L74 L69:AF74 B77:AF99 B101:AF117 B119:AF137 B244:AF244 B246:B252">
    <cfRule type="expression" dxfId="3860" priority="43">
      <formula>AND(B$9&gt;=8/24,B$9&lt;14/24)</formula>
    </cfRule>
    <cfRule type="expression" dxfId="3859" priority="42">
      <formula>AND(B$9&gt;=14/24,B$9&lt;20/24)</formula>
    </cfRule>
    <cfRule type="expression" dxfId="3858" priority="44">
      <formula>B$9&lt;8/24</formula>
    </cfRule>
  </conditionalFormatting>
  <conditionalFormatting sqref="D246:AF252">
    <cfRule type="expression" dxfId="3857" priority="131">
      <formula>AND(D$9&gt;=8/24,D$9&lt;14/24)</formula>
    </cfRule>
    <cfRule type="expression" dxfId="3856" priority="130">
      <formula>AND(D$9&gt;=14/24,D$9&lt;20/24)</formula>
    </cfRule>
    <cfRule type="expression" dxfId="3855" priority="129">
      <formula>D$9&gt;=20/24</formula>
    </cfRule>
    <cfRule type="expression" dxfId="3854" priority="132">
      <formula>D$9&lt;8/24</formula>
    </cfRule>
  </conditionalFormatting>
  <conditionalFormatting sqref="E68:L68">
    <cfRule type="expression" dxfId="3853" priority="52">
      <formula>E$9&lt;8/24</formula>
    </cfRule>
    <cfRule type="expression" dxfId="3852" priority="51">
      <formula>AND(E$9&gt;=8/24,E$9&lt;14/24)</formula>
    </cfRule>
    <cfRule type="expression" dxfId="3851" priority="50">
      <formula>AND(E$9&gt;=14/24,E$9&lt;20/24)</formula>
    </cfRule>
    <cfRule type="expression" dxfId="3850" priority="49">
      <formula>E$9&gt;=20/24</formula>
    </cfRule>
  </conditionalFormatting>
  <conditionalFormatting sqref="E63:Y67">
    <cfRule type="expression" dxfId="3849" priority="57">
      <formula>E$9&lt;8/24</formula>
    </cfRule>
    <cfRule type="expression" dxfId="3848" priority="55">
      <formula>AND(E$9&gt;=14/24,E$9&lt;20/24)</formula>
    </cfRule>
    <cfRule type="expression" dxfId="3847" priority="54">
      <formula>E$9&gt;=20/24</formula>
    </cfRule>
    <cfRule type="expression" dxfId="3846" priority="56">
      <formula>AND(E$9&gt;=8/24,E$9&lt;14/24)</formula>
    </cfRule>
  </conditionalFormatting>
  <conditionalFormatting sqref="E59:AF62">
    <cfRule type="expression" dxfId="3845" priority="67">
      <formula>E$9&gt;=20/24</formula>
    </cfRule>
    <cfRule type="expression" dxfId="3844" priority="68">
      <formula>AND(E$9&gt;=14/24,E$9&lt;20/24)</formula>
    </cfRule>
    <cfRule type="expression" dxfId="3843" priority="69">
      <formula>AND(E$9&gt;=8/24,E$9&lt;14/24)</formula>
    </cfRule>
    <cfRule type="expression" dxfId="3842" priority="70">
      <formula>E$9&lt;8/24</formula>
    </cfRule>
  </conditionalFormatting>
  <conditionalFormatting sqref="F63:L65">
    <cfRule type="expression" dxfId="3841" priority="82">
      <formula>AND(F$9&gt;=14/24,F$9&lt;20/24)</formula>
    </cfRule>
    <cfRule type="expression" dxfId="3840" priority="84">
      <formula>F$9&lt;8/24</formula>
    </cfRule>
    <cfRule type="expression" dxfId="3839" priority="83">
      <formula>AND(F$9&gt;=8/24,F$9&lt;14/24)</formula>
    </cfRule>
    <cfRule type="expression" dxfId="3838" priority="81">
      <formula>F$9&gt;=20/24</formula>
    </cfRule>
  </conditionalFormatting>
  <conditionalFormatting sqref="L11:L57 B11:K80 M12:P55 Q13:Y55 M57:R57 S57:Y80 AB58:AF61 L58:R80 Z58:AA80 AB62:AG62 AB63:AF80 AG80">
    <cfRule type="expression" dxfId="3837" priority="40">
      <formula>B11&gt;$AG11</formula>
    </cfRule>
  </conditionalFormatting>
  <conditionalFormatting sqref="L68:Y68">
    <cfRule type="expression" dxfId="3836" priority="77">
      <formula>L$9&gt;=20/24</formula>
    </cfRule>
    <cfRule type="expression" dxfId="3835" priority="80">
      <formula>L$9&lt;8/24</formula>
    </cfRule>
    <cfRule type="expression" dxfId="3834" priority="79">
      <formula>AND(L$9&gt;=8/24,L$9&lt;14/24)</formula>
    </cfRule>
    <cfRule type="expression" dxfId="3833" priority="78">
      <formula>AND(L$9&gt;=14/24,L$9&lt;20/24)</formula>
    </cfRule>
  </conditionalFormatting>
  <conditionalFormatting sqref="M8 S8 AB8">
    <cfRule type="expression" dxfId="3832" priority="137">
      <formula>AND(N$9&gt;=8/24,N$9&lt;14/24)</formula>
    </cfRule>
    <cfRule type="expression" dxfId="3831" priority="138">
      <formula>N$9&lt;8/24</formula>
    </cfRule>
    <cfRule type="expression" dxfId="3830" priority="136">
      <formula>AND(N$9&gt;=14/24,N$9&lt;20/24)</formula>
    </cfRule>
  </conditionalFormatting>
  <conditionalFormatting sqref="M11:R11 S11:Y12 Z11:AF52 Q12:R12">
    <cfRule type="expression" dxfId="3829" priority="58">
      <formula>M11&gt;$AG11</formula>
    </cfRule>
    <cfRule type="expression" dxfId="3828" priority="59">
      <formula>M$9&gt;=20/24</formula>
    </cfRule>
    <cfRule type="expression" dxfId="3827" priority="60">
      <formula>AND(M$9&gt;=14/24,M$9&lt;20/24)</formula>
    </cfRule>
    <cfRule type="expression" dxfId="3826" priority="61">
      <formula>AND(M$9&gt;=8/24,M$9&lt;14/24)</formula>
    </cfRule>
    <cfRule type="expression" dxfId="3825" priority="62">
      <formula>M$9&lt;8/24</formula>
    </cfRule>
  </conditionalFormatting>
  <conditionalFormatting sqref="M56:Y56">
    <cfRule type="expression" dxfId="3824" priority="45">
      <formula>M56&gt;$AG56</formula>
    </cfRule>
  </conditionalFormatting>
  <conditionalFormatting sqref="M56:Y57">
    <cfRule type="expression" dxfId="3823" priority="46">
      <formula>M$9&gt;=20/24</formula>
    </cfRule>
    <cfRule type="expression" dxfId="3822" priority="47">
      <formula>AND(M$9&gt;=14/24,M$9&lt;20/24)</formula>
    </cfRule>
    <cfRule type="expression" dxfId="3821" priority="48">
      <formula>AND(M$9&gt;=8/24,M$9&lt;14/24)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820" priority="135">
      <formula>N$9&gt;=20/24</formula>
    </cfRule>
  </conditionalFormatting>
  <conditionalFormatting sqref="S8">
    <cfRule type="expression" dxfId="3819" priority="122">
      <formula>U$9&gt;=20/24</formula>
    </cfRule>
    <cfRule type="expression" dxfId="3818" priority="123">
      <formula>AND(U$9&gt;=14/24,U$9&lt;20/24)</formula>
    </cfRule>
    <cfRule type="expression" dxfId="3817" priority="124">
      <formula>AND(U$9&gt;=8/24,U$9&lt;14/24)</formula>
    </cfRule>
    <cfRule type="expression" dxfId="3816" priority="125">
      <formula>U$9&lt;8/24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Z53:AF54 M53:Y55 B53:L57">
    <cfRule type="expression" dxfId="3815" priority="39">
      <formula>AND(B$9&gt;=8/24,B$9&lt;14/24)</formula>
    </cfRule>
    <cfRule type="expression" dxfId="3814" priority="38">
      <formula>AND(B$9&gt;=14/24,B$9&lt;20/24)</formula>
    </cfRule>
    <cfRule type="expression" dxfId="3813" priority="37">
      <formula>B$9&gt;=20/24</formula>
    </cfRule>
  </conditionalFormatting>
  <conditionalFormatting sqref="Z53:AF55">
    <cfRule type="expression" dxfId="3812" priority="76">
      <formula>Z53&gt;$AG53</formula>
    </cfRule>
  </conditionalFormatting>
  <conditionalFormatting sqref="Z53:AF57">
    <cfRule type="expression" dxfId="3811" priority="75">
      <formula>Z$9&lt;8/24</formula>
    </cfRule>
  </conditionalFormatting>
  <conditionalFormatting sqref="Z55:AF57">
    <cfRule type="expression" dxfId="3810" priority="66">
      <formula>AND(Z$9&gt;=8/24,Z$9&lt;14/24)</formula>
    </cfRule>
    <cfRule type="expression" dxfId="3809" priority="65">
      <formula>AND(Z$9&gt;=14/24,Z$9&lt;20/24)</formula>
    </cfRule>
    <cfRule type="expression" dxfId="3808" priority="64">
      <formula>Z$9&gt;=20/24</formula>
    </cfRule>
  </conditionalFormatting>
  <conditionalFormatting sqref="Z56:AF57">
    <cfRule type="expression" dxfId="3807" priority="63">
      <formula>Z56&gt;$AG56</formula>
    </cfRule>
  </conditionalFormatting>
  <conditionalFormatting sqref="Z63:AF68">
    <cfRule type="expression" dxfId="3806" priority="73">
      <formula>AND(Z$9&gt;=8/24,Z$9&lt;14/24)</formula>
    </cfRule>
    <cfRule type="expression" dxfId="3805" priority="74">
      <formula>Z$9&lt;8/24</formula>
    </cfRule>
    <cfRule type="expression" dxfId="3804" priority="71">
      <formula>Z$9&gt;=20/24</formula>
    </cfRule>
    <cfRule type="expression" dxfId="3803" priority="72">
      <formula>AND(Z$9&gt;=14/24,Z$9&lt;20/24)</formula>
    </cfRule>
  </conditionalFormatting>
  <conditionalFormatting sqref="AB8">
    <cfRule type="expression" dxfId="3802" priority="120">
      <formula>AND(AD$9&gt;=8/24,AD$9&lt;14/24)</formula>
    </cfRule>
    <cfRule type="expression" dxfId="3801" priority="118">
      <formula>AD$9&gt;=20/24</formula>
    </cfRule>
    <cfRule type="expression" dxfId="3800" priority="119">
      <formula>AND(AD$9&gt;=14/24,AD$9&lt;20/24)</formula>
    </cfRule>
    <cfRule type="expression" dxfId="3799" priority="121">
      <formula>AD$9&lt;8/24</formula>
    </cfRule>
  </conditionalFormatting>
  <conditionalFormatting sqref="AG58">
    <cfRule type="expression" dxfId="3798" priority="113">
      <formula>AG58&gt;$AG58</formula>
    </cfRule>
  </conditionalFormatting>
  <conditionalFormatting sqref="AG62">
    <cfRule type="expression" dxfId="3797" priority="99">
      <formula>AG$9&lt;8/24</formula>
    </cfRule>
    <cfRule type="expression" dxfId="3796" priority="97">
      <formula>AND(AG$9&gt;=14/24,AG$9&lt;20/24)</formula>
    </cfRule>
    <cfRule type="expression" dxfId="3795" priority="96">
      <formula>AG$9&gt;=20/24</formula>
    </cfRule>
    <cfRule type="expression" dxfId="3794" priority="98">
      <formula>AND(AG$9&gt;=8/24,AG$9&lt;14/24)</formula>
    </cfRule>
  </conditionalFormatting>
  <conditionalFormatting sqref="AG75:AG76">
    <cfRule type="expression" dxfId="3793" priority="91">
      <formula>AG75&gt;$AG75</formula>
    </cfRule>
  </conditionalFormatting>
  <conditionalFormatting sqref="AG80">
    <cfRule type="expression" dxfId="3792" priority="95">
      <formula>AG$9&lt;8/24</formula>
    </cfRule>
    <cfRule type="expression" dxfId="3791" priority="92">
      <formula>AG$9&gt;=20/24</formula>
    </cfRule>
    <cfRule type="expression" dxfId="3790" priority="93">
      <formula>AND(AG$9&gt;=14/24,AG$9&lt;20/24)</formula>
    </cfRule>
    <cfRule type="expression" dxfId="3789" priority="94">
      <formula>AND(AG$9&gt;=8/24,AG$9&lt;14/24)</formula>
    </cfRule>
  </conditionalFormatting>
  <conditionalFormatting sqref="AG97">
    <cfRule type="expression" dxfId="3788" priority="117">
      <formula>AG$9&lt;8/24</formula>
    </cfRule>
    <cfRule type="expression" dxfId="3787" priority="115">
      <formula>AND(AG$9&gt;=14/24,AG$9&lt;20/24)</formula>
    </cfRule>
    <cfRule type="expression" dxfId="3786" priority="114">
      <formula>AG$9&gt;=20/24</formula>
    </cfRule>
    <cfRule type="expression" dxfId="3785" priority="116">
      <formula>AND(AG$9&gt;=8/24,AG$9&lt;14/24)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784" priority="139">
      <formula>AJ$9&gt;=20/24</formula>
    </cfRule>
    <cfRule type="expression" dxfId="3783" priority="140">
      <formula>AND(AJ$9&gt;=14/24,AJ$9&lt;20/24)</formula>
    </cfRule>
    <cfRule type="expression" dxfId="3782" priority="141">
      <formula>AND(AJ$9&gt;=8/24,AJ$9&lt;14/24)</formula>
    </cfRule>
    <cfRule type="expression" dxfId="3781" priority="142">
      <formula>AJ$9&lt;8/24</formula>
    </cfRule>
  </conditionalFormatting>
  <conditionalFormatting sqref="AL88:AN88 AL94:AN94">
    <cfRule type="expression" dxfId="3780" priority="107">
      <formula>AND(AL$9&gt;=14/24,AL$9&lt;20/24)</formula>
    </cfRule>
    <cfRule type="expression" dxfId="3779" priority="108">
      <formula>AND(AL$9&gt;=8/24,AL$9&lt;14/24)</formula>
    </cfRule>
    <cfRule type="expression" dxfId="3778" priority="109">
      <formula>AL$9&lt;8/24</formula>
    </cfRule>
    <cfRule type="expression" dxfId="3777" priority="106">
      <formula>AL$9&gt;=20/24</formula>
    </cfRule>
  </conditionalFormatting>
  <conditionalFormatting sqref="AM15:AM21 AN16:AR21">
    <cfRule type="expression" dxfId="3776" priority="16">
      <formula>AX$9&lt;8/24</formula>
    </cfRule>
    <cfRule type="expression" dxfId="3775" priority="15">
      <formula>AND(AX$9&gt;=8/24,AX$9&lt;14/24)</formula>
    </cfRule>
    <cfRule type="expression" dxfId="3774" priority="14">
      <formula>AND(AX$9&gt;=14/24,AX$9&lt;20/24)</formula>
    </cfRule>
    <cfRule type="expression" dxfId="3773" priority="13">
      <formula>AX$9&gt;=20/24</formula>
    </cfRule>
  </conditionalFormatting>
  <conditionalFormatting sqref="AN89:AN92">
    <cfRule type="expression" dxfId="3772" priority="102">
      <formula>AN$9&gt;=20/24</formula>
    </cfRule>
    <cfRule type="expression" dxfId="3771" priority="103">
      <formula>AND(AN$9&gt;=14/24,AN$9&lt;20/24)</formula>
    </cfRule>
    <cfRule type="expression" dxfId="3770" priority="104">
      <formula>AND(AN$9&gt;=8/24,AN$9&lt;14/24)</formula>
    </cfRule>
    <cfRule type="expression" dxfId="3769" priority="105">
      <formula>AN$9&lt;8/24</formula>
    </cfRule>
  </conditionalFormatting>
  <conditionalFormatting sqref="AN15:AR15">
    <cfRule type="expression" dxfId="3768" priority="3">
      <formula>AND(U$9&gt;=8/24,U$9&lt;14/24)</formula>
    </cfRule>
    <cfRule type="expression" dxfId="3767" priority="4">
      <formula>U$9&lt;8/24</formula>
    </cfRule>
    <cfRule type="expression" dxfId="3766" priority="1">
      <formula>U$9&gt;=20/24</formula>
    </cfRule>
    <cfRule type="expression" dxfId="3765" priority="2">
      <formula>AND(U$9&gt;=14/24,U$9&lt;20/24)</formula>
    </cfRule>
  </conditionalFormatting>
  <conditionalFormatting sqref="AS15">
    <cfRule type="expression" dxfId="3764" priority="12">
      <formula>AA$9&lt;8/24</formula>
    </cfRule>
    <cfRule type="expression" dxfId="3763" priority="11">
      <formula>AND(AA$9&gt;=8/24,AA$9&lt;14/24)</formula>
    </cfRule>
    <cfRule type="expression" dxfId="3762" priority="10">
      <formula>AND(AA$9&gt;=14/24,AA$9&lt;20/24)</formula>
    </cfRule>
    <cfRule type="expression" dxfId="3761" priority="9">
      <formula>AA$9&gt;=20/24</formula>
    </cfRule>
  </conditionalFormatting>
  <conditionalFormatting sqref="AS16:AS21">
    <cfRule type="expression" dxfId="3760" priority="20">
      <formula>BE$9&lt;8/24</formula>
    </cfRule>
    <cfRule type="expression" dxfId="3759" priority="18">
      <formula>AND(BE$9&gt;=14/24,BE$9&lt;20/24)</formula>
    </cfRule>
    <cfRule type="expression" dxfId="3758" priority="17">
      <formula>BE$9&gt;=20/24</formula>
    </cfRule>
    <cfRule type="expression" dxfId="3757" priority="19">
      <formula>AND(BE$9&gt;=8/24,BE$9&lt;14/24)</formula>
    </cfRule>
  </conditionalFormatting>
  <conditionalFormatting sqref="AT15 AX15:BJ15">
    <cfRule type="expression" dxfId="3756" priority="23">
      <formula>AND(AC$9&gt;=8/24,AC$9&lt;14/24)</formula>
    </cfRule>
    <cfRule type="expression" dxfId="3755" priority="22">
      <formula>AND(AC$9&gt;=14/24,AC$9&lt;20/24)</formula>
    </cfRule>
    <cfRule type="expression" dxfId="3754" priority="21">
      <formula>AC$9&gt;=20/24</formula>
    </cfRule>
    <cfRule type="expression" dxfId="3753" priority="24">
      <formula>AC$9&lt;8/24</formula>
    </cfRule>
  </conditionalFormatting>
  <conditionalFormatting sqref="AT16:AT21">
    <cfRule type="expression" dxfId="3752" priority="25">
      <formula>BG$9&gt;=20/24</formula>
    </cfRule>
    <cfRule type="expression" dxfId="3751" priority="26">
      <formula>AND(BG$9&gt;=14/24,BG$9&lt;20/24)</formula>
    </cfRule>
    <cfRule type="expression" dxfId="3750" priority="27">
      <formula>AND(BG$9&gt;=8/24,BG$9&lt;14/24)</formula>
    </cfRule>
    <cfRule type="expression" dxfId="3749" priority="28">
      <formula>BG$9&lt;8/24</formula>
    </cfRule>
  </conditionalFormatting>
  <conditionalFormatting sqref="AU15:AV15">
    <cfRule type="expression" dxfId="3748" priority="32">
      <formula>AE$9&lt;8/24</formula>
    </cfRule>
    <cfRule type="expression" dxfId="3747" priority="29">
      <formula>AE$9&gt;=20/24</formula>
    </cfRule>
    <cfRule type="expression" dxfId="3746" priority="30">
      <formula>AND(AE$9&gt;=14/24,AE$9&lt;20/24)</formula>
    </cfRule>
    <cfRule type="expression" dxfId="3745" priority="31">
      <formula>AND(AE$9&gt;=8/24,AE$9&lt;14/24)</formula>
    </cfRule>
  </conditionalFormatting>
  <conditionalFormatting sqref="AU16:BJ21">
    <cfRule type="expression" dxfId="3744" priority="34">
      <formula>AND(BI$9&gt;=14/24,BI$9&lt;20/24)</formula>
    </cfRule>
    <cfRule type="expression" dxfId="3743" priority="35">
      <formula>AND(BI$9&gt;=8/24,BI$9&lt;14/24)</formula>
    </cfRule>
    <cfRule type="expression" dxfId="3742" priority="36">
      <formula>BI$9&lt;8/24</formula>
    </cfRule>
    <cfRule type="expression" dxfId="3741" priority="33">
      <formula>BI$9&gt;=20/24</formula>
    </cfRule>
  </conditionalFormatting>
  <conditionalFormatting sqref="AW15">
    <cfRule type="expression" dxfId="3740" priority="6">
      <formula>AND(B$9&gt;=14/24,B$9&lt;20/24)</formula>
    </cfRule>
    <cfRule type="expression" dxfId="3739" priority="5">
      <formula>B$9&gt;=20/24</formula>
    </cfRule>
    <cfRule type="expression" dxfId="3738" priority="8">
      <formula>B$9&lt;8/24</formula>
    </cfRule>
    <cfRule type="expression" dxfId="3737" priority="7">
      <formula>AND(B$9&gt;=8/24,B$9&lt;14/24)</formula>
    </cfRule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CA222-2C30-4984-8095-B6EEC8E25FC8}">
  <sheetPr codeName="Sheet8"/>
  <dimension ref="A1:CJ294"/>
  <sheetViews>
    <sheetView zoomScale="106" workbookViewId="0">
      <pane xSplit="1" ySplit="10" topLeftCell="B82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97" sqref="A97:AF10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61" width="9.140625" style="1"/>
    <col min="62" max="62" width="23.42578125" style="1" bestFit="1" customWidth="1"/>
    <col min="63" max="16384" width="9.140625" style="1"/>
  </cols>
  <sheetData>
    <row r="1" spans="1:88" ht="36" hidden="1" customHeight="1" x14ac:dyDescent="0.25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20.25" hidden="1" x14ac:dyDescent="0.2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9.5" hidden="1" thickBot="1" x14ac:dyDescent="0.3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3">
      <c r="A4" s="162" t="s">
        <v>273</v>
      </c>
      <c r="B4" s="205" t="str">
        <f ca="1">"2080/"&amp;"10/"&amp;INT(MID(CELL("filename",D6),FIND("]",CELL("filename",D6))+1,200))</f>
        <v>2080/10/5</v>
      </c>
      <c r="C4" s="205"/>
      <c r="D4" s="205"/>
      <c r="E4" s="206" t="str">
        <f ca="1">"2080/"&amp;"10/"&amp;INT(MID(CELL("filename",G6),FIND("]",CELL("filename",G6))+1,200))</f>
        <v>2080/10/5</v>
      </c>
      <c r="F4" s="206"/>
      <c r="G4" s="206"/>
      <c r="H4" s="206" t="str">
        <f ca="1">TEXT(E4,"dddd")</f>
        <v>Saturday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3">
      <c r="A5" s="158"/>
      <c r="B5" s="161">
        <f t="shared" ref="B5:AE5" si="0">C92</f>
        <v>210</v>
      </c>
      <c r="C5" s="161">
        <f t="shared" si="0"/>
        <v>219.7</v>
      </c>
      <c r="D5" s="161">
        <f t="shared" si="0"/>
        <v>228.89999999999998</v>
      </c>
      <c r="E5" s="161">
        <f t="shared" si="0"/>
        <v>179.89999999999998</v>
      </c>
      <c r="F5" s="161">
        <f t="shared" si="0"/>
        <v>229.89999999999998</v>
      </c>
      <c r="G5" s="161">
        <f t="shared" si="0"/>
        <v>163.5</v>
      </c>
      <c r="H5" s="161">
        <f t="shared" si="0"/>
        <v>180.1</v>
      </c>
      <c r="I5" s="161">
        <f t="shared" si="0"/>
        <v>470.1</v>
      </c>
      <c r="J5" s="161">
        <f t="shared" si="0"/>
        <v>583.5</v>
      </c>
      <c r="K5" s="161">
        <f t="shared" si="0"/>
        <v>651.80000000000007</v>
      </c>
      <c r="L5" s="161">
        <f t="shared" si="0"/>
        <v>659.9</v>
      </c>
      <c r="M5" s="161">
        <f t="shared" si="0"/>
        <v>708.6</v>
      </c>
      <c r="N5" s="161">
        <f t="shared" si="0"/>
        <v>750.4</v>
      </c>
      <c r="O5" s="161">
        <f t="shared" si="0"/>
        <v>739.9</v>
      </c>
      <c r="P5" s="161">
        <f t="shared" si="0"/>
        <v>752.4</v>
      </c>
      <c r="Q5" s="161">
        <f t="shared" si="0"/>
        <v>741.3</v>
      </c>
      <c r="R5" s="161">
        <f t="shared" si="0"/>
        <v>770.6</v>
      </c>
      <c r="S5" s="161">
        <f t="shared" si="0"/>
        <v>806.8</v>
      </c>
      <c r="T5" s="161">
        <f t="shared" si="0"/>
        <v>823.6</v>
      </c>
      <c r="U5" s="161">
        <f t="shared" si="0"/>
        <v>785.59999999999991</v>
      </c>
      <c r="V5" s="161">
        <f t="shared" si="0"/>
        <v>750.30000000000007</v>
      </c>
      <c r="W5" s="161">
        <f t="shared" si="0"/>
        <v>682.3</v>
      </c>
      <c r="X5" s="161">
        <f t="shared" si="0"/>
        <v>421</v>
      </c>
      <c r="Y5" s="161">
        <f t="shared" si="0"/>
        <v>531.30000000000007</v>
      </c>
      <c r="Z5" s="161">
        <f t="shared" si="0"/>
        <v>465.5</v>
      </c>
      <c r="AA5" s="161">
        <f t="shared" si="0"/>
        <v>229.8</v>
      </c>
      <c r="AB5" s="161">
        <f t="shared" si="0"/>
        <v>196.5</v>
      </c>
      <c r="AC5" s="161">
        <f t="shared" si="0"/>
        <v>166.5</v>
      </c>
      <c r="AD5" s="161">
        <f t="shared" si="0"/>
        <v>215.6</v>
      </c>
      <c r="AE5" s="161">
        <f t="shared" si="0"/>
        <v>75.099999999999994</v>
      </c>
      <c r="AF5" s="161">
        <f>B92</f>
        <v>152.19999999999999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3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1593MW at 9:00hr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5" thickBot="1" x14ac:dyDescent="0.3">
      <c r="A7" s="151" t="str">
        <f>"Base Load="&amp;ROUND(MIN($B$7:$AF$7),0)</f>
        <v>Base Load=1283</v>
      </c>
      <c r="B7" s="150">
        <f t="shared" ref="B7:AF7" si="1">B100</f>
        <v>1354.34</v>
      </c>
      <c r="C7" s="150">
        <f t="shared" si="1"/>
        <v>1362.7399999999998</v>
      </c>
      <c r="D7" s="150">
        <f t="shared" si="1"/>
        <v>1373.14</v>
      </c>
      <c r="E7" s="150">
        <f t="shared" si="1"/>
        <v>1329.8399999999997</v>
      </c>
      <c r="F7" s="150">
        <f t="shared" si="1"/>
        <v>1283.44</v>
      </c>
      <c r="G7" s="150">
        <f t="shared" si="1"/>
        <v>1328.04</v>
      </c>
      <c r="H7" s="150">
        <f t="shared" si="1"/>
        <v>1366.6399999999999</v>
      </c>
      <c r="I7" s="150">
        <f t="shared" si="1"/>
        <v>1459.1399999999999</v>
      </c>
      <c r="J7" s="150">
        <f t="shared" si="1"/>
        <v>1526.2399999999998</v>
      </c>
      <c r="K7" s="150">
        <f t="shared" si="1"/>
        <v>1467.2399999999998</v>
      </c>
      <c r="L7" s="150">
        <f t="shared" si="1"/>
        <v>1518.34</v>
      </c>
      <c r="M7" s="150">
        <f t="shared" si="1"/>
        <v>1538.7399999999998</v>
      </c>
      <c r="N7" s="150">
        <f t="shared" si="1"/>
        <v>1592.94</v>
      </c>
      <c r="O7" s="150">
        <f t="shared" si="1"/>
        <v>1613.2399999999998</v>
      </c>
      <c r="P7" s="150">
        <f t="shared" si="1"/>
        <v>1585.04</v>
      </c>
      <c r="Q7" s="150">
        <f t="shared" si="1"/>
        <v>1613.34</v>
      </c>
      <c r="R7" s="150">
        <f t="shared" si="1"/>
        <v>1638.04</v>
      </c>
      <c r="S7" s="150">
        <f t="shared" si="1"/>
        <v>1641.04</v>
      </c>
      <c r="T7" s="150">
        <f t="shared" si="1"/>
        <v>1671.6399999999999</v>
      </c>
      <c r="U7" s="150">
        <f t="shared" si="1"/>
        <v>1625.7399999999998</v>
      </c>
      <c r="V7" s="150">
        <f t="shared" si="1"/>
        <v>1559.04</v>
      </c>
      <c r="W7" s="150">
        <f t="shared" si="1"/>
        <v>1508.24</v>
      </c>
      <c r="X7" s="150">
        <f t="shared" si="1"/>
        <v>1482.04</v>
      </c>
      <c r="Y7" s="150">
        <f t="shared" si="1"/>
        <v>1547.46</v>
      </c>
      <c r="Z7" s="150">
        <f t="shared" si="1"/>
        <v>1807.7600000000002</v>
      </c>
      <c r="AA7" s="150">
        <f t="shared" si="1"/>
        <v>1808.44</v>
      </c>
      <c r="AB7" s="150">
        <f t="shared" si="1"/>
        <v>1789.4399999999998</v>
      </c>
      <c r="AC7" s="150">
        <f t="shared" si="1"/>
        <v>1741.44</v>
      </c>
      <c r="AD7" s="150">
        <f t="shared" si="1"/>
        <v>1707.94</v>
      </c>
      <c r="AE7" s="150">
        <f t="shared" si="1"/>
        <v>1656.7399999999998</v>
      </c>
      <c r="AF7" s="150">
        <f t="shared" si="1"/>
        <v>1526.6399999999999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7.25" thickTop="1" thickBot="1" x14ac:dyDescent="0.3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1807.76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2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1807.76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.75" thickBot="1" x14ac:dyDescent="0.3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25">
      <c r="A11" s="89" t="s">
        <v>264</v>
      </c>
      <c r="B11" s="102">
        <v>30.3</v>
      </c>
      <c r="C11" s="102">
        <v>30.3</v>
      </c>
      <c r="D11" s="102">
        <v>30.3</v>
      </c>
      <c r="E11" s="102">
        <v>30.3</v>
      </c>
      <c r="F11" s="102">
        <v>50.8</v>
      </c>
      <c r="G11" s="102">
        <v>29.8</v>
      </c>
      <c r="H11" s="102">
        <v>33.700000000000003</v>
      </c>
      <c r="I11" s="102">
        <v>34.200000000000003</v>
      </c>
      <c r="J11" s="102">
        <v>29.5</v>
      </c>
      <c r="K11" s="102">
        <v>28.5</v>
      </c>
      <c r="L11" s="102">
        <v>30.5</v>
      </c>
      <c r="M11" s="102">
        <v>30.5</v>
      </c>
      <c r="N11" s="102">
        <v>28.6</v>
      </c>
      <c r="O11" s="102">
        <v>28.6</v>
      </c>
      <c r="P11" s="102">
        <v>27.1</v>
      </c>
      <c r="Q11" s="102">
        <v>27.1</v>
      </c>
      <c r="R11" s="102">
        <v>27.1</v>
      </c>
      <c r="S11" s="102">
        <v>27.1</v>
      </c>
      <c r="T11" s="102">
        <v>26.2</v>
      </c>
      <c r="U11" s="102">
        <v>25.2</v>
      </c>
      <c r="V11" s="102">
        <v>24.5</v>
      </c>
      <c r="W11" s="102">
        <v>25.2</v>
      </c>
      <c r="X11" s="102">
        <v>25.5</v>
      </c>
      <c r="Y11" s="102">
        <v>25.2</v>
      </c>
      <c r="Z11" s="102">
        <v>25.2</v>
      </c>
      <c r="AA11" s="102">
        <v>21.9</v>
      </c>
      <c r="AB11" s="102">
        <v>21.9</v>
      </c>
      <c r="AC11" s="102">
        <v>21.9</v>
      </c>
      <c r="AD11" s="102">
        <v>21.9</v>
      </c>
      <c r="AE11" s="102">
        <v>26.2</v>
      </c>
      <c r="AF11" s="102">
        <v>25.9</v>
      </c>
      <c r="AG11" s="140">
        <v>86</v>
      </c>
      <c r="AH11" s="12">
        <f t="shared" ref="AH11:AH16" si="2">MAX(B11:AF11)</f>
        <v>50.8</v>
      </c>
      <c r="AI11" s="11">
        <f t="shared" ref="AI11:AI16" si="3">MIN(B11:AF11)</f>
        <v>21.9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25">
      <c r="A12" s="89" t="s">
        <v>263</v>
      </c>
      <c r="B12" s="102">
        <v>10</v>
      </c>
      <c r="C12" s="102">
        <v>10</v>
      </c>
      <c r="D12" s="102">
        <v>10</v>
      </c>
      <c r="E12" s="102">
        <v>10</v>
      </c>
      <c r="F12" s="102">
        <v>10</v>
      </c>
      <c r="G12" s="102">
        <v>10</v>
      </c>
      <c r="H12" s="102">
        <v>10</v>
      </c>
      <c r="I12" s="102">
        <v>10</v>
      </c>
      <c r="J12" s="102">
        <v>10</v>
      </c>
      <c r="K12" s="102">
        <v>10</v>
      </c>
      <c r="L12" s="102">
        <v>10</v>
      </c>
      <c r="M12" s="102">
        <v>10</v>
      </c>
      <c r="N12" s="102">
        <v>10</v>
      </c>
      <c r="O12" s="102">
        <v>10</v>
      </c>
      <c r="P12" s="102">
        <v>10</v>
      </c>
      <c r="Q12" s="102">
        <v>10</v>
      </c>
      <c r="R12" s="102">
        <v>10</v>
      </c>
      <c r="S12" s="102">
        <v>10</v>
      </c>
      <c r="T12" s="102">
        <v>10</v>
      </c>
      <c r="U12" s="102">
        <v>10</v>
      </c>
      <c r="V12" s="102">
        <v>10</v>
      </c>
      <c r="W12" s="102">
        <v>10</v>
      </c>
      <c r="X12" s="102">
        <v>10</v>
      </c>
      <c r="Y12" s="102">
        <v>10</v>
      </c>
      <c r="Z12" s="102">
        <v>10</v>
      </c>
      <c r="AA12" s="102">
        <v>10</v>
      </c>
      <c r="AB12" s="102">
        <v>10</v>
      </c>
      <c r="AC12" s="102">
        <v>10</v>
      </c>
      <c r="AD12" s="102">
        <v>10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10</v>
      </c>
      <c r="AK12" s="19"/>
      <c r="AL12" s="6" t="str">
        <f ca="1">MID(CELL("filename",C7),FIND("]",CELL("filename",C7))+1,600)</f>
        <v>05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25">
      <c r="A13" s="89" t="s">
        <v>262</v>
      </c>
      <c r="B13" s="102">
        <v>23</v>
      </c>
      <c r="C13" s="102">
        <v>23</v>
      </c>
      <c r="D13" s="102">
        <v>23</v>
      </c>
      <c r="E13" s="102">
        <v>14.9</v>
      </c>
      <c r="F13" s="102">
        <v>14.9</v>
      </c>
      <c r="G13" s="102">
        <v>14.9</v>
      </c>
      <c r="H13" s="102">
        <v>14.9</v>
      </c>
      <c r="I13" s="102">
        <v>14.9</v>
      </c>
      <c r="J13" s="102">
        <v>14.9</v>
      </c>
      <c r="K13" s="102">
        <v>14.9</v>
      </c>
      <c r="L13" s="102">
        <v>14.5</v>
      </c>
      <c r="M13" s="102">
        <v>14.5</v>
      </c>
      <c r="N13" s="102">
        <v>12.9</v>
      </c>
      <c r="O13" s="102">
        <v>12.9</v>
      </c>
      <c r="P13" s="102">
        <v>12.9</v>
      </c>
      <c r="Q13" s="102">
        <v>12.9</v>
      </c>
      <c r="R13" s="102">
        <v>12.9</v>
      </c>
      <c r="S13" s="102">
        <v>12.9</v>
      </c>
      <c r="T13" s="102">
        <v>12.9</v>
      </c>
      <c r="U13" s="102">
        <v>12.9</v>
      </c>
      <c r="V13" s="102">
        <v>17.8</v>
      </c>
      <c r="W13" s="102">
        <v>17.8</v>
      </c>
      <c r="X13" s="102">
        <v>17.8</v>
      </c>
      <c r="Y13" s="102">
        <v>22</v>
      </c>
      <c r="Z13" s="102">
        <v>22</v>
      </c>
      <c r="AA13" s="102">
        <v>22</v>
      </c>
      <c r="AB13" s="102">
        <v>22</v>
      </c>
      <c r="AC13" s="102">
        <v>22</v>
      </c>
      <c r="AD13" s="102">
        <v>22</v>
      </c>
      <c r="AE13" s="102">
        <v>20.6</v>
      </c>
      <c r="AF13" s="102">
        <v>20.6</v>
      </c>
      <c r="AG13" s="130">
        <v>54</v>
      </c>
      <c r="AH13" s="12">
        <f t="shared" si="2"/>
        <v>23</v>
      </c>
      <c r="AI13" s="11">
        <f t="shared" si="3"/>
        <v>12.9</v>
      </c>
      <c r="AK13" s="19"/>
      <c r="AL13" s="6" t="str">
        <f ca="1">"Daily Load Curve(Excluding of Export) of Nepal ("&amp;A4&amp;" "&amp;B4&amp;")"</f>
        <v>Daily Load Curve(Excluding of Export) of Nepal (Nepali Date: 2080/10/5)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.75" thickBot="1" x14ac:dyDescent="0.3">
      <c r="A14" s="89" t="s">
        <v>261</v>
      </c>
      <c r="B14" s="102">
        <v>13.2</v>
      </c>
      <c r="C14" s="102">
        <v>13.2</v>
      </c>
      <c r="D14" s="102">
        <v>13.2</v>
      </c>
      <c r="E14" s="102">
        <v>13.2</v>
      </c>
      <c r="F14" s="102">
        <v>13.2</v>
      </c>
      <c r="G14" s="102">
        <v>13.2</v>
      </c>
      <c r="H14" s="102">
        <v>13.2</v>
      </c>
      <c r="I14" s="102">
        <v>13.2</v>
      </c>
      <c r="J14" s="102">
        <v>13.2</v>
      </c>
      <c r="K14" s="102">
        <v>13.2</v>
      </c>
      <c r="L14" s="102">
        <v>13.2</v>
      </c>
      <c r="M14" s="102">
        <v>13.2</v>
      </c>
      <c r="N14" s="102">
        <v>13.2</v>
      </c>
      <c r="O14" s="102">
        <v>13.2</v>
      </c>
      <c r="P14" s="102">
        <v>13.2</v>
      </c>
      <c r="Q14" s="102">
        <v>13.2</v>
      </c>
      <c r="R14" s="102">
        <v>13.2</v>
      </c>
      <c r="S14" s="102">
        <v>13.2</v>
      </c>
      <c r="T14" s="102">
        <v>13.2</v>
      </c>
      <c r="U14" s="102">
        <v>13.2</v>
      </c>
      <c r="V14" s="102">
        <v>13.2</v>
      </c>
      <c r="W14" s="102">
        <v>13.2</v>
      </c>
      <c r="X14" s="102">
        <v>13.2</v>
      </c>
      <c r="Y14" s="102">
        <v>13.2</v>
      </c>
      <c r="Z14" s="102">
        <v>13.2</v>
      </c>
      <c r="AA14" s="102">
        <v>13.2</v>
      </c>
      <c r="AB14" s="102">
        <v>13.2</v>
      </c>
      <c r="AC14" s="102">
        <v>13.2</v>
      </c>
      <c r="AD14" s="102">
        <v>13.2</v>
      </c>
      <c r="AE14" s="102">
        <v>13.2</v>
      </c>
      <c r="AF14" s="102">
        <v>13.2</v>
      </c>
      <c r="AG14" s="140">
        <v>52.4</v>
      </c>
      <c r="AH14" s="12">
        <f t="shared" si="2"/>
        <v>13.2</v>
      </c>
      <c r="AI14" s="11">
        <f t="shared" si="3"/>
        <v>13.2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.75" thickTop="1" x14ac:dyDescent="0.25">
      <c r="A15" s="89" t="s">
        <v>260</v>
      </c>
      <c r="B15" s="123">
        <v>50</v>
      </c>
      <c r="C15" s="123">
        <v>50</v>
      </c>
      <c r="D15" s="123">
        <v>50</v>
      </c>
      <c r="E15" s="123">
        <v>50</v>
      </c>
      <c r="F15" s="123">
        <v>50</v>
      </c>
      <c r="G15" s="123">
        <v>50</v>
      </c>
      <c r="H15" s="123">
        <v>50</v>
      </c>
      <c r="I15" s="123">
        <v>50</v>
      </c>
      <c r="J15" s="123">
        <v>50</v>
      </c>
      <c r="K15" s="123">
        <v>50</v>
      </c>
      <c r="L15" s="123">
        <v>49.9</v>
      </c>
      <c r="M15" s="123">
        <v>49.9</v>
      </c>
      <c r="N15" s="123">
        <v>49.6</v>
      </c>
      <c r="O15" s="123">
        <v>49.6</v>
      </c>
      <c r="P15" s="123">
        <v>44.5</v>
      </c>
      <c r="Q15" s="123">
        <v>44.5</v>
      </c>
      <c r="R15" s="123">
        <v>44.5</v>
      </c>
      <c r="S15" s="123">
        <v>44.5</v>
      </c>
      <c r="T15" s="123">
        <v>44.5</v>
      </c>
      <c r="U15" s="123">
        <v>44.5</v>
      </c>
      <c r="V15" s="102">
        <v>38.799999999999997</v>
      </c>
      <c r="W15" s="102">
        <v>38.799999999999997</v>
      </c>
      <c r="X15" s="102">
        <v>38.799999999999997</v>
      </c>
      <c r="Y15" s="102">
        <v>38.799999999999997</v>
      </c>
      <c r="Z15" s="102">
        <v>38.799999999999997</v>
      </c>
      <c r="AA15" s="102">
        <v>38.799999999999997</v>
      </c>
      <c r="AB15" s="102">
        <v>38.799999999999997</v>
      </c>
      <c r="AC15" s="102">
        <v>38.799999999999997</v>
      </c>
      <c r="AD15" s="102">
        <v>38.799999999999997</v>
      </c>
      <c r="AE15" s="123">
        <v>44.8</v>
      </c>
      <c r="AF15" s="123">
        <v>44.8</v>
      </c>
      <c r="AG15" s="130">
        <v>50</v>
      </c>
      <c r="AH15" s="12">
        <f t="shared" si="2"/>
        <v>50</v>
      </c>
      <c r="AI15" s="11">
        <f t="shared" si="3"/>
        <v>38.799999999999997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25">
      <c r="A16" s="89" t="s">
        <v>258</v>
      </c>
      <c r="B16" s="102">
        <v>15.1</v>
      </c>
      <c r="C16" s="102">
        <v>15.1</v>
      </c>
      <c r="D16" s="102">
        <v>15.1</v>
      </c>
      <c r="E16" s="102">
        <v>15.1</v>
      </c>
      <c r="F16" s="102">
        <v>15.1</v>
      </c>
      <c r="G16" s="102">
        <v>15.1</v>
      </c>
      <c r="H16" s="102">
        <v>15.1</v>
      </c>
      <c r="I16" s="102">
        <v>15.1</v>
      </c>
      <c r="J16" s="102">
        <v>15.1</v>
      </c>
      <c r="K16" s="102">
        <v>15.1</v>
      </c>
      <c r="L16" s="102">
        <v>15.1</v>
      </c>
      <c r="M16" s="102">
        <v>15.1</v>
      </c>
      <c r="N16" s="102">
        <v>15.1</v>
      </c>
      <c r="O16" s="102">
        <v>15.1</v>
      </c>
      <c r="P16" s="102">
        <v>15.1</v>
      </c>
      <c r="Q16" s="102">
        <v>15.1</v>
      </c>
      <c r="R16" s="102">
        <v>15.1</v>
      </c>
      <c r="S16" s="102">
        <v>15.1</v>
      </c>
      <c r="T16" s="102">
        <v>15.1</v>
      </c>
      <c r="U16" s="102">
        <v>15.1</v>
      </c>
      <c r="V16" s="102">
        <v>15</v>
      </c>
      <c r="W16" s="102">
        <v>15</v>
      </c>
      <c r="X16" s="102">
        <v>15</v>
      </c>
      <c r="Y16" s="102">
        <v>15</v>
      </c>
      <c r="Z16" s="102">
        <v>15</v>
      </c>
      <c r="AA16" s="102">
        <v>15</v>
      </c>
      <c r="AB16" s="102">
        <v>15</v>
      </c>
      <c r="AC16" s="102">
        <v>15</v>
      </c>
      <c r="AD16" s="102">
        <v>15</v>
      </c>
      <c r="AE16" s="102">
        <v>15.1</v>
      </c>
      <c r="AF16" s="102">
        <v>15.1</v>
      </c>
      <c r="AG16" s="130">
        <v>45</v>
      </c>
      <c r="AH16" s="12">
        <f t="shared" si="2"/>
        <v>15.1</v>
      </c>
      <c r="AI16" s="11">
        <f t="shared" si="3"/>
        <v>15</v>
      </c>
      <c r="AK16" s="19"/>
      <c r="AL16" s="135" t="s">
        <v>7</v>
      </c>
      <c r="AM16" s="134">
        <f t="shared" ref="AM16:AR16" si="4">B58</f>
        <v>562.09999999999991</v>
      </c>
      <c r="AN16" s="134">
        <f t="shared" si="4"/>
        <v>562.09999999999991</v>
      </c>
      <c r="AO16" s="134">
        <f t="shared" si="4"/>
        <v>562.09999999999991</v>
      </c>
      <c r="AP16" s="134">
        <f t="shared" si="4"/>
        <v>542.49999999999989</v>
      </c>
      <c r="AQ16" s="134">
        <f t="shared" si="4"/>
        <v>562.99999999999989</v>
      </c>
      <c r="AR16" s="134">
        <f t="shared" si="4"/>
        <v>553.99999999999989</v>
      </c>
      <c r="AS16" s="134">
        <f>I58</f>
        <v>554.39999999999986</v>
      </c>
      <c r="AT16" s="134">
        <f>K58</f>
        <v>548.69999999999993</v>
      </c>
      <c r="AU16" s="134">
        <f t="shared" ref="AU16:BD16" si="5">M58</f>
        <v>546.69999999999993</v>
      </c>
      <c r="AV16" s="134">
        <f t="shared" si="5"/>
        <v>528.4</v>
      </c>
      <c r="AW16" s="134">
        <f t="shared" si="5"/>
        <v>528.4</v>
      </c>
      <c r="AX16" s="134">
        <f t="shared" si="5"/>
        <v>520.29999999999995</v>
      </c>
      <c r="AY16" s="134">
        <f t="shared" si="5"/>
        <v>520.29999999999995</v>
      </c>
      <c r="AZ16" s="134">
        <f t="shared" si="5"/>
        <v>520.29999999999995</v>
      </c>
      <c r="BA16" s="134">
        <f t="shared" si="5"/>
        <v>520.29999999999995</v>
      </c>
      <c r="BB16" s="134">
        <f t="shared" si="5"/>
        <v>519.39999999999986</v>
      </c>
      <c r="BC16" s="134">
        <f t="shared" si="5"/>
        <v>518.39999999999986</v>
      </c>
      <c r="BD16" s="134">
        <f t="shared" si="5"/>
        <v>518.79999999999995</v>
      </c>
      <c r="BE16" s="133">
        <f>X58</f>
        <v>520.59999999999991</v>
      </c>
      <c r="BF16" s="133">
        <f>Z58</f>
        <v>526.29999999999995</v>
      </c>
      <c r="BG16" s="133">
        <f>AB58</f>
        <v>530.59999999999991</v>
      </c>
      <c r="BH16" s="133">
        <f>AD58</f>
        <v>530.09999999999991</v>
      </c>
      <c r="BI16" s="133">
        <f>AE58</f>
        <v>550.89999999999986</v>
      </c>
      <c r="BJ16" s="133">
        <f>AF58</f>
        <v>550.59999999999991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25">
      <c r="A17" s="89" t="s">
        <v>257</v>
      </c>
      <c r="B17" s="102">
        <v>21</v>
      </c>
      <c r="C17" s="102">
        <v>21</v>
      </c>
      <c r="D17" s="102">
        <v>21</v>
      </c>
      <c r="E17" s="102">
        <v>21</v>
      </c>
      <c r="F17" s="102">
        <v>21</v>
      </c>
      <c r="G17" s="102">
        <v>21</v>
      </c>
      <c r="H17" s="102">
        <v>21</v>
      </c>
      <c r="I17" s="102">
        <v>21</v>
      </c>
      <c r="J17" s="102">
        <v>21</v>
      </c>
      <c r="K17" s="102">
        <v>21</v>
      </c>
      <c r="L17" s="102">
        <v>21</v>
      </c>
      <c r="M17" s="102">
        <v>21</v>
      </c>
      <c r="N17" s="102">
        <v>21</v>
      </c>
      <c r="O17" s="102">
        <v>21</v>
      </c>
      <c r="P17" s="102">
        <v>21</v>
      </c>
      <c r="Q17" s="102">
        <v>21</v>
      </c>
      <c r="R17" s="102">
        <v>21</v>
      </c>
      <c r="S17" s="102">
        <v>21</v>
      </c>
      <c r="T17" s="102">
        <v>21</v>
      </c>
      <c r="U17" s="102">
        <v>21</v>
      </c>
      <c r="V17" s="102">
        <v>21</v>
      </c>
      <c r="W17" s="102">
        <v>21</v>
      </c>
      <c r="X17" s="102">
        <v>21</v>
      </c>
      <c r="Y17" s="102">
        <v>21</v>
      </c>
      <c r="Z17" s="102">
        <v>21</v>
      </c>
      <c r="AA17" s="102">
        <v>21</v>
      </c>
      <c r="AB17" s="102">
        <v>21</v>
      </c>
      <c r="AC17" s="102">
        <v>21</v>
      </c>
      <c r="AD17" s="102">
        <v>21</v>
      </c>
      <c r="AE17" s="102">
        <v>21</v>
      </c>
      <c r="AF17" s="102">
        <v>21</v>
      </c>
      <c r="AG17" s="130">
        <v>44</v>
      </c>
      <c r="AH17" s="12">
        <f>MAX(B17:AG17)</f>
        <v>44</v>
      </c>
      <c r="AI17" s="11">
        <f>MIN(B17:AG17)</f>
        <v>21</v>
      </c>
      <c r="AK17" s="19"/>
      <c r="AL17" s="135" t="s">
        <v>256</v>
      </c>
      <c r="AM17" s="134">
        <f t="shared" ref="AM17:AR17" si="6">B62</f>
        <v>154.60000000000002</v>
      </c>
      <c r="AN17" s="134">
        <f t="shared" si="6"/>
        <v>154.60000000000002</v>
      </c>
      <c r="AO17" s="134">
        <f t="shared" si="6"/>
        <v>154.60000000000002</v>
      </c>
      <c r="AP17" s="134">
        <f t="shared" si="6"/>
        <v>154.60000000000002</v>
      </c>
      <c r="AQ17" s="134">
        <f t="shared" si="6"/>
        <v>143.30000000000001</v>
      </c>
      <c r="AR17" s="134">
        <f t="shared" si="6"/>
        <v>133.30000000000001</v>
      </c>
      <c r="AS17" s="134">
        <f>I62</f>
        <v>197.9</v>
      </c>
      <c r="AT17" s="134">
        <f>K62</f>
        <v>48.8</v>
      </c>
      <c r="AU17" s="134">
        <f t="shared" ref="AU17:BD17" si="7">M62</f>
        <v>46.2</v>
      </c>
      <c r="AV17" s="134">
        <f t="shared" si="7"/>
        <v>44.7</v>
      </c>
      <c r="AW17" s="134">
        <f t="shared" si="7"/>
        <v>48.9</v>
      </c>
      <c r="AX17" s="134">
        <f t="shared" si="7"/>
        <v>51</v>
      </c>
      <c r="AY17" s="134">
        <f t="shared" si="7"/>
        <v>43.8</v>
      </c>
      <c r="AZ17" s="134">
        <f t="shared" si="7"/>
        <v>42.8</v>
      </c>
      <c r="BA17" s="134">
        <f t="shared" si="7"/>
        <v>41.4</v>
      </c>
      <c r="BB17" s="134">
        <f t="shared" si="7"/>
        <v>41.4</v>
      </c>
      <c r="BC17" s="134">
        <f t="shared" si="7"/>
        <v>41.4</v>
      </c>
      <c r="BD17" s="134">
        <f t="shared" si="7"/>
        <v>41.4</v>
      </c>
      <c r="BE17" s="133">
        <f>X62</f>
        <v>83.4</v>
      </c>
      <c r="BF17" s="133">
        <f>Z62</f>
        <v>298.3</v>
      </c>
      <c r="BG17" s="133">
        <f>AB62</f>
        <v>349</v>
      </c>
      <c r="BH17" s="133">
        <f>AD62</f>
        <v>349</v>
      </c>
      <c r="BI17" s="133">
        <f>AE62</f>
        <v>251.6</v>
      </c>
      <c r="BJ17" s="133">
        <f>AF62</f>
        <v>267.10000000000002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25">
      <c r="A18" s="89" t="s">
        <v>255</v>
      </c>
      <c r="B18" s="102">
        <v>10.9</v>
      </c>
      <c r="C18" s="102">
        <v>10.9</v>
      </c>
      <c r="D18" s="102">
        <v>10.9</v>
      </c>
      <c r="E18" s="102">
        <v>10</v>
      </c>
      <c r="F18" s="102">
        <v>10</v>
      </c>
      <c r="G18" s="102">
        <v>10</v>
      </c>
      <c r="H18" s="102">
        <v>10</v>
      </c>
      <c r="I18" s="102">
        <v>10</v>
      </c>
      <c r="J18" s="102">
        <v>10</v>
      </c>
      <c r="K18" s="102">
        <v>10</v>
      </c>
      <c r="L18" s="102">
        <v>9</v>
      </c>
      <c r="M18" s="102">
        <v>9</v>
      </c>
      <c r="N18" s="102">
        <v>9</v>
      </c>
      <c r="O18" s="102">
        <v>9</v>
      </c>
      <c r="P18" s="102">
        <v>8</v>
      </c>
      <c r="Q18" s="102">
        <v>8</v>
      </c>
      <c r="R18" s="102">
        <v>8</v>
      </c>
      <c r="S18" s="102">
        <v>8</v>
      </c>
      <c r="T18" s="102">
        <v>8</v>
      </c>
      <c r="U18" s="102">
        <v>8</v>
      </c>
      <c r="V18" s="102">
        <v>8.5</v>
      </c>
      <c r="W18" s="102">
        <v>8.5</v>
      </c>
      <c r="X18" s="102">
        <v>8.5</v>
      </c>
      <c r="Y18" s="102">
        <v>8.5</v>
      </c>
      <c r="Z18" s="102">
        <v>8.5</v>
      </c>
      <c r="AA18" s="102">
        <v>8.5</v>
      </c>
      <c r="AB18" s="102">
        <v>13.5</v>
      </c>
      <c r="AC18" s="102">
        <v>13.5</v>
      </c>
      <c r="AD18" s="102">
        <v>12</v>
      </c>
      <c r="AE18" s="102">
        <v>12</v>
      </c>
      <c r="AF18" s="102">
        <v>12</v>
      </c>
      <c r="AG18" s="130">
        <v>42</v>
      </c>
      <c r="AH18" s="12">
        <f t="shared" ref="AH18:AH49" si="8">MAX(B18:AF18)</f>
        <v>13.5</v>
      </c>
      <c r="AI18" s="11">
        <f t="shared" ref="AI18:AI49" si="9">MIN(B18:AF18)</f>
        <v>8</v>
      </c>
      <c r="AK18" s="19"/>
      <c r="AL18" s="135" t="s">
        <v>254</v>
      </c>
      <c r="AM18" s="134">
        <f t="shared" ref="AM18:AR18" si="10">B76</f>
        <v>263.24</v>
      </c>
      <c r="AN18" s="134">
        <f t="shared" si="10"/>
        <v>263.24</v>
      </c>
      <c r="AO18" s="134">
        <f t="shared" si="10"/>
        <v>263.24</v>
      </c>
      <c r="AP18" s="134">
        <f t="shared" si="10"/>
        <v>230.33999999999997</v>
      </c>
      <c r="AQ18" s="134">
        <f t="shared" si="10"/>
        <v>223.73999999999995</v>
      </c>
      <c r="AR18" s="134">
        <f t="shared" si="10"/>
        <v>237.33999999999995</v>
      </c>
      <c r="AS18" s="134">
        <f>I76</f>
        <v>353.24</v>
      </c>
      <c r="AT18" s="134">
        <f>K76</f>
        <v>226.23999999999998</v>
      </c>
      <c r="AU18" s="134">
        <f t="shared" ref="AU18:BD18" si="11">M76</f>
        <v>255.93999999999997</v>
      </c>
      <c r="AV18" s="134">
        <f t="shared" si="11"/>
        <v>281.24000000000007</v>
      </c>
      <c r="AW18" s="134">
        <f t="shared" si="11"/>
        <v>285.54000000000002</v>
      </c>
      <c r="AX18" s="134">
        <f t="shared" si="11"/>
        <v>273.84000000000003</v>
      </c>
      <c r="AY18" s="134">
        <f t="shared" si="11"/>
        <v>296.84000000000003</v>
      </c>
      <c r="AZ18" s="134">
        <f t="shared" si="11"/>
        <v>333.6400000000001</v>
      </c>
      <c r="BA18" s="134">
        <f t="shared" si="11"/>
        <v>308.74</v>
      </c>
      <c r="BB18" s="134">
        <f t="shared" si="11"/>
        <v>304.04000000000002</v>
      </c>
      <c r="BC18" s="134">
        <f t="shared" si="11"/>
        <v>242.34</v>
      </c>
      <c r="BD18" s="134">
        <f t="shared" si="11"/>
        <v>213.23999999999998</v>
      </c>
      <c r="BE18" s="133">
        <f>X76</f>
        <v>195.74</v>
      </c>
      <c r="BF18" s="133">
        <f>Z76</f>
        <v>301.86</v>
      </c>
      <c r="BG18" s="133">
        <f>AB76</f>
        <v>351.84000000000003</v>
      </c>
      <c r="BH18" s="133">
        <f>AD76</f>
        <v>334.14000000000004</v>
      </c>
      <c r="BI18" s="133">
        <f>AE76</f>
        <v>309.64</v>
      </c>
      <c r="BJ18" s="133">
        <f>AF76</f>
        <v>305.84000000000003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25">
      <c r="A19" s="89" t="s">
        <v>253</v>
      </c>
      <c r="B19" s="102">
        <v>16.600000000000001</v>
      </c>
      <c r="C19" s="102">
        <v>16.600000000000001</v>
      </c>
      <c r="D19" s="102">
        <v>16.600000000000001</v>
      </c>
      <c r="E19" s="102">
        <v>18</v>
      </c>
      <c r="F19" s="102">
        <v>18</v>
      </c>
      <c r="G19" s="102">
        <v>18</v>
      </c>
      <c r="H19" s="102">
        <v>18</v>
      </c>
      <c r="I19" s="102">
        <v>18</v>
      </c>
      <c r="J19" s="102">
        <v>18</v>
      </c>
      <c r="K19" s="102">
        <v>18</v>
      </c>
      <c r="L19" s="102">
        <v>17.5</v>
      </c>
      <c r="M19" s="102">
        <v>17.5</v>
      </c>
      <c r="N19" s="102">
        <v>16.7</v>
      </c>
      <c r="O19" s="102">
        <v>16.7</v>
      </c>
      <c r="P19" s="102">
        <v>16.2</v>
      </c>
      <c r="Q19" s="102">
        <v>16.2</v>
      </c>
      <c r="R19" s="102">
        <v>16.2</v>
      </c>
      <c r="S19" s="102">
        <v>16.2</v>
      </c>
      <c r="T19" s="102">
        <v>16.2</v>
      </c>
      <c r="U19" s="102">
        <v>16.2</v>
      </c>
      <c r="V19" s="102">
        <v>14</v>
      </c>
      <c r="W19" s="102">
        <v>14</v>
      </c>
      <c r="X19" s="102">
        <v>14</v>
      </c>
      <c r="Y19" s="102">
        <v>14</v>
      </c>
      <c r="Z19" s="102">
        <v>14</v>
      </c>
      <c r="AA19" s="102">
        <v>14</v>
      </c>
      <c r="AB19" s="102">
        <v>15</v>
      </c>
      <c r="AC19" s="102">
        <v>14</v>
      </c>
      <c r="AD19" s="102">
        <v>16</v>
      </c>
      <c r="AE19" s="102">
        <v>24</v>
      </c>
      <c r="AF19" s="102">
        <v>24</v>
      </c>
      <c r="AG19" s="130">
        <v>38.46</v>
      </c>
      <c r="AH19" s="12">
        <f t="shared" si="8"/>
        <v>24</v>
      </c>
      <c r="AI19" s="11">
        <f t="shared" si="9"/>
        <v>14</v>
      </c>
      <c r="AK19" s="19"/>
      <c r="AL19" s="135" t="s">
        <v>252</v>
      </c>
      <c r="AM19" s="134">
        <f t="shared" ref="AM19:AR19" si="12">B92</f>
        <v>152.19999999999999</v>
      </c>
      <c r="AN19" s="134">
        <f t="shared" si="12"/>
        <v>210</v>
      </c>
      <c r="AO19" s="134">
        <f t="shared" si="12"/>
        <v>219.7</v>
      </c>
      <c r="AP19" s="134">
        <f t="shared" si="12"/>
        <v>228.89999999999998</v>
      </c>
      <c r="AQ19" s="134">
        <f t="shared" si="12"/>
        <v>179.89999999999998</v>
      </c>
      <c r="AR19" s="134">
        <f t="shared" si="12"/>
        <v>229.89999999999998</v>
      </c>
      <c r="AS19" s="134">
        <f>I92</f>
        <v>180.1</v>
      </c>
      <c r="AT19" s="134">
        <f>K92</f>
        <v>583.5</v>
      </c>
      <c r="AU19" s="134">
        <f t="shared" ref="AU19:BD19" si="13">M92</f>
        <v>659.9</v>
      </c>
      <c r="AV19" s="134">
        <f t="shared" si="13"/>
        <v>708.6</v>
      </c>
      <c r="AW19" s="134">
        <f t="shared" si="13"/>
        <v>750.4</v>
      </c>
      <c r="AX19" s="134">
        <f t="shared" si="13"/>
        <v>739.9</v>
      </c>
      <c r="AY19" s="134">
        <f t="shared" si="13"/>
        <v>752.4</v>
      </c>
      <c r="AZ19" s="134">
        <f t="shared" si="13"/>
        <v>741.3</v>
      </c>
      <c r="BA19" s="134">
        <f t="shared" si="13"/>
        <v>770.6</v>
      </c>
      <c r="BB19" s="134">
        <f t="shared" si="13"/>
        <v>806.8</v>
      </c>
      <c r="BC19" s="134">
        <f t="shared" si="13"/>
        <v>823.6</v>
      </c>
      <c r="BD19" s="134">
        <f t="shared" si="13"/>
        <v>785.59999999999991</v>
      </c>
      <c r="BE19" s="133">
        <f>X92</f>
        <v>682.3</v>
      </c>
      <c r="BF19" s="133">
        <f>Z92</f>
        <v>531.30000000000007</v>
      </c>
      <c r="BG19" s="133">
        <f>AB92</f>
        <v>229.8</v>
      </c>
      <c r="BH19" s="133">
        <f>AD92</f>
        <v>166.5</v>
      </c>
      <c r="BI19" s="133">
        <f>AE92</f>
        <v>215.6</v>
      </c>
      <c r="BJ19" s="133">
        <f>AF92</f>
        <v>75.099999999999994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25">
      <c r="A20" s="89" t="s">
        <v>251</v>
      </c>
      <c r="B20" s="102">
        <v>9.6</v>
      </c>
      <c r="C20" s="102">
        <v>9.6</v>
      </c>
      <c r="D20" s="102">
        <v>9.6</v>
      </c>
      <c r="E20" s="102">
        <v>9.6</v>
      </c>
      <c r="F20" s="102">
        <v>9.6</v>
      </c>
      <c r="G20" s="102">
        <v>9.6</v>
      </c>
      <c r="H20" s="102">
        <v>9.6</v>
      </c>
      <c r="I20" s="102">
        <v>9.6</v>
      </c>
      <c r="J20" s="102">
        <v>9.6</v>
      </c>
      <c r="K20" s="102">
        <v>9.6</v>
      </c>
      <c r="L20" s="102">
        <v>9.6</v>
      </c>
      <c r="M20" s="102">
        <v>9.6</v>
      </c>
      <c r="N20" s="102">
        <v>9.6</v>
      </c>
      <c r="O20" s="102">
        <v>9.6</v>
      </c>
      <c r="P20" s="102">
        <v>9.6</v>
      </c>
      <c r="Q20" s="102">
        <v>9.6</v>
      </c>
      <c r="R20" s="102">
        <v>9.6</v>
      </c>
      <c r="S20" s="102">
        <v>9.6</v>
      </c>
      <c r="T20" s="102">
        <v>9.6</v>
      </c>
      <c r="U20" s="102">
        <v>9.6</v>
      </c>
      <c r="V20" s="102">
        <v>9.6</v>
      </c>
      <c r="W20" s="102">
        <v>9.6</v>
      </c>
      <c r="X20" s="102">
        <v>9.6</v>
      </c>
      <c r="Y20" s="102">
        <v>9.6</v>
      </c>
      <c r="Z20" s="102">
        <v>9.6</v>
      </c>
      <c r="AA20" s="102">
        <v>9.6</v>
      </c>
      <c r="AB20" s="102">
        <v>9.6</v>
      </c>
      <c r="AC20" s="102">
        <v>9.6</v>
      </c>
      <c r="AD20" s="102">
        <v>9.6</v>
      </c>
      <c r="AE20" s="102">
        <v>9.6</v>
      </c>
      <c r="AF20" s="102">
        <v>9.6</v>
      </c>
      <c r="AG20" s="130">
        <v>38.46</v>
      </c>
      <c r="AH20" s="12">
        <f t="shared" si="8"/>
        <v>9.6</v>
      </c>
      <c r="AI20" s="11">
        <f t="shared" si="9"/>
        <v>9.6</v>
      </c>
      <c r="AK20" s="19"/>
      <c r="AL20" s="135" t="s">
        <v>250</v>
      </c>
      <c r="AM20" s="134">
        <f t="shared" ref="AM20:AR20" si="14">B80</f>
        <v>97.199999999999989</v>
      </c>
      <c r="AN20" s="134">
        <f t="shared" si="14"/>
        <v>47.8</v>
      </c>
      <c r="AO20" s="134">
        <f t="shared" si="14"/>
        <v>48.5</v>
      </c>
      <c r="AP20" s="134">
        <f t="shared" si="14"/>
        <v>48.5</v>
      </c>
      <c r="AQ20" s="134">
        <f t="shared" si="14"/>
        <v>48.5</v>
      </c>
      <c r="AR20" s="134">
        <f t="shared" si="14"/>
        <v>48.5</v>
      </c>
      <c r="AS20" s="134">
        <f>I80</f>
        <v>48.5</v>
      </c>
      <c r="AT20" s="134">
        <f>K80</f>
        <v>0</v>
      </c>
      <c r="AU20" s="134">
        <f t="shared" ref="AU20:BD20" si="15">M80</f>
        <v>0</v>
      </c>
      <c r="AV20" s="134">
        <f t="shared" si="15"/>
        <v>0</v>
      </c>
      <c r="AW20" s="134">
        <f t="shared" si="15"/>
        <v>0</v>
      </c>
      <c r="AX20" s="134">
        <f t="shared" si="15"/>
        <v>0</v>
      </c>
      <c r="AY20" s="134">
        <f t="shared" si="15"/>
        <v>0</v>
      </c>
      <c r="AZ20" s="134">
        <f t="shared" si="15"/>
        <v>0</v>
      </c>
      <c r="BA20" s="134">
        <f t="shared" si="15"/>
        <v>0</v>
      </c>
      <c r="BB20" s="134">
        <f t="shared" si="15"/>
        <v>0</v>
      </c>
      <c r="BC20" s="134">
        <f t="shared" si="15"/>
        <v>0</v>
      </c>
      <c r="BD20" s="134">
        <f t="shared" si="15"/>
        <v>0</v>
      </c>
      <c r="BE20" s="133">
        <f>X80</f>
        <v>0</v>
      </c>
      <c r="BF20" s="133">
        <f>Z80</f>
        <v>0</v>
      </c>
      <c r="BG20" s="133">
        <f>AB80</f>
        <v>48.2</v>
      </c>
      <c r="BH20" s="133">
        <f>AD80</f>
        <v>48.2</v>
      </c>
      <c r="BI20" s="133">
        <f>AE80</f>
        <v>49</v>
      </c>
      <c r="BJ20" s="133">
        <f>AF80</f>
        <v>48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25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>
        <v>11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>
        <v>11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11</v>
      </c>
      <c r="AG21" s="130">
        <v>36</v>
      </c>
      <c r="AH21" s="12">
        <f t="shared" si="8"/>
        <v>11</v>
      </c>
      <c r="AI21" s="11">
        <f t="shared" si="9"/>
        <v>11</v>
      </c>
      <c r="AK21" s="19"/>
      <c r="AL21" s="135" t="s">
        <v>248</v>
      </c>
      <c r="AM21" s="134">
        <f t="shared" ref="AM21:AR21" si="16">B98</f>
        <v>125</v>
      </c>
      <c r="AN21" s="134">
        <f t="shared" si="16"/>
        <v>125</v>
      </c>
      <c r="AO21" s="134">
        <f t="shared" si="16"/>
        <v>125</v>
      </c>
      <c r="AP21" s="134">
        <f t="shared" si="16"/>
        <v>125</v>
      </c>
      <c r="AQ21" s="134">
        <f t="shared" si="16"/>
        <v>125</v>
      </c>
      <c r="AR21" s="134">
        <f t="shared" si="16"/>
        <v>125</v>
      </c>
      <c r="AS21" s="134">
        <f>I98</f>
        <v>125</v>
      </c>
      <c r="AT21" s="134">
        <f>K98</f>
        <v>60</v>
      </c>
      <c r="AU21" s="134">
        <f t="shared" ref="AU21:BD21" si="17">M98</f>
        <v>30</v>
      </c>
      <c r="AV21" s="134">
        <f t="shared" si="17"/>
        <v>30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150</v>
      </c>
      <c r="BG21" s="133">
        <f>AB98</f>
        <v>280</v>
      </c>
      <c r="BH21" s="133">
        <f>AD98</f>
        <v>280</v>
      </c>
      <c r="BI21" s="133">
        <f>AE98</f>
        <v>280</v>
      </c>
      <c r="BJ21" s="133">
        <f>AF98</f>
        <v>280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25">
      <c r="A22" s="89" t="s">
        <v>247</v>
      </c>
      <c r="B22" s="102">
        <v>15</v>
      </c>
      <c r="C22" s="102">
        <v>15</v>
      </c>
      <c r="D22" s="102">
        <v>15</v>
      </c>
      <c r="E22" s="102">
        <v>13</v>
      </c>
      <c r="F22" s="102">
        <v>13</v>
      </c>
      <c r="G22" s="102">
        <v>13</v>
      </c>
      <c r="H22" s="102">
        <v>13</v>
      </c>
      <c r="I22" s="102">
        <v>13</v>
      </c>
      <c r="J22" s="102">
        <v>13</v>
      </c>
      <c r="K22" s="102">
        <v>13</v>
      </c>
      <c r="L22" s="102">
        <v>10.9</v>
      </c>
      <c r="M22" s="102">
        <v>10.9</v>
      </c>
      <c r="N22" s="102">
        <v>10.9</v>
      </c>
      <c r="O22" s="102">
        <v>10.9</v>
      </c>
      <c r="P22" s="102">
        <v>10.9</v>
      </c>
      <c r="Q22" s="102">
        <v>10.9</v>
      </c>
      <c r="R22" s="102">
        <v>10.9</v>
      </c>
      <c r="S22" s="102">
        <v>10.9</v>
      </c>
      <c r="T22" s="102">
        <v>10.9</v>
      </c>
      <c r="U22" s="102">
        <v>10.9</v>
      </c>
      <c r="V22" s="102">
        <v>11.2</v>
      </c>
      <c r="W22" s="102">
        <v>11.2</v>
      </c>
      <c r="X22" s="102">
        <v>11.2</v>
      </c>
      <c r="Y22" s="102">
        <v>11.2</v>
      </c>
      <c r="Z22" s="102">
        <v>11.2</v>
      </c>
      <c r="AA22" s="102">
        <v>11.2</v>
      </c>
      <c r="AB22" s="102">
        <v>11.2</v>
      </c>
      <c r="AC22" s="102">
        <v>11.2</v>
      </c>
      <c r="AD22" s="102">
        <v>11.2</v>
      </c>
      <c r="AE22" s="102">
        <v>11.2</v>
      </c>
      <c r="AF22" s="102">
        <v>11.2</v>
      </c>
      <c r="AG22" s="88">
        <v>30</v>
      </c>
      <c r="AH22" s="12">
        <f t="shared" si="8"/>
        <v>15</v>
      </c>
      <c r="AI22" s="11">
        <f t="shared" si="9"/>
        <v>10.9</v>
      </c>
      <c r="AK22" s="19"/>
      <c r="AL22" s="132" t="s">
        <v>246</v>
      </c>
      <c r="AM22" s="131">
        <f t="shared" ref="AM22:BJ22" si="18">SUM(AM16:AM21)</f>
        <v>1354.34</v>
      </c>
      <c r="AN22" s="131">
        <f t="shared" si="18"/>
        <v>1362.74</v>
      </c>
      <c r="AO22" s="131">
        <f t="shared" si="18"/>
        <v>1373.1399999999999</v>
      </c>
      <c r="AP22" s="131">
        <f t="shared" si="18"/>
        <v>1329.8399999999997</v>
      </c>
      <c r="AQ22" s="131">
        <f t="shared" si="18"/>
        <v>1283.44</v>
      </c>
      <c r="AR22" s="131">
        <f t="shared" si="18"/>
        <v>1328.04</v>
      </c>
      <c r="AS22" s="131">
        <f t="shared" si="18"/>
        <v>1459.1399999999999</v>
      </c>
      <c r="AT22" s="131">
        <f t="shared" si="18"/>
        <v>1467.2399999999998</v>
      </c>
      <c r="AU22" s="131">
        <f t="shared" si="18"/>
        <v>1538.7399999999998</v>
      </c>
      <c r="AV22" s="131">
        <f t="shared" si="18"/>
        <v>1592.94</v>
      </c>
      <c r="AW22" s="131">
        <f t="shared" si="18"/>
        <v>1613.2399999999998</v>
      </c>
      <c r="AX22" s="131">
        <f t="shared" si="18"/>
        <v>1585.04</v>
      </c>
      <c r="AY22" s="131">
        <f t="shared" si="18"/>
        <v>1613.34</v>
      </c>
      <c r="AZ22" s="131">
        <f t="shared" si="18"/>
        <v>1638.04</v>
      </c>
      <c r="BA22" s="131">
        <f t="shared" si="18"/>
        <v>1641.04</v>
      </c>
      <c r="BB22" s="131">
        <f t="shared" si="18"/>
        <v>1671.6399999999999</v>
      </c>
      <c r="BC22" s="131">
        <f t="shared" si="18"/>
        <v>1625.7399999999998</v>
      </c>
      <c r="BD22" s="131">
        <f t="shared" si="18"/>
        <v>1559.04</v>
      </c>
      <c r="BE22" s="131">
        <f t="shared" si="18"/>
        <v>1482.04</v>
      </c>
      <c r="BF22" s="131">
        <f t="shared" si="18"/>
        <v>1807.7600000000002</v>
      </c>
      <c r="BG22" s="131">
        <f t="shared" si="18"/>
        <v>1789.44</v>
      </c>
      <c r="BH22" s="131">
        <f t="shared" si="18"/>
        <v>1707.94</v>
      </c>
      <c r="BI22" s="131">
        <f t="shared" si="18"/>
        <v>1656.7399999999998</v>
      </c>
      <c r="BJ22" s="131">
        <f t="shared" si="18"/>
        <v>1526.6399999999999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25">
      <c r="A23" s="89" t="s">
        <v>245</v>
      </c>
      <c r="B23" s="102">
        <v>5</v>
      </c>
      <c r="C23" s="102">
        <v>5</v>
      </c>
      <c r="D23" s="102">
        <v>5</v>
      </c>
      <c r="E23" s="102">
        <v>5</v>
      </c>
      <c r="F23" s="102">
        <v>5</v>
      </c>
      <c r="G23" s="102">
        <v>5</v>
      </c>
      <c r="H23" s="102">
        <v>5</v>
      </c>
      <c r="I23" s="102">
        <v>5</v>
      </c>
      <c r="J23" s="102">
        <v>5</v>
      </c>
      <c r="K23" s="102">
        <v>5</v>
      </c>
      <c r="L23" s="102">
        <v>5</v>
      </c>
      <c r="M23" s="102">
        <v>5</v>
      </c>
      <c r="N23" s="102">
        <v>5</v>
      </c>
      <c r="O23" s="102">
        <v>5</v>
      </c>
      <c r="P23" s="102">
        <v>5</v>
      </c>
      <c r="Q23" s="102">
        <v>5</v>
      </c>
      <c r="R23" s="102">
        <v>5</v>
      </c>
      <c r="S23" s="102">
        <v>5</v>
      </c>
      <c r="T23" s="102">
        <v>5</v>
      </c>
      <c r="U23" s="102">
        <v>5</v>
      </c>
      <c r="V23" s="102">
        <v>5</v>
      </c>
      <c r="W23" s="102">
        <v>5</v>
      </c>
      <c r="X23" s="102">
        <v>5</v>
      </c>
      <c r="Y23" s="102">
        <v>5</v>
      </c>
      <c r="Z23" s="102">
        <v>5</v>
      </c>
      <c r="AA23" s="102">
        <v>5</v>
      </c>
      <c r="AB23" s="102">
        <v>6.6</v>
      </c>
      <c r="AC23" s="102">
        <v>6.6</v>
      </c>
      <c r="AD23" s="102">
        <v>6.6</v>
      </c>
      <c r="AE23" s="102">
        <v>9.4</v>
      </c>
      <c r="AF23" s="102">
        <v>9.4</v>
      </c>
      <c r="AG23" s="130">
        <v>24.2</v>
      </c>
      <c r="AH23" s="12">
        <f t="shared" si="8"/>
        <v>9.4</v>
      </c>
      <c r="AI23" s="11">
        <f t="shared" si="9"/>
        <v>5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25">
      <c r="A24" s="89" t="s">
        <v>244</v>
      </c>
      <c r="B24" s="102">
        <v>6.2</v>
      </c>
      <c r="C24" s="102">
        <v>6.2</v>
      </c>
      <c r="D24" s="102">
        <v>6.2</v>
      </c>
      <c r="E24" s="102">
        <v>6.2</v>
      </c>
      <c r="F24" s="102">
        <v>6.2</v>
      </c>
      <c r="G24" s="102">
        <v>6.2</v>
      </c>
      <c r="H24" s="102">
        <v>6.2</v>
      </c>
      <c r="I24" s="102">
        <v>6.2</v>
      </c>
      <c r="J24" s="102">
        <v>6.2</v>
      </c>
      <c r="K24" s="102">
        <v>6.2</v>
      </c>
      <c r="L24" s="102">
        <v>8.6</v>
      </c>
      <c r="M24" s="102">
        <v>8.6</v>
      </c>
      <c r="N24" s="102">
        <v>8.6</v>
      </c>
      <c r="O24" s="102">
        <v>8.6</v>
      </c>
      <c r="P24" s="102">
        <v>8.6</v>
      </c>
      <c r="Q24" s="102">
        <v>8.6</v>
      </c>
      <c r="R24" s="102">
        <v>8.6</v>
      </c>
      <c r="S24" s="102">
        <v>8.6</v>
      </c>
      <c r="T24" s="102">
        <v>8.6</v>
      </c>
      <c r="U24" s="102">
        <v>8.6</v>
      </c>
      <c r="V24" s="102">
        <v>8.1</v>
      </c>
      <c r="W24" s="102">
        <v>8.1</v>
      </c>
      <c r="X24" s="102">
        <v>8.1</v>
      </c>
      <c r="Y24" s="102">
        <v>8.1</v>
      </c>
      <c r="Z24" s="102">
        <v>8.1</v>
      </c>
      <c r="AA24" s="102">
        <v>8.1</v>
      </c>
      <c r="AB24" s="102">
        <v>8.1</v>
      </c>
      <c r="AC24" s="102">
        <v>8.1</v>
      </c>
      <c r="AD24" s="102">
        <v>8.1</v>
      </c>
      <c r="AE24" s="102">
        <v>8.1</v>
      </c>
      <c r="AF24" s="102">
        <v>8.1</v>
      </c>
      <c r="AG24" s="130">
        <v>28</v>
      </c>
      <c r="AH24" s="12">
        <f t="shared" si="8"/>
        <v>8.6</v>
      </c>
      <c r="AI24" s="11">
        <f t="shared" si="9"/>
        <v>6.2</v>
      </c>
      <c r="AK24" s="19"/>
      <c r="AL24" s="132" t="s">
        <v>243</v>
      </c>
      <c r="AM24" s="131">
        <f t="shared" ref="AM24:BJ24" si="21">AM22+AM23</f>
        <v>1354.34</v>
      </c>
      <c r="AN24" s="131">
        <f t="shared" si="21"/>
        <v>1362.74</v>
      </c>
      <c r="AO24" s="131">
        <f t="shared" si="21"/>
        <v>1373.1399999999999</v>
      </c>
      <c r="AP24" s="131">
        <f t="shared" si="21"/>
        <v>1329.8399999999997</v>
      </c>
      <c r="AQ24" s="131">
        <f t="shared" si="21"/>
        <v>1283.44</v>
      </c>
      <c r="AR24" s="131">
        <f t="shared" si="21"/>
        <v>1328.04</v>
      </c>
      <c r="AS24" s="131">
        <f t="shared" si="21"/>
        <v>1459.1399999999999</v>
      </c>
      <c r="AT24" s="131">
        <f t="shared" si="21"/>
        <v>1467.2399999999998</v>
      </c>
      <c r="AU24" s="131">
        <f t="shared" si="21"/>
        <v>1538.7399999999998</v>
      </c>
      <c r="AV24" s="131">
        <f t="shared" si="21"/>
        <v>1592.94</v>
      </c>
      <c r="AW24" s="131">
        <f t="shared" si="21"/>
        <v>1613.2399999999998</v>
      </c>
      <c r="AX24" s="131">
        <f t="shared" si="21"/>
        <v>1585.04</v>
      </c>
      <c r="AY24" s="131">
        <f t="shared" si="21"/>
        <v>1613.34</v>
      </c>
      <c r="AZ24" s="131">
        <f t="shared" si="21"/>
        <v>1638.04</v>
      </c>
      <c r="BA24" s="131">
        <f t="shared" si="21"/>
        <v>1641.04</v>
      </c>
      <c r="BB24" s="131">
        <f t="shared" si="21"/>
        <v>1671.6399999999999</v>
      </c>
      <c r="BC24" s="131">
        <f t="shared" si="21"/>
        <v>1625.7399999999998</v>
      </c>
      <c r="BD24" s="131">
        <f t="shared" si="21"/>
        <v>1559.04</v>
      </c>
      <c r="BE24" s="131">
        <f t="shared" si="21"/>
        <v>1482.04</v>
      </c>
      <c r="BF24" s="131">
        <f t="shared" si="21"/>
        <v>1807.7600000000002</v>
      </c>
      <c r="BG24" s="131">
        <f t="shared" si="21"/>
        <v>1789.44</v>
      </c>
      <c r="BH24" s="131">
        <f t="shared" si="21"/>
        <v>1707.94</v>
      </c>
      <c r="BI24" s="131">
        <f t="shared" si="21"/>
        <v>1656.7399999999998</v>
      </c>
      <c r="BJ24" s="131">
        <f t="shared" si="21"/>
        <v>1526.6399999999999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25">
      <c r="A25" s="89" t="s">
        <v>242</v>
      </c>
      <c r="B25" s="102">
        <v>12.2</v>
      </c>
      <c r="C25" s="102">
        <v>12.2</v>
      </c>
      <c r="D25" s="102">
        <v>12.2</v>
      </c>
      <c r="E25" s="102">
        <v>9</v>
      </c>
      <c r="F25" s="102">
        <v>9</v>
      </c>
      <c r="G25" s="102">
        <v>9</v>
      </c>
      <c r="H25" s="102">
        <v>9</v>
      </c>
      <c r="I25" s="102">
        <v>9</v>
      </c>
      <c r="J25" s="102">
        <v>9</v>
      </c>
      <c r="K25" s="102">
        <v>9</v>
      </c>
      <c r="L25" s="102">
        <v>8.8000000000000007</v>
      </c>
      <c r="M25" s="102">
        <v>8.8000000000000007</v>
      </c>
      <c r="N25" s="102">
        <v>7.3</v>
      </c>
      <c r="O25" s="102">
        <v>7.3</v>
      </c>
      <c r="P25" s="102">
        <v>7.3</v>
      </c>
      <c r="Q25" s="102">
        <v>7.3</v>
      </c>
      <c r="R25" s="102">
        <v>7.3</v>
      </c>
      <c r="S25" s="102">
        <v>7.3</v>
      </c>
      <c r="T25" s="102">
        <v>7.3</v>
      </c>
      <c r="U25" s="102">
        <v>7.3</v>
      </c>
      <c r="V25" s="102">
        <v>9</v>
      </c>
      <c r="W25" s="102">
        <v>9</v>
      </c>
      <c r="X25" s="102">
        <v>9</v>
      </c>
      <c r="Y25" s="102">
        <v>9</v>
      </c>
      <c r="Z25" s="102">
        <v>9</v>
      </c>
      <c r="AA25" s="102">
        <v>9</v>
      </c>
      <c r="AB25" s="102">
        <v>9</v>
      </c>
      <c r="AC25" s="102">
        <v>9</v>
      </c>
      <c r="AD25" s="102">
        <v>9</v>
      </c>
      <c r="AE25" s="102">
        <v>9</v>
      </c>
      <c r="AF25" s="102">
        <v>9</v>
      </c>
      <c r="AG25" s="88">
        <v>30</v>
      </c>
      <c r="AH25" s="12">
        <f t="shared" si="8"/>
        <v>12.2</v>
      </c>
      <c r="AI25" s="11">
        <f t="shared" si="9"/>
        <v>7.3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25">
      <c r="A26" s="89" t="s">
        <v>241</v>
      </c>
      <c r="B26" s="102">
        <v>14.9</v>
      </c>
      <c r="C26" s="102">
        <v>14.9</v>
      </c>
      <c r="D26" s="102">
        <v>14.9</v>
      </c>
      <c r="E26" s="102">
        <v>13</v>
      </c>
      <c r="F26" s="102">
        <v>13</v>
      </c>
      <c r="G26" s="102">
        <v>13</v>
      </c>
      <c r="H26" s="102">
        <v>13</v>
      </c>
      <c r="I26" s="102">
        <v>13</v>
      </c>
      <c r="J26" s="102">
        <v>13</v>
      </c>
      <c r="K26" s="102">
        <v>13</v>
      </c>
      <c r="L26" s="102">
        <v>13.2</v>
      </c>
      <c r="M26" s="102">
        <v>13.2</v>
      </c>
      <c r="N26" s="102">
        <v>12.9</v>
      </c>
      <c r="O26" s="102">
        <v>12.9</v>
      </c>
      <c r="P26" s="102">
        <v>12.9</v>
      </c>
      <c r="Q26" s="102">
        <v>12.9</v>
      </c>
      <c r="R26" s="102">
        <v>12.9</v>
      </c>
      <c r="S26" s="102">
        <v>12.9</v>
      </c>
      <c r="T26" s="102">
        <v>12.9</v>
      </c>
      <c r="U26" s="102">
        <v>12.9</v>
      </c>
      <c r="V26" s="102">
        <v>13.2</v>
      </c>
      <c r="W26" s="102">
        <v>13.2</v>
      </c>
      <c r="X26" s="102">
        <v>13.2</v>
      </c>
      <c r="Y26" s="102">
        <v>13.2</v>
      </c>
      <c r="Z26" s="102">
        <v>13.2</v>
      </c>
      <c r="AA26" s="102">
        <v>13.2</v>
      </c>
      <c r="AB26" s="102">
        <v>13.2</v>
      </c>
      <c r="AC26" s="102">
        <v>13.2</v>
      </c>
      <c r="AD26" s="102">
        <v>13.2</v>
      </c>
      <c r="AE26" s="102">
        <v>13.2</v>
      </c>
      <c r="AF26" s="102">
        <v>13.2</v>
      </c>
      <c r="AG26" s="130">
        <v>25</v>
      </c>
      <c r="AH26" s="12">
        <f t="shared" si="8"/>
        <v>14.9</v>
      </c>
      <c r="AI26" s="11">
        <f t="shared" si="9"/>
        <v>12.9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25">
      <c r="A27" s="89" t="s">
        <v>240</v>
      </c>
      <c r="B27" s="102">
        <v>0</v>
      </c>
      <c r="C27" s="102">
        <v>0</v>
      </c>
      <c r="D27" s="102">
        <v>0</v>
      </c>
      <c r="E27" s="102">
        <v>0</v>
      </c>
      <c r="F27" s="102">
        <v>0</v>
      </c>
      <c r="G27" s="102">
        <v>12</v>
      </c>
      <c r="H27" s="102">
        <v>10</v>
      </c>
      <c r="I27" s="102">
        <v>8</v>
      </c>
      <c r="J27" s="102">
        <v>8</v>
      </c>
      <c r="K27" s="102">
        <v>8</v>
      </c>
      <c r="L27" s="102">
        <v>8</v>
      </c>
      <c r="M27" s="102">
        <v>8</v>
      </c>
      <c r="N27" s="102">
        <v>0</v>
      </c>
      <c r="O27" s="102">
        <v>0</v>
      </c>
      <c r="P27" s="102">
        <v>0</v>
      </c>
      <c r="Q27" s="102">
        <v>0</v>
      </c>
      <c r="R27" s="102">
        <v>0</v>
      </c>
      <c r="S27" s="102">
        <v>0</v>
      </c>
      <c r="T27" s="102">
        <v>0</v>
      </c>
      <c r="U27" s="102">
        <v>0</v>
      </c>
      <c r="V27" s="102">
        <v>0</v>
      </c>
      <c r="W27" s="102">
        <v>0</v>
      </c>
      <c r="X27" s="102">
        <v>0</v>
      </c>
      <c r="Y27" s="102">
        <v>0</v>
      </c>
      <c r="Z27" s="102">
        <v>0</v>
      </c>
      <c r="AA27" s="102">
        <v>0</v>
      </c>
      <c r="AB27" s="102">
        <v>0</v>
      </c>
      <c r="AC27" s="102">
        <v>0</v>
      </c>
      <c r="AD27" s="102">
        <v>0</v>
      </c>
      <c r="AE27" s="102">
        <v>0</v>
      </c>
      <c r="AF27" s="102">
        <v>0</v>
      </c>
      <c r="AG27" s="130">
        <v>25</v>
      </c>
      <c r="AH27" s="12">
        <f t="shared" si="8"/>
        <v>12</v>
      </c>
      <c r="AI27" s="11">
        <f t="shared" si="9"/>
        <v>0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25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25">
      <c r="A29" s="89" t="s">
        <v>238</v>
      </c>
      <c r="B29" s="102">
        <v>11</v>
      </c>
      <c r="C29" s="102">
        <v>11</v>
      </c>
      <c r="D29" s="102">
        <v>11</v>
      </c>
      <c r="E29" s="102">
        <v>10</v>
      </c>
      <c r="F29" s="102">
        <v>10</v>
      </c>
      <c r="G29" s="102">
        <v>10</v>
      </c>
      <c r="H29" s="102">
        <v>10</v>
      </c>
      <c r="I29" s="102">
        <v>10</v>
      </c>
      <c r="J29" s="102">
        <v>10</v>
      </c>
      <c r="K29" s="102">
        <v>10</v>
      </c>
      <c r="L29" s="102">
        <v>9.8000000000000007</v>
      </c>
      <c r="M29" s="102">
        <v>9.8000000000000007</v>
      </c>
      <c r="N29" s="102">
        <v>8.6999999999999993</v>
      </c>
      <c r="O29" s="102">
        <v>8.6999999999999993</v>
      </c>
      <c r="P29" s="102">
        <v>8.6999999999999993</v>
      </c>
      <c r="Q29" s="102">
        <v>8.6999999999999993</v>
      </c>
      <c r="R29" s="102">
        <v>8.6999999999999993</v>
      </c>
      <c r="S29" s="102">
        <v>8.6999999999999993</v>
      </c>
      <c r="T29" s="102">
        <v>8.6999999999999993</v>
      </c>
      <c r="U29" s="102">
        <v>8.6999999999999993</v>
      </c>
      <c r="V29" s="102">
        <v>10.6</v>
      </c>
      <c r="W29" s="102">
        <v>10.6</v>
      </c>
      <c r="X29" s="102">
        <v>10.6</v>
      </c>
      <c r="Y29" s="102">
        <v>12.4</v>
      </c>
      <c r="Z29" s="102">
        <v>12.4</v>
      </c>
      <c r="AA29" s="102">
        <v>12.4</v>
      </c>
      <c r="AB29" s="102">
        <v>12.4</v>
      </c>
      <c r="AC29" s="102">
        <v>12.4</v>
      </c>
      <c r="AD29" s="102">
        <v>12.4</v>
      </c>
      <c r="AE29" s="102">
        <v>12.4</v>
      </c>
      <c r="AF29" s="102">
        <v>12.4</v>
      </c>
      <c r="AG29" s="130">
        <v>25</v>
      </c>
      <c r="AH29" s="12">
        <f t="shared" si="8"/>
        <v>12.4</v>
      </c>
      <c r="AI29" s="11">
        <f t="shared" si="9"/>
        <v>8.6999999999999993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25">
      <c r="A30" s="89" t="s">
        <v>237</v>
      </c>
      <c r="B30" s="102">
        <v>10</v>
      </c>
      <c r="C30" s="102">
        <v>10</v>
      </c>
      <c r="D30" s="102">
        <v>10</v>
      </c>
      <c r="E30" s="102">
        <v>6.8</v>
      </c>
      <c r="F30" s="102">
        <v>6.8</v>
      </c>
      <c r="G30" s="102">
        <v>6.8</v>
      </c>
      <c r="H30" s="102">
        <v>6.8</v>
      </c>
      <c r="I30" s="102">
        <v>6.8</v>
      </c>
      <c r="J30" s="102">
        <v>6.8</v>
      </c>
      <c r="K30" s="102">
        <v>6.8</v>
      </c>
      <c r="L30" s="102">
        <v>6.8</v>
      </c>
      <c r="M30" s="102">
        <v>6.8</v>
      </c>
      <c r="N30" s="102">
        <v>7</v>
      </c>
      <c r="O30" s="102">
        <v>7</v>
      </c>
      <c r="P30" s="102">
        <v>7</v>
      </c>
      <c r="Q30" s="102">
        <v>7</v>
      </c>
      <c r="R30" s="102">
        <v>7</v>
      </c>
      <c r="S30" s="102">
        <v>7</v>
      </c>
      <c r="T30" s="102">
        <v>7</v>
      </c>
      <c r="U30" s="102">
        <v>7</v>
      </c>
      <c r="V30" s="102">
        <v>7</v>
      </c>
      <c r="W30" s="102">
        <v>7</v>
      </c>
      <c r="X30" s="102">
        <v>7</v>
      </c>
      <c r="Y30" s="102">
        <v>7</v>
      </c>
      <c r="Z30" s="102">
        <v>7</v>
      </c>
      <c r="AA30" s="102">
        <v>7</v>
      </c>
      <c r="AB30" s="102">
        <v>7</v>
      </c>
      <c r="AC30" s="102">
        <v>7</v>
      </c>
      <c r="AD30" s="102">
        <v>7</v>
      </c>
      <c r="AE30" s="102">
        <v>7</v>
      </c>
      <c r="AF30" s="102">
        <v>7</v>
      </c>
      <c r="AG30" s="130">
        <v>23.5</v>
      </c>
      <c r="AH30" s="12">
        <f t="shared" si="8"/>
        <v>10</v>
      </c>
      <c r="AI30" s="11">
        <f t="shared" si="9"/>
        <v>6.8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25">
      <c r="A31" s="89" t="s">
        <v>236</v>
      </c>
      <c r="B31" s="102">
        <v>9</v>
      </c>
      <c r="C31" s="102">
        <v>9</v>
      </c>
      <c r="D31" s="102">
        <v>9</v>
      </c>
      <c r="E31" s="102">
        <v>9</v>
      </c>
      <c r="F31" s="102">
        <v>9</v>
      </c>
      <c r="G31" s="102">
        <v>9</v>
      </c>
      <c r="H31" s="102">
        <v>9</v>
      </c>
      <c r="I31" s="102">
        <v>9</v>
      </c>
      <c r="J31" s="102">
        <v>9</v>
      </c>
      <c r="K31" s="102">
        <v>9</v>
      </c>
      <c r="L31" s="102">
        <v>9</v>
      </c>
      <c r="M31" s="102">
        <v>9</v>
      </c>
      <c r="N31" s="102">
        <v>9</v>
      </c>
      <c r="O31" s="102">
        <v>9</v>
      </c>
      <c r="P31" s="102">
        <v>9</v>
      </c>
      <c r="Q31" s="102">
        <v>9</v>
      </c>
      <c r="R31" s="102">
        <v>9</v>
      </c>
      <c r="S31" s="102">
        <v>9</v>
      </c>
      <c r="T31" s="102">
        <v>9</v>
      </c>
      <c r="U31" s="102">
        <v>9</v>
      </c>
      <c r="V31" s="102">
        <v>9</v>
      </c>
      <c r="W31" s="102">
        <v>9</v>
      </c>
      <c r="X31" s="102">
        <v>9</v>
      </c>
      <c r="Y31" s="102">
        <v>9</v>
      </c>
      <c r="Z31" s="102">
        <v>9</v>
      </c>
      <c r="AA31" s="102">
        <v>9</v>
      </c>
      <c r="AB31" s="102">
        <v>9</v>
      </c>
      <c r="AC31" s="102">
        <v>9</v>
      </c>
      <c r="AD31" s="102">
        <v>9</v>
      </c>
      <c r="AE31" s="102">
        <v>9</v>
      </c>
      <c r="AF31" s="102">
        <v>9</v>
      </c>
      <c r="AG31" s="130">
        <v>22.2</v>
      </c>
      <c r="AH31" s="12">
        <f t="shared" si="8"/>
        <v>9</v>
      </c>
      <c r="AI31" s="11">
        <f t="shared" si="9"/>
        <v>9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25">
      <c r="A32" s="89" t="s">
        <v>235</v>
      </c>
      <c r="B32" s="102">
        <v>5.5</v>
      </c>
      <c r="C32" s="102">
        <v>5.5</v>
      </c>
      <c r="D32" s="102">
        <v>5.5</v>
      </c>
      <c r="E32" s="102">
        <v>5.5</v>
      </c>
      <c r="F32" s="102">
        <v>5.5</v>
      </c>
      <c r="G32" s="102">
        <v>5.5</v>
      </c>
      <c r="H32" s="102">
        <v>5.5</v>
      </c>
      <c r="I32" s="102">
        <v>5.5</v>
      </c>
      <c r="J32" s="102">
        <v>5.5</v>
      </c>
      <c r="K32" s="102">
        <v>5.5</v>
      </c>
      <c r="L32" s="102">
        <v>5.5</v>
      </c>
      <c r="M32" s="102">
        <v>5.5</v>
      </c>
      <c r="N32" s="102">
        <v>5.5</v>
      </c>
      <c r="O32" s="102">
        <v>5.5</v>
      </c>
      <c r="P32" s="102">
        <v>5.5</v>
      </c>
      <c r="Q32" s="102">
        <v>5.5</v>
      </c>
      <c r="R32" s="102">
        <v>5.5</v>
      </c>
      <c r="S32" s="102">
        <v>5.5</v>
      </c>
      <c r="T32" s="102">
        <v>5.5</v>
      </c>
      <c r="U32" s="102">
        <v>5.5</v>
      </c>
      <c r="V32" s="102">
        <v>5.5</v>
      </c>
      <c r="W32" s="102">
        <v>5.5</v>
      </c>
      <c r="X32" s="102">
        <v>5.5</v>
      </c>
      <c r="Y32" s="102">
        <v>5.5</v>
      </c>
      <c r="Z32" s="102">
        <v>5.5</v>
      </c>
      <c r="AA32" s="102">
        <v>5.5</v>
      </c>
      <c r="AB32" s="102">
        <v>5.5</v>
      </c>
      <c r="AC32" s="102">
        <v>5.5</v>
      </c>
      <c r="AD32" s="102">
        <v>5.5</v>
      </c>
      <c r="AE32" s="102">
        <v>5.5</v>
      </c>
      <c r="AF32" s="102">
        <v>5.5</v>
      </c>
      <c r="AG32" s="130">
        <v>22.1</v>
      </c>
      <c r="AH32" s="12">
        <f t="shared" si="8"/>
        <v>5.5</v>
      </c>
      <c r="AI32" s="11">
        <f t="shared" si="9"/>
        <v>5.5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25">
      <c r="A33" s="89" t="s">
        <v>234</v>
      </c>
      <c r="B33" s="102">
        <v>10</v>
      </c>
      <c r="C33" s="102">
        <v>10</v>
      </c>
      <c r="D33" s="102">
        <v>10</v>
      </c>
      <c r="E33" s="102">
        <v>10</v>
      </c>
      <c r="F33" s="102">
        <v>10</v>
      </c>
      <c r="G33" s="102">
        <v>10</v>
      </c>
      <c r="H33" s="102">
        <v>10</v>
      </c>
      <c r="I33" s="102">
        <v>10</v>
      </c>
      <c r="J33" s="102">
        <v>10</v>
      </c>
      <c r="K33" s="102">
        <v>10</v>
      </c>
      <c r="L33" s="102">
        <v>10</v>
      </c>
      <c r="M33" s="102">
        <v>10</v>
      </c>
      <c r="N33" s="102">
        <v>8</v>
      </c>
      <c r="O33" s="102">
        <v>8</v>
      </c>
      <c r="P33" s="102">
        <v>8</v>
      </c>
      <c r="Q33" s="102">
        <v>8</v>
      </c>
      <c r="R33" s="102">
        <v>8</v>
      </c>
      <c r="S33" s="102">
        <v>8</v>
      </c>
      <c r="T33" s="102">
        <v>8</v>
      </c>
      <c r="U33" s="102">
        <v>8</v>
      </c>
      <c r="V33" s="102">
        <v>8</v>
      </c>
      <c r="W33" s="102">
        <v>8</v>
      </c>
      <c r="X33" s="102">
        <v>8</v>
      </c>
      <c r="Y33" s="102">
        <v>8</v>
      </c>
      <c r="Z33" s="102">
        <v>8</v>
      </c>
      <c r="AA33" s="102">
        <v>8</v>
      </c>
      <c r="AB33" s="102">
        <v>8</v>
      </c>
      <c r="AC33" s="102">
        <v>8</v>
      </c>
      <c r="AD33" s="102">
        <v>8</v>
      </c>
      <c r="AE33" s="102">
        <v>8</v>
      </c>
      <c r="AF33" s="102">
        <v>8</v>
      </c>
      <c r="AG33" s="130">
        <v>22</v>
      </c>
      <c r="AH33" s="12">
        <f t="shared" si="8"/>
        <v>10</v>
      </c>
      <c r="AI33" s="11">
        <f t="shared" si="9"/>
        <v>8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25">
      <c r="A34" s="89" t="s">
        <v>233</v>
      </c>
      <c r="B34" s="102">
        <v>9.6</v>
      </c>
      <c r="C34" s="102">
        <v>9.6</v>
      </c>
      <c r="D34" s="102">
        <v>9.6</v>
      </c>
      <c r="E34" s="102">
        <v>8.9</v>
      </c>
      <c r="F34" s="102">
        <v>8.9</v>
      </c>
      <c r="G34" s="102">
        <v>8.9</v>
      </c>
      <c r="H34" s="102">
        <v>8.9</v>
      </c>
      <c r="I34" s="102">
        <v>8.9</v>
      </c>
      <c r="J34" s="102">
        <v>8.9</v>
      </c>
      <c r="K34" s="102">
        <v>8.9</v>
      </c>
      <c r="L34" s="102">
        <v>6.8</v>
      </c>
      <c r="M34" s="102">
        <v>6.8</v>
      </c>
      <c r="N34" s="102">
        <v>5.8</v>
      </c>
      <c r="O34" s="102">
        <v>5.8</v>
      </c>
      <c r="P34" s="102">
        <v>5.8</v>
      </c>
      <c r="Q34" s="102">
        <v>5.8</v>
      </c>
      <c r="R34" s="102">
        <v>5.8</v>
      </c>
      <c r="S34" s="102">
        <v>5.8</v>
      </c>
      <c r="T34" s="102">
        <v>5.8</v>
      </c>
      <c r="U34" s="102">
        <v>5.8</v>
      </c>
      <c r="V34" s="102">
        <v>5.8</v>
      </c>
      <c r="W34" s="102">
        <v>6.6</v>
      </c>
      <c r="X34" s="102">
        <v>6.6</v>
      </c>
      <c r="Y34" s="102">
        <v>6.6</v>
      </c>
      <c r="Z34" s="102">
        <v>6.6</v>
      </c>
      <c r="AA34" s="102">
        <v>6.6</v>
      </c>
      <c r="AB34" s="102">
        <v>6.6</v>
      </c>
      <c r="AC34" s="102">
        <v>6.6</v>
      </c>
      <c r="AD34" s="102">
        <v>6.6</v>
      </c>
      <c r="AE34" s="102">
        <v>6.6</v>
      </c>
      <c r="AF34" s="102">
        <v>6.6</v>
      </c>
      <c r="AG34" s="130">
        <v>22</v>
      </c>
      <c r="AH34" s="12">
        <f t="shared" si="8"/>
        <v>9.6</v>
      </c>
      <c r="AI34" s="11">
        <f t="shared" si="9"/>
        <v>5.8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25">
      <c r="A35" s="89" t="s">
        <v>232</v>
      </c>
      <c r="B35" s="102">
        <v>6</v>
      </c>
      <c r="C35" s="102">
        <v>6</v>
      </c>
      <c r="D35" s="102">
        <v>6</v>
      </c>
      <c r="E35" s="102">
        <v>6</v>
      </c>
      <c r="F35" s="102">
        <v>6</v>
      </c>
      <c r="G35" s="102">
        <v>6</v>
      </c>
      <c r="H35" s="102">
        <v>6</v>
      </c>
      <c r="I35" s="102">
        <v>6</v>
      </c>
      <c r="J35" s="102">
        <v>6</v>
      </c>
      <c r="K35" s="102">
        <v>6</v>
      </c>
      <c r="L35" s="102">
        <v>6</v>
      </c>
      <c r="M35" s="102">
        <v>6</v>
      </c>
      <c r="N35" s="102">
        <v>6</v>
      </c>
      <c r="O35" s="102">
        <v>6</v>
      </c>
      <c r="P35" s="102">
        <v>6</v>
      </c>
      <c r="Q35" s="102">
        <v>6</v>
      </c>
      <c r="R35" s="102">
        <v>6</v>
      </c>
      <c r="S35" s="102">
        <v>6</v>
      </c>
      <c r="T35" s="102">
        <v>6</v>
      </c>
      <c r="U35" s="102">
        <v>6</v>
      </c>
      <c r="V35" s="102">
        <v>6</v>
      </c>
      <c r="W35" s="102">
        <v>6</v>
      </c>
      <c r="X35" s="102">
        <v>6</v>
      </c>
      <c r="Y35" s="102">
        <v>6</v>
      </c>
      <c r="Z35" s="102">
        <v>6</v>
      </c>
      <c r="AA35" s="102">
        <v>6</v>
      </c>
      <c r="AB35" s="102">
        <v>6</v>
      </c>
      <c r="AC35" s="102">
        <v>6</v>
      </c>
      <c r="AD35" s="102">
        <v>6</v>
      </c>
      <c r="AE35" s="102">
        <v>6</v>
      </c>
      <c r="AF35" s="102">
        <v>6</v>
      </c>
      <c r="AG35" s="130">
        <v>20</v>
      </c>
      <c r="AH35" s="12">
        <f t="shared" si="8"/>
        <v>6</v>
      </c>
      <c r="AI35" s="11">
        <f t="shared" si="9"/>
        <v>6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25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25">
      <c r="A37" s="89" t="s">
        <v>230</v>
      </c>
      <c r="B37" s="102">
        <v>5.7</v>
      </c>
      <c r="C37" s="102">
        <v>5.7</v>
      </c>
      <c r="D37" s="102">
        <v>5.7</v>
      </c>
      <c r="E37" s="102">
        <v>5.7</v>
      </c>
      <c r="F37" s="102">
        <v>5.7</v>
      </c>
      <c r="G37" s="102">
        <v>5.7</v>
      </c>
      <c r="H37" s="102">
        <v>5.7</v>
      </c>
      <c r="I37" s="102">
        <v>5.7</v>
      </c>
      <c r="J37" s="102">
        <v>5.7</v>
      </c>
      <c r="K37" s="102">
        <v>5.7</v>
      </c>
      <c r="L37" s="102">
        <v>5.7</v>
      </c>
      <c r="M37" s="102">
        <v>5.7</v>
      </c>
      <c r="N37" s="102">
        <v>5.7</v>
      </c>
      <c r="O37" s="102">
        <v>5.7</v>
      </c>
      <c r="P37" s="102">
        <v>5.7</v>
      </c>
      <c r="Q37" s="102">
        <v>5.7</v>
      </c>
      <c r="R37" s="102">
        <v>5.7</v>
      </c>
      <c r="S37" s="102">
        <v>5.7</v>
      </c>
      <c r="T37" s="102">
        <v>5.7</v>
      </c>
      <c r="U37" s="102">
        <v>5.7</v>
      </c>
      <c r="V37" s="102">
        <v>5.7</v>
      </c>
      <c r="W37" s="102">
        <v>5.7</v>
      </c>
      <c r="X37" s="102">
        <v>5.7</v>
      </c>
      <c r="Y37" s="102">
        <v>5.7</v>
      </c>
      <c r="Z37" s="102">
        <v>5.7</v>
      </c>
      <c r="AA37" s="102">
        <v>5.7</v>
      </c>
      <c r="AB37" s="102">
        <v>5.7</v>
      </c>
      <c r="AC37" s="102">
        <v>5.7</v>
      </c>
      <c r="AD37" s="102">
        <v>5.7</v>
      </c>
      <c r="AE37" s="102">
        <v>5.7</v>
      </c>
      <c r="AF37" s="102">
        <v>5.7</v>
      </c>
      <c r="AG37" s="130">
        <v>18</v>
      </c>
      <c r="AH37" s="12">
        <f t="shared" si="8"/>
        <v>5.7</v>
      </c>
      <c r="AI37" s="11">
        <f t="shared" si="9"/>
        <v>5.7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25">
      <c r="A38" s="89" t="s">
        <v>229</v>
      </c>
      <c r="B38" s="102">
        <v>4.9000000000000004</v>
      </c>
      <c r="C38" s="102">
        <v>4.9000000000000004</v>
      </c>
      <c r="D38" s="102">
        <v>4.9000000000000004</v>
      </c>
      <c r="E38" s="102">
        <v>4.9000000000000004</v>
      </c>
      <c r="F38" s="102">
        <v>4.9000000000000004</v>
      </c>
      <c r="G38" s="102">
        <v>4.9000000000000004</v>
      </c>
      <c r="H38" s="102">
        <v>4.9000000000000004</v>
      </c>
      <c r="I38" s="102">
        <v>4.9000000000000004</v>
      </c>
      <c r="J38" s="102">
        <v>4.9000000000000004</v>
      </c>
      <c r="K38" s="102">
        <v>4.9000000000000004</v>
      </c>
      <c r="L38" s="102">
        <v>4.9000000000000004</v>
      </c>
      <c r="M38" s="102">
        <v>4.9000000000000004</v>
      </c>
      <c r="N38" s="102">
        <v>4.9000000000000004</v>
      </c>
      <c r="O38" s="102">
        <v>4.9000000000000004</v>
      </c>
      <c r="P38" s="102">
        <v>4.9000000000000004</v>
      </c>
      <c r="Q38" s="102">
        <v>4.9000000000000004</v>
      </c>
      <c r="R38" s="102">
        <v>4.9000000000000004</v>
      </c>
      <c r="S38" s="102">
        <v>4.9000000000000004</v>
      </c>
      <c r="T38" s="102">
        <v>4.9000000000000004</v>
      </c>
      <c r="U38" s="102">
        <v>4.9000000000000004</v>
      </c>
      <c r="V38" s="102">
        <v>4.9000000000000004</v>
      </c>
      <c r="W38" s="102">
        <v>4.9000000000000004</v>
      </c>
      <c r="X38" s="102">
        <v>4.9000000000000004</v>
      </c>
      <c r="Y38" s="102">
        <v>4.9000000000000004</v>
      </c>
      <c r="Z38" s="102">
        <v>4.9000000000000004</v>
      </c>
      <c r="AA38" s="102">
        <v>4.9000000000000004</v>
      </c>
      <c r="AB38" s="102">
        <v>4.9000000000000004</v>
      </c>
      <c r="AC38" s="102">
        <v>4.9000000000000004</v>
      </c>
      <c r="AD38" s="102">
        <v>4.9000000000000004</v>
      </c>
      <c r="AE38" s="102">
        <v>4.9000000000000004</v>
      </c>
      <c r="AF38" s="102">
        <v>4.9000000000000004</v>
      </c>
      <c r="AG38" s="130">
        <v>14.9</v>
      </c>
      <c r="AH38" s="12">
        <f t="shared" si="8"/>
        <v>4.9000000000000004</v>
      </c>
      <c r="AI38" s="11">
        <f t="shared" si="9"/>
        <v>4.9000000000000004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25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25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25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25">
      <c r="A42" s="89" t="s">
        <v>225</v>
      </c>
      <c r="B42" s="102">
        <v>1.8</v>
      </c>
      <c r="C42" s="102">
        <v>1.8</v>
      </c>
      <c r="D42" s="102">
        <v>1.8</v>
      </c>
      <c r="E42" s="102">
        <v>1.8</v>
      </c>
      <c r="F42" s="102">
        <v>1.8</v>
      </c>
      <c r="G42" s="102">
        <v>1.8</v>
      </c>
      <c r="H42" s="102">
        <v>1.8</v>
      </c>
      <c r="I42" s="102">
        <v>1.8</v>
      </c>
      <c r="J42" s="102">
        <v>1.8</v>
      </c>
      <c r="K42" s="102">
        <v>1.8</v>
      </c>
      <c r="L42" s="102">
        <v>1.8</v>
      </c>
      <c r="M42" s="102">
        <v>1.8</v>
      </c>
      <c r="N42" s="102">
        <v>1.8</v>
      </c>
      <c r="O42" s="102">
        <v>1.8</v>
      </c>
      <c r="P42" s="102">
        <v>1.8</v>
      </c>
      <c r="Q42" s="102">
        <v>1.8</v>
      </c>
      <c r="R42" s="102">
        <v>1.8</v>
      </c>
      <c r="S42" s="102">
        <v>1.8</v>
      </c>
      <c r="T42" s="102">
        <v>1.8</v>
      </c>
      <c r="U42" s="102">
        <v>1.8</v>
      </c>
      <c r="V42" s="102">
        <v>1.8</v>
      </c>
      <c r="W42" s="102">
        <v>1.8</v>
      </c>
      <c r="X42" s="102">
        <v>1.8</v>
      </c>
      <c r="Y42" s="102">
        <v>1.8</v>
      </c>
      <c r="Z42" s="102">
        <v>1.8</v>
      </c>
      <c r="AA42" s="102">
        <v>1.8</v>
      </c>
      <c r="AB42" s="102">
        <v>1.8</v>
      </c>
      <c r="AC42" s="102">
        <v>1.8</v>
      </c>
      <c r="AD42" s="102">
        <v>1.8</v>
      </c>
      <c r="AE42" s="102">
        <v>1.8</v>
      </c>
      <c r="AF42" s="102">
        <v>1.8</v>
      </c>
      <c r="AG42" s="130">
        <v>13.6</v>
      </c>
      <c r="AH42" s="12">
        <f t="shared" si="8"/>
        <v>1.8</v>
      </c>
      <c r="AI42" s="11">
        <f t="shared" si="9"/>
        <v>1.8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25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25">
      <c r="A44" s="89" t="s">
        <v>223</v>
      </c>
      <c r="B44" s="102">
        <v>6.4</v>
      </c>
      <c r="C44" s="102">
        <v>6.4</v>
      </c>
      <c r="D44" s="102">
        <v>6.4</v>
      </c>
      <c r="E44" s="102">
        <v>6.4</v>
      </c>
      <c r="F44" s="102">
        <v>6.4</v>
      </c>
      <c r="G44" s="102">
        <v>6.4</v>
      </c>
      <c r="H44" s="102">
        <v>6.4</v>
      </c>
      <c r="I44" s="102">
        <v>6.4</v>
      </c>
      <c r="J44" s="102">
        <v>6.4</v>
      </c>
      <c r="K44" s="102">
        <v>6.4</v>
      </c>
      <c r="L44" s="102">
        <v>6.4</v>
      </c>
      <c r="M44" s="102">
        <v>6.4</v>
      </c>
      <c r="N44" s="102">
        <v>6.4</v>
      </c>
      <c r="O44" s="102">
        <v>6.4</v>
      </c>
      <c r="P44" s="102">
        <v>6.4</v>
      </c>
      <c r="Q44" s="102">
        <v>6.4</v>
      </c>
      <c r="R44" s="102">
        <v>6.4</v>
      </c>
      <c r="S44" s="102">
        <v>6.4</v>
      </c>
      <c r="T44" s="102">
        <v>6.4</v>
      </c>
      <c r="U44" s="102">
        <v>6.4</v>
      </c>
      <c r="V44" s="102">
        <v>6.4</v>
      </c>
      <c r="W44" s="102">
        <v>6.4</v>
      </c>
      <c r="X44" s="102">
        <v>6.4</v>
      </c>
      <c r="Y44" s="102">
        <v>6.4</v>
      </c>
      <c r="Z44" s="102">
        <v>6.4</v>
      </c>
      <c r="AA44" s="102">
        <v>6.4</v>
      </c>
      <c r="AB44" s="102">
        <v>6.4</v>
      </c>
      <c r="AC44" s="102">
        <v>6.4</v>
      </c>
      <c r="AD44" s="102">
        <v>6.4</v>
      </c>
      <c r="AE44" s="102">
        <v>6.4</v>
      </c>
      <c r="AF44" s="102">
        <v>6.4</v>
      </c>
      <c r="AG44" s="130">
        <v>12</v>
      </c>
      <c r="AH44" s="12">
        <f t="shared" si="8"/>
        <v>6.4</v>
      </c>
      <c r="AI44" s="11">
        <f t="shared" si="9"/>
        <v>6.4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25">
      <c r="A45" s="89" t="s">
        <v>222</v>
      </c>
      <c r="B45" s="102">
        <v>9</v>
      </c>
      <c r="C45" s="102">
        <v>9</v>
      </c>
      <c r="D45" s="102">
        <v>9</v>
      </c>
      <c r="E45" s="102">
        <v>9</v>
      </c>
      <c r="F45" s="102">
        <v>9</v>
      </c>
      <c r="G45" s="102">
        <v>9</v>
      </c>
      <c r="H45" s="102">
        <v>9</v>
      </c>
      <c r="I45" s="102">
        <v>9</v>
      </c>
      <c r="J45" s="102">
        <v>9</v>
      </c>
      <c r="K45" s="102">
        <v>9</v>
      </c>
      <c r="L45" s="102">
        <v>9</v>
      </c>
      <c r="M45" s="102">
        <v>9</v>
      </c>
      <c r="N45" s="102">
        <v>9</v>
      </c>
      <c r="O45" s="102">
        <v>9</v>
      </c>
      <c r="P45" s="102">
        <v>9</v>
      </c>
      <c r="Q45" s="102">
        <v>9</v>
      </c>
      <c r="R45" s="102">
        <v>9</v>
      </c>
      <c r="S45" s="102">
        <v>9</v>
      </c>
      <c r="T45" s="102">
        <v>9</v>
      </c>
      <c r="U45" s="102">
        <v>9</v>
      </c>
      <c r="V45" s="102">
        <v>9</v>
      </c>
      <c r="W45" s="102">
        <v>9</v>
      </c>
      <c r="X45" s="102">
        <v>9</v>
      </c>
      <c r="Y45" s="102">
        <v>9</v>
      </c>
      <c r="Z45" s="102">
        <v>9</v>
      </c>
      <c r="AA45" s="102">
        <v>9</v>
      </c>
      <c r="AB45" s="102">
        <v>9</v>
      </c>
      <c r="AC45" s="102">
        <v>9</v>
      </c>
      <c r="AD45" s="102">
        <v>9</v>
      </c>
      <c r="AE45" s="102">
        <v>9</v>
      </c>
      <c r="AF45" s="102">
        <v>9</v>
      </c>
      <c r="AG45" s="130">
        <v>12</v>
      </c>
      <c r="AH45" s="12">
        <f t="shared" si="8"/>
        <v>9</v>
      </c>
      <c r="AI45" s="11">
        <f t="shared" si="9"/>
        <v>9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25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25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25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25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25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ref="AH50:AH81" si="22">MAX(B50:AF50)</f>
        <v>2.2000000000000002</v>
      </c>
      <c r="AI50" s="11">
        <f t="shared" ref="AI50:AI81" si="23">MIN(B50:AF50)</f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25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22"/>
        <v>3</v>
      </c>
      <c r="AI51" s="11">
        <f t="shared" si="23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25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22"/>
        <v>5</v>
      </c>
      <c r="AI52" s="11">
        <f t="shared" si="23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25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22"/>
        <v>8.6999999999999993</v>
      </c>
      <c r="AI53" s="11">
        <f t="shared" si="23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25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22"/>
        <v>0</v>
      </c>
      <c r="AI54" s="11">
        <f t="shared" si="23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25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22"/>
        <v>0</v>
      </c>
      <c r="AI55" s="11">
        <f t="shared" si="23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25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22"/>
        <v>150</v>
      </c>
      <c r="AI56" s="11">
        <f t="shared" si="23"/>
        <v>150</v>
      </c>
      <c r="AK56" s="19"/>
    </row>
    <row r="57" spans="1:88" ht="15.75" thickBot="1" x14ac:dyDescent="0.3">
      <c r="A57" s="124" t="s">
        <v>210</v>
      </c>
      <c r="B57" s="122">
        <f>23.1+48.7</f>
        <v>71.800000000000011</v>
      </c>
      <c r="C57" s="122">
        <f t="shared" ref="C57:F57" si="24">23.1+48.7</f>
        <v>71.800000000000011</v>
      </c>
      <c r="D57" s="122">
        <f t="shared" si="24"/>
        <v>71.800000000000011</v>
      </c>
      <c r="E57" s="122">
        <f t="shared" si="24"/>
        <v>71.800000000000011</v>
      </c>
      <c r="F57" s="122">
        <f t="shared" si="24"/>
        <v>71.800000000000011</v>
      </c>
      <c r="G57" s="122">
        <v>80.900000000000006</v>
      </c>
      <c r="H57" s="122">
        <v>76.3</v>
      </c>
      <c r="I57" s="122">
        <v>76.3</v>
      </c>
      <c r="J57" s="122">
        <v>76.3</v>
      </c>
      <c r="K57" s="122">
        <v>76.3</v>
      </c>
      <c r="L57" s="122">
        <v>81.3</v>
      </c>
      <c r="M57" s="123"/>
      <c r="N57" s="123">
        <f>17.7+38.3</f>
        <v>56</v>
      </c>
      <c r="O57" s="123">
        <f>14.8+33.8</f>
        <v>48.599999999999994</v>
      </c>
      <c r="P57" s="123">
        <f>15+30.7</f>
        <v>45.7</v>
      </c>
      <c r="Q57" s="123">
        <f>14.8+30.9</f>
        <v>45.7</v>
      </c>
      <c r="R57" s="123">
        <f>14.8+31.6</f>
        <v>46.400000000000006</v>
      </c>
      <c r="S57" s="123">
        <v>72</v>
      </c>
      <c r="T57" s="123">
        <f>38.6+24.7</f>
        <v>63.3</v>
      </c>
      <c r="U57" s="123">
        <f>38.1+22.2</f>
        <v>60.3</v>
      </c>
      <c r="V57" s="123">
        <f>38.1+22.2</f>
        <v>60.3</v>
      </c>
      <c r="W57" s="123">
        <v>58.6</v>
      </c>
      <c r="X57" s="123">
        <f>29.8+14</f>
        <v>43.8</v>
      </c>
      <c r="Y57" s="122">
        <f>32.6+19.6</f>
        <v>52.2</v>
      </c>
      <c r="Z57" s="122">
        <v>53.6</v>
      </c>
      <c r="AA57" s="122">
        <f>33+20.4</f>
        <v>53.4</v>
      </c>
      <c r="AB57" s="122">
        <f>22.2+34.3</f>
        <v>56.5</v>
      </c>
      <c r="AC57" s="122">
        <f t="shared" ref="AC57" si="25">22.2+34.3</f>
        <v>56.5</v>
      </c>
      <c r="AD57" s="122">
        <v>55.4</v>
      </c>
      <c r="AE57" s="122">
        <v>54.2</v>
      </c>
      <c r="AF57" s="122">
        <v>55.5</v>
      </c>
      <c r="AG57" s="86">
        <v>240</v>
      </c>
      <c r="AH57" s="12">
        <f t="shared" si="22"/>
        <v>81.3</v>
      </c>
      <c r="AI57" s="11">
        <f t="shared" si="23"/>
        <v>43.8</v>
      </c>
      <c r="AK57" s="19"/>
    </row>
    <row r="58" spans="1:88" ht="15.75" thickBot="1" x14ac:dyDescent="0.3">
      <c r="A58" s="121" t="s">
        <v>209</v>
      </c>
      <c r="B58" s="76">
        <f t="shared" ref="B58:AF58" si="26">SUM(B11:B56)</f>
        <v>562.09999999999991</v>
      </c>
      <c r="C58" s="76">
        <f t="shared" si="26"/>
        <v>562.09999999999991</v>
      </c>
      <c r="D58" s="76">
        <f t="shared" si="26"/>
        <v>562.09999999999991</v>
      </c>
      <c r="E58" s="76">
        <f t="shared" si="26"/>
        <v>542.49999999999989</v>
      </c>
      <c r="F58" s="76">
        <f t="shared" si="26"/>
        <v>562.99999999999989</v>
      </c>
      <c r="G58" s="76">
        <f t="shared" si="26"/>
        <v>553.99999999999989</v>
      </c>
      <c r="H58" s="76">
        <f t="shared" si="26"/>
        <v>555.89999999999986</v>
      </c>
      <c r="I58" s="76">
        <f t="shared" si="26"/>
        <v>554.39999999999986</v>
      </c>
      <c r="J58" s="76">
        <f t="shared" si="26"/>
        <v>549.69999999999993</v>
      </c>
      <c r="K58" s="76">
        <f t="shared" si="26"/>
        <v>548.69999999999993</v>
      </c>
      <c r="L58" s="76">
        <f t="shared" si="26"/>
        <v>546.69999999999993</v>
      </c>
      <c r="M58" s="76">
        <f t="shared" si="26"/>
        <v>546.69999999999993</v>
      </c>
      <c r="N58" s="76">
        <f t="shared" ref="N58:O58" si="27">SUM(N11:N56)</f>
        <v>528.4</v>
      </c>
      <c r="O58" s="76">
        <f t="shared" si="27"/>
        <v>528.4</v>
      </c>
      <c r="P58" s="76">
        <f t="shared" ref="P58" si="28">SUM(P11:P56)</f>
        <v>520.29999999999995</v>
      </c>
      <c r="Q58" s="76">
        <f t="shared" si="26"/>
        <v>520.29999999999995</v>
      </c>
      <c r="R58" s="76">
        <f t="shared" si="26"/>
        <v>520.29999999999995</v>
      </c>
      <c r="S58" s="76">
        <f t="shared" si="26"/>
        <v>520.29999999999995</v>
      </c>
      <c r="T58" s="76">
        <f t="shared" si="26"/>
        <v>519.39999999999986</v>
      </c>
      <c r="U58" s="76">
        <f t="shared" si="26"/>
        <v>518.39999999999986</v>
      </c>
      <c r="V58" s="76">
        <f t="shared" si="26"/>
        <v>518.79999999999995</v>
      </c>
      <c r="W58" s="76">
        <f t="shared" si="26"/>
        <v>520.29999999999995</v>
      </c>
      <c r="X58" s="76">
        <f t="shared" si="26"/>
        <v>520.59999999999991</v>
      </c>
      <c r="Y58" s="76">
        <f t="shared" si="26"/>
        <v>526.29999999999995</v>
      </c>
      <c r="Z58" s="76">
        <v>526.29999999999995</v>
      </c>
      <c r="AA58" s="76">
        <f t="shared" si="26"/>
        <v>523</v>
      </c>
      <c r="AB58" s="76">
        <f t="shared" si="26"/>
        <v>530.59999999999991</v>
      </c>
      <c r="AC58" s="76">
        <f t="shared" ref="AC58:AD58" si="29">SUM(AC11:AC56)</f>
        <v>529.59999999999991</v>
      </c>
      <c r="AD58" s="76">
        <f t="shared" si="29"/>
        <v>530.09999999999991</v>
      </c>
      <c r="AE58" s="76">
        <f t="shared" si="26"/>
        <v>550.89999999999986</v>
      </c>
      <c r="AF58" s="76">
        <f t="shared" si="26"/>
        <v>550.59999999999991</v>
      </c>
      <c r="AG58" s="93">
        <f>SUM(AG14:AG56)</f>
        <v>1042.4000000000001</v>
      </c>
      <c r="AH58" s="12">
        <f t="shared" si="22"/>
        <v>562.99999999999989</v>
      </c>
      <c r="AI58" s="11">
        <f t="shared" si="23"/>
        <v>518.39999999999986</v>
      </c>
      <c r="AK58" s="19"/>
    </row>
    <row r="59" spans="1:88" x14ac:dyDescent="0.25">
      <c r="A59" s="120" t="s">
        <v>208</v>
      </c>
      <c r="B59" s="102">
        <v>75</v>
      </c>
      <c r="C59" s="102">
        <v>75</v>
      </c>
      <c r="D59" s="102">
        <v>75</v>
      </c>
      <c r="E59" s="102">
        <v>75</v>
      </c>
      <c r="F59" s="102">
        <v>75</v>
      </c>
      <c r="G59" s="102">
        <v>75</v>
      </c>
      <c r="H59" s="102">
        <v>76</v>
      </c>
      <c r="I59" s="102">
        <v>146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02">
        <v>0</v>
      </c>
      <c r="X59" s="102">
        <v>44</v>
      </c>
      <c r="Y59" s="102">
        <v>254</v>
      </c>
      <c r="Z59" s="102">
        <v>150</v>
      </c>
      <c r="AA59" s="102">
        <v>271</v>
      </c>
      <c r="AB59" s="102">
        <v>301</v>
      </c>
      <c r="AC59" s="102">
        <v>301</v>
      </c>
      <c r="AD59" s="102">
        <v>301</v>
      </c>
      <c r="AE59" s="102">
        <v>205</v>
      </c>
      <c r="AF59" s="102">
        <v>221</v>
      </c>
      <c r="AG59" s="88">
        <v>456</v>
      </c>
      <c r="AH59" s="12">
        <f t="shared" si="22"/>
        <v>301</v>
      </c>
      <c r="AI59" s="11">
        <f t="shared" si="23"/>
        <v>0</v>
      </c>
      <c r="AK59" s="19"/>
    </row>
    <row r="60" spans="1:88" x14ac:dyDescent="0.25">
      <c r="A60" s="118" t="s">
        <v>207</v>
      </c>
      <c r="B60" s="70">
        <v>59.3</v>
      </c>
      <c r="C60" s="70">
        <v>59.3</v>
      </c>
      <c r="D60" s="70">
        <v>59.3</v>
      </c>
      <c r="E60" s="70">
        <v>59.3</v>
      </c>
      <c r="F60" s="70">
        <v>55</v>
      </c>
      <c r="G60" s="70">
        <v>45</v>
      </c>
      <c r="H60" s="70">
        <v>38.700000000000003</v>
      </c>
      <c r="I60" s="70">
        <v>38.6</v>
      </c>
      <c r="J60" s="70">
        <v>36.799999999999997</v>
      </c>
      <c r="K60" s="70">
        <v>35.6</v>
      </c>
      <c r="L60" s="70">
        <v>33.6</v>
      </c>
      <c r="M60" s="70">
        <v>33</v>
      </c>
      <c r="N60" s="70">
        <v>26</v>
      </c>
      <c r="O60" s="70">
        <v>28.7</v>
      </c>
      <c r="P60" s="70">
        <v>30.8</v>
      </c>
      <c r="Q60" s="70">
        <v>30.5</v>
      </c>
      <c r="R60" s="70">
        <v>29.5</v>
      </c>
      <c r="S60" s="70">
        <v>28</v>
      </c>
      <c r="T60" s="70">
        <v>28</v>
      </c>
      <c r="U60" s="70">
        <v>28</v>
      </c>
      <c r="V60" s="70">
        <v>28</v>
      </c>
      <c r="W60" s="70">
        <v>25</v>
      </c>
      <c r="X60" s="70">
        <v>26</v>
      </c>
      <c r="Y60" s="70">
        <v>26</v>
      </c>
      <c r="Z60" s="70">
        <v>26</v>
      </c>
      <c r="AA60" s="70">
        <v>26</v>
      </c>
      <c r="AB60" s="70">
        <v>26.4</v>
      </c>
      <c r="AC60" s="70">
        <v>26.4</v>
      </c>
      <c r="AD60" s="70">
        <v>26.4</v>
      </c>
      <c r="AE60" s="70">
        <v>25</v>
      </c>
      <c r="AF60" s="70">
        <v>25.1</v>
      </c>
      <c r="AG60" s="86">
        <v>60</v>
      </c>
      <c r="AH60" s="12">
        <f t="shared" si="22"/>
        <v>59.3</v>
      </c>
      <c r="AI60" s="11">
        <f t="shared" si="23"/>
        <v>25</v>
      </c>
      <c r="AK60" s="19"/>
    </row>
    <row r="61" spans="1:88" ht="15.75" thickBot="1" x14ac:dyDescent="0.3">
      <c r="A61" s="117" t="s">
        <v>206</v>
      </c>
      <c r="B61" s="110">
        <v>20.3</v>
      </c>
      <c r="C61" s="110">
        <v>20.3</v>
      </c>
      <c r="D61" s="110">
        <v>20.3</v>
      </c>
      <c r="E61" s="110">
        <v>20.3</v>
      </c>
      <c r="F61" s="110">
        <v>13.3</v>
      </c>
      <c r="G61" s="110">
        <v>13.3</v>
      </c>
      <c r="H61" s="110">
        <v>13.3</v>
      </c>
      <c r="I61" s="110">
        <v>13.3</v>
      </c>
      <c r="J61" s="110">
        <v>13.2</v>
      </c>
      <c r="K61" s="110">
        <v>13.2</v>
      </c>
      <c r="L61" s="110">
        <v>13.3</v>
      </c>
      <c r="M61" s="110">
        <v>13.2</v>
      </c>
      <c r="N61" s="110">
        <v>18.7</v>
      </c>
      <c r="O61" s="110">
        <v>20.2</v>
      </c>
      <c r="P61" s="110">
        <v>20.2</v>
      </c>
      <c r="Q61" s="110">
        <v>13.3</v>
      </c>
      <c r="R61" s="110">
        <v>13.3</v>
      </c>
      <c r="S61" s="110">
        <v>13.4</v>
      </c>
      <c r="T61" s="110">
        <v>13.4</v>
      </c>
      <c r="U61" s="110">
        <v>13.4</v>
      </c>
      <c r="V61" s="110">
        <v>13.4</v>
      </c>
      <c r="W61" s="110">
        <v>13.4</v>
      </c>
      <c r="X61" s="110">
        <v>13.4</v>
      </c>
      <c r="Y61" s="110">
        <v>18.3</v>
      </c>
      <c r="Z61" s="110">
        <v>18.3</v>
      </c>
      <c r="AA61" s="110">
        <v>18.3</v>
      </c>
      <c r="AB61" s="110">
        <v>21.6</v>
      </c>
      <c r="AC61" s="110">
        <v>21.6</v>
      </c>
      <c r="AD61" s="110">
        <v>21.6</v>
      </c>
      <c r="AE61" s="110">
        <v>21.6</v>
      </c>
      <c r="AF61" s="110">
        <v>21</v>
      </c>
      <c r="AG61" s="109">
        <v>22.1</v>
      </c>
      <c r="AH61" s="12">
        <f t="shared" si="22"/>
        <v>21.6</v>
      </c>
      <c r="AI61" s="11">
        <f t="shared" si="23"/>
        <v>13.2</v>
      </c>
      <c r="AK61" s="19"/>
    </row>
    <row r="62" spans="1:88" ht="15.75" thickBot="1" x14ac:dyDescent="0.3">
      <c r="A62" s="116" t="s">
        <v>205</v>
      </c>
      <c r="B62" s="76">
        <f t="shared" ref="B62:AG62" si="30">SUM(B59:B61)</f>
        <v>154.60000000000002</v>
      </c>
      <c r="C62" s="76">
        <f t="shared" si="30"/>
        <v>154.60000000000002</v>
      </c>
      <c r="D62" s="76">
        <f t="shared" si="30"/>
        <v>154.60000000000002</v>
      </c>
      <c r="E62" s="76">
        <f t="shared" si="30"/>
        <v>154.60000000000002</v>
      </c>
      <c r="F62" s="76">
        <f t="shared" si="30"/>
        <v>143.30000000000001</v>
      </c>
      <c r="G62" s="76">
        <f t="shared" si="30"/>
        <v>133.30000000000001</v>
      </c>
      <c r="H62" s="76">
        <f t="shared" si="30"/>
        <v>128</v>
      </c>
      <c r="I62" s="76">
        <f t="shared" si="30"/>
        <v>197.9</v>
      </c>
      <c r="J62" s="76">
        <f t="shared" si="30"/>
        <v>50</v>
      </c>
      <c r="K62" s="76">
        <f t="shared" si="30"/>
        <v>48.8</v>
      </c>
      <c r="L62" s="76">
        <f t="shared" si="30"/>
        <v>46.900000000000006</v>
      </c>
      <c r="M62" s="76">
        <f t="shared" si="30"/>
        <v>46.2</v>
      </c>
      <c r="N62" s="76">
        <f t="shared" si="30"/>
        <v>44.7</v>
      </c>
      <c r="O62" s="76">
        <f t="shared" si="30"/>
        <v>48.9</v>
      </c>
      <c r="P62" s="76">
        <f t="shared" si="30"/>
        <v>51</v>
      </c>
      <c r="Q62" s="76">
        <f t="shared" si="30"/>
        <v>43.8</v>
      </c>
      <c r="R62" s="76">
        <f t="shared" si="30"/>
        <v>42.8</v>
      </c>
      <c r="S62" s="76">
        <f t="shared" si="30"/>
        <v>41.4</v>
      </c>
      <c r="T62" s="76">
        <f t="shared" si="30"/>
        <v>41.4</v>
      </c>
      <c r="U62" s="76">
        <f t="shared" si="30"/>
        <v>41.4</v>
      </c>
      <c r="V62" s="76">
        <f t="shared" si="30"/>
        <v>41.4</v>
      </c>
      <c r="W62" s="76">
        <f t="shared" si="30"/>
        <v>38.4</v>
      </c>
      <c r="X62" s="76">
        <f t="shared" si="30"/>
        <v>83.4</v>
      </c>
      <c r="Y62" s="76">
        <f t="shared" si="30"/>
        <v>298.3</v>
      </c>
      <c r="Z62" s="76">
        <v>298.3</v>
      </c>
      <c r="AA62" s="76">
        <f t="shared" si="30"/>
        <v>315.3</v>
      </c>
      <c r="AB62" s="76">
        <f t="shared" si="30"/>
        <v>349</v>
      </c>
      <c r="AC62" s="76">
        <f t="shared" ref="AC62" si="31">SUM(AC59:AC61)</f>
        <v>349</v>
      </c>
      <c r="AD62" s="76">
        <f t="shared" ref="AD62" si="32">SUM(AD59:AD61)</f>
        <v>349</v>
      </c>
      <c r="AE62" s="76">
        <f t="shared" si="30"/>
        <v>251.6</v>
      </c>
      <c r="AF62" s="76">
        <f t="shared" si="30"/>
        <v>267.10000000000002</v>
      </c>
      <c r="AG62" s="93">
        <f t="shared" si="30"/>
        <v>538.1</v>
      </c>
      <c r="AH62" s="12">
        <f t="shared" si="22"/>
        <v>349</v>
      </c>
      <c r="AI62" s="11">
        <f t="shared" si="23"/>
        <v>38.4</v>
      </c>
      <c r="AK62" s="19"/>
    </row>
    <row r="63" spans="1:88" x14ac:dyDescent="0.25">
      <c r="A63" s="89" t="s">
        <v>204</v>
      </c>
      <c r="B63" s="102">
        <v>70.8</v>
      </c>
      <c r="C63" s="102">
        <v>70.8</v>
      </c>
      <c r="D63" s="102">
        <v>70.8</v>
      </c>
      <c r="E63" s="102">
        <v>48.4</v>
      </c>
      <c r="F63" s="102">
        <v>48.4</v>
      </c>
      <c r="G63" s="102">
        <v>48.4</v>
      </c>
      <c r="H63" s="102">
        <v>112.7</v>
      </c>
      <c r="I63" s="102">
        <v>121.2</v>
      </c>
      <c r="J63" s="102">
        <v>111.5</v>
      </c>
      <c r="K63" s="102">
        <v>61.3</v>
      </c>
      <c r="L63" s="102">
        <v>62</v>
      </c>
      <c r="M63" s="102">
        <v>76.2</v>
      </c>
      <c r="N63" s="102">
        <v>85.5</v>
      </c>
      <c r="O63" s="102">
        <v>86.1</v>
      </c>
      <c r="P63" s="102">
        <v>86.1</v>
      </c>
      <c r="Q63" s="102">
        <v>71.5</v>
      </c>
      <c r="R63" s="102">
        <v>96.4</v>
      </c>
      <c r="S63" s="102">
        <v>80.7</v>
      </c>
      <c r="T63" s="102">
        <v>81.099999999999994</v>
      </c>
      <c r="U63" s="102">
        <v>42.4</v>
      </c>
      <c r="V63" s="102">
        <v>30.9</v>
      </c>
      <c r="W63" s="102">
        <v>56</v>
      </c>
      <c r="X63" s="102">
        <v>57.4</v>
      </c>
      <c r="Y63" s="102">
        <v>91.8</v>
      </c>
      <c r="Z63" s="102">
        <v>91.8</v>
      </c>
      <c r="AA63" s="102">
        <v>121.6</v>
      </c>
      <c r="AB63" s="102">
        <v>120.7</v>
      </c>
      <c r="AC63" s="102">
        <v>120.7</v>
      </c>
      <c r="AD63" s="102">
        <v>120.7</v>
      </c>
      <c r="AE63" s="102">
        <v>115</v>
      </c>
      <c r="AF63" s="102">
        <v>111.5</v>
      </c>
      <c r="AG63" s="88">
        <v>144</v>
      </c>
      <c r="AH63" s="12">
        <f t="shared" si="22"/>
        <v>121.6</v>
      </c>
      <c r="AI63" s="11">
        <f t="shared" si="23"/>
        <v>30.9</v>
      </c>
      <c r="AK63" s="19"/>
    </row>
    <row r="64" spans="1:88" x14ac:dyDescent="0.25">
      <c r="A64" s="87" t="s">
        <v>203</v>
      </c>
      <c r="B64" s="70">
        <v>59.6</v>
      </c>
      <c r="C64" s="70">
        <v>59.6</v>
      </c>
      <c r="D64" s="70">
        <v>59.6</v>
      </c>
      <c r="E64" s="70">
        <v>51.9</v>
      </c>
      <c r="F64" s="70">
        <v>45.3</v>
      </c>
      <c r="G64" s="70">
        <v>46.3</v>
      </c>
      <c r="H64" s="70">
        <v>66.7</v>
      </c>
      <c r="I64" s="70">
        <v>66.400000000000006</v>
      </c>
      <c r="J64" s="70">
        <v>50.8</v>
      </c>
      <c r="K64" s="70">
        <v>24.7</v>
      </c>
      <c r="L64" s="70">
        <v>25.6</v>
      </c>
      <c r="M64" s="70">
        <v>24.2</v>
      </c>
      <c r="N64" s="70">
        <v>35.299999999999997</v>
      </c>
      <c r="O64" s="70">
        <v>35.799999999999997</v>
      </c>
      <c r="P64" s="70">
        <v>30.7</v>
      </c>
      <c r="Q64" s="70">
        <v>33.799999999999997</v>
      </c>
      <c r="R64" s="70">
        <v>50</v>
      </c>
      <c r="S64" s="70">
        <v>44.5</v>
      </c>
      <c r="T64" s="70">
        <v>48.9</v>
      </c>
      <c r="U64" s="70">
        <v>48.2</v>
      </c>
      <c r="V64" s="70">
        <v>45.8</v>
      </c>
      <c r="W64" s="102">
        <v>26.3</v>
      </c>
      <c r="X64" s="102">
        <v>24.6</v>
      </c>
      <c r="Y64" s="102">
        <v>45.2</v>
      </c>
      <c r="Z64" s="102">
        <v>45.2</v>
      </c>
      <c r="AA64" s="102">
        <v>60</v>
      </c>
      <c r="AB64" s="102">
        <v>59.4</v>
      </c>
      <c r="AC64" s="102">
        <v>59.4</v>
      </c>
      <c r="AD64" s="102">
        <v>59.4</v>
      </c>
      <c r="AE64" s="102">
        <v>49.7</v>
      </c>
      <c r="AF64" s="102">
        <v>49.6</v>
      </c>
      <c r="AG64" s="86">
        <v>70</v>
      </c>
      <c r="AH64" s="12">
        <f t="shared" si="22"/>
        <v>66.7</v>
      </c>
      <c r="AI64" s="11">
        <f t="shared" si="23"/>
        <v>24.2</v>
      </c>
      <c r="AK64" s="19"/>
    </row>
    <row r="65" spans="1:75" x14ac:dyDescent="0.25">
      <c r="A65" s="87" t="s">
        <v>202</v>
      </c>
      <c r="B65" s="70">
        <v>32.1</v>
      </c>
      <c r="C65" s="70">
        <v>32.1</v>
      </c>
      <c r="D65" s="70">
        <v>32.1</v>
      </c>
      <c r="E65" s="70">
        <v>33.200000000000003</v>
      </c>
      <c r="F65" s="70">
        <v>33.200000000000003</v>
      </c>
      <c r="G65" s="70">
        <v>45</v>
      </c>
      <c r="H65" s="70">
        <v>67.7</v>
      </c>
      <c r="I65" s="70">
        <v>67.8</v>
      </c>
      <c r="J65" s="70">
        <v>48.8</v>
      </c>
      <c r="K65" s="70">
        <v>32.9</v>
      </c>
      <c r="L65" s="70">
        <v>45.7</v>
      </c>
      <c r="M65" s="70">
        <v>45.9</v>
      </c>
      <c r="N65" s="70">
        <v>45.6</v>
      </c>
      <c r="O65" s="70">
        <v>45.7</v>
      </c>
      <c r="P65" s="70">
        <v>39.1</v>
      </c>
      <c r="Q65" s="70">
        <v>69.5</v>
      </c>
      <c r="R65" s="70">
        <v>62.7</v>
      </c>
      <c r="S65" s="70">
        <v>61.8</v>
      </c>
      <c r="T65" s="70">
        <v>61.5</v>
      </c>
      <c r="U65" s="70">
        <v>47</v>
      </c>
      <c r="V65" s="70">
        <v>33.9</v>
      </c>
      <c r="W65" s="102">
        <v>17.399999999999999</v>
      </c>
      <c r="X65" s="102">
        <v>15.4</v>
      </c>
      <c r="Y65" s="102">
        <v>53.9</v>
      </c>
      <c r="Z65" s="102">
        <v>53.9</v>
      </c>
      <c r="AA65" s="102">
        <v>57</v>
      </c>
      <c r="AB65" s="102">
        <v>56.1</v>
      </c>
      <c r="AC65" s="102">
        <v>56.1</v>
      </c>
      <c r="AD65" s="102">
        <v>56.1</v>
      </c>
      <c r="AE65" s="102">
        <v>49.7</v>
      </c>
      <c r="AF65" s="102">
        <v>49.7</v>
      </c>
      <c r="AG65" s="86">
        <v>69</v>
      </c>
      <c r="AH65" s="12">
        <f t="shared" si="22"/>
        <v>69.5</v>
      </c>
      <c r="AI65" s="11">
        <f t="shared" si="23"/>
        <v>15.4</v>
      </c>
      <c r="AK65" s="19"/>
    </row>
    <row r="66" spans="1:75" x14ac:dyDescent="0.25">
      <c r="A66" s="87" t="s">
        <v>201</v>
      </c>
      <c r="B66" s="70">
        <v>48.3</v>
      </c>
      <c r="C66" s="70">
        <v>48.3</v>
      </c>
      <c r="D66" s="70">
        <v>48.3</v>
      </c>
      <c r="E66" s="70">
        <v>54.4</v>
      </c>
      <c r="F66" s="70">
        <v>54.4</v>
      </c>
      <c r="G66" s="70">
        <v>55.2</v>
      </c>
      <c r="H66" s="70">
        <v>56.2</v>
      </c>
      <c r="I66" s="70">
        <v>55.4</v>
      </c>
      <c r="J66" s="70">
        <v>54.4</v>
      </c>
      <c r="K66" s="122">
        <v>52.4</v>
      </c>
      <c r="L66" s="122">
        <v>52.6</v>
      </c>
      <c r="M66" s="122">
        <v>52.6</v>
      </c>
      <c r="N66" s="122">
        <v>50.2</v>
      </c>
      <c r="O66" s="122">
        <v>50.2</v>
      </c>
      <c r="P66" s="122">
        <v>48.1</v>
      </c>
      <c r="Q66" s="70">
        <v>47.1</v>
      </c>
      <c r="R66" s="70">
        <v>49.6</v>
      </c>
      <c r="S66" s="70">
        <v>50.2</v>
      </c>
      <c r="T66" s="70">
        <v>44.2</v>
      </c>
      <c r="U66" s="70">
        <v>44.3</v>
      </c>
      <c r="V66" s="70">
        <v>44.3</v>
      </c>
      <c r="W66" s="102">
        <v>44.3</v>
      </c>
      <c r="X66" s="102">
        <v>44.3</v>
      </c>
      <c r="Y66" s="102">
        <v>44.36</v>
      </c>
      <c r="Z66" s="102">
        <v>44.36</v>
      </c>
      <c r="AA66" s="102">
        <v>44.3</v>
      </c>
      <c r="AB66" s="102">
        <v>44.3</v>
      </c>
      <c r="AC66" s="102">
        <v>44.3</v>
      </c>
      <c r="AD66" s="102">
        <v>44.3</v>
      </c>
      <c r="AE66" s="102">
        <v>50.4</v>
      </c>
      <c r="AF66" s="102">
        <v>50.2</v>
      </c>
      <c r="AG66" s="86">
        <v>60</v>
      </c>
      <c r="AH66" s="12">
        <f t="shared" si="22"/>
        <v>56.2</v>
      </c>
      <c r="AI66" s="11">
        <f t="shared" si="23"/>
        <v>44.2</v>
      </c>
      <c r="AK66" s="19"/>
    </row>
    <row r="67" spans="1:75" x14ac:dyDescent="0.25">
      <c r="A67" s="87" t="s">
        <v>200</v>
      </c>
      <c r="B67" s="102">
        <v>10</v>
      </c>
      <c r="C67" s="102">
        <v>10</v>
      </c>
      <c r="D67" s="102">
        <v>10</v>
      </c>
      <c r="E67" s="70">
        <v>0</v>
      </c>
      <c r="F67" s="70">
        <v>0</v>
      </c>
      <c r="G67" s="70">
        <v>0</v>
      </c>
      <c r="H67" s="70">
        <v>0</v>
      </c>
      <c r="I67" s="70">
        <v>0</v>
      </c>
      <c r="J67" s="70">
        <v>0</v>
      </c>
      <c r="K67" s="70">
        <v>10</v>
      </c>
      <c r="L67" s="122">
        <v>10</v>
      </c>
      <c r="M67" s="122">
        <v>10</v>
      </c>
      <c r="N67" s="122">
        <v>10</v>
      </c>
      <c r="O67" s="122">
        <v>10.199999999999999</v>
      </c>
      <c r="P67" s="122">
        <v>10.199999999999999</v>
      </c>
      <c r="Q67" s="70">
        <v>15.1</v>
      </c>
      <c r="R67" s="70">
        <v>15.1</v>
      </c>
      <c r="S67" s="70">
        <v>15</v>
      </c>
      <c r="T67" s="70">
        <v>15</v>
      </c>
      <c r="U67" s="70">
        <v>12.8</v>
      </c>
      <c r="V67" s="70">
        <v>12.7</v>
      </c>
      <c r="W67" s="102">
        <v>10.5</v>
      </c>
      <c r="X67" s="102">
        <v>10.4</v>
      </c>
      <c r="Y67" s="102">
        <v>23</v>
      </c>
      <c r="Z67" s="102">
        <v>23</v>
      </c>
      <c r="AA67" s="102">
        <v>28.1</v>
      </c>
      <c r="AB67" s="102">
        <v>27.7</v>
      </c>
      <c r="AC67" s="102">
        <v>14</v>
      </c>
      <c r="AD67" s="102">
        <v>10</v>
      </c>
      <c r="AE67" s="102">
        <v>0</v>
      </c>
      <c r="AF67" s="102">
        <v>0</v>
      </c>
      <c r="AG67" s="86">
        <v>30</v>
      </c>
      <c r="AH67" s="12">
        <f t="shared" si="22"/>
        <v>28.1</v>
      </c>
      <c r="AI67" s="11">
        <f t="shared" si="23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25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0</v>
      </c>
      <c r="K68" s="102">
        <v>2.5</v>
      </c>
      <c r="L68" s="70">
        <v>4.5999999999999996</v>
      </c>
      <c r="M68" s="70">
        <v>4.5999999999999996</v>
      </c>
      <c r="N68" s="70">
        <v>12</v>
      </c>
      <c r="O68" s="70">
        <v>14.9</v>
      </c>
      <c r="P68" s="70">
        <v>17</v>
      </c>
      <c r="Q68" s="70">
        <v>17.2</v>
      </c>
      <c r="R68" s="70">
        <v>17.2</v>
      </c>
      <c r="S68" s="70">
        <v>12.9</v>
      </c>
      <c r="T68" s="70">
        <v>9.6999999999999993</v>
      </c>
      <c r="U68" s="70">
        <v>4</v>
      </c>
      <c r="V68" s="70">
        <v>2</v>
      </c>
      <c r="W68" s="102">
        <v>1.1000000000000001</v>
      </c>
      <c r="X68" s="102">
        <v>0</v>
      </c>
      <c r="Y68" s="102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22"/>
        <v>17.2</v>
      </c>
      <c r="AI68" s="11">
        <f t="shared" si="23"/>
        <v>0</v>
      </c>
      <c r="AK68" s="19"/>
      <c r="AY68" s="1" t="s">
        <v>198</v>
      </c>
      <c r="AZ68" s="78">
        <f>ROUND(C81,0)</f>
        <v>42</v>
      </c>
      <c r="BA68" s="83">
        <f t="shared" ref="BA68:BD72" si="33">D81</f>
        <v>41.1</v>
      </c>
      <c r="BB68" s="83">
        <f t="shared" si="33"/>
        <v>34.700000000000003</v>
      </c>
      <c r="BC68" s="83">
        <f t="shared" si="33"/>
        <v>33.299999999999997</v>
      </c>
      <c r="BD68" s="83">
        <f t="shared" si="33"/>
        <v>32.200000000000003</v>
      </c>
      <c r="BE68" s="78">
        <f>I81</f>
        <v>31.8</v>
      </c>
      <c r="BF68" s="78">
        <f>K81</f>
        <v>61.5</v>
      </c>
      <c r="BG68" s="78">
        <f t="shared" ref="BG68:BP72" si="34">M81</f>
        <v>70.8</v>
      </c>
      <c r="BH68" s="78">
        <f t="shared" si="34"/>
        <v>65.2</v>
      </c>
      <c r="BI68" s="78">
        <f t="shared" si="34"/>
        <v>58.6</v>
      </c>
      <c r="BJ68" s="78">
        <f t="shared" si="34"/>
        <v>74.3</v>
      </c>
      <c r="BK68" s="78">
        <f t="shared" si="34"/>
        <v>71.3</v>
      </c>
      <c r="BL68" s="78">
        <f t="shared" si="34"/>
        <v>57.1</v>
      </c>
      <c r="BM68" s="78">
        <f t="shared" si="34"/>
        <v>66.3</v>
      </c>
      <c r="BN68" s="78">
        <f t="shared" si="34"/>
        <v>63.4</v>
      </c>
      <c r="BO68" s="78">
        <f t="shared" si="34"/>
        <v>64.900000000000006</v>
      </c>
      <c r="BP68" s="78">
        <f t="shared" si="34"/>
        <v>59</v>
      </c>
      <c r="BQ68" s="78">
        <f>X81</f>
        <v>59.2</v>
      </c>
      <c r="BR68" s="78">
        <f>Z81</f>
        <v>50.6</v>
      </c>
      <c r="BS68" s="83">
        <f>AB81</f>
        <v>54.5</v>
      </c>
      <c r="BT68" s="83">
        <f t="shared" ref="BT68:BV72" si="35">AD81</f>
        <v>36.6</v>
      </c>
      <c r="BU68" s="83">
        <f t="shared" si="35"/>
        <v>48</v>
      </c>
      <c r="BV68" s="83">
        <f t="shared" si="35"/>
        <v>29.9</v>
      </c>
      <c r="BW68" s="83">
        <f>B81</f>
        <v>41.5</v>
      </c>
    </row>
    <row r="69" spans="1:75" x14ac:dyDescent="0.25">
      <c r="A69" s="87" t="s">
        <v>197</v>
      </c>
      <c r="B69" s="70">
        <v>14</v>
      </c>
      <c r="C69" s="70">
        <v>14</v>
      </c>
      <c r="D69" s="70">
        <v>14</v>
      </c>
      <c r="E69" s="70">
        <v>14</v>
      </c>
      <c r="F69" s="70">
        <v>14</v>
      </c>
      <c r="G69" s="70">
        <v>14</v>
      </c>
      <c r="H69" s="70">
        <v>14</v>
      </c>
      <c r="I69" s="70">
        <v>14</v>
      </c>
      <c r="J69" s="70">
        <v>14</v>
      </c>
      <c r="K69" s="70">
        <v>14</v>
      </c>
      <c r="L69" s="70">
        <v>14</v>
      </c>
      <c r="M69" s="70">
        <v>14</v>
      </c>
      <c r="N69" s="70">
        <v>14</v>
      </c>
      <c r="O69" s="70">
        <v>14</v>
      </c>
      <c r="P69" s="70">
        <v>14</v>
      </c>
      <c r="Q69" s="70">
        <v>14</v>
      </c>
      <c r="R69" s="70">
        <v>14</v>
      </c>
      <c r="S69" s="70">
        <v>15</v>
      </c>
      <c r="T69" s="70">
        <v>15</v>
      </c>
      <c r="U69" s="70">
        <v>15</v>
      </c>
      <c r="V69" s="70">
        <v>15</v>
      </c>
      <c r="W69" s="70">
        <v>15</v>
      </c>
      <c r="X69" s="70">
        <v>15</v>
      </c>
      <c r="Y69" s="70">
        <v>15</v>
      </c>
      <c r="Z69" s="70">
        <v>15</v>
      </c>
      <c r="AA69" s="70">
        <v>15</v>
      </c>
      <c r="AB69" s="70">
        <v>15</v>
      </c>
      <c r="AC69" s="70">
        <v>15</v>
      </c>
      <c r="AD69" s="70">
        <v>15</v>
      </c>
      <c r="AE69" s="70">
        <v>15</v>
      </c>
      <c r="AF69" s="70">
        <v>15</v>
      </c>
      <c r="AG69" s="86">
        <v>24</v>
      </c>
      <c r="AH69" s="12">
        <f t="shared" si="22"/>
        <v>15</v>
      </c>
      <c r="AI69" s="11">
        <f t="shared" si="23"/>
        <v>14</v>
      </c>
      <c r="AK69" s="19"/>
      <c r="AY69" s="1" t="s">
        <v>196</v>
      </c>
      <c r="AZ69" s="78">
        <f>ROUND(C82,0)</f>
        <v>0</v>
      </c>
      <c r="BA69" s="83">
        <f t="shared" si="33"/>
        <v>0</v>
      </c>
      <c r="BB69" s="83">
        <f t="shared" si="33"/>
        <v>0</v>
      </c>
      <c r="BC69" s="83">
        <f t="shared" si="33"/>
        <v>0</v>
      </c>
      <c r="BD69" s="83">
        <f t="shared" si="33"/>
        <v>0</v>
      </c>
      <c r="BE69" s="78">
        <f>I82</f>
        <v>0</v>
      </c>
      <c r="BF69" s="78">
        <f>K82</f>
        <v>0</v>
      </c>
      <c r="BG69" s="78">
        <f t="shared" si="34"/>
        <v>0</v>
      </c>
      <c r="BH69" s="78">
        <f t="shared" si="34"/>
        <v>0</v>
      </c>
      <c r="BI69" s="78">
        <f t="shared" si="34"/>
        <v>0</v>
      </c>
      <c r="BJ69" s="78">
        <f t="shared" si="34"/>
        <v>0</v>
      </c>
      <c r="BK69" s="78">
        <f t="shared" si="34"/>
        <v>0</v>
      </c>
      <c r="BL69" s="78">
        <f t="shared" si="34"/>
        <v>0</v>
      </c>
      <c r="BM69" s="78">
        <f t="shared" si="34"/>
        <v>0</v>
      </c>
      <c r="BN69" s="78">
        <f t="shared" si="34"/>
        <v>0</v>
      </c>
      <c r="BO69" s="78">
        <f t="shared" si="34"/>
        <v>0</v>
      </c>
      <c r="BP69" s="78">
        <f t="shared" si="34"/>
        <v>0</v>
      </c>
      <c r="BQ69" s="78">
        <f>X82</f>
        <v>0</v>
      </c>
      <c r="BR69" s="78">
        <f>Z82</f>
        <v>0</v>
      </c>
      <c r="BS69" s="83">
        <f>AB82</f>
        <v>0</v>
      </c>
      <c r="BT69" s="83">
        <f t="shared" si="35"/>
        <v>0</v>
      </c>
      <c r="BU69" s="83">
        <f t="shared" si="35"/>
        <v>0</v>
      </c>
      <c r="BV69" s="83">
        <f t="shared" si="35"/>
        <v>0</v>
      </c>
      <c r="BW69" s="83">
        <f>B82</f>
        <v>0</v>
      </c>
    </row>
    <row r="70" spans="1:75" x14ac:dyDescent="0.25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22"/>
        <v>0</v>
      </c>
      <c r="AI70" s="11">
        <f t="shared" si="23"/>
        <v>0</v>
      </c>
      <c r="AK70" s="19"/>
      <c r="AL70" s="115"/>
      <c r="AO70" s="115"/>
      <c r="AY70" s="1" t="s">
        <v>194</v>
      </c>
      <c r="AZ70" s="78">
        <f>ROUND(C83,0)</f>
        <v>125</v>
      </c>
      <c r="BA70" s="83">
        <f t="shared" si="33"/>
        <v>137</v>
      </c>
      <c r="BB70" s="83">
        <f t="shared" si="33"/>
        <v>151</v>
      </c>
      <c r="BC70" s="83">
        <f t="shared" si="33"/>
        <v>103.3</v>
      </c>
      <c r="BD70" s="83">
        <f t="shared" si="33"/>
        <v>157</v>
      </c>
      <c r="BE70" s="78">
        <f>I83</f>
        <v>105.7</v>
      </c>
      <c r="BF70" s="78">
        <f>K83</f>
        <v>372.8</v>
      </c>
      <c r="BG70" s="78">
        <f t="shared" si="34"/>
        <v>422.5</v>
      </c>
      <c r="BH70" s="78">
        <f t="shared" si="34"/>
        <v>478</v>
      </c>
      <c r="BI70" s="78">
        <f t="shared" si="34"/>
        <v>496</v>
      </c>
      <c r="BJ70" s="78">
        <f t="shared" si="34"/>
        <v>502.9</v>
      </c>
      <c r="BK70" s="78">
        <f t="shared" si="34"/>
        <v>496.5</v>
      </c>
      <c r="BL70" s="78">
        <f t="shared" si="34"/>
        <v>502.3</v>
      </c>
      <c r="BM70" s="78">
        <f t="shared" si="34"/>
        <v>550</v>
      </c>
      <c r="BN70" s="78">
        <f t="shared" si="34"/>
        <v>569</v>
      </c>
      <c r="BO70" s="78">
        <f t="shared" si="34"/>
        <v>531</v>
      </c>
      <c r="BP70" s="78">
        <f t="shared" si="34"/>
        <v>500</v>
      </c>
      <c r="BQ70" s="78">
        <f>X83</f>
        <v>462</v>
      </c>
      <c r="BR70" s="78">
        <f>Z83</f>
        <v>338</v>
      </c>
      <c r="BS70" s="83">
        <f>AB83</f>
        <v>135.9</v>
      </c>
      <c r="BT70" s="83">
        <f t="shared" si="35"/>
        <v>90.6</v>
      </c>
      <c r="BU70" s="83">
        <f t="shared" si="35"/>
        <v>124</v>
      </c>
      <c r="BV70" s="83">
        <f t="shared" si="35"/>
        <v>0.3</v>
      </c>
      <c r="BW70" s="83">
        <f>B83</f>
        <v>65.7</v>
      </c>
    </row>
    <row r="71" spans="1:75" s="115" customFormat="1" x14ac:dyDescent="0.25">
      <c r="A71" s="87" t="s">
        <v>193</v>
      </c>
      <c r="B71" s="70">
        <v>11.2</v>
      </c>
      <c r="C71" s="70">
        <v>11.2</v>
      </c>
      <c r="D71" s="70">
        <v>11.2</v>
      </c>
      <c r="E71" s="70">
        <v>11.2</v>
      </c>
      <c r="F71" s="70">
        <v>11.2</v>
      </c>
      <c r="G71" s="70">
        <v>11.2</v>
      </c>
      <c r="H71" s="70">
        <v>11.2</v>
      </c>
      <c r="I71" s="70">
        <v>11.2</v>
      </c>
      <c r="J71" s="70">
        <v>11.2</v>
      </c>
      <c r="K71" s="70">
        <v>11.2</v>
      </c>
      <c r="L71" s="70">
        <v>11.2</v>
      </c>
      <c r="M71" s="70">
        <v>11.2</v>
      </c>
      <c r="N71" s="70">
        <v>12.3</v>
      </c>
      <c r="O71" s="70">
        <v>12.3</v>
      </c>
      <c r="P71" s="70">
        <v>12.3</v>
      </c>
      <c r="Q71" s="70">
        <v>12.3</v>
      </c>
      <c r="R71" s="70">
        <v>12.3</v>
      </c>
      <c r="S71" s="70">
        <v>12.3</v>
      </c>
      <c r="T71" s="70">
        <v>12.3</v>
      </c>
      <c r="U71" s="70">
        <v>12.3</v>
      </c>
      <c r="V71" s="70">
        <v>12.3</v>
      </c>
      <c r="W71" s="70">
        <v>12.3</v>
      </c>
      <c r="X71" s="70">
        <v>12.3</v>
      </c>
      <c r="Y71" s="70">
        <v>12.3</v>
      </c>
      <c r="Z71" s="70">
        <v>12.3</v>
      </c>
      <c r="AA71" s="70">
        <v>12.3</v>
      </c>
      <c r="AB71" s="70">
        <v>12.3</v>
      </c>
      <c r="AC71" s="70">
        <v>12.3</v>
      </c>
      <c r="AD71" s="70">
        <v>12.3</v>
      </c>
      <c r="AE71" s="70">
        <v>13</v>
      </c>
      <c r="AF71" s="70">
        <v>13</v>
      </c>
      <c r="AG71" s="86">
        <v>14.1</v>
      </c>
      <c r="AH71" s="12">
        <f t="shared" si="22"/>
        <v>13</v>
      </c>
      <c r="AI71" s="11">
        <f t="shared" si="23"/>
        <v>11.2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33"/>
        <v>0</v>
      </c>
      <c r="BB71" s="83">
        <f t="shared" si="33"/>
        <v>0</v>
      </c>
      <c r="BC71" s="83">
        <f t="shared" si="33"/>
        <v>0</v>
      </c>
      <c r="BD71" s="83">
        <f t="shared" si="33"/>
        <v>0</v>
      </c>
      <c r="BE71" s="78">
        <f>I84</f>
        <v>0</v>
      </c>
      <c r="BF71" s="78">
        <f>K84</f>
        <v>0</v>
      </c>
      <c r="BG71" s="78">
        <f t="shared" si="34"/>
        <v>0</v>
      </c>
      <c r="BH71" s="78">
        <f t="shared" si="34"/>
        <v>0</v>
      </c>
      <c r="BI71" s="78">
        <f t="shared" si="34"/>
        <v>0</v>
      </c>
      <c r="BJ71" s="78">
        <f t="shared" si="34"/>
        <v>0</v>
      </c>
      <c r="BK71" s="78">
        <f t="shared" si="34"/>
        <v>0</v>
      </c>
      <c r="BL71" s="78">
        <f t="shared" si="34"/>
        <v>0</v>
      </c>
      <c r="BM71" s="78">
        <f t="shared" si="34"/>
        <v>0</v>
      </c>
      <c r="BN71" s="78">
        <f t="shared" si="34"/>
        <v>0</v>
      </c>
      <c r="BO71" s="78">
        <f t="shared" si="34"/>
        <v>51.3</v>
      </c>
      <c r="BP71" s="78">
        <f t="shared" si="34"/>
        <v>51.8</v>
      </c>
      <c r="BQ71" s="78">
        <f>X84</f>
        <v>27.3</v>
      </c>
      <c r="BR71" s="78">
        <f>Z84</f>
        <v>30</v>
      </c>
      <c r="BS71" s="83">
        <f>AB84</f>
        <v>0</v>
      </c>
      <c r="BT71" s="83">
        <f t="shared" si="35"/>
        <v>0</v>
      </c>
      <c r="BU71" s="83">
        <f t="shared" si="35"/>
        <v>0</v>
      </c>
      <c r="BV71" s="83">
        <f t="shared" si="35"/>
        <v>0</v>
      </c>
      <c r="BW71" s="83">
        <f>B84</f>
        <v>0</v>
      </c>
    </row>
    <row r="72" spans="1:75" x14ac:dyDescent="0.25">
      <c r="A72" s="111" t="s">
        <v>191</v>
      </c>
      <c r="B72" s="70">
        <v>7.7</v>
      </c>
      <c r="C72" s="70">
        <v>7.7</v>
      </c>
      <c r="D72" s="70">
        <v>7.7</v>
      </c>
      <c r="E72" s="70">
        <v>7.7</v>
      </c>
      <c r="F72" s="70">
        <v>7.7</v>
      </c>
      <c r="G72" s="70">
        <v>7.7</v>
      </c>
      <c r="H72" s="70">
        <v>7.7</v>
      </c>
      <c r="I72" s="70">
        <v>7.7</v>
      </c>
      <c r="J72" s="70">
        <v>7.7</v>
      </c>
      <c r="K72" s="70">
        <v>7.7</v>
      </c>
      <c r="L72" s="70">
        <v>7.7</v>
      </c>
      <c r="M72" s="70">
        <v>7.7</v>
      </c>
      <c r="N72" s="70">
        <v>6.8</v>
      </c>
      <c r="O72" s="70">
        <v>6.8</v>
      </c>
      <c r="P72" s="70">
        <v>6.8</v>
      </c>
      <c r="Q72" s="70">
        <v>6.8</v>
      </c>
      <c r="R72" s="70">
        <v>6.8</v>
      </c>
      <c r="S72" s="70">
        <v>6.8</v>
      </c>
      <c r="T72" s="70">
        <v>6.8</v>
      </c>
      <c r="U72" s="70">
        <v>6.8</v>
      </c>
      <c r="V72" s="70">
        <v>6.8</v>
      </c>
      <c r="W72" s="70">
        <v>6.8</v>
      </c>
      <c r="X72" s="70">
        <v>6.8</v>
      </c>
      <c r="Y72" s="70">
        <v>6.8</v>
      </c>
      <c r="Z72" s="70">
        <v>6.8</v>
      </c>
      <c r="AA72" s="70">
        <v>6.8</v>
      </c>
      <c r="AB72" s="70">
        <v>6.8</v>
      </c>
      <c r="AC72" s="70">
        <v>6.8</v>
      </c>
      <c r="AD72" s="70">
        <v>6.8</v>
      </c>
      <c r="AE72" s="70">
        <v>7.3</v>
      </c>
      <c r="AF72" s="70">
        <v>7.3</v>
      </c>
      <c r="AG72" s="86">
        <v>14</v>
      </c>
      <c r="AH72" s="12">
        <f t="shared" si="22"/>
        <v>7.7</v>
      </c>
      <c r="AI72" s="11">
        <f t="shared" si="23"/>
        <v>6.8</v>
      </c>
      <c r="AK72" s="19"/>
      <c r="AY72" s="1" t="s">
        <v>190</v>
      </c>
      <c r="AZ72" s="78">
        <f>ROUND(C85,0)</f>
        <v>0</v>
      </c>
      <c r="BA72" s="83">
        <f t="shared" si="33"/>
        <v>0</v>
      </c>
      <c r="BB72" s="83">
        <f t="shared" si="33"/>
        <v>0</v>
      </c>
      <c r="BC72" s="83">
        <f t="shared" si="33"/>
        <v>0</v>
      </c>
      <c r="BD72" s="83">
        <f t="shared" si="33"/>
        <v>0</v>
      </c>
      <c r="BE72" s="78">
        <f>I85</f>
        <v>0</v>
      </c>
      <c r="BF72" s="78">
        <f>K85</f>
        <v>99.7</v>
      </c>
      <c r="BG72" s="78">
        <f t="shared" si="34"/>
        <v>119.7</v>
      </c>
      <c r="BH72" s="78">
        <f t="shared" si="34"/>
        <v>129.5</v>
      </c>
      <c r="BI72" s="78">
        <f t="shared" si="34"/>
        <v>144.9</v>
      </c>
      <c r="BJ72" s="78">
        <f t="shared" si="34"/>
        <v>114.5</v>
      </c>
      <c r="BK72" s="78">
        <f t="shared" si="34"/>
        <v>141.4</v>
      </c>
      <c r="BL72" s="78">
        <f t="shared" si="34"/>
        <v>132.1</v>
      </c>
      <c r="BM72" s="78">
        <f t="shared" si="34"/>
        <v>116.2</v>
      </c>
      <c r="BN72" s="78">
        <f t="shared" si="34"/>
        <v>123.8</v>
      </c>
      <c r="BO72" s="78">
        <f t="shared" si="34"/>
        <v>122.7</v>
      </c>
      <c r="BP72" s="78">
        <f t="shared" si="34"/>
        <v>116</v>
      </c>
      <c r="BQ72" s="78">
        <f>X85</f>
        <v>80</v>
      </c>
      <c r="BR72" s="78">
        <f>Z85</f>
        <v>112.7</v>
      </c>
      <c r="BS72" s="83">
        <f>AB85</f>
        <v>0</v>
      </c>
      <c r="BT72" s="83">
        <f t="shared" si="35"/>
        <v>0</v>
      </c>
      <c r="BU72" s="83">
        <f t="shared" si="35"/>
        <v>0</v>
      </c>
      <c r="BV72" s="83">
        <f t="shared" si="35"/>
        <v>0</v>
      </c>
      <c r="BW72" s="83">
        <f>B85</f>
        <v>0</v>
      </c>
    </row>
    <row r="73" spans="1:75" x14ac:dyDescent="0.25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22"/>
        <v>4</v>
      </c>
      <c r="AI73" s="11">
        <f t="shared" si="23"/>
        <v>4</v>
      </c>
      <c r="AK73" s="19"/>
      <c r="AY73" s="1" t="s">
        <v>188</v>
      </c>
      <c r="AZ73" s="78">
        <f>ROUND(C91,0)</f>
        <v>43</v>
      </c>
      <c r="BA73" s="78">
        <f>D91</f>
        <v>41.6</v>
      </c>
      <c r="BB73" s="78">
        <f>E91</f>
        <v>43.2</v>
      </c>
      <c r="BC73" s="78">
        <f>F91</f>
        <v>43.3</v>
      </c>
      <c r="BD73" s="78">
        <f>G91</f>
        <v>40.700000000000003</v>
      </c>
      <c r="BE73" s="78">
        <f>I91</f>
        <v>42.6</v>
      </c>
      <c r="BF73" s="78">
        <f>K91</f>
        <v>49.5</v>
      </c>
      <c r="BG73" s="78">
        <f t="shared" ref="BG73:BP73" si="36">M91</f>
        <v>46.9</v>
      </c>
      <c r="BH73" s="78">
        <f t="shared" si="36"/>
        <v>35.9</v>
      </c>
      <c r="BI73" s="78">
        <f t="shared" si="36"/>
        <v>50.9</v>
      </c>
      <c r="BJ73" s="78">
        <f t="shared" si="36"/>
        <v>48.2</v>
      </c>
      <c r="BK73" s="78">
        <f t="shared" si="36"/>
        <v>43.2</v>
      </c>
      <c r="BL73" s="78">
        <f t="shared" si="36"/>
        <v>49.8</v>
      </c>
      <c r="BM73" s="78">
        <f t="shared" si="36"/>
        <v>38.1</v>
      </c>
      <c r="BN73" s="78">
        <f t="shared" si="36"/>
        <v>50.6</v>
      </c>
      <c r="BO73" s="78">
        <f t="shared" si="36"/>
        <v>53.7</v>
      </c>
      <c r="BP73" s="78">
        <f t="shared" si="36"/>
        <v>58.8</v>
      </c>
      <c r="BQ73" s="78">
        <f>X91</f>
        <v>53.8</v>
      </c>
      <c r="BR73" s="78">
        <f>Z91</f>
        <v>43</v>
      </c>
      <c r="BS73" s="78">
        <f>AB91</f>
        <v>39.4</v>
      </c>
      <c r="BT73" s="78">
        <f>AD91</f>
        <v>39.299999999999997</v>
      </c>
      <c r="BU73" s="78">
        <f>AE91</f>
        <v>43.6</v>
      </c>
      <c r="BV73" s="78">
        <f>AF91</f>
        <v>44.9</v>
      </c>
      <c r="BW73" s="78">
        <f>B91</f>
        <v>45</v>
      </c>
    </row>
    <row r="74" spans="1:75" x14ac:dyDescent="0.25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22"/>
        <v>2</v>
      </c>
      <c r="AI74" s="11">
        <f t="shared" si="23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.75" thickBot="1" x14ac:dyDescent="0.3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3.5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22"/>
        <v>3.54</v>
      </c>
      <c r="AI75" s="11">
        <f t="shared" si="23"/>
        <v>3.5</v>
      </c>
      <c r="AK75" s="19"/>
      <c r="AZ75" s="78">
        <f t="shared" ref="AZ75:BW75" si="37">VALUE(AZ68)</f>
        <v>42</v>
      </c>
      <c r="BA75" s="78">
        <f t="shared" si="37"/>
        <v>41.1</v>
      </c>
      <c r="BB75" s="78">
        <f t="shared" si="37"/>
        <v>34.700000000000003</v>
      </c>
      <c r="BC75" s="78">
        <f t="shared" si="37"/>
        <v>33.299999999999997</v>
      </c>
      <c r="BD75" s="78">
        <f t="shared" si="37"/>
        <v>32.200000000000003</v>
      </c>
      <c r="BE75" s="78">
        <f t="shared" si="37"/>
        <v>31.8</v>
      </c>
      <c r="BF75" s="78">
        <f t="shared" si="37"/>
        <v>61.5</v>
      </c>
      <c r="BG75" s="78">
        <f t="shared" si="37"/>
        <v>70.8</v>
      </c>
      <c r="BH75" s="78">
        <f t="shared" si="37"/>
        <v>65.2</v>
      </c>
      <c r="BI75" s="78">
        <f t="shared" si="37"/>
        <v>58.6</v>
      </c>
      <c r="BJ75" s="78">
        <f t="shared" si="37"/>
        <v>74.3</v>
      </c>
      <c r="BK75" s="78">
        <f t="shared" si="37"/>
        <v>71.3</v>
      </c>
      <c r="BL75" s="78">
        <f t="shared" si="37"/>
        <v>57.1</v>
      </c>
      <c r="BM75" s="78">
        <f t="shared" si="37"/>
        <v>66.3</v>
      </c>
      <c r="BN75" s="78">
        <f t="shared" si="37"/>
        <v>63.4</v>
      </c>
      <c r="BO75" s="78">
        <f t="shared" si="37"/>
        <v>64.900000000000006</v>
      </c>
      <c r="BP75" s="78">
        <f t="shared" si="37"/>
        <v>59</v>
      </c>
      <c r="BQ75" s="78">
        <f t="shared" si="37"/>
        <v>59.2</v>
      </c>
      <c r="BR75" s="78">
        <f t="shared" si="37"/>
        <v>50.6</v>
      </c>
      <c r="BS75" s="78">
        <f t="shared" si="37"/>
        <v>54.5</v>
      </c>
      <c r="BT75" s="78">
        <f t="shared" si="37"/>
        <v>36.6</v>
      </c>
      <c r="BU75" s="78">
        <f t="shared" si="37"/>
        <v>48</v>
      </c>
      <c r="BV75" s="78">
        <f t="shared" si="37"/>
        <v>29.9</v>
      </c>
      <c r="BW75" s="78">
        <f t="shared" si="37"/>
        <v>41.5</v>
      </c>
    </row>
    <row r="76" spans="1:75" ht="15.75" thickBot="1" x14ac:dyDescent="0.3">
      <c r="A76" s="77" t="s">
        <v>186</v>
      </c>
      <c r="B76" s="76">
        <f t="shared" ref="B76:AG76" si="38">SUM(B63:B75)</f>
        <v>263.24</v>
      </c>
      <c r="C76" s="76">
        <f t="shared" si="38"/>
        <v>263.24</v>
      </c>
      <c r="D76" s="76">
        <f t="shared" si="38"/>
        <v>263.24</v>
      </c>
      <c r="E76" s="76">
        <f t="shared" si="38"/>
        <v>230.33999999999997</v>
      </c>
      <c r="F76" s="76">
        <f t="shared" si="38"/>
        <v>223.73999999999995</v>
      </c>
      <c r="G76" s="76">
        <f t="shared" si="38"/>
        <v>237.33999999999995</v>
      </c>
      <c r="H76" s="76">
        <f t="shared" si="38"/>
        <v>345.74</v>
      </c>
      <c r="I76" s="76">
        <f t="shared" si="38"/>
        <v>353.24</v>
      </c>
      <c r="J76" s="76">
        <f t="shared" si="38"/>
        <v>307.94</v>
      </c>
      <c r="K76" s="76">
        <f t="shared" si="38"/>
        <v>226.23999999999998</v>
      </c>
      <c r="L76" s="76">
        <f t="shared" si="38"/>
        <v>242.93999999999997</v>
      </c>
      <c r="M76" s="76">
        <f t="shared" si="38"/>
        <v>255.93999999999997</v>
      </c>
      <c r="N76" s="76">
        <f t="shared" si="38"/>
        <v>281.24000000000007</v>
      </c>
      <c r="O76" s="76">
        <f t="shared" si="38"/>
        <v>285.54000000000002</v>
      </c>
      <c r="P76" s="76">
        <f t="shared" si="38"/>
        <v>273.84000000000003</v>
      </c>
      <c r="Q76" s="76">
        <f t="shared" si="38"/>
        <v>296.84000000000003</v>
      </c>
      <c r="R76" s="76">
        <f t="shared" si="38"/>
        <v>333.6400000000001</v>
      </c>
      <c r="S76" s="76">
        <f t="shared" si="38"/>
        <v>308.74</v>
      </c>
      <c r="T76" s="76">
        <f t="shared" si="38"/>
        <v>304.04000000000002</v>
      </c>
      <c r="U76" s="76">
        <f t="shared" si="38"/>
        <v>242.34</v>
      </c>
      <c r="V76" s="76">
        <f t="shared" si="38"/>
        <v>213.23999999999998</v>
      </c>
      <c r="W76" s="76">
        <f t="shared" si="38"/>
        <v>199.24</v>
      </c>
      <c r="X76" s="76">
        <f t="shared" si="38"/>
        <v>195.74</v>
      </c>
      <c r="Y76" s="76">
        <f t="shared" si="38"/>
        <v>301.86</v>
      </c>
      <c r="Z76" s="76">
        <v>301.86</v>
      </c>
      <c r="AA76" s="76">
        <f t="shared" si="38"/>
        <v>354.64000000000004</v>
      </c>
      <c r="AB76" s="76">
        <f t="shared" si="38"/>
        <v>351.84000000000003</v>
      </c>
      <c r="AC76" s="76">
        <f t="shared" si="38"/>
        <v>338.14000000000004</v>
      </c>
      <c r="AD76" s="76">
        <f t="shared" si="38"/>
        <v>334.14000000000004</v>
      </c>
      <c r="AE76" s="76">
        <f t="shared" si="38"/>
        <v>309.64</v>
      </c>
      <c r="AF76" s="76">
        <f t="shared" si="38"/>
        <v>305.84000000000003</v>
      </c>
      <c r="AG76" s="93">
        <f t="shared" si="38"/>
        <v>489.91</v>
      </c>
      <c r="AH76" s="12">
        <f t="shared" si="22"/>
        <v>354.64000000000004</v>
      </c>
      <c r="AI76" s="11">
        <f t="shared" si="23"/>
        <v>195.74</v>
      </c>
      <c r="AK76" s="19"/>
      <c r="AZ76" s="78">
        <f t="shared" ref="AZ76:BW76" si="39">VALUE(AZ69)</f>
        <v>0</v>
      </c>
      <c r="BA76" s="78">
        <f t="shared" si="39"/>
        <v>0</v>
      </c>
      <c r="BB76" s="78">
        <f t="shared" si="39"/>
        <v>0</v>
      </c>
      <c r="BC76" s="78">
        <f t="shared" si="39"/>
        <v>0</v>
      </c>
      <c r="BD76" s="78">
        <f t="shared" si="39"/>
        <v>0</v>
      </c>
      <c r="BE76" s="78">
        <f t="shared" si="39"/>
        <v>0</v>
      </c>
      <c r="BF76" s="78">
        <f t="shared" si="39"/>
        <v>0</v>
      </c>
      <c r="BG76" s="78">
        <f t="shared" si="39"/>
        <v>0</v>
      </c>
      <c r="BH76" s="78">
        <f t="shared" si="39"/>
        <v>0</v>
      </c>
      <c r="BI76" s="78">
        <f t="shared" si="39"/>
        <v>0</v>
      </c>
      <c r="BJ76" s="78">
        <f t="shared" si="39"/>
        <v>0</v>
      </c>
      <c r="BK76" s="78">
        <f t="shared" si="39"/>
        <v>0</v>
      </c>
      <c r="BL76" s="78">
        <f t="shared" si="39"/>
        <v>0</v>
      </c>
      <c r="BM76" s="78">
        <f t="shared" si="39"/>
        <v>0</v>
      </c>
      <c r="BN76" s="78">
        <f t="shared" si="39"/>
        <v>0</v>
      </c>
      <c r="BO76" s="78">
        <f t="shared" si="39"/>
        <v>0</v>
      </c>
      <c r="BP76" s="78">
        <f t="shared" si="39"/>
        <v>0</v>
      </c>
      <c r="BQ76" s="78">
        <f t="shared" si="39"/>
        <v>0</v>
      </c>
      <c r="BR76" s="78">
        <f t="shared" si="39"/>
        <v>0</v>
      </c>
      <c r="BS76" s="78">
        <f t="shared" si="39"/>
        <v>0</v>
      </c>
      <c r="BT76" s="78">
        <f t="shared" si="39"/>
        <v>0</v>
      </c>
      <c r="BU76" s="78">
        <f t="shared" si="39"/>
        <v>0</v>
      </c>
      <c r="BV76" s="78">
        <f t="shared" si="39"/>
        <v>0</v>
      </c>
      <c r="BW76" s="78">
        <f t="shared" si="39"/>
        <v>0</v>
      </c>
    </row>
    <row r="77" spans="1:75" x14ac:dyDescent="0.25">
      <c r="A77" s="89" t="s">
        <v>185</v>
      </c>
      <c r="B77" s="102">
        <v>59.4</v>
      </c>
      <c r="C77" s="102">
        <v>29.1</v>
      </c>
      <c r="D77" s="102">
        <v>29.7</v>
      </c>
      <c r="E77" s="102">
        <v>29.7</v>
      </c>
      <c r="F77" s="102">
        <v>29.7</v>
      </c>
      <c r="G77" s="102">
        <v>29.7</v>
      </c>
      <c r="H77" s="102">
        <v>29.7</v>
      </c>
      <c r="I77" s="102">
        <v>29.7</v>
      </c>
      <c r="J77" s="102">
        <v>29.7</v>
      </c>
      <c r="K77" s="102">
        <v>0</v>
      </c>
      <c r="L77" s="102">
        <v>0</v>
      </c>
      <c r="M77" s="102">
        <v>0</v>
      </c>
      <c r="N77" s="102">
        <v>0</v>
      </c>
      <c r="O77" s="102">
        <v>0</v>
      </c>
      <c r="P77" s="102">
        <v>0</v>
      </c>
      <c r="Q77" s="102">
        <v>0</v>
      </c>
      <c r="R77" s="102">
        <v>0</v>
      </c>
      <c r="S77" s="102">
        <v>0</v>
      </c>
      <c r="T77" s="102"/>
      <c r="U77" s="102"/>
      <c r="V77" s="102"/>
      <c r="W77" s="102"/>
      <c r="X77" s="102"/>
      <c r="Y77" s="102"/>
      <c r="Z77" s="102"/>
      <c r="AA77" s="102"/>
      <c r="AB77" s="102">
        <v>29.4</v>
      </c>
      <c r="AC77" s="102">
        <v>29.4</v>
      </c>
      <c r="AD77" s="102">
        <v>29.4</v>
      </c>
      <c r="AE77" s="102">
        <v>29.8</v>
      </c>
      <c r="AF77" s="102">
        <v>29.2</v>
      </c>
      <c r="AG77" s="88">
        <v>60</v>
      </c>
      <c r="AH77" s="12">
        <f t="shared" si="22"/>
        <v>59.4</v>
      </c>
      <c r="AI77" s="11">
        <f t="shared" si="23"/>
        <v>0</v>
      </c>
      <c r="AK77" s="19"/>
      <c r="AZ77" s="78">
        <f t="shared" ref="AZ77:BW77" si="40">VALUE(AZ70)</f>
        <v>125</v>
      </c>
      <c r="BA77" s="78">
        <f t="shared" si="40"/>
        <v>137</v>
      </c>
      <c r="BB77" s="78">
        <f t="shared" si="40"/>
        <v>151</v>
      </c>
      <c r="BC77" s="78">
        <f t="shared" si="40"/>
        <v>103.3</v>
      </c>
      <c r="BD77" s="78">
        <f t="shared" si="40"/>
        <v>157</v>
      </c>
      <c r="BE77" s="78">
        <f t="shared" si="40"/>
        <v>105.7</v>
      </c>
      <c r="BF77" s="78">
        <f t="shared" si="40"/>
        <v>372.8</v>
      </c>
      <c r="BG77" s="78">
        <f t="shared" si="40"/>
        <v>422.5</v>
      </c>
      <c r="BH77" s="78">
        <f t="shared" si="40"/>
        <v>478</v>
      </c>
      <c r="BI77" s="78">
        <f t="shared" si="40"/>
        <v>496</v>
      </c>
      <c r="BJ77" s="78">
        <f t="shared" si="40"/>
        <v>502.9</v>
      </c>
      <c r="BK77" s="78">
        <f t="shared" si="40"/>
        <v>496.5</v>
      </c>
      <c r="BL77" s="78">
        <f t="shared" si="40"/>
        <v>502.3</v>
      </c>
      <c r="BM77" s="78">
        <f t="shared" si="40"/>
        <v>550</v>
      </c>
      <c r="BN77" s="78">
        <f t="shared" si="40"/>
        <v>569</v>
      </c>
      <c r="BO77" s="78">
        <f t="shared" si="40"/>
        <v>531</v>
      </c>
      <c r="BP77" s="78">
        <f t="shared" si="40"/>
        <v>500</v>
      </c>
      <c r="BQ77" s="78">
        <f t="shared" si="40"/>
        <v>462</v>
      </c>
      <c r="BR77" s="78">
        <f t="shared" si="40"/>
        <v>338</v>
      </c>
      <c r="BS77" s="78">
        <f t="shared" si="40"/>
        <v>135.9</v>
      </c>
      <c r="BT77" s="78">
        <f t="shared" si="40"/>
        <v>90.6</v>
      </c>
      <c r="BU77" s="78">
        <f t="shared" si="40"/>
        <v>124</v>
      </c>
      <c r="BV77" s="78">
        <f t="shared" si="40"/>
        <v>0.3</v>
      </c>
      <c r="BW77" s="78">
        <f t="shared" si="40"/>
        <v>65.7</v>
      </c>
    </row>
    <row r="78" spans="1:75" x14ac:dyDescent="0.25">
      <c r="A78" s="87" t="s">
        <v>184</v>
      </c>
      <c r="B78" s="70">
        <v>27.7</v>
      </c>
      <c r="C78" s="70">
        <v>13.7</v>
      </c>
      <c r="D78" s="70">
        <v>13.8</v>
      </c>
      <c r="E78" s="70">
        <v>13.8</v>
      </c>
      <c r="F78" s="70">
        <v>13.8</v>
      </c>
      <c r="G78" s="70">
        <v>13.8</v>
      </c>
      <c r="H78" s="70">
        <v>13.8</v>
      </c>
      <c r="I78" s="70">
        <v>13.8</v>
      </c>
      <c r="J78" s="70">
        <v>13.8</v>
      </c>
      <c r="K78" s="70">
        <v>0</v>
      </c>
      <c r="L78" s="70">
        <v>0</v>
      </c>
      <c r="M78" s="70">
        <v>0</v>
      </c>
      <c r="N78" s="70">
        <v>0</v>
      </c>
      <c r="O78" s="70">
        <v>0</v>
      </c>
      <c r="P78" s="70">
        <v>0</v>
      </c>
      <c r="Q78" s="70">
        <v>0</v>
      </c>
      <c r="R78" s="70">
        <v>0</v>
      </c>
      <c r="S78" s="70">
        <v>0</v>
      </c>
      <c r="T78" s="70"/>
      <c r="U78" s="70"/>
      <c r="V78" s="70"/>
      <c r="W78" s="70"/>
      <c r="X78" s="70"/>
      <c r="Y78" s="70"/>
      <c r="Z78" s="70"/>
      <c r="AA78" s="70"/>
      <c r="AB78" s="70">
        <v>13.8</v>
      </c>
      <c r="AC78" s="70">
        <v>13.8</v>
      </c>
      <c r="AD78" s="70">
        <v>13.8</v>
      </c>
      <c r="AE78" s="70">
        <v>14.1</v>
      </c>
      <c r="AF78" s="70">
        <v>13.8</v>
      </c>
      <c r="AG78" s="86">
        <v>32</v>
      </c>
      <c r="AH78" s="12">
        <f t="shared" si="22"/>
        <v>27.7</v>
      </c>
      <c r="AI78" s="11">
        <f t="shared" si="23"/>
        <v>0</v>
      </c>
      <c r="AK78" s="19"/>
      <c r="AZ78" s="78">
        <f t="shared" ref="AZ78:BW78" si="41">VALUE(AZ71)</f>
        <v>0</v>
      </c>
      <c r="BA78" s="78">
        <f t="shared" si="41"/>
        <v>0</v>
      </c>
      <c r="BB78" s="78">
        <f t="shared" si="41"/>
        <v>0</v>
      </c>
      <c r="BC78" s="78">
        <f t="shared" si="41"/>
        <v>0</v>
      </c>
      <c r="BD78" s="78">
        <f t="shared" si="41"/>
        <v>0</v>
      </c>
      <c r="BE78" s="78">
        <f t="shared" si="41"/>
        <v>0</v>
      </c>
      <c r="BF78" s="78">
        <f t="shared" si="41"/>
        <v>0</v>
      </c>
      <c r="BG78" s="78">
        <f t="shared" si="41"/>
        <v>0</v>
      </c>
      <c r="BH78" s="78">
        <f t="shared" si="41"/>
        <v>0</v>
      </c>
      <c r="BI78" s="78">
        <f t="shared" si="41"/>
        <v>0</v>
      </c>
      <c r="BJ78" s="78">
        <f t="shared" si="41"/>
        <v>0</v>
      </c>
      <c r="BK78" s="78">
        <f t="shared" si="41"/>
        <v>0</v>
      </c>
      <c r="BL78" s="78">
        <f t="shared" si="41"/>
        <v>0</v>
      </c>
      <c r="BM78" s="78">
        <f t="shared" si="41"/>
        <v>0</v>
      </c>
      <c r="BN78" s="78">
        <f t="shared" si="41"/>
        <v>0</v>
      </c>
      <c r="BO78" s="78">
        <f t="shared" si="41"/>
        <v>51.3</v>
      </c>
      <c r="BP78" s="78">
        <f t="shared" si="41"/>
        <v>51.8</v>
      </c>
      <c r="BQ78" s="78">
        <f t="shared" si="41"/>
        <v>27.3</v>
      </c>
      <c r="BR78" s="78">
        <f t="shared" si="41"/>
        <v>30</v>
      </c>
      <c r="BS78" s="78">
        <f t="shared" si="41"/>
        <v>0</v>
      </c>
      <c r="BT78" s="78">
        <f t="shared" si="41"/>
        <v>0</v>
      </c>
      <c r="BU78" s="78">
        <f t="shared" si="41"/>
        <v>0</v>
      </c>
      <c r="BV78" s="78">
        <f t="shared" si="41"/>
        <v>0</v>
      </c>
      <c r="BW78" s="78">
        <f t="shared" si="41"/>
        <v>0</v>
      </c>
    </row>
    <row r="79" spans="1:75" ht="15.75" thickBot="1" x14ac:dyDescent="0.3">
      <c r="A79" s="111" t="s">
        <v>183</v>
      </c>
      <c r="B79" s="110">
        <v>10.1</v>
      </c>
      <c r="C79" s="110">
        <v>5</v>
      </c>
      <c r="D79" s="110">
        <v>5</v>
      </c>
      <c r="E79" s="110">
        <v>5</v>
      </c>
      <c r="F79" s="110">
        <v>5</v>
      </c>
      <c r="G79" s="110">
        <v>5</v>
      </c>
      <c r="H79" s="110">
        <v>5</v>
      </c>
      <c r="I79" s="110">
        <v>5</v>
      </c>
      <c r="J79" s="110">
        <v>5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/>
      <c r="U79" s="110"/>
      <c r="V79" s="110"/>
      <c r="W79" s="110"/>
      <c r="X79" s="110"/>
      <c r="Y79" s="110"/>
      <c r="Z79" s="110"/>
      <c r="AA79" s="110"/>
      <c r="AB79" s="110">
        <v>5</v>
      </c>
      <c r="AC79" s="110">
        <v>5</v>
      </c>
      <c r="AD79" s="110">
        <v>5</v>
      </c>
      <c r="AE79" s="110">
        <v>5.0999999999999996</v>
      </c>
      <c r="AF79" s="110">
        <v>5</v>
      </c>
      <c r="AG79" s="109">
        <v>14</v>
      </c>
      <c r="AH79" s="12">
        <f t="shared" si="22"/>
        <v>10.1</v>
      </c>
      <c r="AI79" s="11">
        <f t="shared" si="23"/>
        <v>0</v>
      </c>
      <c r="AK79" s="19"/>
      <c r="AZ79" s="78">
        <f t="shared" ref="AZ79:BW79" si="42">VALUE(AZ72)</f>
        <v>0</v>
      </c>
      <c r="BA79" s="78">
        <f t="shared" si="42"/>
        <v>0</v>
      </c>
      <c r="BB79" s="78">
        <f t="shared" si="42"/>
        <v>0</v>
      </c>
      <c r="BC79" s="78">
        <f t="shared" si="42"/>
        <v>0</v>
      </c>
      <c r="BD79" s="78">
        <f t="shared" si="42"/>
        <v>0</v>
      </c>
      <c r="BE79" s="78">
        <f t="shared" si="42"/>
        <v>0</v>
      </c>
      <c r="BF79" s="78">
        <f t="shared" si="42"/>
        <v>99.7</v>
      </c>
      <c r="BG79" s="78">
        <f t="shared" si="42"/>
        <v>119.7</v>
      </c>
      <c r="BH79" s="78">
        <f t="shared" si="42"/>
        <v>129.5</v>
      </c>
      <c r="BI79" s="78">
        <f t="shared" si="42"/>
        <v>144.9</v>
      </c>
      <c r="BJ79" s="78">
        <f t="shared" si="42"/>
        <v>114.5</v>
      </c>
      <c r="BK79" s="78">
        <f t="shared" si="42"/>
        <v>141.4</v>
      </c>
      <c r="BL79" s="78">
        <f t="shared" si="42"/>
        <v>132.1</v>
      </c>
      <c r="BM79" s="78">
        <f t="shared" si="42"/>
        <v>116.2</v>
      </c>
      <c r="BN79" s="78">
        <f t="shared" si="42"/>
        <v>123.8</v>
      </c>
      <c r="BO79" s="78">
        <f t="shared" si="42"/>
        <v>122.7</v>
      </c>
      <c r="BP79" s="78">
        <f t="shared" si="42"/>
        <v>116</v>
      </c>
      <c r="BQ79" s="78">
        <f t="shared" si="42"/>
        <v>80</v>
      </c>
      <c r="BR79" s="78">
        <f t="shared" si="42"/>
        <v>112.7</v>
      </c>
      <c r="BS79" s="78">
        <f t="shared" si="42"/>
        <v>0</v>
      </c>
      <c r="BT79" s="78">
        <f t="shared" si="42"/>
        <v>0</v>
      </c>
      <c r="BU79" s="78">
        <f t="shared" si="42"/>
        <v>0</v>
      </c>
      <c r="BV79" s="78">
        <f t="shared" si="42"/>
        <v>0</v>
      </c>
      <c r="BW79" s="78">
        <f t="shared" si="42"/>
        <v>0</v>
      </c>
    </row>
    <row r="80" spans="1:75" ht="15.75" thickBot="1" x14ac:dyDescent="0.3">
      <c r="A80" s="77" t="s">
        <v>182</v>
      </c>
      <c r="B80" s="76">
        <f t="shared" ref="B80:AF80" si="43">B77+B78+B79</f>
        <v>97.199999999999989</v>
      </c>
      <c r="C80" s="76">
        <f t="shared" si="43"/>
        <v>47.8</v>
      </c>
      <c r="D80" s="76">
        <f t="shared" si="43"/>
        <v>48.5</v>
      </c>
      <c r="E80" s="76">
        <f t="shared" si="43"/>
        <v>48.5</v>
      </c>
      <c r="F80" s="76">
        <f t="shared" si="43"/>
        <v>48.5</v>
      </c>
      <c r="G80" s="76">
        <f t="shared" si="43"/>
        <v>48.5</v>
      </c>
      <c r="H80" s="76">
        <f t="shared" si="43"/>
        <v>48.5</v>
      </c>
      <c r="I80" s="76">
        <f t="shared" si="43"/>
        <v>48.5</v>
      </c>
      <c r="J80" s="76">
        <f t="shared" si="43"/>
        <v>48.5</v>
      </c>
      <c r="K80" s="76">
        <f t="shared" si="43"/>
        <v>0</v>
      </c>
      <c r="L80" s="76">
        <f t="shared" si="43"/>
        <v>0</v>
      </c>
      <c r="M80" s="76">
        <f t="shared" si="43"/>
        <v>0</v>
      </c>
      <c r="N80" s="76">
        <f t="shared" si="43"/>
        <v>0</v>
      </c>
      <c r="O80" s="76">
        <f t="shared" si="43"/>
        <v>0</v>
      </c>
      <c r="P80" s="76">
        <f t="shared" si="43"/>
        <v>0</v>
      </c>
      <c r="Q80" s="76">
        <f t="shared" si="43"/>
        <v>0</v>
      </c>
      <c r="R80" s="76">
        <f t="shared" si="43"/>
        <v>0</v>
      </c>
      <c r="S80" s="76">
        <f t="shared" si="43"/>
        <v>0</v>
      </c>
      <c r="T80" s="76">
        <f t="shared" si="43"/>
        <v>0</v>
      </c>
      <c r="U80" s="76">
        <f t="shared" si="43"/>
        <v>0</v>
      </c>
      <c r="V80" s="76">
        <f t="shared" si="43"/>
        <v>0</v>
      </c>
      <c r="W80" s="76">
        <f t="shared" si="43"/>
        <v>0</v>
      </c>
      <c r="X80" s="76">
        <f t="shared" si="43"/>
        <v>0</v>
      </c>
      <c r="Y80" s="76">
        <f t="shared" si="43"/>
        <v>0</v>
      </c>
      <c r="Z80" s="76">
        <v>0</v>
      </c>
      <c r="AA80" s="76">
        <f t="shared" si="43"/>
        <v>0</v>
      </c>
      <c r="AB80" s="76">
        <f t="shared" si="43"/>
        <v>48.2</v>
      </c>
      <c r="AC80" s="76">
        <f t="shared" si="43"/>
        <v>48.2</v>
      </c>
      <c r="AD80" s="76">
        <f t="shared" si="43"/>
        <v>48.2</v>
      </c>
      <c r="AE80" s="76">
        <f t="shared" si="43"/>
        <v>49</v>
      </c>
      <c r="AF80" s="76">
        <f t="shared" si="43"/>
        <v>48</v>
      </c>
      <c r="AG80" s="93">
        <f>SUM(AG77:AG79)</f>
        <v>106</v>
      </c>
      <c r="AH80" s="12">
        <f t="shared" si="22"/>
        <v>97.199999999999989</v>
      </c>
      <c r="AI80" s="11">
        <f t="shared" si="23"/>
        <v>0</v>
      </c>
      <c r="AK80" s="19"/>
      <c r="AZ80" s="78">
        <f t="shared" ref="AZ80:BW80" si="44">VALUE(AZ73)</f>
        <v>43</v>
      </c>
      <c r="BA80" s="78">
        <f t="shared" si="44"/>
        <v>41.6</v>
      </c>
      <c r="BB80" s="78">
        <f t="shared" si="44"/>
        <v>43.2</v>
      </c>
      <c r="BC80" s="78">
        <f t="shared" si="44"/>
        <v>43.3</v>
      </c>
      <c r="BD80" s="78">
        <f t="shared" si="44"/>
        <v>40.700000000000003</v>
      </c>
      <c r="BE80" s="78">
        <f t="shared" si="44"/>
        <v>42.6</v>
      </c>
      <c r="BF80" s="78">
        <f t="shared" si="44"/>
        <v>49.5</v>
      </c>
      <c r="BG80" s="78">
        <f t="shared" si="44"/>
        <v>46.9</v>
      </c>
      <c r="BH80" s="78">
        <f t="shared" si="44"/>
        <v>35.9</v>
      </c>
      <c r="BI80" s="78">
        <f t="shared" si="44"/>
        <v>50.9</v>
      </c>
      <c r="BJ80" s="78">
        <f t="shared" si="44"/>
        <v>48.2</v>
      </c>
      <c r="BK80" s="78">
        <f t="shared" si="44"/>
        <v>43.2</v>
      </c>
      <c r="BL80" s="78">
        <f t="shared" si="44"/>
        <v>49.8</v>
      </c>
      <c r="BM80" s="78">
        <f t="shared" si="44"/>
        <v>38.1</v>
      </c>
      <c r="BN80" s="78">
        <f t="shared" si="44"/>
        <v>50.6</v>
      </c>
      <c r="BO80" s="78">
        <f t="shared" si="44"/>
        <v>53.7</v>
      </c>
      <c r="BP80" s="78">
        <f t="shared" si="44"/>
        <v>58.8</v>
      </c>
      <c r="BQ80" s="78">
        <f t="shared" si="44"/>
        <v>53.8</v>
      </c>
      <c r="BR80" s="78">
        <f t="shared" si="44"/>
        <v>43</v>
      </c>
      <c r="BS80" s="78">
        <f t="shared" si="44"/>
        <v>39.4</v>
      </c>
      <c r="BT80" s="78">
        <f t="shared" si="44"/>
        <v>39.299999999999997</v>
      </c>
      <c r="BU80" s="78">
        <f t="shared" si="44"/>
        <v>43.6</v>
      </c>
      <c r="BV80" s="78">
        <f t="shared" si="44"/>
        <v>44.9</v>
      </c>
      <c r="BW80" s="78">
        <f t="shared" si="44"/>
        <v>45</v>
      </c>
    </row>
    <row r="81" spans="1:64" x14ac:dyDescent="0.25">
      <c r="A81" s="89" t="s">
        <v>157</v>
      </c>
      <c r="B81" s="102">
        <v>41.5</v>
      </c>
      <c r="C81" s="102">
        <v>42</v>
      </c>
      <c r="D81" s="102">
        <v>41.1</v>
      </c>
      <c r="E81" s="102">
        <v>34.700000000000003</v>
      </c>
      <c r="F81" s="102">
        <v>33.299999999999997</v>
      </c>
      <c r="G81" s="102">
        <v>32.200000000000003</v>
      </c>
      <c r="H81" s="102">
        <v>31.4</v>
      </c>
      <c r="I81" s="102">
        <v>31.8</v>
      </c>
      <c r="J81" s="102">
        <v>54.5</v>
      </c>
      <c r="K81" s="102">
        <v>61.5</v>
      </c>
      <c r="L81" s="102">
        <v>63.8</v>
      </c>
      <c r="M81" s="102">
        <v>70.8</v>
      </c>
      <c r="N81" s="102">
        <v>65.2</v>
      </c>
      <c r="O81" s="102">
        <v>58.6</v>
      </c>
      <c r="P81" s="102">
        <v>74.3</v>
      </c>
      <c r="Q81" s="102">
        <v>71.3</v>
      </c>
      <c r="R81" s="102">
        <v>57.1</v>
      </c>
      <c r="S81" s="102">
        <v>66.3</v>
      </c>
      <c r="T81" s="102">
        <v>63.4</v>
      </c>
      <c r="U81" s="102">
        <v>64.900000000000006</v>
      </c>
      <c r="V81" s="102">
        <v>59</v>
      </c>
      <c r="W81" s="102">
        <v>60.6</v>
      </c>
      <c r="X81" s="102">
        <v>59.2</v>
      </c>
      <c r="Y81" s="102">
        <v>50.1</v>
      </c>
      <c r="Z81" s="102">
        <v>50.6</v>
      </c>
      <c r="AA81" s="102">
        <v>57</v>
      </c>
      <c r="AB81" s="102">
        <v>54.5</v>
      </c>
      <c r="AC81" s="102">
        <v>45.3</v>
      </c>
      <c r="AD81" s="102">
        <v>36.6</v>
      </c>
      <c r="AE81" s="102">
        <v>48</v>
      </c>
      <c r="AF81" s="102">
        <v>29.9</v>
      </c>
      <c r="AG81" s="88"/>
      <c r="AH81" s="12">
        <f t="shared" si="22"/>
        <v>74.3</v>
      </c>
      <c r="AI81" s="11">
        <f t="shared" si="23"/>
        <v>29.9</v>
      </c>
      <c r="AK81" s="19"/>
      <c r="AY81" s="78"/>
    </row>
    <row r="82" spans="1:64" x14ac:dyDescent="0.25">
      <c r="A82" s="87" t="s">
        <v>160</v>
      </c>
      <c r="B82" s="70">
        <v>0</v>
      </c>
      <c r="C82" s="70">
        <v>0</v>
      </c>
      <c r="D82" s="70">
        <v>0</v>
      </c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12">
        <f t="shared" ref="AH82:AH113" si="45">MAX(B82:AF82)</f>
        <v>0</v>
      </c>
      <c r="AI82" s="11">
        <f t="shared" ref="AI82:AI113" si="46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25">
      <c r="A83" s="87" t="s">
        <v>181</v>
      </c>
      <c r="B83" s="70">
        <v>65.7</v>
      </c>
      <c r="C83" s="70">
        <v>125</v>
      </c>
      <c r="D83" s="70">
        <v>137</v>
      </c>
      <c r="E83" s="70">
        <v>151</v>
      </c>
      <c r="F83" s="70">
        <v>103.3</v>
      </c>
      <c r="G83" s="70">
        <v>157</v>
      </c>
      <c r="H83" s="70">
        <v>90.6</v>
      </c>
      <c r="I83" s="70">
        <v>105.7</v>
      </c>
      <c r="J83" s="70">
        <v>370</v>
      </c>
      <c r="K83" s="70">
        <v>372.8</v>
      </c>
      <c r="L83" s="70">
        <v>415</v>
      </c>
      <c r="M83" s="70">
        <v>422.5</v>
      </c>
      <c r="N83" s="70">
        <v>478</v>
      </c>
      <c r="O83" s="70">
        <v>496</v>
      </c>
      <c r="P83" s="70">
        <v>502.9</v>
      </c>
      <c r="Q83" s="70">
        <v>496.5</v>
      </c>
      <c r="R83" s="70">
        <v>502.3</v>
      </c>
      <c r="S83" s="70">
        <v>550</v>
      </c>
      <c r="T83" s="70">
        <v>569</v>
      </c>
      <c r="U83" s="70">
        <v>531</v>
      </c>
      <c r="V83" s="70">
        <v>500</v>
      </c>
      <c r="W83" s="70">
        <v>498</v>
      </c>
      <c r="X83" s="70">
        <v>462</v>
      </c>
      <c r="Y83" s="70">
        <v>183.9</v>
      </c>
      <c r="Z83" s="70">
        <v>338</v>
      </c>
      <c r="AA83" s="70">
        <v>204.5</v>
      </c>
      <c r="AB83" s="70">
        <v>135.9</v>
      </c>
      <c r="AC83" s="70">
        <v>110</v>
      </c>
      <c r="AD83" s="70">
        <v>90.6</v>
      </c>
      <c r="AE83" s="70">
        <v>124</v>
      </c>
      <c r="AF83" s="70">
        <v>0.3</v>
      </c>
      <c r="AG83" s="96"/>
      <c r="AH83" s="12">
        <f t="shared" si="45"/>
        <v>569</v>
      </c>
      <c r="AI83" s="11">
        <f t="shared" si="46"/>
        <v>0.3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25">
      <c r="A84" s="87" t="s">
        <v>161</v>
      </c>
      <c r="B84" s="70">
        <v>0</v>
      </c>
      <c r="C84" s="70">
        <v>0</v>
      </c>
      <c r="D84" s="70">
        <v>0</v>
      </c>
      <c r="E84" s="85">
        <v>0</v>
      </c>
      <c r="F84" s="85">
        <v>0</v>
      </c>
      <c r="G84" s="85">
        <v>0</v>
      </c>
      <c r="H84" s="85">
        <v>0</v>
      </c>
      <c r="I84" s="85">
        <v>0</v>
      </c>
      <c r="J84" s="85">
        <v>0</v>
      </c>
      <c r="K84" s="85">
        <v>0</v>
      </c>
      <c r="L84" s="85">
        <v>0</v>
      </c>
      <c r="M84" s="85">
        <v>0</v>
      </c>
      <c r="N84" s="85">
        <v>0</v>
      </c>
      <c r="O84" s="85">
        <v>0</v>
      </c>
      <c r="P84" s="85">
        <v>0</v>
      </c>
      <c r="Q84" s="85">
        <v>0</v>
      </c>
      <c r="R84" s="85">
        <v>0</v>
      </c>
      <c r="S84" s="85">
        <v>0</v>
      </c>
      <c r="T84" s="85">
        <v>0</v>
      </c>
      <c r="U84" s="85">
        <v>51.3</v>
      </c>
      <c r="V84" s="85">
        <v>51.8</v>
      </c>
      <c r="W84" s="85">
        <v>29.3</v>
      </c>
      <c r="X84" s="85">
        <v>27.3</v>
      </c>
      <c r="Y84" s="85">
        <v>28.9</v>
      </c>
      <c r="Z84" s="85">
        <v>30</v>
      </c>
      <c r="AA84" s="85">
        <v>38.5</v>
      </c>
      <c r="AB84" s="85">
        <v>0</v>
      </c>
      <c r="AC84" s="85">
        <v>0</v>
      </c>
      <c r="AD84" s="85">
        <v>0</v>
      </c>
      <c r="AE84" s="85">
        <v>0</v>
      </c>
      <c r="AF84" s="85">
        <v>0</v>
      </c>
      <c r="AG84" s="96"/>
      <c r="AH84" s="12">
        <f t="shared" si="45"/>
        <v>51.8</v>
      </c>
      <c r="AI84" s="11">
        <f t="shared" si="46"/>
        <v>0</v>
      </c>
      <c r="AK84" s="19"/>
      <c r="AY84" s="78"/>
      <c r="BF84" s="83"/>
      <c r="BG84" s="78">
        <f t="array" ref="BG84:BL107">TRANSPOSE(AZ68:BW73)</f>
        <v>42</v>
      </c>
      <c r="BH84" s="78">
        <v>0</v>
      </c>
      <c r="BI84" s="78">
        <v>125</v>
      </c>
      <c r="BJ84" s="78">
        <v>0</v>
      </c>
      <c r="BK84" s="78">
        <v>0</v>
      </c>
      <c r="BL84" s="78">
        <v>43</v>
      </c>
    </row>
    <row r="85" spans="1:64" x14ac:dyDescent="0.25">
      <c r="A85" s="87" t="s">
        <v>180</v>
      </c>
      <c r="B85" s="102">
        <v>0</v>
      </c>
      <c r="C85" s="102">
        <v>0</v>
      </c>
      <c r="D85" s="102">
        <v>0</v>
      </c>
      <c r="E85" s="102">
        <v>0</v>
      </c>
      <c r="F85" s="102">
        <v>0</v>
      </c>
      <c r="G85" s="102">
        <v>0</v>
      </c>
      <c r="H85" s="102">
        <v>0</v>
      </c>
      <c r="I85" s="102">
        <v>0</v>
      </c>
      <c r="J85" s="102">
        <v>0</v>
      </c>
      <c r="K85" s="102">
        <v>99.7</v>
      </c>
      <c r="L85" s="102">
        <v>123.9</v>
      </c>
      <c r="M85" s="102">
        <v>119.7</v>
      </c>
      <c r="N85" s="102">
        <v>129.5</v>
      </c>
      <c r="O85" s="102">
        <v>144.9</v>
      </c>
      <c r="P85" s="102">
        <v>114.5</v>
      </c>
      <c r="Q85" s="102">
        <v>141.4</v>
      </c>
      <c r="R85" s="102">
        <v>132.1</v>
      </c>
      <c r="S85" s="102">
        <v>116.2</v>
      </c>
      <c r="T85" s="102">
        <v>123.8</v>
      </c>
      <c r="U85" s="102">
        <v>122.7</v>
      </c>
      <c r="V85" s="102">
        <v>116</v>
      </c>
      <c r="W85" s="102">
        <v>110.2</v>
      </c>
      <c r="X85" s="102">
        <v>80</v>
      </c>
      <c r="Y85" s="102">
        <v>111.3</v>
      </c>
      <c r="Z85" s="102">
        <v>112.7</v>
      </c>
      <c r="AA85" s="102">
        <v>125</v>
      </c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45"/>
        <v>144.9</v>
      </c>
      <c r="AI85" s="11">
        <f t="shared" si="46"/>
        <v>0</v>
      </c>
      <c r="AK85" s="19"/>
      <c r="AY85" s="78"/>
      <c r="BF85" s="83"/>
      <c r="BG85" s="78">
        <v>41.1</v>
      </c>
      <c r="BH85" s="78">
        <v>0</v>
      </c>
      <c r="BI85" s="78">
        <v>137</v>
      </c>
      <c r="BJ85" s="78">
        <v>0</v>
      </c>
      <c r="BK85" s="78">
        <v>0</v>
      </c>
      <c r="BL85" s="78">
        <v>41.6</v>
      </c>
    </row>
    <row r="86" spans="1:64" x14ac:dyDescent="0.25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45"/>
        <v>0</v>
      </c>
      <c r="AI86" s="11">
        <f t="shared" si="46"/>
        <v>0</v>
      </c>
      <c r="AK86" s="19"/>
      <c r="AY86" s="78"/>
      <c r="BF86" s="83"/>
      <c r="BG86" s="78">
        <v>34.700000000000003</v>
      </c>
      <c r="BH86" s="78">
        <v>0</v>
      </c>
      <c r="BI86" s="78">
        <v>151</v>
      </c>
      <c r="BJ86" s="78">
        <v>0</v>
      </c>
      <c r="BK86" s="78">
        <v>0</v>
      </c>
      <c r="BL86" s="78">
        <v>43.2</v>
      </c>
    </row>
    <row r="87" spans="1:64" ht="15.75" thickBot="1" x14ac:dyDescent="0.3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45"/>
        <v>0</v>
      </c>
      <c r="AI87" s="11">
        <f t="shared" si="46"/>
        <v>0</v>
      </c>
      <c r="AK87" s="19"/>
      <c r="AL87" s="108" t="s">
        <v>177</v>
      </c>
      <c r="AM87" s="108"/>
      <c r="AY87" s="78"/>
      <c r="BF87" s="78"/>
      <c r="BG87" s="78">
        <v>33.299999999999997</v>
      </c>
      <c r="BH87" s="78">
        <v>0</v>
      </c>
      <c r="BI87" s="78">
        <v>103.3</v>
      </c>
      <c r="BJ87" s="78">
        <v>0</v>
      </c>
      <c r="BK87" s="78">
        <v>0</v>
      </c>
      <c r="BL87" s="78">
        <v>43.3</v>
      </c>
    </row>
    <row r="88" spans="1:64" x14ac:dyDescent="0.25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45"/>
        <v>0</v>
      </c>
      <c r="AI88" s="11">
        <f t="shared" si="46"/>
        <v>0</v>
      </c>
      <c r="AK88" s="107"/>
      <c r="AL88" s="106"/>
      <c r="AM88" s="106"/>
      <c r="AN88" s="105"/>
      <c r="AY88" s="78"/>
      <c r="BF88" s="78"/>
      <c r="BG88" s="78">
        <v>32.200000000000003</v>
      </c>
      <c r="BH88" s="78">
        <v>0</v>
      </c>
      <c r="BI88" s="78">
        <v>157</v>
      </c>
      <c r="BJ88" s="78">
        <v>0</v>
      </c>
      <c r="BK88" s="78">
        <v>0</v>
      </c>
      <c r="BL88" s="78">
        <v>40.700000000000003</v>
      </c>
    </row>
    <row r="89" spans="1:64" x14ac:dyDescent="0.25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45"/>
        <v>0</v>
      </c>
      <c r="AI89" s="11">
        <f t="shared" si="46"/>
        <v>0</v>
      </c>
      <c r="AK89" s="104" t="s">
        <v>174</v>
      </c>
      <c r="AL89" s="70"/>
      <c r="AM89" s="85"/>
      <c r="AN89" s="103"/>
      <c r="AY89" s="78"/>
      <c r="BF89" s="78"/>
      <c r="BG89" s="78">
        <v>31.8</v>
      </c>
      <c r="BH89" s="78">
        <v>0</v>
      </c>
      <c r="BI89" s="78">
        <v>105.7</v>
      </c>
      <c r="BJ89" s="78">
        <v>0</v>
      </c>
      <c r="BK89" s="78">
        <v>0</v>
      </c>
      <c r="BL89" s="78">
        <v>42.6</v>
      </c>
    </row>
    <row r="90" spans="1:64" x14ac:dyDescent="0.25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45"/>
        <v>0</v>
      </c>
      <c r="AI90" s="11">
        <f t="shared" si="46"/>
        <v>0</v>
      </c>
      <c r="AK90" s="104" t="s">
        <v>172</v>
      </c>
      <c r="AL90" s="85"/>
      <c r="AM90" s="85"/>
      <c r="AN90" s="103"/>
      <c r="AY90" s="78"/>
      <c r="BF90" s="78"/>
      <c r="BG90" s="78">
        <v>61.5</v>
      </c>
      <c r="BH90" s="78">
        <v>0</v>
      </c>
      <c r="BI90" s="78">
        <v>372.8</v>
      </c>
      <c r="BJ90" s="78">
        <v>0</v>
      </c>
      <c r="BK90" s="78">
        <v>99.7</v>
      </c>
      <c r="BL90" s="78">
        <v>49.5</v>
      </c>
    </row>
    <row r="91" spans="1:64" ht="15.75" thickBot="1" x14ac:dyDescent="0.3">
      <c r="A91" s="82" t="s">
        <v>171</v>
      </c>
      <c r="B91" s="97">
        <v>45</v>
      </c>
      <c r="C91" s="97">
        <v>43</v>
      </c>
      <c r="D91" s="97">
        <v>41.6</v>
      </c>
      <c r="E91" s="97">
        <v>43.2</v>
      </c>
      <c r="F91" s="97">
        <v>43.3</v>
      </c>
      <c r="G91" s="97">
        <v>40.700000000000003</v>
      </c>
      <c r="H91" s="97">
        <v>41.5</v>
      </c>
      <c r="I91" s="97">
        <v>42.6</v>
      </c>
      <c r="J91" s="97">
        <v>45.6</v>
      </c>
      <c r="K91" s="97">
        <v>49.5</v>
      </c>
      <c r="L91" s="97">
        <v>49.1</v>
      </c>
      <c r="M91" s="97">
        <v>46.9</v>
      </c>
      <c r="N91" s="97">
        <v>35.9</v>
      </c>
      <c r="O91" s="97">
        <v>50.9</v>
      </c>
      <c r="P91" s="97">
        <v>48.2</v>
      </c>
      <c r="Q91" s="97">
        <v>43.2</v>
      </c>
      <c r="R91" s="97">
        <v>49.8</v>
      </c>
      <c r="S91" s="97">
        <v>38.1</v>
      </c>
      <c r="T91" s="97">
        <v>50.6</v>
      </c>
      <c r="U91" s="97">
        <v>53.7</v>
      </c>
      <c r="V91" s="97">
        <v>58.8</v>
      </c>
      <c r="W91" s="97">
        <v>52.2</v>
      </c>
      <c r="X91" s="97">
        <v>53.8</v>
      </c>
      <c r="Y91" s="97">
        <v>46.8</v>
      </c>
      <c r="Z91" s="97">
        <v>43</v>
      </c>
      <c r="AA91" s="97">
        <v>40.5</v>
      </c>
      <c r="AB91" s="97">
        <v>39.4</v>
      </c>
      <c r="AC91" s="97">
        <v>41.2</v>
      </c>
      <c r="AD91" s="97">
        <v>39.299999999999997</v>
      </c>
      <c r="AE91" s="97">
        <v>43.6</v>
      </c>
      <c r="AF91" s="97">
        <v>44.9</v>
      </c>
      <c r="AG91" s="80"/>
      <c r="AH91" s="12">
        <f t="shared" si="45"/>
        <v>58.8</v>
      </c>
      <c r="AI91" s="11">
        <f t="shared" si="46"/>
        <v>35.9</v>
      </c>
      <c r="AK91" s="98"/>
      <c r="AL91" s="102"/>
      <c r="AM91" s="102"/>
      <c r="AN91" s="101"/>
      <c r="AY91" s="78"/>
      <c r="BF91" s="78"/>
      <c r="BG91" s="78">
        <v>70.8</v>
      </c>
      <c r="BH91" s="78">
        <v>0</v>
      </c>
      <c r="BI91" s="78">
        <v>422.5</v>
      </c>
      <c r="BJ91" s="78">
        <v>0</v>
      </c>
      <c r="BK91" s="78">
        <v>119.7</v>
      </c>
      <c r="BL91" s="78">
        <v>46.9</v>
      </c>
    </row>
    <row r="92" spans="1:64" ht="15.75" thickBot="1" x14ac:dyDescent="0.3">
      <c r="A92" s="77" t="s">
        <v>170</v>
      </c>
      <c r="B92" s="76">
        <f t="shared" ref="B92:AF92" si="47">SUMIF(B81:B91,"&gt;0")</f>
        <v>152.19999999999999</v>
      </c>
      <c r="C92" s="76">
        <f t="shared" si="47"/>
        <v>210</v>
      </c>
      <c r="D92" s="76">
        <f t="shared" si="47"/>
        <v>219.7</v>
      </c>
      <c r="E92" s="76">
        <f t="shared" si="47"/>
        <v>228.89999999999998</v>
      </c>
      <c r="F92" s="76">
        <f t="shared" si="47"/>
        <v>179.89999999999998</v>
      </c>
      <c r="G92" s="76">
        <f t="shared" si="47"/>
        <v>229.89999999999998</v>
      </c>
      <c r="H92" s="76">
        <f t="shared" si="47"/>
        <v>163.5</v>
      </c>
      <c r="I92" s="76">
        <f t="shared" si="47"/>
        <v>180.1</v>
      </c>
      <c r="J92" s="76">
        <f t="shared" si="47"/>
        <v>470.1</v>
      </c>
      <c r="K92" s="76">
        <f t="shared" si="47"/>
        <v>583.5</v>
      </c>
      <c r="L92" s="76">
        <f t="shared" si="47"/>
        <v>651.80000000000007</v>
      </c>
      <c r="M92" s="76">
        <f t="shared" si="47"/>
        <v>659.9</v>
      </c>
      <c r="N92" s="76">
        <f t="shared" si="47"/>
        <v>708.6</v>
      </c>
      <c r="O92" s="76">
        <f t="shared" si="47"/>
        <v>750.4</v>
      </c>
      <c r="P92" s="76">
        <f t="shared" si="47"/>
        <v>739.9</v>
      </c>
      <c r="Q92" s="76">
        <f t="shared" si="47"/>
        <v>752.4</v>
      </c>
      <c r="R92" s="76">
        <f t="shared" si="47"/>
        <v>741.3</v>
      </c>
      <c r="S92" s="76">
        <f t="shared" si="47"/>
        <v>770.6</v>
      </c>
      <c r="T92" s="76">
        <f t="shared" si="47"/>
        <v>806.8</v>
      </c>
      <c r="U92" s="76">
        <f t="shared" si="47"/>
        <v>823.6</v>
      </c>
      <c r="V92" s="76">
        <f t="shared" si="47"/>
        <v>785.59999999999991</v>
      </c>
      <c r="W92" s="76">
        <f t="shared" si="47"/>
        <v>750.30000000000007</v>
      </c>
      <c r="X92" s="76">
        <f t="shared" si="47"/>
        <v>682.3</v>
      </c>
      <c r="Y92" s="76">
        <f t="shared" si="47"/>
        <v>421</v>
      </c>
      <c r="Z92" s="76">
        <v>531.30000000000007</v>
      </c>
      <c r="AA92" s="76">
        <f t="shared" si="47"/>
        <v>465.5</v>
      </c>
      <c r="AB92" s="76">
        <f t="shared" si="47"/>
        <v>229.8</v>
      </c>
      <c r="AC92" s="76">
        <f t="shared" si="47"/>
        <v>196.5</v>
      </c>
      <c r="AD92" s="76">
        <f t="shared" si="47"/>
        <v>166.5</v>
      </c>
      <c r="AE92" s="76">
        <f t="shared" si="47"/>
        <v>215.6</v>
      </c>
      <c r="AF92" s="76">
        <f t="shared" si="47"/>
        <v>75.099999999999994</v>
      </c>
      <c r="AG92" s="75">
        <f>SUM(AG81:AG91)</f>
        <v>0</v>
      </c>
      <c r="AH92" s="12">
        <f t="shared" si="45"/>
        <v>823.6</v>
      </c>
      <c r="AI92" s="11">
        <f t="shared" si="46"/>
        <v>75.099999999999994</v>
      </c>
      <c r="AK92" s="98"/>
      <c r="AL92" s="97"/>
      <c r="AM92" s="100"/>
      <c r="AN92" s="220"/>
      <c r="AY92" s="78"/>
      <c r="BF92" s="78"/>
      <c r="BG92" s="78">
        <v>65.2</v>
      </c>
      <c r="BH92" s="78">
        <v>0</v>
      </c>
      <c r="BI92" s="78">
        <v>478</v>
      </c>
      <c r="BJ92" s="78">
        <v>0</v>
      </c>
      <c r="BK92" s="78">
        <v>129.5</v>
      </c>
      <c r="BL92" s="78">
        <v>35.9</v>
      </c>
    </row>
    <row r="93" spans="1:64" x14ac:dyDescent="0.25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45"/>
        <v>0</v>
      </c>
      <c r="AI93" s="11">
        <f t="shared" si="46"/>
        <v>0</v>
      </c>
      <c r="AK93" s="98"/>
      <c r="AL93" s="97"/>
      <c r="AM93" s="97"/>
      <c r="AN93" s="221"/>
      <c r="BF93" s="78"/>
      <c r="BG93" s="78">
        <v>58.6</v>
      </c>
      <c r="BH93" s="78">
        <v>0</v>
      </c>
      <c r="BI93" s="78">
        <v>496</v>
      </c>
      <c r="BJ93" s="78">
        <v>0</v>
      </c>
      <c r="BK93" s="78">
        <v>144.9</v>
      </c>
      <c r="BL93" s="78">
        <v>50.9</v>
      </c>
    </row>
    <row r="94" spans="1:64" ht="15.75" thickBot="1" x14ac:dyDescent="0.3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45"/>
        <v>0</v>
      </c>
      <c r="AI94" s="11">
        <f t="shared" si="46"/>
        <v>0</v>
      </c>
      <c r="AK94" s="95"/>
      <c r="AL94" s="67"/>
      <c r="AM94" s="67"/>
      <c r="AN94" s="94"/>
      <c r="BF94" s="78"/>
      <c r="BG94" s="78">
        <v>74.3</v>
      </c>
      <c r="BH94" s="78">
        <v>0</v>
      </c>
      <c r="BI94" s="78">
        <v>502.9</v>
      </c>
      <c r="BJ94" s="78">
        <v>0</v>
      </c>
      <c r="BK94" s="78">
        <v>114.5</v>
      </c>
      <c r="BL94" s="78">
        <v>48.2</v>
      </c>
    </row>
    <row r="95" spans="1:64" ht="15.75" thickBot="1" x14ac:dyDescent="0.3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45"/>
        <v>0</v>
      </c>
      <c r="AI95" s="11">
        <f t="shared" si="46"/>
        <v>0</v>
      </c>
      <c r="BF95" s="78"/>
      <c r="BG95" s="78">
        <v>71.3</v>
      </c>
      <c r="BH95" s="78">
        <v>0</v>
      </c>
      <c r="BI95" s="78">
        <v>496.5</v>
      </c>
      <c r="BJ95" s="78">
        <v>0</v>
      </c>
      <c r="BK95" s="78">
        <v>141.4</v>
      </c>
      <c r="BL95" s="78">
        <v>43.2</v>
      </c>
    </row>
    <row r="96" spans="1:64" ht="15.75" thickBot="1" x14ac:dyDescent="0.3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>
        <v>0</v>
      </c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45"/>
        <v>0</v>
      </c>
      <c r="AI96" s="11">
        <f t="shared" si="46"/>
        <v>0</v>
      </c>
      <c r="BF96" s="78"/>
      <c r="BG96" s="78">
        <v>57.1</v>
      </c>
      <c r="BH96" s="78">
        <v>0</v>
      </c>
      <c r="BI96" s="78">
        <v>502.3</v>
      </c>
      <c r="BJ96" s="78">
        <v>0</v>
      </c>
      <c r="BK96" s="78">
        <v>132.1</v>
      </c>
      <c r="BL96" s="78">
        <v>49.8</v>
      </c>
    </row>
    <row r="97" spans="1:64" ht="15.75" thickBot="1" x14ac:dyDescent="0.3">
      <c r="A97" s="77" t="s">
        <v>165</v>
      </c>
      <c r="B97" s="90">
        <f t="shared" ref="B97:AG97" si="48">B58+B62+B80+B76+B92+B96</f>
        <v>1229.3399999999999</v>
      </c>
      <c r="C97" s="90">
        <f t="shared" si="48"/>
        <v>1237.7399999999998</v>
      </c>
      <c r="D97" s="90">
        <f t="shared" si="48"/>
        <v>1248.1400000000001</v>
      </c>
      <c r="E97" s="90">
        <f t="shared" si="48"/>
        <v>1204.8399999999997</v>
      </c>
      <c r="F97" s="90">
        <f t="shared" si="48"/>
        <v>1158.44</v>
      </c>
      <c r="G97" s="90">
        <f t="shared" si="48"/>
        <v>1203.04</v>
      </c>
      <c r="H97" s="90">
        <f t="shared" si="48"/>
        <v>1241.6399999999999</v>
      </c>
      <c r="I97" s="90">
        <f t="shared" si="48"/>
        <v>1334.1399999999999</v>
      </c>
      <c r="J97" s="90">
        <f t="shared" si="48"/>
        <v>1426.2399999999998</v>
      </c>
      <c r="K97" s="90">
        <f t="shared" si="48"/>
        <v>1407.2399999999998</v>
      </c>
      <c r="L97" s="90">
        <f t="shared" si="48"/>
        <v>1488.34</v>
      </c>
      <c r="M97" s="90">
        <f t="shared" si="48"/>
        <v>1508.7399999999998</v>
      </c>
      <c r="N97" s="90">
        <f t="shared" si="48"/>
        <v>1562.94</v>
      </c>
      <c r="O97" s="90">
        <f t="shared" si="48"/>
        <v>1613.2399999999998</v>
      </c>
      <c r="P97" s="90">
        <f t="shared" si="48"/>
        <v>1585.04</v>
      </c>
      <c r="Q97" s="90">
        <f t="shared" si="48"/>
        <v>1613.34</v>
      </c>
      <c r="R97" s="90">
        <f t="shared" si="48"/>
        <v>1638.04</v>
      </c>
      <c r="S97" s="90">
        <f t="shared" si="48"/>
        <v>1641.04</v>
      </c>
      <c r="T97" s="90">
        <f t="shared" si="48"/>
        <v>1671.6399999999999</v>
      </c>
      <c r="U97" s="90">
        <f t="shared" si="48"/>
        <v>1625.7399999999998</v>
      </c>
      <c r="V97" s="90">
        <f t="shared" si="48"/>
        <v>1559.04</v>
      </c>
      <c r="W97" s="90">
        <f t="shared" si="48"/>
        <v>1508.24</v>
      </c>
      <c r="X97" s="90">
        <f t="shared" si="48"/>
        <v>1482.04</v>
      </c>
      <c r="Y97" s="90">
        <f t="shared" si="48"/>
        <v>1547.46</v>
      </c>
      <c r="Z97" s="90">
        <v>1657.7600000000002</v>
      </c>
      <c r="AA97" s="90">
        <f t="shared" si="48"/>
        <v>1658.44</v>
      </c>
      <c r="AB97" s="90">
        <f t="shared" si="48"/>
        <v>1509.4399999999998</v>
      </c>
      <c r="AC97" s="90">
        <f t="shared" si="48"/>
        <v>1461.44</v>
      </c>
      <c r="AD97" s="90">
        <f t="shared" si="48"/>
        <v>1427.94</v>
      </c>
      <c r="AE97" s="90">
        <f t="shared" si="48"/>
        <v>1376.7399999999998</v>
      </c>
      <c r="AF97" s="90">
        <f t="shared" si="48"/>
        <v>1246.6399999999999</v>
      </c>
      <c r="AG97" s="93">
        <f t="shared" si="48"/>
        <v>2231.81</v>
      </c>
      <c r="AH97" s="12">
        <f t="shared" si="45"/>
        <v>1671.6399999999999</v>
      </c>
      <c r="AI97" s="11">
        <f t="shared" si="46"/>
        <v>1158.44</v>
      </c>
      <c r="BF97" s="78"/>
      <c r="BG97" s="78">
        <v>66.3</v>
      </c>
      <c r="BH97" s="78">
        <v>0</v>
      </c>
      <c r="BI97" s="78">
        <v>550</v>
      </c>
      <c r="BJ97" s="78">
        <v>0</v>
      </c>
      <c r="BK97" s="78">
        <v>116.2</v>
      </c>
      <c r="BL97" s="78">
        <v>38.1</v>
      </c>
    </row>
    <row r="98" spans="1:64" ht="15.75" thickBot="1" x14ac:dyDescent="0.3">
      <c r="A98" s="92" t="s">
        <v>164</v>
      </c>
      <c r="B98" s="91">
        <v>125</v>
      </c>
      <c r="C98" s="91">
        <v>125</v>
      </c>
      <c r="D98" s="91">
        <v>125</v>
      </c>
      <c r="E98" s="91">
        <v>125</v>
      </c>
      <c r="F98" s="91">
        <v>125</v>
      </c>
      <c r="G98" s="91">
        <v>125</v>
      </c>
      <c r="H98" s="91">
        <v>125</v>
      </c>
      <c r="I98" s="91">
        <v>125</v>
      </c>
      <c r="J98" s="91">
        <v>100</v>
      </c>
      <c r="K98" s="91">
        <v>60</v>
      </c>
      <c r="L98" s="91">
        <v>30</v>
      </c>
      <c r="M98" s="91">
        <v>30</v>
      </c>
      <c r="N98" s="91">
        <v>30</v>
      </c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>
        <v>150</v>
      </c>
      <c r="AA98" s="91">
        <v>150</v>
      </c>
      <c r="AB98" s="91">
        <v>280</v>
      </c>
      <c r="AC98" s="91">
        <v>280</v>
      </c>
      <c r="AD98" s="91">
        <v>280</v>
      </c>
      <c r="AE98" s="91">
        <v>280</v>
      </c>
      <c r="AF98" s="91">
        <v>280</v>
      </c>
      <c r="AG98" s="75"/>
      <c r="AH98" s="12">
        <f t="shared" si="45"/>
        <v>280</v>
      </c>
      <c r="AI98" s="11">
        <f t="shared" si="46"/>
        <v>30</v>
      </c>
      <c r="BF98" s="78"/>
      <c r="BG98" s="78">
        <v>63.4</v>
      </c>
      <c r="BH98" s="78">
        <v>0</v>
      </c>
      <c r="BI98" s="78">
        <v>569</v>
      </c>
      <c r="BJ98" s="78">
        <v>0</v>
      </c>
      <c r="BK98" s="78">
        <v>123.8</v>
      </c>
      <c r="BL98" s="78">
        <v>50.6</v>
      </c>
    </row>
    <row r="99" spans="1:64" ht="15.75" thickBot="1" x14ac:dyDescent="0.3">
      <c r="A99" s="77" t="s">
        <v>163</v>
      </c>
      <c r="B99" s="90">
        <f t="shared" ref="B99:AF99" si="49">B97+B98</f>
        <v>1354.34</v>
      </c>
      <c r="C99" s="90">
        <f t="shared" si="49"/>
        <v>1362.7399999999998</v>
      </c>
      <c r="D99" s="90">
        <f t="shared" si="49"/>
        <v>1373.14</v>
      </c>
      <c r="E99" s="90">
        <f t="shared" si="49"/>
        <v>1329.8399999999997</v>
      </c>
      <c r="F99" s="90">
        <f t="shared" si="49"/>
        <v>1283.44</v>
      </c>
      <c r="G99" s="90">
        <f t="shared" si="49"/>
        <v>1328.04</v>
      </c>
      <c r="H99" s="90">
        <f t="shared" si="49"/>
        <v>1366.6399999999999</v>
      </c>
      <c r="I99" s="90">
        <f t="shared" si="49"/>
        <v>1459.1399999999999</v>
      </c>
      <c r="J99" s="90">
        <f t="shared" si="49"/>
        <v>1526.2399999999998</v>
      </c>
      <c r="K99" s="90">
        <f t="shared" si="49"/>
        <v>1467.2399999999998</v>
      </c>
      <c r="L99" s="90">
        <f t="shared" si="49"/>
        <v>1518.34</v>
      </c>
      <c r="M99" s="90">
        <f t="shared" si="49"/>
        <v>1538.7399999999998</v>
      </c>
      <c r="N99" s="90">
        <f t="shared" si="49"/>
        <v>1592.94</v>
      </c>
      <c r="O99" s="90">
        <f t="shared" si="49"/>
        <v>1613.2399999999998</v>
      </c>
      <c r="P99" s="90">
        <f t="shared" si="49"/>
        <v>1585.04</v>
      </c>
      <c r="Q99" s="90">
        <f t="shared" si="49"/>
        <v>1613.34</v>
      </c>
      <c r="R99" s="90">
        <f t="shared" si="49"/>
        <v>1638.04</v>
      </c>
      <c r="S99" s="90">
        <f t="shared" si="49"/>
        <v>1641.04</v>
      </c>
      <c r="T99" s="90">
        <f t="shared" si="49"/>
        <v>1671.6399999999999</v>
      </c>
      <c r="U99" s="90">
        <f t="shared" si="49"/>
        <v>1625.7399999999998</v>
      </c>
      <c r="V99" s="90">
        <f t="shared" si="49"/>
        <v>1559.04</v>
      </c>
      <c r="W99" s="90">
        <f t="shared" si="49"/>
        <v>1508.24</v>
      </c>
      <c r="X99" s="90">
        <f t="shared" si="49"/>
        <v>1482.04</v>
      </c>
      <c r="Y99" s="90">
        <f t="shared" si="49"/>
        <v>1547.46</v>
      </c>
      <c r="Z99" s="90">
        <v>1807.7600000000002</v>
      </c>
      <c r="AA99" s="90">
        <f t="shared" si="49"/>
        <v>1808.44</v>
      </c>
      <c r="AB99" s="90">
        <f t="shared" si="49"/>
        <v>1789.4399999999998</v>
      </c>
      <c r="AC99" s="90">
        <f t="shared" si="49"/>
        <v>1741.44</v>
      </c>
      <c r="AD99" s="90">
        <f t="shared" si="49"/>
        <v>1707.94</v>
      </c>
      <c r="AE99" s="90">
        <f t="shared" si="49"/>
        <v>1656.7399999999998</v>
      </c>
      <c r="AF99" s="90">
        <f t="shared" si="49"/>
        <v>1526.6399999999999</v>
      </c>
      <c r="AG99" s="75">
        <f>AG96+AG92+AG80+AG76+AG58+AG98</f>
        <v>1693.71</v>
      </c>
      <c r="AH99" s="12">
        <f t="shared" si="45"/>
        <v>1808.44</v>
      </c>
      <c r="AI99" s="11">
        <f t="shared" si="46"/>
        <v>1283.44</v>
      </c>
      <c r="BF99" s="78"/>
      <c r="BG99" s="78">
        <v>64.900000000000006</v>
      </c>
      <c r="BH99" s="78">
        <v>0</v>
      </c>
      <c r="BI99" s="78">
        <v>531</v>
      </c>
      <c r="BJ99" s="78">
        <v>51.3</v>
      </c>
      <c r="BK99" s="78">
        <v>122.7</v>
      </c>
      <c r="BL99" s="78">
        <v>53.7</v>
      </c>
    </row>
    <row r="100" spans="1:64" ht="15.75" thickBot="1" x14ac:dyDescent="0.3">
      <c r="A100" s="77" t="s">
        <v>162</v>
      </c>
      <c r="B100" s="90">
        <f t="shared" ref="B100:AF100" si="50">B99-(B107)</f>
        <v>1354.34</v>
      </c>
      <c r="C100" s="90">
        <f t="shared" si="50"/>
        <v>1362.7399999999998</v>
      </c>
      <c r="D100" s="90">
        <f t="shared" si="50"/>
        <v>1373.14</v>
      </c>
      <c r="E100" s="90">
        <f t="shared" si="50"/>
        <v>1329.8399999999997</v>
      </c>
      <c r="F100" s="90">
        <f t="shared" si="50"/>
        <v>1283.44</v>
      </c>
      <c r="G100" s="90">
        <f t="shared" si="50"/>
        <v>1328.04</v>
      </c>
      <c r="H100" s="90">
        <f t="shared" si="50"/>
        <v>1366.6399999999999</v>
      </c>
      <c r="I100" s="90">
        <f t="shared" si="50"/>
        <v>1459.1399999999999</v>
      </c>
      <c r="J100" s="90">
        <f t="shared" si="50"/>
        <v>1526.2399999999998</v>
      </c>
      <c r="K100" s="90">
        <f t="shared" si="50"/>
        <v>1467.2399999999998</v>
      </c>
      <c r="L100" s="90">
        <f t="shared" si="50"/>
        <v>1518.34</v>
      </c>
      <c r="M100" s="90">
        <f t="shared" si="50"/>
        <v>1538.7399999999998</v>
      </c>
      <c r="N100" s="90">
        <f t="shared" si="50"/>
        <v>1592.94</v>
      </c>
      <c r="O100" s="90">
        <f t="shared" si="50"/>
        <v>1613.2399999999998</v>
      </c>
      <c r="P100" s="90">
        <f t="shared" si="50"/>
        <v>1585.04</v>
      </c>
      <c r="Q100" s="90">
        <f t="shared" si="50"/>
        <v>1613.34</v>
      </c>
      <c r="R100" s="90">
        <f t="shared" si="50"/>
        <v>1638.04</v>
      </c>
      <c r="S100" s="90">
        <f t="shared" si="50"/>
        <v>1641.04</v>
      </c>
      <c r="T100" s="90">
        <f t="shared" si="50"/>
        <v>1671.6399999999999</v>
      </c>
      <c r="U100" s="90">
        <f t="shared" si="50"/>
        <v>1625.7399999999998</v>
      </c>
      <c r="V100" s="90">
        <f t="shared" si="50"/>
        <v>1559.04</v>
      </c>
      <c r="W100" s="90">
        <f t="shared" si="50"/>
        <v>1508.24</v>
      </c>
      <c r="X100" s="90">
        <f t="shared" si="50"/>
        <v>1482.04</v>
      </c>
      <c r="Y100" s="90">
        <f t="shared" si="50"/>
        <v>1547.46</v>
      </c>
      <c r="Z100" s="90">
        <v>1807.7600000000002</v>
      </c>
      <c r="AA100" s="90">
        <f t="shared" si="50"/>
        <v>1808.44</v>
      </c>
      <c r="AB100" s="90">
        <f t="shared" si="50"/>
        <v>1789.4399999999998</v>
      </c>
      <c r="AC100" s="90">
        <f t="shared" si="50"/>
        <v>1741.44</v>
      </c>
      <c r="AD100" s="90">
        <f t="shared" si="50"/>
        <v>1707.94</v>
      </c>
      <c r="AE100" s="90">
        <f t="shared" si="50"/>
        <v>1656.7399999999998</v>
      </c>
      <c r="AF100" s="90">
        <f t="shared" si="50"/>
        <v>1526.6399999999999</v>
      </c>
      <c r="AG100" s="75"/>
      <c r="AH100" s="12">
        <f t="shared" si="45"/>
        <v>1808.44</v>
      </c>
      <c r="AI100" s="11">
        <f t="shared" si="46"/>
        <v>1283.44</v>
      </c>
      <c r="BF100" s="78"/>
      <c r="BG100" s="78">
        <v>59</v>
      </c>
      <c r="BH100" s="78">
        <v>0</v>
      </c>
      <c r="BI100" s="78">
        <v>500</v>
      </c>
      <c r="BJ100" s="78">
        <v>51.8</v>
      </c>
      <c r="BK100" s="78">
        <v>116</v>
      </c>
      <c r="BL100" s="78">
        <v>58.8</v>
      </c>
    </row>
    <row r="101" spans="1:64" x14ac:dyDescent="0.25">
      <c r="A101" s="89" t="s">
        <v>161</v>
      </c>
      <c r="B101" s="85">
        <f t="shared" ref="B101:AF101" si="51">IF(B84&lt;0,B84*-1,0)</f>
        <v>0</v>
      </c>
      <c r="C101" s="85">
        <f t="shared" si="51"/>
        <v>0</v>
      </c>
      <c r="D101" s="85">
        <f t="shared" si="51"/>
        <v>0</v>
      </c>
      <c r="E101" s="85">
        <f t="shared" si="51"/>
        <v>0</v>
      </c>
      <c r="F101" s="85">
        <f t="shared" si="51"/>
        <v>0</v>
      </c>
      <c r="G101" s="85">
        <f t="shared" si="51"/>
        <v>0</v>
      </c>
      <c r="H101" s="85">
        <f t="shared" si="51"/>
        <v>0</v>
      </c>
      <c r="I101" s="85">
        <f t="shared" si="51"/>
        <v>0</v>
      </c>
      <c r="J101" s="85">
        <f t="shared" si="51"/>
        <v>0</v>
      </c>
      <c r="K101" s="85">
        <f t="shared" si="51"/>
        <v>0</v>
      </c>
      <c r="L101" s="85">
        <f t="shared" si="51"/>
        <v>0</v>
      </c>
      <c r="M101" s="85">
        <f t="shared" si="51"/>
        <v>0</v>
      </c>
      <c r="N101" s="85">
        <f t="shared" ref="N101" si="52">IF(N84&lt;0,N84*-1,0)</f>
        <v>0</v>
      </c>
      <c r="O101" s="85">
        <f t="shared" si="51"/>
        <v>0</v>
      </c>
      <c r="P101" s="85">
        <f t="shared" ref="P101" si="53">IF(P84&lt;0,P84*-1,0)</f>
        <v>0</v>
      </c>
      <c r="Q101" s="85">
        <f t="shared" si="51"/>
        <v>0</v>
      </c>
      <c r="R101" s="85">
        <f t="shared" si="51"/>
        <v>0</v>
      </c>
      <c r="S101" s="85">
        <f t="shared" si="51"/>
        <v>0</v>
      </c>
      <c r="T101" s="85">
        <f t="shared" si="51"/>
        <v>0</v>
      </c>
      <c r="U101" s="85">
        <f t="shared" si="51"/>
        <v>0</v>
      </c>
      <c r="V101" s="85">
        <f t="shared" si="51"/>
        <v>0</v>
      </c>
      <c r="W101" s="85">
        <f t="shared" si="51"/>
        <v>0</v>
      </c>
      <c r="X101" s="85">
        <f t="shared" si="51"/>
        <v>0</v>
      </c>
      <c r="Y101" s="85">
        <f t="shared" si="51"/>
        <v>0</v>
      </c>
      <c r="Z101" s="85">
        <v>0</v>
      </c>
      <c r="AA101" s="85">
        <f t="shared" si="51"/>
        <v>0</v>
      </c>
      <c r="AB101" s="85">
        <f t="shared" si="51"/>
        <v>0</v>
      </c>
      <c r="AC101" s="85">
        <f t="shared" si="51"/>
        <v>0</v>
      </c>
      <c r="AD101" s="85">
        <f t="shared" si="51"/>
        <v>0</v>
      </c>
      <c r="AE101" s="85">
        <f t="shared" si="51"/>
        <v>0</v>
      </c>
      <c r="AF101" s="85">
        <f t="shared" si="51"/>
        <v>0</v>
      </c>
      <c r="AG101" s="88"/>
      <c r="AH101" s="12">
        <f t="shared" si="45"/>
        <v>0</v>
      </c>
      <c r="AI101" s="11">
        <f t="shared" si="46"/>
        <v>0</v>
      </c>
      <c r="BF101" s="83"/>
      <c r="BG101" s="78">
        <v>59.2</v>
      </c>
      <c r="BH101" s="78">
        <v>0</v>
      </c>
      <c r="BI101" s="78">
        <v>462</v>
      </c>
      <c r="BJ101" s="78">
        <v>27.3</v>
      </c>
      <c r="BK101" s="78">
        <v>80</v>
      </c>
      <c r="BL101" s="78">
        <v>53.8</v>
      </c>
    </row>
    <row r="102" spans="1:64" x14ac:dyDescent="0.25">
      <c r="A102" s="87" t="s">
        <v>160</v>
      </c>
      <c r="B102" s="85">
        <f t="shared" ref="B102:AF102" si="54">IF(B82&lt;0,B82*-1,0)</f>
        <v>0</v>
      </c>
      <c r="C102" s="85">
        <f t="shared" si="54"/>
        <v>0</v>
      </c>
      <c r="D102" s="85">
        <f t="shared" si="54"/>
        <v>0</v>
      </c>
      <c r="E102" s="85">
        <f t="shared" si="54"/>
        <v>0</v>
      </c>
      <c r="F102" s="85">
        <f t="shared" si="54"/>
        <v>0</v>
      </c>
      <c r="G102" s="85">
        <f t="shared" si="54"/>
        <v>0</v>
      </c>
      <c r="H102" s="85">
        <f t="shared" si="54"/>
        <v>0</v>
      </c>
      <c r="I102" s="85">
        <f t="shared" si="54"/>
        <v>0</v>
      </c>
      <c r="J102" s="85">
        <f t="shared" si="54"/>
        <v>0</v>
      </c>
      <c r="K102" s="85">
        <f t="shared" si="54"/>
        <v>0</v>
      </c>
      <c r="L102" s="85">
        <f t="shared" si="54"/>
        <v>0</v>
      </c>
      <c r="M102" s="85">
        <f t="shared" si="54"/>
        <v>0</v>
      </c>
      <c r="N102" s="85">
        <f t="shared" ref="N102" si="55">IF(N82&lt;0,N82*-1,0)</f>
        <v>0</v>
      </c>
      <c r="O102" s="85">
        <f t="shared" si="54"/>
        <v>0</v>
      </c>
      <c r="P102" s="85">
        <f t="shared" ref="P102" si="56">IF(P82&lt;0,P82*-1,0)</f>
        <v>0</v>
      </c>
      <c r="Q102" s="85">
        <f t="shared" si="54"/>
        <v>0</v>
      </c>
      <c r="R102" s="85">
        <f t="shared" si="54"/>
        <v>0</v>
      </c>
      <c r="S102" s="85">
        <f t="shared" si="54"/>
        <v>0</v>
      </c>
      <c r="T102" s="85">
        <f t="shared" si="54"/>
        <v>0</v>
      </c>
      <c r="U102" s="85">
        <f t="shared" si="54"/>
        <v>0</v>
      </c>
      <c r="V102" s="85">
        <f t="shared" si="54"/>
        <v>0</v>
      </c>
      <c r="W102" s="85">
        <f t="shared" si="54"/>
        <v>0</v>
      </c>
      <c r="X102" s="85">
        <f t="shared" si="54"/>
        <v>0</v>
      </c>
      <c r="Y102" s="85">
        <f t="shared" si="54"/>
        <v>0</v>
      </c>
      <c r="Z102" s="85">
        <v>0</v>
      </c>
      <c r="AA102" s="85">
        <f t="shared" si="54"/>
        <v>0</v>
      </c>
      <c r="AB102" s="85">
        <f t="shared" si="54"/>
        <v>0</v>
      </c>
      <c r="AC102" s="85">
        <f t="shared" si="54"/>
        <v>0</v>
      </c>
      <c r="AD102" s="85">
        <f t="shared" si="54"/>
        <v>0</v>
      </c>
      <c r="AE102" s="85">
        <f t="shared" si="54"/>
        <v>0</v>
      </c>
      <c r="AF102" s="85">
        <f t="shared" si="54"/>
        <v>0</v>
      </c>
      <c r="AG102" s="86"/>
      <c r="AH102" s="12">
        <f t="shared" si="45"/>
        <v>0</v>
      </c>
      <c r="AI102" s="11">
        <f t="shared" si="46"/>
        <v>0</v>
      </c>
      <c r="BF102" s="83"/>
      <c r="BG102" s="78">
        <v>50.6</v>
      </c>
      <c r="BH102" s="78">
        <v>0</v>
      </c>
      <c r="BI102" s="78">
        <v>338</v>
      </c>
      <c r="BJ102" s="78">
        <v>30</v>
      </c>
      <c r="BK102" s="78">
        <v>112.7</v>
      </c>
      <c r="BL102" s="78">
        <v>43</v>
      </c>
    </row>
    <row r="103" spans="1:64" x14ac:dyDescent="0.25">
      <c r="A103" s="82" t="s">
        <v>159</v>
      </c>
      <c r="B103" s="85">
        <f t="shared" ref="B103:AF103" si="57">IF(B85&lt;0,B85*-1,0)</f>
        <v>0</v>
      </c>
      <c r="C103" s="85">
        <f t="shared" si="57"/>
        <v>0</v>
      </c>
      <c r="D103" s="85">
        <f t="shared" si="57"/>
        <v>0</v>
      </c>
      <c r="E103" s="85">
        <f t="shared" si="57"/>
        <v>0</v>
      </c>
      <c r="F103" s="85">
        <f t="shared" si="57"/>
        <v>0</v>
      </c>
      <c r="G103" s="85">
        <f t="shared" si="57"/>
        <v>0</v>
      </c>
      <c r="H103" s="85">
        <f t="shared" si="57"/>
        <v>0</v>
      </c>
      <c r="I103" s="85">
        <f t="shared" si="57"/>
        <v>0</v>
      </c>
      <c r="J103" s="85">
        <f t="shared" si="57"/>
        <v>0</v>
      </c>
      <c r="K103" s="85">
        <f t="shared" si="57"/>
        <v>0</v>
      </c>
      <c r="L103" s="85">
        <f t="shared" si="57"/>
        <v>0</v>
      </c>
      <c r="M103" s="85">
        <f t="shared" si="57"/>
        <v>0</v>
      </c>
      <c r="N103" s="85">
        <f t="shared" ref="N103" si="58">IF(N85&lt;0,N85*-1,0)</f>
        <v>0</v>
      </c>
      <c r="O103" s="85">
        <f t="shared" si="57"/>
        <v>0</v>
      </c>
      <c r="P103" s="85">
        <f t="shared" ref="P103" si="59">IF(P85&lt;0,P85*-1,0)</f>
        <v>0</v>
      </c>
      <c r="Q103" s="85">
        <f t="shared" si="57"/>
        <v>0</v>
      </c>
      <c r="R103" s="85">
        <f t="shared" si="57"/>
        <v>0</v>
      </c>
      <c r="S103" s="85">
        <f t="shared" si="57"/>
        <v>0</v>
      </c>
      <c r="T103" s="85">
        <f t="shared" si="57"/>
        <v>0</v>
      </c>
      <c r="U103" s="85">
        <f t="shared" si="57"/>
        <v>0</v>
      </c>
      <c r="V103" s="85">
        <f t="shared" si="57"/>
        <v>0</v>
      </c>
      <c r="W103" s="85">
        <f t="shared" si="57"/>
        <v>0</v>
      </c>
      <c r="X103" s="85">
        <f t="shared" si="57"/>
        <v>0</v>
      </c>
      <c r="Y103" s="85">
        <f t="shared" si="57"/>
        <v>0</v>
      </c>
      <c r="Z103" s="85">
        <v>0</v>
      </c>
      <c r="AA103" s="85">
        <f t="shared" si="57"/>
        <v>0</v>
      </c>
      <c r="AB103" s="85">
        <f t="shared" si="57"/>
        <v>0</v>
      </c>
      <c r="AC103" s="85">
        <f t="shared" si="57"/>
        <v>0</v>
      </c>
      <c r="AD103" s="85">
        <f t="shared" si="57"/>
        <v>0</v>
      </c>
      <c r="AE103" s="85">
        <f t="shared" si="57"/>
        <v>0</v>
      </c>
      <c r="AF103" s="85">
        <f t="shared" si="57"/>
        <v>0</v>
      </c>
      <c r="AG103" s="84"/>
      <c r="AH103" s="12">
        <f t="shared" si="45"/>
        <v>0</v>
      </c>
      <c r="AI103" s="11">
        <f t="shared" si="46"/>
        <v>0</v>
      </c>
      <c r="BF103" s="83"/>
      <c r="BG103" s="78">
        <v>54.5</v>
      </c>
      <c r="BH103" s="78">
        <v>0</v>
      </c>
      <c r="BI103" s="78">
        <v>135.9</v>
      </c>
      <c r="BJ103" s="78">
        <v>0</v>
      </c>
      <c r="BK103" s="78">
        <v>0</v>
      </c>
      <c r="BL103" s="78">
        <v>39.4</v>
      </c>
    </row>
    <row r="104" spans="1:64" x14ac:dyDescent="0.25">
      <c r="A104" s="82" t="s">
        <v>158</v>
      </c>
      <c r="B104" s="85">
        <f t="shared" ref="B104:AF104" si="60">IF(B83&lt;0,B83*-1,0)</f>
        <v>0</v>
      </c>
      <c r="C104" s="85">
        <f t="shared" si="60"/>
        <v>0</v>
      </c>
      <c r="D104" s="85">
        <f t="shared" si="60"/>
        <v>0</v>
      </c>
      <c r="E104" s="85">
        <f t="shared" si="60"/>
        <v>0</v>
      </c>
      <c r="F104" s="85">
        <f t="shared" si="60"/>
        <v>0</v>
      </c>
      <c r="G104" s="85">
        <f t="shared" si="60"/>
        <v>0</v>
      </c>
      <c r="H104" s="85">
        <f t="shared" si="60"/>
        <v>0</v>
      </c>
      <c r="I104" s="85">
        <f t="shared" si="60"/>
        <v>0</v>
      </c>
      <c r="J104" s="85">
        <f t="shared" si="60"/>
        <v>0</v>
      </c>
      <c r="K104" s="85">
        <f t="shared" si="60"/>
        <v>0</v>
      </c>
      <c r="L104" s="85">
        <f t="shared" si="60"/>
        <v>0</v>
      </c>
      <c r="M104" s="85">
        <f t="shared" si="60"/>
        <v>0</v>
      </c>
      <c r="N104" s="85">
        <f t="shared" ref="N104" si="61">IF(N83&lt;0,N83*-1,0)</f>
        <v>0</v>
      </c>
      <c r="O104" s="85">
        <f t="shared" si="60"/>
        <v>0</v>
      </c>
      <c r="P104" s="85">
        <f t="shared" ref="P104" si="62">IF(P83&lt;0,P83*-1,0)</f>
        <v>0</v>
      </c>
      <c r="Q104" s="85">
        <f t="shared" si="60"/>
        <v>0</v>
      </c>
      <c r="R104" s="85">
        <f t="shared" si="60"/>
        <v>0</v>
      </c>
      <c r="S104" s="85">
        <f t="shared" si="60"/>
        <v>0</v>
      </c>
      <c r="T104" s="85">
        <f t="shared" si="60"/>
        <v>0</v>
      </c>
      <c r="U104" s="85">
        <f t="shared" si="60"/>
        <v>0</v>
      </c>
      <c r="V104" s="85">
        <f t="shared" si="60"/>
        <v>0</v>
      </c>
      <c r="W104" s="85">
        <f t="shared" si="60"/>
        <v>0</v>
      </c>
      <c r="X104" s="85">
        <f t="shared" si="60"/>
        <v>0</v>
      </c>
      <c r="Y104" s="85">
        <f t="shared" si="60"/>
        <v>0</v>
      </c>
      <c r="Z104" s="85">
        <v>0</v>
      </c>
      <c r="AA104" s="85">
        <f t="shared" si="60"/>
        <v>0</v>
      </c>
      <c r="AB104" s="85">
        <f t="shared" si="60"/>
        <v>0</v>
      </c>
      <c r="AC104" s="85">
        <f t="shared" si="60"/>
        <v>0</v>
      </c>
      <c r="AD104" s="85">
        <f t="shared" si="60"/>
        <v>0</v>
      </c>
      <c r="AE104" s="85">
        <f t="shared" si="60"/>
        <v>0</v>
      </c>
      <c r="AF104" s="85">
        <f t="shared" si="60"/>
        <v>0</v>
      </c>
      <c r="AG104" s="84"/>
      <c r="AH104" s="12">
        <f t="shared" si="45"/>
        <v>0</v>
      </c>
      <c r="AI104" s="11">
        <f t="shared" si="46"/>
        <v>0</v>
      </c>
      <c r="BF104" s="83"/>
      <c r="BG104" s="78">
        <v>36.6</v>
      </c>
      <c r="BH104" s="78">
        <v>0</v>
      </c>
      <c r="BI104" s="78">
        <v>90.6</v>
      </c>
      <c r="BJ104" s="78">
        <v>0</v>
      </c>
      <c r="BK104" s="78">
        <v>0</v>
      </c>
      <c r="BL104" s="78">
        <v>39.299999999999997</v>
      </c>
    </row>
    <row r="105" spans="1:64" x14ac:dyDescent="0.25">
      <c r="A105" s="82" t="s">
        <v>157</v>
      </c>
      <c r="B105" s="85">
        <f t="shared" ref="B105:AF105" si="63">IF(B81&lt;0,B81*-1,0)</f>
        <v>0</v>
      </c>
      <c r="C105" s="85">
        <f t="shared" si="63"/>
        <v>0</v>
      </c>
      <c r="D105" s="85">
        <f t="shared" si="63"/>
        <v>0</v>
      </c>
      <c r="E105" s="85">
        <f t="shared" si="63"/>
        <v>0</v>
      </c>
      <c r="F105" s="85">
        <f t="shared" si="63"/>
        <v>0</v>
      </c>
      <c r="G105" s="85">
        <f t="shared" si="63"/>
        <v>0</v>
      </c>
      <c r="H105" s="85">
        <f t="shared" si="63"/>
        <v>0</v>
      </c>
      <c r="I105" s="85">
        <f t="shared" si="63"/>
        <v>0</v>
      </c>
      <c r="J105" s="85">
        <f t="shared" si="63"/>
        <v>0</v>
      </c>
      <c r="K105" s="85">
        <f t="shared" si="63"/>
        <v>0</v>
      </c>
      <c r="L105" s="85">
        <f t="shared" si="63"/>
        <v>0</v>
      </c>
      <c r="M105" s="85">
        <f t="shared" si="63"/>
        <v>0</v>
      </c>
      <c r="N105" s="85">
        <f t="shared" ref="N105" si="64">IF(N81&lt;0,N81*-1,0)</f>
        <v>0</v>
      </c>
      <c r="O105" s="85">
        <f t="shared" si="63"/>
        <v>0</v>
      </c>
      <c r="P105" s="85">
        <f t="shared" ref="P105" si="65">IF(P81&lt;0,P81*-1,0)</f>
        <v>0</v>
      </c>
      <c r="Q105" s="85">
        <f t="shared" si="63"/>
        <v>0</v>
      </c>
      <c r="R105" s="85">
        <f t="shared" si="63"/>
        <v>0</v>
      </c>
      <c r="S105" s="85">
        <f t="shared" si="63"/>
        <v>0</v>
      </c>
      <c r="T105" s="85">
        <f t="shared" si="63"/>
        <v>0</v>
      </c>
      <c r="U105" s="85">
        <f t="shared" si="63"/>
        <v>0</v>
      </c>
      <c r="V105" s="85">
        <f t="shared" si="63"/>
        <v>0</v>
      </c>
      <c r="W105" s="85">
        <f t="shared" si="63"/>
        <v>0</v>
      </c>
      <c r="X105" s="85">
        <f t="shared" si="63"/>
        <v>0</v>
      </c>
      <c r="Y105" s="85">
        <f t="shared" si="63"/>
        <v>0</v>
      </c>
      <c r="Z105" s="85">
        <v>0</v>
      </c>
      <c r="AA105" s="85">
        <f t="shared" si="63"/>
        <v>0</v>
      </c>
      <c r="AB105" s="85">
        <f t="shared" si="63"/>
        <v>0</v>
      </c>
      <c r="AC105" s="85">
        <f t="shared" si="63"/>
        <v>0</v>
      </c>
      <c r="AD105" s="85">
        <f t="shared" si="63"/>
        <v>0</v>
      </c>
      <c r="AE105" s="85">
        <f t="shared" si="63"/>
        <v>0</v>
      </c>
      <c r="AF105" s="85">
        <f t="shared" si="63"/>
        <v>0</v>
      </c>
      <c r="AG105" s="84"/>
      <c r="AH105" s="12">
        <f t="shared" si="45"/>
        <v>0</v>
      </c>
      <c r="AI105" s="11">
        <f t="shared" si="46"/>
        <v>0</v>
      </c>
      <c r="BF105" s="83"/>
      <c r="BG105" s="78">
        <v>48</v>
      </c>
      <c r="BH105" s="78">
        <v>0</v>
      </c>
      <c r="BI105" s="78">
        <v>124</v>
      </c>
      <c r="BJ105" s="78">
        <v>0</v>
      </c>
      <c r="BK105" s="78">
        <v>0</v>
      </c>
      <c r="BL105" s="78">
        <v>43.6</v>
      </c>
    </row>
    <row r="106" spans="1:64" ht="15.75" thickBot="1" x14ac:dyDescent="0.3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45"/>
        <v>0</v>
      </c>
      <c r="AI106" s="11">
        <f t="shared" si="46"/>
        <v>0</v>
      </c>
      <c r="BG106" s="78">
        <v>29.9</v>
      </c>
      <c r="BH106" s="78">
        <v>0</v>
      </c>
      <c r="BI106" s="78">
        <v>0.3</v>
      </c>
      <c r="BJ106" s="78">
        <v>0</v>
      </c>
      <c r="BK106" s="78">
        <v>0</v>
      </c>
      <c r="BL106" s="78">
        <v>44.9</v>
      </c>
    </row>
    <row r="107" spans="1:64" ht="15.75" thickBot="1" x14ac:dyDescent="0.3">
      <c r="A107" s="79" t="s">
        <v>155</v>
      </c>
      <c r="B107" s="76">
        <f t="shared" ref="B107:AF107" si="66">SUM(B101:B106)</f>
        <v>0</v>
      </c>
      <c r="C107" s="76">
        <f t="shared" si="66"/>
        <v>0</v>
      </c>
      <c r="D107" s="76">
        <f t="shared" si="66"/>
        <v>0</v>
      </c>
      <c r="E107" s="76">
        <f t="shared" si="66"/>
        <v>0</v>
      </c>
      <c r="F107" s="76">
        <f t="shared" si="66"/>
        <v>0</v>
      </c>
      <c r="G107" s="76">
        <f t="shared" si="66"/>
        <v>0</v>
      </c>
      <c r="H107" s="76">
        <f t="shared" si="66"/>
        <v>0</v>
      </c>
      <c r="I107" s="76">
        <f t="shared" si="66"/>
        <v>0</v>
      </c>
      <c r="J107" s="76">
        <f t="shared" si="66"/>
        <v>0</v>
      </c>
      <c r="K107" s="76">
        <f t="shared" si="66"/>
        <v>0</v>
      </c>
      <c r="L107" s="76">
        <f t="shared" si="66"/>
        <v>0</v>
      </c>
      <c r="M107" s="76">
        <f t="shared" si="66"/>
        <v>0</v>
      </c>
      <c r="N107" s="76">
        <f t="shared" si="66"/>
        <v>0</v>
      </c>
      <c r="O107" s="76">
        <f t="shared" si="66"/>
        <v>0</v>
      </c>
      <c r="P107" s="76">
        <f t="shared" si="66"/>
        <v>0</v>
      </c>
      <c r="Q107" s="76">
        <f t="shared" si="66"/>
        <v>0</v>
      </c>
      <c r="R107" s="76">
        <f t="shared" si="66"/>
        <v>0</v>
      </c>
      <c r="S107" s="76">
        <f t="shared" si="66"/>
        <v>0</v>
      </c>
      <c r="T107" s="76">
        <f t="shared" si="66"/>
        <v>0</v>
      </c>
      <c r="U107" s="76">
        <f t="shared" si="66"/>
        <v>0</v>
      </c>
      <c r="V107" s="76">
        <f t="shared" si="66"/>
        <v>0</v>
      </c>
      <c r="W107" s="76">
        <f t="shared" si="66"/>
        <v>0</v>
      </c>
      <c r="X107" s="76">
        <f t="shared" si="66"/>
        <v>0</v>
      </c>
      <c r="Y107" s="76">
        <f t="shared" si="66"/>
        <v>0</v>
      </c>
      <c r="Z107" s="76">
        <v>0</v>
      </c>
      <c r="AA107" s="76">
        <f t="shared" si="66"/>
        <v>0</v>
      </c>
      <c r="AB107" s="76">
        <f t="shared" si="66"/>
        <v>0</v>
      </c>
      <c r="AC107" s="76">
        <f t="shared" si="66"/>
        <v>0</v>
      </c>
      <c r="AD107" s="76">
        <f t="shared" si="66"/>
        <v>0</v>
      </c>
      <c r="AE107" s="76">
        <f t="shared" si="66"/>
        <v>0</v>
      </c>
      <c r="AF107" s="76">
        <f t="shared" si="66"/>
        <v>0</v>
      </c>
      <c r="AG107" s="75"/>
      <c r="AH107" s="12">
        <f t="shared" si="45"/>
        <v>0</v>
      </c>
      <c r="AI107" s="11">
        <f t="shared" si="46"/>
        <v>0</v>
      </c>
      <c r="AK107" s="19"/>
      <c r="BG107" s="78">
        <v>41.5</v>
      </c>
      <c r="BH107" s="78">
        <v>0</v>
      </c>
      <c r="BI107" s="78">
        <v>65.7</v>
      </c>
      <c r="BJ107" s="78">
        <v>0</v>
      </c>
      <c r="BK107" s="78">
        <v>0</v>
      </c>
      <c r="BL107" s="78">
        <v>45</v>
      </c>
    </row>
    <row r="108" spans="1:64" ht="15.75" thickBot="1" x14ac:dyDescent="0.3">
      <c r="A108" s="77" t="s">
        <v>154</v>
      </c>
      <c r="B108" s="76">
        <f t="shared" ref="B108:AF108" si="67">B92-B107</f>
        <v>152.19999999999999</v>
      </c>
      <c r="C108" s="76">
        <f t="shared" si="67"/>
        <v>210</v>
      </c>
      <c r="D108" s="76">
        <f t="shared" si="67"/>
        <v>219.7</v>
      </c>
      <c r="E108" s="76">
        <f t="shared" si="67"/>
        <v>228.89999999999998</v>
      </c>
      <c r="F108" s="76">
        <f t="shared" si="67"/>
        <v>179.89999999999998</v>
      </c>
      <c r="G108" s="76">
        <f t="shared" si="67"/>
        <v>229.89999999999998</v>
      </c>
      <c r="H108" s="76">
        <f t="shared" si="67"/>
        <v>163.5</v>
      </c>
      <c r="I108" s="76">
        <f t="shared" si="67"/>
        <v>180.1</v>
      </c>
      <c r="J108" s="76">
        <f t="shared" si="67"/>
        <v>470.1</v>
      </c>
      <c r="K108" s="76">
        <f t="shared" si="67"/>
        <v>583.5</v>
      </c>
      <c r="L108" s="76">
        <f t="shared" si="67"/>
        <v>651.80000000000007</v>
      </c>
      <c r="M108" s="76">
        <f t="shared" si="67"/>
        <v>659.9</v>
      </c>
      <c r="N108" s="76">
        <f t="shared" si="67"/>
        <v>708.6</v>
      </c>
      <c r="O108" s="76">
        <f t="shared" si="67"/>
        <v>750.4</v>
      </c>
      <c r="P108" s="76">
        <f t="shared" si="67"/>
        <v>739.9</v>
      </c>
      <c r="Q108" s="76">
        <f t="shared" si="67"/>
        <v>752.4</v>
      </c>
      <c r="R108" s="76">
        <f t="shared" si="67"/>
        <v>741.3</v>
      </c>
      <c r="S108" s="76">
        <f t="shared" si="67"/>
        <v>770.6</v>
      </c>
      <c r="T108" s="76">
        <f t="shared" si="67"/>
        <v>806.8</v>
      </c>
      <c r="U108" s="76">
        <f t="shared" si="67"/>
        <v>823.6</v>
      </c>
      <c r="V108" s="76">
        <f t="shared" si="67"/>
        <v>785.59999999999991</v>
      </c>
      <c r="W108" s="76">
        <f t="shared" si="67"/>
        <v>750.30000000000007</v>
      </c>
      <c r="X108" s="76">
        <f t="shared" si="67"/>
        <v>682.3</v>
      </c>
      <c r="Y108" s="76">
        <f t="shared" si="67"/>
        <v>421</v>
      </c>
      <c r="Z108" s="76">
        <v>531.30000000000007</v>
      </c>
      <c r="AA108" s="76">
        <f t="shared" si="67"/>
        <v>465.5</v>
      </c>
      <c r="AB108" s="76">
        <f t="shared" si="67"/>
        <v>229.8</v>
      </c>
      <c r="AC108" s="76">
        <f t="shared" si="67"/>
        <v>196.5</v>
      </c>
      <c r="AD108" s="76">
        <f t="shared" si="67"/>
        <v>166.5</v>
      </c>
      <c r="AE108" s="76">
        <f t="shared" si="67"/>
        <v>215.6</v>
      </c>
      <c r="AF108" s="76">
        <f t="shared" si="67"/>
        <v>75.099999999999994</v>
      </c>
      <c r="AG108" s="75"/>
      <c r="AH108" s="12">
        <f t="shared" si="45"/>
        <v>823.6</v>
      </c>
      <c r="AI108" s="11">
        <f t="shared" si="46"/>
        <v>75.099999999999994</v>
      </c>
    </row>
    <row r="109" spans="1:64" x14ac:dyDescent="0.25">
      <c r="A109" s="25" t="s">
        <v>153</v>
      </c>
      <c r="B109" s="74">
        <v>50.015000000000001</v>
      </c>
      <c r="C109" s="74">
        <v>50.003</v>
      </c>
      <c r="D109" s="74">
        <v>50.052999999999997</v>
      </c>
      <c r="E109" s="74">
        <v>50</v>
      </c>
      <c r="F109" s="74">
        <v>50</v>
      </c>
      <c r="G109" s="74">
        <v>49.968000000000004</v>
      </c>
      <c r="H109" s="74">
        <v>49.923999999999999</v>
      </c>
      <c r="I109" s="74">
        <v>49.966000000000001</v>
      </c>
      <c r="J109" s="74">
        <v>49.991</v>
      </c>
      <c r="K109" s="74">
        <v>50.034999999999997</v>
      </c>
      <c r="L109" s="74">
        <v>49.997999999999998</v>
      </c>
      <c r="M109" s="74">
        <v>50.054000000000002</v>
      </c>
      <c r="N109" s="74">
        <v>50.012</v>
      </c>
      <c r="O109" s="74">
        <v>49.93</v>
      </c>
      <c r="P109" s="74">
        <v>49.96</v>
      </c>
      <c r="Q109" s="74">
        <v>49.997999999999998</v>
      </c>
      <c r="R109" s="74">
        <v>50.015999999999998</v>
      </c>
      <c r="S109" s="74">
        <v>50.109000000000002</v>
      </c>
      <c r="T109" s="74">
        <v>49.920999999999999</v>
      </c>
      <c r="U109" s="74">
        <v>49.981999999999999</v>
      </c>
      <c r="V109" s="74">
        <v>50.1</v>
      </c>
      <c r="W109" s="74">
        <v>50.088999999999999</v>
      </c>
      <c r="X109" s="74">
        <v>50.066000000000003</v>
      </c>
      <c r="Y109" s="74">
        <v>50.040999999999997</v>
      </c>
      <c r="Z109" s="74">
        <v>50.078000000000003</v>
      </c>
      <c r="AA109" s="74">
        <v>50.015000000000001</v>
      </c>
      <c r="AB109" s="74">
        <v>50.029000000000003</v>
      </c>
      <c r="AC109" s="74">
        <v>50.029000000000003</v>
      </c>
      <c r="AD109" s="74">
        <v>49.844000000000001</v>
      </c>
      <c r="AE109" s="74">
        <v>49.844000000000001</v>
      </c>
      <c r="AF109" s="74">
        <v>50.015999999999998</v>
      </c>
      <c r="AG109" s="73"/>
      <c r="AH109" s="12">
        <f t="shared" si="45"/>
        <v>50.109000000000002</v>
      </c>
      <c r="AI109" s="11">
        <f t="shared" si="46"/>
        <v>49.844000000000001</v>
      </c>
    </row>
    <row r="110" spans="1:64" x14ac:dyDescent="0.25">
      <c r="A110" s="22" t="s">
        <v>152</v>
      </c>
      <c r="B110" s="70">
        <v>125.7</v>
      </c>
      <c r="C110" s="70">
        <v>125.7</v>
      </c>
      <c r="D110" s="70">
        <v>125.6</v>
      </c>
      <c r="E110" s="70">
        <v>125.6</v>
      </c>
      <c r="F110" s="70">
        <v>128</v>
      </c>
      <c r="G110" s="70">
        <v>128</v>
      </c>
      <c r="H110" s="70">
        <v>125.9</v>
      </c>
      <c r="I110" s="70">
        <v>122.7</v>
      </c>
      <c r="J110" s="70">
        <v>120.6</v>
      </c>
      <c r="K110" s="70">
        <v>125.4</v>
      </c>
      <c r="L110" s="70">
        <v>122.9</v>
      </c>
      <c r="M110" s="70">
        <v>122.5</v>
      </c>
      <c r="N110" s="70">
        <v>121.5</v>
      </c>
      <c r="O110" s="70">
        <v>122.9</v>
      </c>
      <c r="P110" s="70">
        <v>123.7</v>
      </c>
      <c r="Q110" s="70">
        <v>124.7</v>
      </c>
      <c r="R110" s="70">
        <v>124.9</v>
      </c>
      <c r="S110" s="70">
        <v>121.8</v>
      </c>
      <c r="T110" s="70">
        <v>121.2</v>
      </c>
      <c r="U110" s="70">
        <v>123.6</v>
      </c>
      <c r="V110" s="70">
        <v>126</v>
      </c>
      <c r="W110" s="70">
        <v>126</v>
      </c>
      <c r="X110" s="70">
        <v>127.2</v>
      </c>
      <c r="Y110" s="70">
        <v>126.3</v>
      </c>
      <c r="Z110" s="70">
        <v>125.4</v>
      </c>
      <c r="AA110" s="70">
        <v>126.4</v>
      </c>
      <c r="AB110" s="70">
        <v>126.9</v>
      </c>
      <c r="AC110" s="70">
        <v>126.9</v>
      </c>
      <c r="AD110" s="70">
        <v>127</v>
      </c>
      <c r="AE110" s="70">
        <v>127</v>
      </c>
      <c r="AF110" s="70">
        <v>127.5</v>
      </c>
      <c r="AG110" s="69"/>
      <c r="AH110" s="12">
        <f t="shared" si="45"/>
        <v>128</v>
      </c>
      <c r="AI110" s="11">
        <f t="shared" si="46"/>
        <v>120.6</v>
      </c>
    </row>
    <row r="111" spans="1:64" x14ac:dyDescent="0.25">
      <c r="A111" s="22" t="s">
        <v>151</v>
      </c>
      <c r="B111" s="70">
        <v>131.19999999999999</v>
      </c>
      <c r="C111" s="70">
        <v>131.19999999999999</v>
      </c>
      <c r="D111" s="70">
        <v>131.30000000000001</v>
      </c>
      <c r="E111" s="70">
        <v>131.30000000000001</v>
      </c>
      <c r="F111" s="70">
        <v>133</v>
      </c>
      <c r="G111" s="70">
        <v>133</v>
      </c>
      <c r="H111" s="70">
        <v>130.80000000000001</v>
      </c>
      <c r="I111" s="70">
        <v>128</v>
      </c>
      <c r="J111" s="70">
        <v>126.7</v>
      </c>
      <c r="K111" s="70">
        <v>129</v>
      </c>
      <c r="L111" s="70">
        <v>127</v>
      </c>
      <c r="M111" s="70">
        <v>127</v>
      </c>
      <c r="N111" s="70">
        <v>126.2</v>
      </c>
      <c r="O111" s="70">
        <v>127.7</v>
      </c>
      <c r="P111" s="70">
        <v>128.5</v>
      </c>
      <c r="Q111" s="70">
        <v>129</v>
      </c>
      <c r="R111" s="70">
        <v>129</v>
      </c>
      <c r="S111" s="70">
        <v>126.9</v>
      </c>
      <c r="T111" s="70">
        <v>126.1</v>
      </c>
      <c r="U111" s="70">
        <v>128.6</v>
      </c>
      <c r="V111" s="70">
        <v>130</v>
      </c>
      <c r="W111" s="70">
        <v>130</v>
      </c>
      <c r="X111" s="70">
        <v>131.19999999999999</v>
      </c>
      <c r="Y111" s="70">
        <v>129.9</v>
      </c>
      <c r="Z111" s="70">
        <v>129</v>
      </c>
      <c r="AA111" s="70">
        <v>129.69999999999999</v>
      </c>
      <c r="AB111" s="70">
        <v>131</v>
      </c>
      <c r="AC111" s="70">
        <v>131</v>
      </c>
      <c r="AD111" s="70">
        <v>130.80000000000001</v>
      </c>
      <c r="AE111" s="70">
        <v>130.80000000000001</v>
      </c>
      <c r="AF111" s="70">
        <v>132.1</v>
      </c>
      <c r="AG111" s="69"/>
      <c r="AH111" s="12">
        <f t="shared" si="45"/>
        <v>133</v>
      </c>
      <c r="AI111" s="11">
        <f t="shared" si="46"/>
        <v>126.1</v>
      </c>
    </row>
    <row r="112" spans="1:64" x14ac:dyDescent="0.25">
      <c r="A112" s="22" t="s">
        <v>150</v>
      </c>
      <c r="B112" s="70">
        <v>133.1</v>
      </c>
      <c r="C112" s="70">
        <v>133.1</v>
      </c>
      <c r="D112" s="70">
        <v>130</v>
      </c>
      <c r="E112" s="70">
        <v>130</v>
      </c>
      <c r="F112" s="70">
        <v>130</v>
      </c>
      <c r="G112" s="70">
        <v>130</v>
      </c>
      <c r="H112" s="70">
        <v>129.9</v>
      </c>
      <c r="I112" s="70">
        <v>130</v>
      </c>
      <c r="J112" s="70">
        <v>126</v>
      </c>
      <c r="K112" s="70"/>
      <c r="L112" s="70"/>
      <c r="M112" s="70"/>
      <c r="N112" s="70"/>
      <c r="O112" s="70">
        <v>123.4</v>
      </c>
      <c r="P112" s="70">
        <v>126</v>
      </c>
      <c r="Q112" s="70">
        <v>126.6</v>
      </c>
      <c r="R112" s="70">
        <v>129</v>
      </c>
      <c r="S112" s="70">
        <v>121.8</v>
      </c>
      <c r="T112" s="70">
        <v>123</v>
      </c>
      <c r="U112" s="70">
        <v>127</v>
      </c>
      <c r="V112" s="70">
        <v>131</v>
      </c>
      <c r="W112" s="70">
        <v>131</v>
      </c>
      <c r="X112" s="70">
        <v>128.5</v>
      </c>
      <c r="Y112" s="70">
        <v>129.4</v>
      </c>
      <c r="Z112" s="70">
        <v>128.19999999999999</v>
      </c>
      <c r="AA112" s="70">
        <v>127.8</v>
      </c>
      <c r="AB112" s="70">
        <v>130.80000000000001</v>
      </c>
      <c r="AC112" s="70">
        <v>130.80000000000001</v>
      </c>
      <c r="AD112" s="70">
        <v>130.4</v>
      </c>
      <c r="AE112" s="70">
        <v>130.4</v>
      </c>
      <c r="AF112" s="70">
        <v>130</v>
      </c>
      <c r="AG112" s="69"/>
      <c r="AH112" s="12">
        <f t="shared" si="45"/>
        <v>133.1</v>
      </c>
      <c r="AI112" s="11">
        <f t="shared" si="46"/>
        <v>121.8</v>
      </c>
    </row>
    <row r="113" spans="1:35" x14ac:dyDescent="0.25">
      <c r="A113" s="72" t="s">
        <v>149</v>
      </c>
      <c r="B113" s="70">
        <v>134.30000000000001</v>
      </c>
      <c r="C113" s="70">
        <v>134.30000000000001</v>
      </c>
      <c r="D113" s="70">
        <v>130.5</v>
      </c>
      <c r="E113" s="70">
        <v>130.5</v>
      </c>
      <c r="F113" s="70">
        <v>130.5</v>
      </c>
      <c r="G113" s="70">
        <v>130.5</v>
      </c>
      <c r="H113" s="70">
        <v>130.6</v>
      </c>
      <c r="I113" s="70">
        <v>130.5</v>
      </c>
      <c r="J113" s="70">
        <v>125</v>
      </c>
      <c r="K113" s="70">
        <v>128.69999999999999</v>
      </c>
      <c r="L113" s="70">
        <v>127</v>
      </c>
      <c r="M113" s="70"/>
      <c r="N113" s="70">
        <v>124.9</v>
      </c>
      <c r="O113" s="70">
        <v>125.2</v>
      </c>
      <c r="P113" s="70">
        <v>126.3</v>
      </c>
      <c r="Q113" s="70">
        <v>128.6</v>
      </c>
      <c r="R113" s="70">
        <v>128.80000000000001</v>
      </c>
      <c r="S113" s="70">
        <v>122</v>
      </c>
      <c r="T113" s="70">
        <v>123.5</v>
      </c>
      <c r="U113" s="70">
        <v>127</v>
      </c>
      <c r="V113" s="70">
        <v>130.69999999999999</v>
      </c>
      <c r="W113" s="70">
        <v>130.69999999999999</v>
      </c>
      <c r="X113" s="70">
        <v>127.8</v>
      </c>
      <c r="Y113" s="70">
        <v>128.5</v>
      </c>
      <c r="Z113" s="70">
        <v>127.3</v>
      </c>
      <c r="AA113" s="70">
        <v>128.19999999999999</v>
      </c>
      <c r="AB113" s="70">
        <v>132.1</v>
      </c>
      <c r="AC113" s="70">
        <v>132.1</v>
      </c>
      <c r="AD113" s="70">
        <v>131.1</v>
      </c>
      <c r="AE113" s="70">
        <v>131.1</v>
      </c>
      <c r="AF113" s="70">
        <v>132.19999999999999</v>
      </c>
      <c r="AG113" s="69"/>
      <c r="AH113" s="12">
        <f t="shared" si="45"/>
        <v>134.30000000000001</v>
      </c>
      <c r="AI113" s="11">
        <f t="shared" si="46"/>
        <v>122</v>
      </c>
    </row>
    <row r="114" spans="1:35" x14ac:dyDescent="0.25">
      <c r="A114" s="72" t="s">
        <v>148</v>
      </c>
      <c r="B114" s="56">
        <v>133.9</v>
      </c>
      <c r="C114" s="56">
        <v>133.9</v>
      </c>
      <c r="D114" s="56">
        <v>133.9</v>
      </c>
      <c r="E114" s="56">
        <v>133.9</v>
      </c>
      <c r="F114" s="56">
        <v>133.9</v>
      </c>
      <c r="G114" s="56">
        <v>133.9</v>
      </c>
      <c r="H114" s="56">
        <v>135</v>
      </c>
      <c r="I114" s="56">
        <v>131.80000000000001</v>
      </c>
      <c r="J114" s="56">
        <v>130.9</v>
      </c>
      <c r="K114" s="56">
        <v>131.9</v>
      </c>
      <c r="L114" s="56">
        <v>133</v>
      </c>
      <c r="M114" s="56">
        <v>132.1</v>
      </c>
      <c r="N114" s="56">
        <v>132.30000000000001</v>
      </c>
      <c r="O114" s="56">
        <v>134</v>
      </c>
      <c r="P114" s="56">
        <v>134.30000000000001</v>
      </c>
      <c r="Q114" s="56">
        <v>133.4</v>
      </c>
      <c r="R114" s="56">
        <v>132.69999999999999</v>
      </c>
      <c r="S114" s="56">
        <v>131</v>
      </c>
      <c r="T114" s="56">
        <v>130</v>
      </c>
      <c r="U114" s="56">
        <v>135</v>
      </c>
      <c r="V114" s="56">
        <v>134.69999999999999</v>
      </c>
      <c r="W114" s="56">
        <v>134.69999999999999</v>
      </c>
      <c r="X114" s="56">
        <v>135.69999999999999</v>
      </c>
      <c r="Y114" s="56">
        <v>133.6</v>
      </c>
      <c r="Z114" s="56">
        <v>132.4</v>
      </c>
      <c r="AA114" s="56">
        <v>136.5</v>
      </c>
      <c r="AB114" s="56">
        <v>135.1</v>
      </c>
      <c r="AC114" s="56">
        <v>135.1</v>
      </c>
      <c r="AD114" s="56">
        <v>135.1</v>
      </c>
      <c r="AE114" s="56">
        <v>135.1</v>
      </c>
      <c r="AF114" s="56">
        <v>136.9</v>
      </c>
      <c r="AG114" s="71"/>
      <c r="AH114" s="12">
        <f t="shared" ref="AH114:AH130" si="68">MAX(B114:AF114)</f>
        <v>136.9</v>
      </c>
      <c r="AI114" s="11">
        <f t="shared" ref="AI114:AI130" si="69">MIN(B114:AF114)</f>
        <v>130</v>
      </c>
    </row>
    <row r="115" spans="1:35" x14ac:dyDescent="0.25">
      <c r="A115" s="22" t="s">
        <v>147</v>
      </c>
      <c r="B115" s="70">
        <v>132.6</v>
      </c>
      <c r="C115" s="70">
        <v>132.6</v>
      </c>
      <c r="D115" s="70">
        <v>134.80000000000001</v>
      </c>
      <c r="E115" s="70">
        <v>134.80000000000001</v>
      </c>
      <c r="F115" s="70">
        <v>134.80000000000001</v>
      </c>
      <c r="G115" s="70">
        <v>134.80000000000001</v>
      </c>
      <c r="H115" s="70">
        <v>133</v>
      </c>
      <c r="I115" s="70">
        <v>129.5</v>
      </c>
      <c r="J115" s="70">
        <v>131</v>
      </c>
      <c r="K115" s="70">
        <v>125</v>
      </c>
      <c r="L115" s="70">
        <v>128</v>
      </c>
      <c r="M115" s="70">
        <v>124.6</v>
      </c>
      <c r="N115" s="70">
        <v>125.5</v>
      </c>
      <c r="O115" s="70">
        <v>130.4</v>
      </c>
      <c r="P115" s="70">
        <v>128.19999999999999</v>
      </c>
      <c r="Q115" s="70">
        <v>130.9</v>
      </c>
      <c r="R115" s="70">
        <v>127.2</v>
      </c>
      <c r="S115" s="70">
        <v>128</v>
      </c>
      <c r="T115" s="70">
        <v>129.80000000000001</v>
      </c>
      <c r="U115" s="70">
        <v>130.4</v>
      </c>
      <c r="V115" s="70">
        <v>134</v>
      </c>
      <c r="W115" s="70">
        <v>134</v>
      </c>
      <c r="X115" s="70">
        <v>133.30000000000001</v>
      </c>
      <c r="Y115" s="70">
        <v>131.80000000000001</v>
      </c>
      <c r="Z115" s="70">
        <v>132.1</v>
      </c>
      <c r="AA115" s="70">
        <v>129.1</v>
      </c>
      <c r="AB115" s="70">
        <v>129.1</v>
      </c>
      <c r="AC115" s="70">
        <v>129.1</v>
      </c>
      <c r="AD115" s="70">
        <v>134.30000000000001</v>
      </c>
      <c r="AE115" s="70">
        <v>134.30000000000001</v>
      </c>
      <c r="AF115" s="70">
        <v>130.6</v>
      </c>
      <c r="AG115" s="69"/>
      <c r="AH115" s="12">
        <f t="shared" si="68"/>
        <v>134.80000000000001</v>
      </c>
      <c r="AI115" s="11">
        <f t="shared" si="69"/>
        <v>124.6</v>
      </c>
    </row>
    <row r="116" spans="1:35" ht="15.75" thickBot="1" x14ac:dyDescent="0.3">
      <c r="A116" s="22" t="s">
        <v>146</v>
      </c>
      <c r="B116" s="67">
        <v>65.8</v>
      </c>
      <c r="C116" s="67">
        <v>65.8</v>
      </c>
      <c r="D116" s="67">
        <v>66</v>
      </c>
      <c r="E116" s="67">
        <v>66</v>
      </c>
      <c r="F116" s="67">
        <v>66</v>
      </c>
      <c r="G116" s="67">
        <v>66</v>
      </c>
      <c r="H116" s="67">
        <v>65.900000000000006</v>
      </c>
      <c r="I116" s="67">
        <v>64.5</v>
      </c>
      <c r="J116" s="67">
        <v>63.2</v>
      </c>
      <c r="K116" s="67">
        <v>64.3</v>
      </c>
      <c r="L116" s="67">
        <v>63.3</v>
      </c>
      <c r="M116" s="67">
        <v>63.1</v>
      </c>
      <c r="N116" s="67">
        <v>62.5</v>
      </c>
      <c r="O116" s="67">
        <v>63.4</v>
      </c>
      <c r="P116" s="67">
        <v>63.8</v>
      </c>
      <c r="Q116" s="67">
        <v>64.099999999999994</v>
      </c>
      <c r="R116" s="67">
        <v>64.2</v>
      </c>
      <c r="S116" s="67">
        <v>63.4</v>
      </c>
      <c r="T116" s="67">
        <v>62.8</v>
      </c>
      <c r="U116" s="67">
        <v>63.8</v>
      </c>
      <c r="V116" s="67">
        <v>64.8</v>
      </c>
      <c r="W116" s="67">
        <v>64.8</v>
      </c>
      <c r="X116" s="67">
        <v>65.3</v>
      </c>
      <c r="Y116" s="67">
        <v>64.7</v>
      </c>
      <c r="Z116" s="67">
        <v>64.2</v>
      </c>
      <c r="AA116" s="67">
        <v>64.8</v>
      </c>
      <c r="AB116" s="67">
        <v>65.5</v>
      </c>
      <c r="AC116" s="67">
        <v>65.5</v>
      </c>
      <c r="AD116" s="67">
        <v>65.599999999999994</v>
      </c>
      <c r="AE116" s="67">
        <v>65.599999999999994</v>
      </c>
      <c r="AF116" s="67">
        <v>65.998999999999995</v>
      </c>
      <c r="AG116" s="66"/>
      <c r="AH116" s="12">
        <f t="shared" si="68"/>
        <v>66</v>
      </c>
      <c r="AI116" s="11">
        <f t="shared" si="69"/>
        <v>62.5</v>
      </c>
    </row>
    <row r="117" spans="1:35" ht="15.75" thickBot="1" x14ac:dyDescent="0.3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68"/>
        <v>0</v>
      </c>
      <c r="AI117" s="11">
        <f t="shared" si="69"/>
        <v>0</v>
      </c>
    </row>
    <row r="118" spans="1:35" ht="15.75" thickBot="1" x14ac:dyDescent="0.3">
      <c r="A118" s="65" t="s">
        <v>144</v>
      </c>
      <c r="B118" s="64">
        <f t="shared" ref="B118:P118" si="70">SUM(B22,B28,B31:B32,B66,B68:B69,B71,B73,B119:B123,B155,B161,B167,B176,B178,B190,B197,B200:B201,B208,B210,B212,B216:B218,B220:B222,B227,B233:B234,B236:B238,B246,B251)</f>
        <v>98.44</v>
      </c>
      <c r="C118" s="64">
        <f t="shared" si="70"/>
        <v>98.44</v>
      </c>
      <c r="D118" s="64">
        <f t="shared" si="70"/>
        <v>98.94</v>
      </c>
      <c r="E118" s="64">
        <f t="shared" si="70"/>
        <v>99.04</v>
      </c>
      <c r="F118" s="64">
        <f t="shared" si="70"/>
        <v>103.84000000000003</v>
      </c>
      <c r="G118" s="64">
        <f t="shared" si="70"/>
        <v>128.83999999999997</v>
      </c>
      <c r="H118" s="64">
        <f t="shared" si="70"/>
        <v>161.34000000000003</v>
      </c>
      <c r="I118" s="64">
        <f t="shared" si="70"/>
        <v>205.14000000000004</v>
      </c>
      <c r="J118" s="64">
        <f t="shared" si="70"/>
        <v>237.94</v>
      </c>
      <c r="K118" s="64">
        <f t="shared" si="70"/>
        <v>272.83999999999997</v>
      </c>
      <c r="L118" s="64">
        <f t="shared" si="70"/>
        <v>302.04000000000002</v>
      </c>
      <c r="M118" s="64">
        <f t="shared" si="70"/>
        <v>304.74</v>
      </c>
      <c r="N118" s="64">
        <f t="shared" si="70"/>
        <v>312.14</v>
      </c>
      <c r="O118" s="64">
        <f t="shared" si="70"/>
        <v>289.44</v>
      </c>
      <c r="P118" s="64">
        <f t="shared" si="70"/>
        <v>273.64</v>
      </c>
      <c r="Q118" s="64">
        <f t="shared" ref="Q118:X118" si="71">SUM(Q22,Q28,Q31:Q32,Q66,Q68:Q69,Q71,Q73,Q119:Q123,Q155,Q161,Q167,Q176,Q178,Q190,Q197,Q200:Q201,Q208,Q210,Q212,Q216:Q218,Q220:Q222,Q227,Q233:Q234,Q236:Q238,Q246,Q251)</f>
        <v>281.54000000000002</v>
      </c>
      <c r="R118" s="64">
        <f t="shared" si="71"/>
        <v>284.83999999999997</v>
      </c>
      <c r="S118" s="64">
        <f t="shared" si="71"/>
        <v>281.04000000000002</v>
      </c>
      <c r="T118" s="64">
        <f t="shared" si="71"/>
        <v>291.84000000000003</v>
      </c>
      <c r="U118" s="64">
        <f t="shared" si="71"/>
        <v>289.44</v>
      </c>
      <c r="V118" s="64">
        <f t="shared" si="71"/>
        <v>293.04000000000002</v>
      </c>
      <c r="W118" s="64">
        <f t="shared" si="71"/>
        <v>295.14</v>
      </c>
      <c r="X118" s="64">
        <f t="shared" si="71"/>
        <v>297.14</v>
      </c>
      <c r="Y118" s="64">
        <f>SUM(Y20,Y26,Y37:Y38,Y66,Y68:Y69,Y71,Y73,Y119:Y123,Y148,Y154,Y160,Y169,Y171,Y183,Y190,Y193:Y194,Y201,Y203,Y205,Y209:Y211,Y213:Y215,Y220,Y226:Y227,Y229:Y231,Y239,Y244)</f>
        <v>370.56</v>
      </c>
      <c r="Z118" s="64">
        <f>SUM(Z20,Z26,Z37:Z38,Z66,Z68:Z69,Z71,Z73,Z119:Z123,Z148,Z154,Z160,Z169,Z171,Z183,Z190,Z193:Z194,Z201,Z203,Z205,Z209:Z211,Z213:Z215,Z220,Z226:Z227,Z229:Z231,Z239,Z244)</f>
        <v>353.76</v>
      </c>
      <c r="AA118" s="64">
        <f t="shared" ref="AA118:AF118" si="72">SUM(AA22,AA28,AA31:AA32,AA66,AA68:AA69,AA71,AA73,AA119:AA123,AA155,AA161,AA167,AA176,AA178,AA190,AA197,AA200:AA201,AA208,AA210,AA212,AA216:AA218,AA220:AA222,AA227,AA233:AA234,AA236:AA238,AA246,AA251)</f>
        <v>345.04</v>
      </c>
      <c r="AB118" s="64">
        <f t="shared" si="72"/>
        <v>297.83999999999997</v>
      </c>
      <c r="AC118" s="64">
        <f t="shared" si="72"/>
        <v>236.54000000000002</v>
      </c>
      <c r="AD118" s="64">
        <f t="shared" si="72"/>
        <v>211.64</v>
      </c>
      <c r="AE118" s="64">
        <f t="shared" si="72"/>
        <v>168.04</v>
      </c>
      <c r="AF118" s="64">
        <f t="shared" si="72"/>
        <v>126.93999999999997</v>
      </c>
      <c r="AG118" s="63"/>
      <c r="AH118" s="12">
        <f t="shared" si="68"/>
        <v>370.56</v>
      </c>
      <c r="AI118" s="11">
        <f t="shared" si="69"/>
        <v>98.44</v>
      </c>
    </row>
    <row r="119" spans="1:35" x14ac:dyDescent="0.25">
      <c r="A119" s="59" t="s">
        <v>143</v>
      </c>
      <c r="B119" s="62">
        <v>23.1</v>
      </c>
      <c r="C119" s="62">
        <v>23.1</v>
      </c>
      <c r="D119" s="62">
        <v>15.5</v>
      </c>
      <c r="E119" s="62">
        <v>16</v>
      </c>
      <c r="F119" s="62">
        <v>17.5</v>
      </c>
      <c r="G119" s="62">
        <v>18.7</v>
      </c>
      <c r="H119" s="62">
        <v>61.7</v>
      </c>
      <c r="I119" s="62">
        <v>57.5</v>
      </c>
      <c r="J119" s="62">
        <v>51.8</v>
      </c>
      <c r="K119" s="62">
        <v>8</v>
      </c>
      <c r="L119" s="62">
        <v>16.100000000000001</v>
      </c>
      <c r="M119" s="62">
        <v>22.4</v>
      </c>
      <c r="N119" s="62">
        <v>18</v>
      </c>
      <c r="O119" s="62">
        <v>22.4</v>
      </c>
      <c r="P119" s="62">
        <v>17</v>
      </c>
      <c r="Q119" s="62">
        <v>17.3</v>
      </c>
      <c r="R119" s="62">
        <v>20.7</v>
      </c>
      <c r="S119" s="62">
        <v>18.2</v>
      </c>
      <c r="T119" s="62">
        <v>15.4</v>
      </c>
      <c r="U119" s="62">
        <v>31.2</v>
      </c>
      <c r="V119" s="62">
        <v>18.7</v>
      </c>
      <c r="W119" s="62">
        <v>5.8</v>
      </c>
      <c r="X119" s="62">
        <v>-0.2</v>
      </c>
      <c r="Y119" s="62">
        <v>42.6</v>
      </c>
      <c r="Z119" s="62">
        <v>32.700000000000003</v>
      </c>
      <c r="AA119" s="62">
        <v>52.8</v>
      </c>
      <c r="AB119" s="62">
        <v>48.9</v>
      </c>
      <c r="AC119" s="62">
        <v>55.6</v>
      </c>
      <c r="AD119" s="62">
        <v>62.3</v>
      </c>
      <c r="AE119" s="62">
        <v>54.9</v>
      </c>
      <c r="AF119" s="62">
        <v>56.8</v>
      </c>
      <c r="AG119" s="55">
        <v>75</v>
      </c>
      <c r="AH119" s="12">
        <f t="shared" si="68"/>
        <v>62.3</v>
      </c>
      <c r="AI119" s="11">
        <f t="shared" si="69"/>
        <v>-0.2</v>
      </c>
    </row>
    <row r="120" spans="1:35" x14ac:dyDescent="0.25">
      <c r="A120" s="57" t="s">
        <v>142</v>
      </c>
      <c r="B120" s="61">
        <v>41</v>
      </c>
      <c r="C120" s="61">
        <v>41</v>
      </c>
      <c r="D120" s="61">
        <v>30.6</v>
      </c>
      <c r="E120" s="61">
        <v>28.7</v>
      </c>
      <c r="F120" s="61">
        <v>30.8</v>
      </c>
      <c r="G120" s="61">
        <v>30.1</v>
      </c>
      <c r="H120" s="61">
        <v>87.5</v>
      </c>
      <c r="I120" s="61">
        <v>81.3</v>
      </c>
      <c r="J120" s="61">
        <v>63.4</v>
      </c>
      <c r="K120" s="61">
        <v>7.2</v>
      </c>
      <c r="L120" s="61">
        <v>16.399999999999999</v>
      </c>
      <c r="M120" s="61">
        <v>25.5</v>
      </c>
      <c r="N120" s="61">
        <v>18.100000000000001</v>
      </c>
      <c r="O120" s="61">
        <v>25.3</v>
      </c>
      <c r="P120" s="61">
        <v>20.2</v>
      </c>
      <c r="Q120" s="61">
        <v>17.5</v>
      </c>
      <c r="R120" s="61">
        <v>25</v>
      </c>
      <c r="S120" s="61">
        <v>19.899999999999999</v>
      </c>
      <c r="T120" s="61">
        <v>16.899999999999999</v>
      </c>
      <c r="U120" s="61">
        <v>37.9</v>
      </c>
      <c r="V120" s="61">
        <v>22.7</v>
      </c>
      <c r="W120" s="61">
        <v>3</v>
      </c>
      <c r="X120" s="61">
        <v>4.0999999999999996</v>
      </c>
      <c r="Y120" s="61">
        <v>63.5</v>
      </c>
      <c r="Z120" s="61">
        <v>49.1</v>
      </c>
      <c r="AA120" s="61">
        <v>79.2</v>
      </c>
      <c r="AB120" s="61">
        <v>73</v>
      </c>
      <c r="AC120" s="61">
        <v>86.2</v>
      </c>
      <c r="AD120" s="61">
        <v>91.1</v>
      </c>
      <c r="AE120" s="61">
        <v>81.5</v>
      </c>
      <c r="AF120" s="61">
        <v>84.2</v>
      </c>
      <c r="AG120" s="55">
        <v>240</v>
      </c>
      <c r="AH120" s="12">
        <f t="shared" si="68"/>
        <v>91.1</v>
      </c>
      <c r="AI120" s="11">
        <f t="shared" si="69"/>
        <v>3</v>
      </c>
    </row>
    <row r="121" spans="1:35" x14ac:dyDescent="0.25">
      <c r="A121" s="57" t="s">
        <v>141</v>
      </c>
      <c r="B121" s="61">
        <v>-139</v>
      </c>
      <c r="C121" s="61">
        <v>-139</v>
      </c>
      <c r="D121" s="61">
        <v>-112</v>
      </c>
      <c r="E121" s="61">
        <v>-113</v>
      </c>
      <c r="F121" s="61">
        <v>-111</v>
      </c>
      <c r="G121" s="61">
        <v>-101</v>
      </c>
      <c r="H121" s="61">
        <v>-149.6</v>
      </c>
      <c r="I121" s="61">
        <v>-118.5</v>
      </c>
      <c r="J121" s="61">
        <v>-88</v>
      </c>
      <c r="K121" s="61">
        <v>15.6</v>
      </c>
      <c r="L121" s="61">
        <v>16.100000000000001</v>
      </c>
      <c r="M121" s="61">
        <v>10.4</v>
      </c>
      <c r="N121" s="61">
        <f>9.5+10</f>
        <v>19.5</v>
      </c>
      <c r="O121" s="61">
        <v>-0.2</v>
      </c>
      <c r="P121" s="61">
        <f>0.7+1.3</f>
        <v>2</v>
      </c>
      <c r="Q121" s="61">
        <v>3.3</v>
      </c>
      <c r="R121" s="61">
        <v>0</v>
      </c>
      <c r="S121" s="61">
        <v>1.1000000000000001</v>
      </c>
      <c r="T121" s="61">
        <f>7.1+7.7</f>
        <v>14.8</v>
      </c>
      <c r="U121" s="61">
        <f>-3.1-3.5</f>
        <v>-6.6</v>
      </c>
      <c r="V121" s="61">
        <v>15</v>
      </c>
      <c r="W121" s="61">
        <v>35</v>
      </c>
      <c r="X121" s="61">
        <f>18.6+19.9</f>
        <v>38.5</v>
      </c>
      <c r="Y121" s="61">
        <v>20.6</v>
      </c>
      <c r="Z121" s="61">
        <v>5.7</v>
      </c>
      <c r="AA121" s="61">
        <v>-31</v>
      </c>
      <c r="AB121" s="61">
        <f>-23.6-30.1</f>
        <v>-53.7</v>
      </c>
      <c r="AC121" s="61">
        <v>-101</v>
      </c>
      <c r="AD121" s="61">
        <v>-117.3</v>
      </c>
      <c r="AE121" s="61">
        <v>-125.4</v>
      </c>
      <c r="AF121" s="61">
        <v>-143.6</v>
      </c>
      <c r="AG121" s="55">
        <v>240</v>
      </c>
      <c r="AH121" s="12">
        <f t="shared" si="68"/>
        <v>38.5</v>
      </c>
      <c r="AI121" s="11">
        <f t="shared" si="69"/>
        <v>-149.6</v>
      </c>
    </row>
    <row r="122" spans="1:35" ht="15.75" thickBot="1" x14ac:dyDescent="0.3">
      <c r="A122" s="57" t="s">
        <v>140</v>
      </c>
      <c r="B122" s="61">
        <v>38.5</v>
      </c>
      <c r="C122" s="61">
        <v>38.5</v>
      </c>
      <c r="D122" s="61">
        <v>16.899999999999999</v>
      </c>
      <c r="E122" s="61">
        <v>16.5</v>
      </c>
      <c r="F122" s="61">
        <v>17.7</v>
      </c>
      <c r="G122" s="61">
        <v>19.100000000000001</v>
      </c>
      <c r="H122" s="61">
        <v>14.9</v>
      </c>
      <c r="I122" s="61">
        <v>-1.6</v>
      </c>
      <c r="J122" s="61">
        <v>-2.1</v>
      </c>
      <c r="K122" s="61">
        <v>6.1</v>
      </c>
      <c r="L122" s="61">
        <v>6.3</v>
      </c>
      <c r="M122" s="61">
        <v>-2.2000000000000002</v>
      </c>
      <c r="N122" s="61">
        <v>-3.7</v>
      </c>
      <c r="O122" s="61">
        <v>-3</v>
      </c>
      <c r="P122" s="61">
        <v>-6.3</v>
      </c>
      <c r="Q122" s="61">
        <v>-1.5</v>
      </c>
      <c r="R122" s="61">
        <v>-4.4000000000000004</v>
      </c>
      <c r="S122" s="61">
        <v>-10.199999999999999</v>
      </c>
      <c r="T122" s="61">
        <v>-7.6</v>
      </c>
      <c r="U122" s="61">
        <v>-5.9</v>
      </c>
      <c r="V122" s="61">
        <v>7.8</v>
      </c>
      <c r="W122" s="61">
        <v>4.4000000000000004</v>
      </c>
      <c r="X122" s="61">
        <v>15.2</v>
      </c>
      <c r="Y122" s="61">
        <v>14.3</v>
      </c>
      <c r="Z122" s="61">
        <v>19</v>
      </c>
      <c r="AA122" s="61">
        <v>16.7</v>
      </c>
      <c r="AB122" s="61">
        <v>23.9</v>
      </c>
      <c r="AC122" s="61">
        <v>18.2</v>
      </c>
      <c r="AD122" s="61">
        <v>14.9</v>
      </c>
      <c r="AE122" s="61">
        <v>13</v>
      </c>
      <c r="AF122" s="61">
        <v>7.1</v>
      </c>
      <c r="AG122" s="55">
        <v>60</v>
      </c>
      <c r="AH122" s="12">
        <f t="shared" si="68"/>
        <v>38.5</v>
      </c>
      <c r="AI122" s="11">
        <f t="shared" si="69"/>
        <v>-10.199999999999999</v>
      </c>
    </row>
    <row r="123" spans="1:35" x14ac:dyDescent="0.25">
      <c r="A123" s="59" t="s">
        <v>139</v>
      </c>
      <c r="B123" s="58">
        <v>20.9</v>
      </c>
      <c r="C123" s="58">
        <v>20.9</v>
      </c>
      <c r="D123" s="58">
        <v>34</v>
      </c>
      <c r="E123" s="58">
        <v>32.799999999999997</v>
      </c>
      <c r="F123" s="58">
        <v>30.8</v>
      </c>
      <c r="G123" s="58">
        <v>43.1</v>
      </c>
      <c r="H123" s="58">
        <v>27</v>
      </c>
      <c r="I123" s="58">
        <v>67.400000000000006</v>
      </c>
      <c r="J123" s="58">
        <v>94.8</v>
      </c>
      <c r="K123" s="58">
        <v>117.4</v>
      </c>
      <c r="L123" s="58">
        <v>128.4</v>
      </c>
      <c r="M123" s="58">
        <v>129.9</v>
      </c>
      <c r="N123" s="58">
        <v>135.4</v>
      </c>
      <c r="O123" s="58">
        <v>117.2</v>
      </c>
      <c r="P123" s="58">
        <v>113</v>
      </c>
      <c r="Q123" s="58">
        <v>118</v>
      </c>
      <c r="R123" s="58">
        <v>114.1</v>
      </c>
      <c r="S123" s="58">
        <v>125.3</v>
      </c>
      <c r="T123" s="58">
        <v>134.80000000000001</v>
      </c>
      <c r="U123" s="58">
        <v>120.9</v>
      </c>
      <c r="V123" s="58">
        <v>118.6</v>
      </c>
      <c r="W123" s="58">
        <v>137.6</v>
      </c>
      <c r="X123" s="58">
        <v>131.30000000000001</v>
      </c>
      <c r="Y123" s="58">
        <v>120.5</v>
      </c>
      <c r="Z123" s="58">
        <v>138.19999999999999</v>
      </c>
      <c r="AA123" s="58">
        <v>119.1</v>
      </c>
      <c r="AB123" s="58">
        <v>97.5</v>
      </c>
      <c r="AC123" s="58">
        <v>69.3</v>
      </c>
      <c r="AD123" s="58">
        <v>52.4</v>
      </c>
      <c r="AE123" s="58">
        <v>29</v>
      </c>
      <c r="AF123" s="58">
        <v>7.6</v>
      </c>
      <c r="AG123" s="60">
        <v>120</v>
      </c>
      <c r="AH123" s="12">
        <f t="shared" si="68"/>
        <v>138.19999999999999</v>
      </c>
      <c r="AI123" s="11">
        <f t="shared" si="69"/>
        <v>7.6</v>
      </c>
    </row>
    <row r="124" spans="1:35" x14ac:dyDescent="0.25">
      <c r="A124" s="57" t="s">
        <v>138</v>
      </c>
      <c r="B124" s="58">
        <v>35.700000000000003</v>
      </c>
      <c r="C124" s="58">
        <v>35.700000000000003</v>
      </c>
      <c r="D124" s="58">
        <v>42.3</v>
      </c>
      <c r="E124" s="58">
        <v>41.7</v>
      </c>
      <c r="F124" s="58">
        <v>40.1</v>
      </c>
      <c r="G124" s="58">
        <v>45.7</v>
      </c>
      <c r="H124" s="58">
        <v>37</v>
      </c>
      <c r="I124" s="58">
        <v>57.5</v>
      </c>
      <c r="J124" s="58">
        <v>71.2</v>
      </c>
      <c r="K124" s="58">
        <v>81.2</v>
      </c>
      <c r="L124" s="58">
        <v>85.8</v>
      </c>
      <c r="M124" s="58">
        <v>87</v>
      </c>
      <c r="N124" s="58">
        <v>87.1</v>
      </c>
      <c r="O124" s="58">
        <v>80.400000000000006</v>
      </c>
      <c r="P124" s="58">
        <v>79.3</v>
      </c>
      <c r="Q124" s="58">
        <v>81.099999999999994</v>
      </c>
      <c r="R124" s="58">
        <v>79</v>
      </c>
      <c r="S124" s="58">
        <v>83.6</v>
      </c>
      <c r="T124" s="58">
        <v>87.5</v>
      </c>
      <c r="U124" s="58">
        <v>81.400000000000006</v>
      </c>
      <c r="V124" s="58">
        <v>80.400000000000006</v>
      </c>
      <c r="W124" s="58">
        <v>89.9</v>
      </c>
      <c r="X124" s="58">
        <v>86.7</v>
      </c>
      <c r="Y124" s="58">
        <v>81.7</v>
      </c>
      <c r="Z124" s="58">
        <v>89.5</v>
      </c>
      <c r="AA124" s="58">
        <v>80.8</v>
      </c>
      <c r="AB124" s="58">
        <v>71.8</v>
      </c>
      <c r="AC124" s="58">
        <v>56.3</v>
      </c>
      <c r="AD124" s="58">
        <v>49.5</v>
      </c>
      <c r="AE124" s="58">
        <v>36.9</v>
      </c>
      <c r="AF124" s="58">
        <v>28.2</v>
      </c>
      <c r="AG124" s="60"/>
      <c r="AH124" s="12">
        <f t="shared" si="68"/>
        <v>89.9</v>
      </c>
      <c r="AI124" s="11">
        <f t="shared" si="69"/>
        <v>28.2</v>
      </c>
    </row>
    <row r="125" spans="1:35" x14ac:dyDescent="0.25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>
        <v>0</v>
      </c>
      <c r="AA125" s="58">
        <v>0</v>
      </c>
      <c r="AB125" s="58"/>
      <c r="AC125" s="58"/>
      <c r="AD125" s="58"/>
      <c r="AE125" s="58"/>
      <c r="AF125" s="58"/>
      <c r="AG125" s="60"/>
      <c r="AH125" s="12">
        <f t="shared" si="68"/>
        <v>0</v>
      </c>
      <c r="AI125" s="11">
        <f t="shared" si="69"/>
        <v>0</v>
      </c>
    </row>
    <row r="126" spans="1:35" ht="15.75" thickBot="1" x14ac:dyDescent="0.3">
      <c r="A126" s="57" t="s">
        <v>136</v>
      </c>
      <c r="B126" s="58">
        <v>58.4</v>
      </c>
      <c r="C126" s="58">
        <v>58.4</v>
      </c>
      <c r="D126" s="58">
        <v>73.2</v>
      </c>
      <c r="E126" s="58">
        <v>72.5</v>
      </c>
      <c r="F126" s="58">
        <v>65.400000000000006</v>
      </c>
      <c r="G126" s="58">
        <v>75.2</v>
      </c>
      <c r="H126" s="58">
        <v>53.8</v>
      </c>
      <c r="I126" s="58">
        <v>80.099999999999994</v>
      </c>
      <c r="J126" s="58">
        <v>110</v>
      </c>
      <c r="K126" s="58">
        <v>98.8</v>
      </c>
      <c r="L126" s="58">
        <v>100</v>
      </c>
      <c r="M126" s="58">
        <v>106.6</v>
      </c>
      <c r="N126" s="58">
        <v>102.4</v>
      </c>
      <c r="O126" s="58">
        <v>97</v>
      </c>
      <c r="P126" s="58">
        <v>98.9</v>
      </c>
      <c r="Q126" s="58">
        <v>98.6</v>
      </c>
      <c r="R126" s="58">
        <v>97.9</v>
      </c>
      <c r="S126" s="58">
        <v>99.6</v>
      </c>
      <c r="T126" s="58">
        <v>105.4</v>
      </c>
      <c r="U126" s="58">
        <v>100.2</v>
      </c>
      <c r="V126" s="58">
        <v>95</v>
      </c>
      <c r="W126" s="58">
        <v>107</v>
      </c>
      <c r="X126" s="58">
        <v>94.3</v>
      </c>
      <c r="Y126" s="58">
        <v>74.2</v>
      </c>
      <c r="Z126" s="58">
        <v>90</v>
      </c>
      <c r="AA126" s="58">
        <v>65</v>
      </c>
      <c r="AB126" s="58">
        <v>67</v>
      </c>
      <c r="AC126" s="58">
        <v>58</v>
      </c>
      <c r="AD126" s="58">
        <v>41</v>
      </c>
      <c r="AE126" s="58">
        <v>34.299999999999997</v>
      </c>
      <c r="AF126" s="58">
        <v>24</v>
      </c>
      <c r="AG126" s="55"/>
      <c r="AH126" s="12">
        <f t="shared" si="68"/>
        <v>110</v>
      </c>
      <c r="AI126" s="11">
        <f t="shared" si="69"/>
        <v>24</v>
      </c>
    </row>
    <row r="127" spans="1:35" x14ac:dyDescent="0.25">
      <c r="A127" s="59" t="s">
        <v>135</v>
      </c>
      <c r="B127" s="58">
        <v>-90.2</v>
      </c>
      <c r="C127" s="58">
        <v>-90.2</v>
      </c>
      <c r="D127" s="58">
        <v>-80.3</v>
      </c>
      <c r="E127" s="58">
        <v>-77</v>
      </c>
      <c r="F127" s="58">
        <v>-76.599999999999994</v>
      </c>
      <c r="G127" s="58">
        <v>-65.099999999999994</v>
      </c>
      <c r="H127" s="58">
        <v>-75</v>
      </c>
      <c r="I127" s="58">
        <v>-87.8</v>
      </c>
      <c r="J127" s="58">
        <v>3.4</v>
      </c>
      <c r="K127" s="58">
        <v>15.2</v>
      </c>
      <c r="L127" s="58">
        <v>22.1</v>
      </c>
      <c r="M127" s="58">
        <v>22.8</v>
      </c>
      <c r="N127" s="58">
        <v>27.9</v>
      </c>
      <c r="O127" s="58">
        <v>18</v>
      </c>
      <c r="P127" s="58">
        <v>17.8</v>
      </c>
      <c r="Q127" s="58">
        <v>19.8</v>
      </c>
      <c r="R127" s="58">
        <v>19.5</v>
      </c>
      <c r="S127" s="58">
        <v>26.8</v>
      </c>
      <c r="T127" s="58">
        <v>31.3</v>
      </c>
      <c r="U127" s="58">
        <v>23.4</v>
      </c>
      <c r="V127" s="58">
        <v>20.8</v>
      </c>
      <c r="W127" s="58">
        <v>33.6</v>
      </c>
      <c r="X127" s="58">
        <v>12.2</v>
      </c>
      <c r="Y127" s="58">
        <v>-98</v>
      </c>
      <c r="Z127" s="58">
        <v>-38.200000000000003</v>
      </c>
      <c r="AA127" s="58">
        <v>-109</v>
      </c>
      <c r="AB127" s="58">
        <v>-135.30000000000001</v>
      </c>
      <c r="AC127" s="58">
        <v>-134.5</v>
      </c>
      <c r="AD127" s="58">
        <v>-132</v>
      </c>
      <c r="AE127" s="58">
        <v>-18.600000000000001</v>
      </c>
      <c r="AF127" s="58">
        <v>-18.600000000000001</v>
      </c>
      <c r="AG127" s="55"/>
      <c r="AH127" s="12">
        <f t="shared" si="68"/>
        <v>33.6</v>
      </c>
      <c r="AI127" s="11">
        <f t="shared" si="69"/>
        <v>-135.30000000000001</v>
      </c>
    </row>
    <row r="128" spans="1:35" x14ac:dyDescent="0.25">
      <c r="A128" s="57" t="s">
        <v>134</v>
      </c>
      <c r="B128" s="56">
        <v>26.7</v>
      </c>
      <c r="C128" s="56">
        <v>26.7</v>
      </c>
      <c r="D128" s="56">
        <v>20.9</v>
      </c>
      <c r="E128" s="56">
        <v>13.9</v>
      </c>
      <c r="F128" s="56">
        <v>18.2</v>
      </c>
      <c r="G128" s="56">
        <v>29.74</v>
      </c>
      <c r="H128" s="56">
        <v>22.2</v>
      </c>
      <c r="I128" s="56">
        <v>19.399999999999999</v>
      </c>
      <c r="J128" s="56">
        <v>14.6</v>
      </c>
      <c r="K128" s="56"/>
      <c r="L128" s="56"/>
      <c r="M128" s="56"/>
      <c r="N128" s="56"/>
      <c r="O128" s="56">
        <v>-20.3</v>
      </c>
      <c r="P128" s="56">
        <v>-18.899999999999999</v>
      </c>
      <c r="Q128" s="56">
        <v>-12.3</v>
      </c>
      <c r="R128" s="56">
        <v>-22.9</v>
      </c>
      <c r="S128" s="56">
        <v>-3.2</v>
      </c>
      <c r="T128" s="56">
        <v>-7.4</v>
      </c>
      <c r="U128" s="56">
        <v>-17.7</v>
      </c>
      <c r="V128" s="56">
        <v>-17</v>
      </c>
      <c r="W128" s="56">
        <v>-19.399999999999999</v>
      </c>
      <c r="X128" s="56">
        <v>-40.799999999999997</v>
      </c>
      <c r="Y128" s="56">
        <v>-36.799999999999997</v>
      </c>
      <c r="Z128" s="56">
        <v>-38</v>
      </c>
      <c r="AA128" s="56">
        <v>-35</v>
      </c>
      <c r="AB128" s="56">
        <v>-29.1</v>
      </c>
      <c r="AC128" s="56">
        <v>-23.6</v>
      </c>
      <c r="AD128" s="56">
        <v>-22.1</v>
      </c>
      <c r="AE128" s="56">
        <v>-18.2</v>
      </c>
      <c r="AF128" s="56">
        <v>-14.6</v>
      </c>
      <c r="AG128" s="55"/>
      <c r="AH128" s="12">
        <f t="shared" si="68"/>
        <v>29.74</v>
      </c>
      <c r="AI128" s="11">
        <f t="shared" si="69"/>
        <v>-40.799999999999997</v>
      </c>
    </row>
    <row r="129" spans="1:62" x14ac:dyDescent="0.25">
      <c r="A129" s="57" t="s">
        <v>133</v>
      </c>
      <c r="B129" s="56">
        <v>22.6</v>
      </c>
      <c r="C129" s="56">
        <v>22.6</v>
      </c>
      <c r="D129" s="56">
        <v>39.799999999999997</v>
      </c>
      <c r="E129" s="56">
        <v>45.5</v>
      </c>
      <c r="F129" s="56">
        <v>31.4</v>
      </c>
      <c r="G129" s="56">
        <v>39.299999999999997</v>
      </c>
      <c r="H129" s="56">
        <v>31.8</v>
      </c>
      <c r="I129" s="56">
        <v>38.799999999999997</v>
      </c>
      <c r="J129" s="56">
        <v>37.1</v>
      </c>
      <c r="K129" s="56">
        <v>52.7</v>
      </c>
      <c r="L129" s="56">
        <v>57.5</v>
      </c>
      <c r="M129" s="56">
        <v>50.6</v>
      </c>
      <c r="N129" s="56">
        <v>79.8</v>
      </c>
      <c r="O129" s="56">
        <v>107.3</v>
      </c>
      <c r="P129" s="56">
        <v>116.8</v>
      </c>
      <c r="Q129" s="56">
        <v>112.5</v>
      </c>
      <c r="R129" s="56">
        <v>111.3</v>
      </c>
      <c r="S129" s="56">
        <v>120.3</v>
      </c>
      <c r="T129" s="56">
        <v>122.1</v>
      </c>
      <c r="U129" s="56">
        <v>118</v>
      </c>
      <c r="V129" s="56">
        <v>95.6</v>
      </c>
      <c r="W129" s="56">
        <v>87.5</v>
      </c>
      <c r="X129" s="56">
        <v>88.7</v>
      </c>
      <c r="Y129" s="56">
        <v>97.1</v>
      </c>
      <c r="Z129" s="56">
        <v>106.2</v>
      </c>
      <c r="AA129" s="56">
        <v>110.2</v>
      </c>
      <c r="AB129" s="56">
        <v>99</v>
      </c>
      <c r="AC129" s="56">
        <v>92</v>
      </c>
      <c r="AD129" s="56">
        <v>92.5</v>
      </c>
      <c r="AE129" s="56">
        <v>90.3</v>
      </c>
      <c r="AF129" s="56">
        <v>79.599999999999994</v>
      </c>
      <c r="AG129" s="55"/>
      <c r="AH129" s="12">
        <f t="shared" si="68"/>
        <v>122.1</v>
      </c>
      <c r="AI129" s="11">
        <f t="shared" si="69"/>
        <v>22.6</v>
      </c>
    </row>
    <row r="130" spans="1:62" ht="15.75" thickBot="1" x14ac:dyDescent="0.3">
      <c r="A130" s="57" t="s">
        <v>132</v>
      </c>
      <c r="B130" s="56">
        <v>35.200000000000003</v>
      </c>
      <c r="C130" s="56">
        <v>35.200000000000003</v>
      </c>
      <c r="D130" s="56">
        <v>51</v>
      </c>
      <c r="E130" s="56">
        <v>56</v>
      </c>
      <c r="F130" s="56">
        <v>53.3</v>
      </c>
      <c r="G130" s="56">
        <v>35.4</v>
      </c>
      <c r="H130" s="56">
        <v>48.1</v>
      </c>
      <c r="I130" s="56">
        <v>52.1</v>
      </c>
      <c r="J130" s="56">
        <v>44.85</v>
      </c>
      <c r="K130" s="56">
        <v>60.5</v>
      </c>
      <c r="L130" s="56">
        <v>66.400000000000006</v>
      </c>
      <c r="M130" s="56">
        <v>62.3</v>
      </c>
      <c r="N130" s="56">
        <v>84.4</v>
      </c>
      <c r="O130" s="56">
        <v>118.2</v>
      </c>
      <c r="P130" s="56">
        <v>121.5</v>
      </c>
      <c r="Q130" s="56">
        <v>114.7</v>
      </c>
      <c r="R130" s="56">
        <v>119.7</v>
      </c>
      <c r="S130" s="56">
        <v>124.5</v>
      </c>
      <c r="T130" s="56">
        <v>122.1</v>
      </c>
      <c r="U130" s="56">
        <v>121</v>
      </c>
      <c r="V130" s="56">
        <v>112</v>
      </c>
      <c r="W130" s="56">
        <v>99.1</v>
      </c>
      <c r="X130" s="56">
        <v>95.9</v>
      </c>
      <c r="Y130" s="56">
        <v>105.8</v>
      </c>
      <c r="Z130" s="56">
        <v>114.6</v>
      </c>
      <c r="AA130" s="56">
        <v>117</v>
      </c>
      <c r="AB130" s="56">
        <v>110.8</v>
      </c>
      <c r="AC130" s="56">
        <v>106.3</v>
      </c>
      <c r="AD130" s="56">
        <v>105.4</v>
      </c>
      <c r="AE130" s="56">
        <v>102.3</v>
      </c>
      <c r="AF130" s="56">
        <v>75</v>
      </c>
      <c r="AG130" s="55"/>
      <c r="AH130" s="12">
        <f t="shared" si="68"/>
        <v>124.5</v>
      </c>
      <c r="AI130" s="11">
        <f t="shared" si="69"/>
        <v>35.200000000000003</v>
      </c>
    </row>
    <row r="131" spans="1:62" x14ac:dyDescent="0.25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62" x14ac:dyDescent="0.25">
      <c r="A132" s="47" t="s">
        <v>130</v>
      </c>
      <c r="B132" s="51">
        <v>1983.42</v>
      </c>
      <c r="C132" s="51">
        <v>1983.5</v>
      </c>
      <c r="D132" s="51">
        <v>1983.6</v>
      </c>
      <c r="E132" s="51">
        <v>1983.66</v>
      </c>
      <c r="F132" s="51">
        <v>1983.75</v>
      </c>
      <c r="G132" s="51">
        <v>1983.82</v>
      </c>
      <c r="H132" s="51"/>
      <c r="I132" s="51">
        <v>1983.85</v>
      </c>
      <c r="J132" s="51"/>
      <c r="K132" s="51">
        <v>1984.02</v>
      </c>
      <c r="L132" s="51"/>
      <c r="M132" s="51">
        <v>1984.3</v>
      </c>
      <c r="N132" s="51">
        <v>1984.58</v>
      </c>
      <c r="O132" s="51">
        <v>1984.83</v>
      </c>
      <c r="P132" s="51">
        <v>1985.05</v>
      </c>
      <c r="Q132" s="51">
        <v>1985.3</v>
      </c>
      <c r="R132" s="51"/>
      <c r="S132" s="51">
        <v>1985.75</v>
      </c>
      <c r="T132" s="51">
        <v>1986</v>
      </c>
      <c r="U132" s="51">
        <v>1986.2</v>
      </c>
      <c r="V132" s="51">
        <v>1986.43</v>
      </c>
      <c r="W132" s="51"/>
      <c r="X132" s="51">
        <v>1986.6</v>
      </c>
      <c r="Y132" s="51"/>
      <c r="Z132" s="51">
        <v>1986.4</v>
      </c>
      <c r="AA132" s="51"/>
      <c r="AB132" s="51">
        <v>1986</v>
      </c>
      <c r="AC132" s="51"/>
      <c r="AD132" s="51">
        <v>1985.3</v>
      </c>
      <c r="AE132" s="51">
        <v>1985.1</v>
      </c>
      <c r="AF132" s="50">
        <v>1984.92</v>
      </c>
      <c r="AG132" s="44"/>
      <c r="AH132" s="12"/>
      <c r="AI132" s="11"/>
    </row>
    <row r="133" spans="1:62" x14ac:dyDescent="0.25">
      <c r="A133" s="47" t="s">
        <v>129</v>
      </c>
      <c r="B133" s="49">
        <v>522.57000000000005</v>
      </c>
      <c r="C133" s="49">
        <v>522.54999999999995</v>
      </c>
      <c r="D133" s="49">
        <v>522.65</v>
      </c>
      <c r="E133" s="49">
        <v>522.75</v>
      </c>
      <c r="F133" s="49">
        <v>522.87</v>
      </c>
      <c r="G133" s="49">
        <v>522.98</v>
      </c>
      <c r="H133" s="49"/>
      <c r="I133" s="49">
        <v>522.86</v>
      </c>
      <c r="J133" s="49"/>
      <c r="K133" s="49">
        <v>522.70000000000005</v>
      </c>
      <c r="L133" s="49"/>
      <c r="M133" s="49">
        <v>522.72</v>
      </c>
      <c r="N133" s="49">
        <v>522.70000000000005</v>
      </c>
      <c r="O133" s="49">
        <v>522.65</v>
      </c>
      <c r="P133" s="49">
        <v>522.55999999999995</v>
      </c>
      <c r="Q133" s="49">
        <v>522.49</v>
      </c>
      <c r="R133" s="49"/>
      <c r="S133" s="49">
        <v>522.34</v>
      </c>
      <c r="T133" s="49">
        <v>522.29</v>
      </c>
      <c r="U133" s="49">
        <v>522.37</v>
      </c>
      <c r="V133" s="49">
        <v>522.55999999999995</v>
      </c>
      <c r="W133" s="49"/>
      <c r="X133" s="49">
        <v>522.62</v>
      </c>
      <c r="Y133" s="49"/>
      <c r="Z133" s="49">
        <v>522.55700000000002</v>
      </c>
      <c r="AA133" s="49"/>
      <c r="AB133" s="49">
        <v>522.02</v>
      </c>
      <c r="AC133" s="49"/>
      <c r="AD133" s="49">
        <v>521.77</v>
      </c>
      <c r="AE133" s="49">
        <v>521.35</v>
      </c>
      <c r="AF133" s="48">
        <v>521.14</v>
      </c>
      <c r="AG133" s="44"/>
      <c r="AH133" s="12"/>
      <c r="AI133" s="11"/>
    </row>
    <row r="134" spans="1:62" x14ac:dyDescent="0.25">
      <c r="A134" s="47" t="s">
        <v>128</v>
      </c>
      <c r="B134" s="49">
        <v>624.19000000000005</v>
      </c>
      <c r="C134" s="49">
        <v>624.1</v>
      </c>
      <c r="D134" s="49">
        <v>624</v>
      </c>
      <c r="E134" s="49">
        <v>623.95000000000005</v>
      </c>
      <c r="F134" s="49">
        <v>624</v>
      </c>
      <c r="G134" s="49">
        <v>623.95000000000005</v>
      </c>
      <c r="H134" s="49"/>
      <c r="I134" s="49">
        <v>623.70000000000005</v>
      </c>
      <c r="J134" s="49"/>
      <c r="K134" s="49">
        <v>623.79999999999995</v>
      </c>
      <c r="L134" s="49"/>
      <c r="M134" s="49">
        <v>624.1</v>
      </c>
      <c r="N134" s="49">
        <v>624.29999999999995</v>
      </c>
      <c r="O134" s="49">
        <v>624.47</v>
      </c>
      <c r="P134" s="49">
        <v>624.65</v>
      </c>
      <c r="Q134" s="49">
        <v>624.83000000000004</v>
      </c>
      <c r="R134" s="49">
        <v>624.77</v>
      </c>
      <c r="S134" s="49">
        <v>624.66</v>
      </c>
      <c r="T134" s="49">
        <v>624.54999999999995</v>
      </c>
      <c r="U134" s="49">
        <v>624.4</v>
      </c>
      <c r="V134" s="49">
        <v>624.35400000000004</v>
      </c>
      <c r="W134" s="49"/>
      <c r="X134" s="49">
        <v>624.52</v>
      </c>
      <c r="Y134" s="49"/>
      <c r="Z134" s="49">
        <v>624.46</v>
      </c>
      <c r="AA134" s="49"/>
      <c r="AB134" s="49">
        <v>624.1</v>
      </c>
      <c r="AC134" s="49"/>
      <c r="AD134" s="49">
        <v>623.88</v>
      </c>
      <c r="AE134" s="49">
        <v>623.55999999999995</v>
      </c>
      <c r="AF134" s="48"/>
      <c r="AG134" s="44"/>
      <c r="AH134" s="12"/>
      <c r="AI134" s="11"/>
    </row>
    <row r="135" spans="1:62" x14ac:dyDescent="0.25">
      <c r="A135" s="47" t="s">
        <v>127</v>
      </c>
      <c r="B135" s="49">
        <v>335.52</v>
      </c>
      <c r="C135" s="49">
        <v>335.84</v>
      </c>
      <c r="D135" s="49">
        <v>336.19</v>
      </c>
      <c r="E135" s="49">
        <v>336.46</v>
      </c>
      <c r="F135" s="49">
        <v>336.64</v>
      </c>
      <c r="G135" s="49">
        <v>336.8</v>
      </c>
      <c r="H135" s="49"/>
      <c r="I135" s="49">
        <v>336.8</v>
      </c>
      <c r="J135" s="49"/>
      <c r="K135" s="49">
        <v>336.82</v>
      </c>
      <c r="L135" s="49"/>
      <c r="M135" s="49">
        <v>336.94</v>
      </c>
      <c r="N135" s="49">
        <v>337</v>
      </c>
      <c r="O135" s="49">
        <v>337.05</v>
      </c>
      <c r="P135" s="49">
        <v>337.22</v>
      </c>
      <c r="Q135" s="49">
        <v>337.25</v>
      </c>
      <c r="R135" s="49"/>
      <c r="S135" s="49">
        <v>336.69</v>
      </c>
      <c r="T135" s="49">
        <v>336.45</v>
      </c>
      <c r="U135" s="49">
        <v>336.21</v>
      </c>
      <c r="V135" s="49">
        <v>336.05</v>
      </c>
      <c r="W135" s="49"/>
      <c r="X135" s="49">
        <v>336.11</v>
      </c>
      <c r="Y135" s="49"/>
      <c r="Z135" s="49">
        <v>336.25</v>
      </c>
      <c r="AA135" s="49"/>
      <c r="AB135" s="49">
        <v>336.12</v>
      </c>
      <c r="AC135" s="49"/>
      <c r="AD135" s="49">
        <v>336.04</v>
      </c>
      <c r="AE135" s="49">
        <v>335.99</v>
      </c>
      <c r="AF135" s="48">
        <v>335.91</v>
      </c>
      <c r="AG135" s="44"/>
      <c r="AH135" s="12"/>
      <c r="AI135" s="11"/>
    </row>
    <row r="136" spans="1:62" x14ac:dyDescent="0.25">
      <c r="A136" s="47" t="s">
        <v>126</v>
      </c>
      <c r="B136" s="49">
        <v>881.7</v>
      </c>
      <c r="C136" s="49">
        <v>882.5</v>
      </c>
      <c r="D136" s="49">
        <v>883.8</v>
      </c>
      <c r="E136" s="49">
        <v>884.6</v>
      </c>
      <c r="F136" s="49">
        <v>885.4</v>
      </c>
      <c r="G136" s="49">
        <v>886.3</v>
      </c>
      <c r="H136" s="49"/>
      <c r="I136" s="49">
        <v>886.8</v>
      </c>
      <c r="J136" s="49"/>
      <c r="K136" s="49">
        <v>887.3</v>
      </c>
      <c r="L136" s="49"/>
      <c r="M136" s="49">
        <v>887.4</v>
      </c>
      <c r="N136" s="49">
        <v>887.5</v>
      </c>
      <c r="O136" s="49">
        <v>887.6</v>
      </c>
      <c r="P136" s="49">
        <v>887.3</v>
      </c>
      <c r="Q136" s="49">
        <v>887.4</v>
      </c>
      <c r="R136" s="49"/>
      <c r="S136" s="49">
        <v>887.1</v>
      </c>
      <c r="T136" s="49">
        <v>886.9</v>
      </c>
      <c r="U136" s="49">
        <v>886.7</v>
      </c>
      <c r="V136" s="49">
        <v>886.5</v>
      </c>
      <c r="W136" s="49"/>
      <c r="X136" s="49">
        <v>886.5</v>
      </c>
      <c r="Y136" s="49"/>
      <c r="Z136" s="49"/>
      <c r="AA136" s="49"/>
      <c r="AB136" s="49">
        <v>884.7</v>
      </c>
      <c r="AC136" s="49"/>
      <c r="AD136" s="49">
        <v>882.5</v>
      </c>
      <c r="AE136" s="49">
        <v>882.9</v>
      </c>
      <c r="AF136" s="48">
        <v>883.6</v>
      </c>
      <c r="AG136" s="44"/>
      <c r="AH136" s="12"/>
      <c r="AI136" s="11"/>
    </row>
    <row r="137" spans="1:62" ht="15.75" thickBot="1" x14ac:dyDescent="0.3">
      <c r="A137" s="47" t="s">
        <v>125</v>
      </c>
      <c r="B137" s="46">
        <v>1512.92</v>
      </c>
      <c r="C137" s="46"/>
      <c r="D137" s="46"/>
      <c r="E137" s="46">
        <v>1512.88</v>
      </c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>
        <v>1512.85</v>
      </c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62" ht="15.75" thickBot="1" x14ac:dyDescent="0.3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62" x14ac:dyDescent="0.25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62" x14ac:dyDescent="0.25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  <c r="BJ140" s="83">
        <f>16/66*456</f>
        <v>110.54545454545455</v>
      </c>
    </row>
    <row r="141" spans="1:62" x14ac:dyDescent="0.25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62" x14ac:dyDescent="0.25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62" x14ac:dyDescent="0.25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62" x14ac:dyDescent="0.25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25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25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25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25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25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25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25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25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25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25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25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25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25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25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25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25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25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25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25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25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25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25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25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25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25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25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25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25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25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25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25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25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25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25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25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25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25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25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25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25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25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25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25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25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25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25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25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25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25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25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25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25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25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25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25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25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25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25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25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25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25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25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25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25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25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25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25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25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25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25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25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25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25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25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25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25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25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25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25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25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25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25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25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25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25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25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25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25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25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25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25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25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25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25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25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25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25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25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.75" thickBot="1" x14ac:dyDescent="0.3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.75" thickBot="1" x14ac:dyDescent="0.3">
      <c r="A244" s="31" t="s">
        <v>17</v>
      </c>
      <c r="B244" s="30">
        <f t="shared" ref="B244:AG244" si="73">SUM(B139:B243)</f>
        <v>0</v>
      </c>
      <c r="C244" s="14">
        <f t="shared" si="73"/>
        <v>0</v>
      </c>
      <c r="D244" s="14">
        <f t="shared" si="73"/>
        <v>0</v>
      </c>
      <c r="E244" s="14">
        <f t="shared" si="73"/>
        <v>0</v>
      </c>
      <c r="F244" s="14">
        <f t="shared" si="73"/>
        <v>0</v>
      </c>
      <c r="G244" s="14">
        <f t="shared" si="73"/>
        <v>0</v>
      </c>
      <c r="H244" s="14">
        <f t="shared" si="73"/>
        <v>0</v>
      </c>
      <c r="I244" s="14">
        <f t="shared" si="73"/>
        <v>0</v>
      </c>
      <c r="J244" s="14">
        <f t="shared" si="73"/>
        <v>0</v>
      </c>
      <c r="K244" s="14">
        <f t="shared" si="73"/>
        <v>0</v>
      </c>
      <c r="L244" s="14">
        <f t="shared" si="73"/>
        <v>0</v>
      </c>
      <c r="M244" s="14">
        <f t="shared" si="73"/>
        <v>0</v>
      </c>
      <c r="N244" s="14">
        <f t="shared" si="73"/>
        <v>0</v>
      </c>
      <c r="O244" s="14">
        <f t="shared" si="73"/>
        <v>0</v>
      </c>
      <c r="P244" s="14">
        <f t="shared" si="73"/>
        <v>0</v>
      </c>
      <c r="Q244" s="14">
        <f t="shared" si="73"/>
        <v>0</v>
      </c>
      <c r="R244" s="14">
        <f t="shared" si="73"/>
        <v>0</v>
      </c>
      <c r="S244" s="14">
        <f t="shared" si="73"/>
        <v>0</v>
      </c>
      <c r="T244" s="14">
        <f t="shared" si="73"/>
        <v>0</v>
      </c>
      <c r="U244" s="14">
        <f t="shared" si="73"/>
        <v>0</v>
      </c>
      <c r="V244" s="14">
        <f t="shared" si="73"/>
        <v>0</v>
      </c>
      <c r="W244" s="14">
        <f t="shared" si="73"/>
        <v>0</v>
      </c>
      <c r="X244" s="14">
        <f t="shared" si="73"/>
        <v>0</v>
      </c>
      <c r="Y244" s="14">
        <f t="shared" si="73"/>
        <v>0</v>
      </c>
      <c r="Z244" s="14">
        <f t="shared" si="73"/>
        <v>0</v>
      </c>
      <c r="AA244" s="14">
        <f t="shared" si="73"/>
        <v>0</v>
      </c>
      <c r="AB244" s="14">
        <f t="shared" si="73"/>
        <v>0</v>
      </c>
      <c r="AC244" s="14">
        <f t="shared" si="73"/>
        <v>0</v>
      </c>
      <c r="AD244" s="14">
        <f t="shared" si="73"/>
        <v>0</v>
      </c>
      <c r="AE244" s="14">
        <f t="shared" si="73"/>
        <v>0</v>
      </c>
      <c r="AF244" s="29">
        <f t="shared" si="73"/>
        <v>0</v>
      </c>
      <c r="AG244" s="28">
        <f t="shared" si="73"/>
        <v>412.72299999999984</v>
      </c>
      <c r="AH244" s="12"/>
      <c r="AI244" s="11"/>
      <c r="AK244" s="19"/>
    </row>
    <row r="245" spans="1:37" ht="15.75" thickBot="1" x14ac:dyDescent="0.3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25">
      <c r="A246" s="25" t="s">
        <v>16</v>
      </c>
      <c r="B246" s="24">
        <f t="shared" ref="B246:B251" si="74">AF246</f>
        <v>0.3</v>
      </c>
      <c r="C246" s="24">
        <v>0.3</v>
      </c>
      <c r="D246" s="24">
        <f t="shared" ref="D246:AF246" si="75">C246</f>
        <v>0.3</v>
      </c>
      <c r="E246" s="24">
        <f t="shared" si="75"/>
        <v>0.3</v>
      </c>
      <c r="F246" s="24">
        <f t="shared" si="75"/>
        <v>0.3</v>
      </c>
      <c r="G246" s="24">
        <f t="shared" si="75"/>
        <v>0.3</v>
      </c>
      <c r="H246" s="24">
        <f t="shared" si="75"/>
        <v>0.3</v>
      </c>
      <c r="I246" s="24">
        <f t="shared" si="75"/>
        <v>0.3</v>
      </c>
      <c r="J246" s="24">
        <f t="shared" si="75"/>
        <v>0.3</v>
      </c>
      <c r="K246" s="24">
        <f t="shared" si="75"/>
        <v>0.3</v>
      </c>
      <c r="L246" s="24">
        <f t="shared" si="75"/>
        <v>0.3</v>
      </c>
      <c r="M246" s="24">
        <f t="shared" si="75"/>
        <v>0.3</v>
      </c>
      <c r="N246" s="24">
        <f t="shared" si="75"/>
        <v>0.3</v>
      </c>
      <c r="O246" s="24">
        <f t="shared" si="75"/>
        <v>0.3</v>
      </c>
      <c r="P246" s="24">
        <f t="shared" si="75"/>
        <v>0.3</v>
      </c>
      <c r="Q246" s="24">
        <f t="shared" si="75"/>
        <v>0.3</v>
      </c>
      <c r="R246" s="24">
        <f t="shared" si="75"/>
        <v>0.3</v>
      </c>
      <c r="S246" s="24">
        <f t="shared" si="75"/>
        <v>0.3</v>
      </c>
      <c r="T246" s="24">
        <f t="shared" si="75"/>
        <v>0.3</v>
      </c>
      <c r="U246" s="24">
        <f t="shared" si="75"/>
        <v>0.3</v>
      </c>
      <c r="V246" s="24">
        <f t="shared" si="75"/>
        <v>0.3</v>
      </c>
      <c r="W246" s="24">
        <f t="shared" si="75"/>
        <v>0.3</v>
      </c>
      <c r="X246" s="24">
        <f t="shared" si="75"/>
        <v>0.3</v>
      </c>
      <c r="Y246" s="24">
        <f t="shared" si="75"/>
        <v>0.3</v>
      </c>
      <c r="Z246" s="24">
        <f t="shared" si="75"/>
        <v>0.3</v>
      </c>
      <c r="AA246" s="24">
        <f t="shared" si="75"/>
        <v>0.3</v>
      </c>
      <c r="AB246" s="24">
        <f t="shared" si="75"/>
        <v>0.3</v>
      </c>
      <c r="AC246" s="24">
        <f t="shared" si="75"/>
        <v>0.3</v>
      </c>
      <c r="AD246" s="24">
        <f t="shared" si="75"/>
        <v>0.3</v>
      </c>
      <c r="AE246" s="24">
        <f t="shared" si="75"/>
        <v>0.3</v>
      </c>
      <c r="AF246" s="24">
        <f t="shared" si="75"/>
        <v>0.3</v>
      </c>
      <c r="AG246" s="23">
        <v>2.4</v>
      </c>
      <c r="AH246" s="12"/>
      <c r="AI246" s="11"/>
      <c r="AK246" s="19"/>
    </row>
    <row r="247" spans="1:37" x14ac:dyDescent="0.25">
      <c r="A247" s="22" t="s">
        <v>15</v>
      </c>
      <c r="B247" s="21">
        <f t="shared" si="74"/>
        <v>0.4</v>
      </c>
      <c r="C247" s="21">
        <v>0.4</v>
      </c>
      <c r="D247" s="21">
        <f t="shared" ref="D247:AF247" si="76">C247</f>
        <v>0.4</v>
      </c>
      <c r="E247" s="21">
        <f t="shared" si="76"/>
        <v>0.4</v>
      </c>
      <c r="F247" s="21">
        <f t="shared" si="76"/>
        <v>0.4</v>
      </c>
      <c r="G247" s="21">
        <f t="shared" si="76"/>
        <v>0.4</v>
      </c>
      <c r="H247" s="21">
        <f t="shared" si="76"/>
        <v>0.4</v>
      </c>
      <c r="I247" s="21">
        <f t="shared" si="76"/>
        <v>0.4</v>
      </c>
      <c r="J247" s="21">
        <f t="shared" si="76"/>
        <v>0.4</v>
      </c>
      <c r="K247" s="21">
        <f t="shared" si="76"/>
        <v>0.4</v>
      </c>
      <c r="L247" s="21">
        <f t="shared" si="76"/>
        <v>0.4</v>
      </c>
      <c r="M247" s="21">
        <f t="shared" si="76"/>
        <v>0.4</v>
      </c>
      <c r="N247" s="21">
        <f t="shared" si="76"/>
        <v>0.4</v>
      </c>
      <c r="O247" s="21">
        <f t="shared" si="76"/>
        <v>0.4</v>
      </c>
      <c r="P247" s="21">
        <f t="shared" si="76"/>
        <v>0.4</v>
      </c>
      <c r="Q247" s="21">
        <f t="shared" si="76"/>
        <v>0.4</v>
      </c>
      <c r="R247" s="21">
        <f t="shared" si="76"/>
        <v>0.4</v>
      </c>
      <c r="S247" s="21">
        <f t="shared" si="76"/>
        <v>0.4</v>
      </c>
      <c r="T247" s="21">
        <f t="shared" si="76"/>
        <v>0.4</v>
      </c>
      <c r="U247" s="21">
        <f t="shared" si="76"/>
        <v>0.4</v>
      </c>
      <c r="V247" s="21">
        <f t="shared" si="76"/>
        <v>0.4</v>
      </c>
      <c r="W247" s="21">
        <f t="shared" si="76"/>
        <v>0.4</v>
      </c>
      <c r="X247" s="21">
        <f t="shared" si="76"/>
        <v>0.4</v>
      </c>
      <c r="Y247" s="21">
        <f t="shared" si="76"/>
        <v>0.4</v>
      </c>
      <c r="Z247" s="21">
        <f t="shared" si="76"/>
        <v>0.4</v>
      </c>
      <c r="AA247" s="21">
        <f t="shared" si="76"/>
        <v>0.4</v>
      </c>
      <c r="AB247" s="21">
        <f t="shared" si="76"/>
        <v>0.4</v>
      </c>
      <c r="AC247" s="21">
        <f t="shared" si="76"/>
        <v>0.4</v>
      </c>
      <c r="AD247" s="21">
        <f t="shared" si="76"/>
        <v>0.4</v>
      </c>
      <c r="AE247" s="21">
        <f t="shared" si="76"/>
        <v>0.4</v>
      </c>
      <c r="AF247" s="21">
        <f t="shared" si="76"/>
        <v>0.4</v>
      </c>
      <c r="AG247" s="20">
        <v>2</v>
      </c>
      <c r="AH247" s="12"/>
      <c r="AI247" s="11"/>
      <c r="AK247" s="19"/>
    </row>
    <row r="248" spans="1:37" x14ac:dyDescent="0.25">
      <c r="A248" s="22" t="s">
        <v>14</v>
      </c>
      <c r="B248" s="21">
        <f t="shared" si="74"/>
        <v>1.5</v>
      </c>
      <c r="C248" s="21">
        <v>1.5</v>
      </c>
      <c r="D248" s="21">
        <f t="shared" ref="D248:AF248" si="77">C248</f>
        <v>1.5</v>
      </c>
      <c r="E248" s="21">
        <f t="shared" si="77"/>
        <v>1.5</v>
      </c>
      <c r="F248" s="21">
        <f t="shared" si="77"/>
        <v>1.5</v>
      </c>
      <c r="G248" s="21">
        <f t="shared" si="77"/>
        <v>1.5</v>
      </c>
      <c r="H248" s="21">
        <f t="shared" si="77"/>
        <v>1.5</v>
      </c>
      <c r="I248" s="21">
        <f t="shared" si="77"/>
        <v>1.5</v>
      </c>
      <c r="J248" s="21">
        <f t="shared" si="77"/>
        <v>1.5</v>
      </c>
      <c r="K248" s="21">
        <f t="shared" si="77"/>
        <v>1.5</v>
      </c>
      <c r="L248" s="21">
        <f t="shared" si="77"/>
        <v>1.5</v>
      </c>
      <c r="M248" s="21">
        <f t="shared" si="77"/>
        <v>1.5</v>
      </c>
      <c r="N248" s="21">
        <f t="shared" si="77"/>
        <v>1.5</v>
      </c>
      <c r="O248" s="21">
        <f t="shared" si="77"/>
        <v>1.5</v>
      </c>
      <c r="P248" s="21">
        <f t="shared" si="77"/>
        <v>1.5</v>
      </c>
      <c r="Q248" s="21">
        <f t="shared" si="77"/>
        <v>1.5</v>
      </c>
      <c r="R248" s="21">
        <f t="shared" si="77"/>
        <v>1.5</v>
      </c>
      <c r="S248" s="21">
        <f t="shared" si="77"/>
        <v>1.5</v>
      </c>
      <c r="T248" s="21">
        <f t="shared" si="77"/>
        <v>1.5</v>
      </c>
      <c r="U248" s="21">
        <f t="shared" si="77"/>
        <v>1.5</v>
      </c>
      <c r="V248" s="21">
        <f t="shared" si="77"/>
        <v>1.5</v>
      </c>
      <c r="W248" s="21">
        <f t="shared" si="77"/>
        <v>1.5</v>
      </c>
      <c r="X248" s="21">
        <f t="shared" si="77"/>
        <v>1.5</v>
      </c>
      <c r="Y248" s="21">
        <f t="shared" si="77"/>
        <v>1.5</v>
      </c>
      <c r="Z248" s="21">
        <f t="shared" si="77"/>
        <v>1.5</v>
      </c>
      <c r="AA248" s="21">
        <f t="shared" si="77"/>
        <v>1.5</v>
      </c>
      <c r="AB248" s="21">
        <f t="shared" si="77"/>
        <v>1.5</v>
      </c>
      <c r="AC248" s="21">
        <f t="shared" si="77"/>
        <v>1.5</v>
      </c>
      <c r="AD248" s="21">
        <f t="shared" si="77"/>
        <v>1.5</v>
      </c>
      <c r="AE248" s="21">
        <f t="shared" si="77"/>
        <v>1.5</v>
      </c>
      <c r="AF248" s="21">
        <f t="shared" si="77"/>
        <v>1.5</v>
      </c>
      <c r="AG248" s="20">
        <v>1.5</v>
      </c>
      <c r="AH248" s="12"/>
      <c r="AI248" s="11"/>
      <c r="AK248" s="19"/>
    </row>
    <row r="249" spans="1:37" x14ac:dyDescent="0.25">
      <c r="A249" s="22" t="s">
        <v>13</v>
      </c>
      <c r="B249" s="21">
        <f t="shared" si="74"/>
        <v>0.3</v>
      </c>
      <c r="C249" s="21">
        <v>0.3</v>
      </c>
      <c r="D249" s="21">
        <f t="shared" ref="D249:AF249" si="78">C249</f>
        <v>0.3</v>
      </c>
      <c r="E249" s="21">
        <f t="shared" si="78"/>
        <v>0.3</v>
      </c>
      <c r="F249" s="21">
        <f t="shared" si="78"/>
        <v>0.3</v>
      </c>
      <c r="G249" s="21">
        <f t="shared" si="78"/>
        <v>0.3</v>
      </c>
      <c r="H249" s="21">
        <f t="shared" si="78"/>
        <v>0.3</v>
      </c>
      <c r="I249" s="21">
        <f t="shared" si="78"/>
        <v>0.3</v>
      </c>
      <c r="J249" s="21">
        <f t="shared" si="78"/>
        <v>0.3</v>
      </c>
      <c r="K249" s="21">
        <f t="shared" si="78"/>
        <v>0.3</v>
      </c>
      <c r="L249" s="21">
        <f t="shared" si="78"/>
        <v>0.3</v>
      </c>
      <c r="M249" s="21">
        <f t="shared" si="78"/>
        <v>0.3</v>
      </c>
      <c r="N249" s="21">
        <f t="shared" si="78"/>
        <v>0.3</v>
      </c>
      <c r="O249" s="21">
        <f t="shared" si="78"/>
        <v>0.3</v>
      </c>
      <c r="P249" s="21">
        <f t="shared" si="78"/>
        <v>0.3</v>
      </c>
      <c r="Q249" s="21">
        <f t="shared" si="78"/>
        <v>0.3</v>
      </c>
      <c r="R249" s="21">
        <f t="shared" si="78"/>
        <v>0.3</v>
      </c>
      <c r="S249" s="21">
        <f t="shared" si="78"/>
        <v>0.3</v>
      </c>
      <c r="T249" s="21">
        <f t="shared" si="78"/>
        <v>0.3</v>
      </c>
      <c r="U249" s="21">
        <f t="shared" si="78"/>
        <v>0.3</v>
      </c>
      <c r="V249" s="21">
        <f t="shared" si="78"/>
        <v>0.3</v>
      </c>
      <c r="W249" s="21">
        <f t="shared" si="78"/>
        <v>0.3</v>
      </c>
      <c r="X249" s="21">
        <f t="shared" si="78"/>
        <v>0.3</v>
      </c>
      <c r="Y249" s="21">
        <f t="shared" si="78"/>
        <v>0.3</v>
      </c>
      <c r="Z249" s="21">
        <f t="shared" si="78"/>
        <v>0.3</v>
      </c>
      <c r="AA249" s="21">
        <f t="shared" si="78"/>
        <v>0.3</v>
      </c>
      <c r="AB249" s="21">
        <f t="shared" si="78"/>
        <v>0.3</v>
      </c>
      <c r="AC249" s="21">
        <f t="shared" si="78"/>
        <v>0.3</v>
      </c>
      <c r="AD249" s="21">
        <f t="shared" si="78"/>
        <v>0.3</v>
      </c>
      <c r="AE249" s="21">
        <f t="shared" si="78"/>
        <v>0.3</v>
      </c>
      <c r="AF249" s="21">
        <f t="shared" si="78"/>
        <v>0.3</v>
      </c>
      <c r="AG249" s="20">
        <v>1</v>
      </c>
      <c r="AH249" s="12"/>
      <c r="AI249" s="11"/>
      <c r="AK249" s="19"/>
    </row>
    <row r="250" spans="1:37" x14ac:dyDescent="0.25">
      <c r="A250" s="22" t="s">
        <v>12</v>
      </c>
      <c r="B250" s="21">
        <f t="shared" si="74"/>
        <v>0.4</v>
      </c>
      <c r="C250" s="21">
        <v>0.4</v>
      </c>
      <c r="D250" s="21">
        <f t="shared" ref="D250:AF250" si="79">C250</f>
        <v>0.4</v>
      </c>
      <c r="E250" s="21">
        <f t="shared" si="79"/>
        <v>0.4</v>
      </c>
      <c r="F250" s="21">
        <f t="shared" si="79"/>
        <v>0.4</v>
      </c>
      <c r="G250" s="21">
        <f t="shared" si="79"/>
        <v>0.4</v>
      </c>
      <c r="H250" s="21">
        <f t="shared" si="79"/>
        <v>0.4</v>
      </c>
      <c r="I250" s="21">
        <f t="shared" si="79"/>
        <v>0.4</v>
      </c>
      <c r="J250" s="21">
        <f t="shared" si="79"/>
        <v>0.4</v>
      </c>
      <c r="K250" s="21">
        <f t="shared" si="79"/>
        <v>0.4</v>
      </c>
      <c r="L250" s="21">
        <f t="shared" si="79"/>
        <v>0.4</v>
      </c>
      <c r="M250" s="21">
        <f t="shared" si="79"/>
        <v>0.4</v>
      </c>
      <c r="N250" s="21">
        <f t="shared" si="79"/>
        <v>0.4</v>
      </c>
      <c r="O250" s="21">
        <f t="shared" si="79"/>
        <v>0.4</v>
      </c>
      <c r="P250" s="21">
        <f t="shared" si="79"/>
        <v>0.4</v>
      </c>
      <c r="Q250" s="21">
        <f t="shared" si="79"/>
        <v>0.4</v>
      </c>
      <c r="R250" s="21">
        <f t="shared" si="79"/>
        <v>0.4</v>
      </c>
      <c r="S250" s="21">
        <f t="shared" si="79"/>
        <v>0.4</v>
      </c>
      <c r="T250" s="21">
        <f t="shared" si="79"/>
        <v>0.4</v>
      </c>
      <c r="U250" s="21">
        <f t="shared" si="79"/>
        <v>0.4</v>
      </c>
      <c r="V250" s="21">
        <f t="shared" si="79"/>
        <v>0.4</v>
      </c>
      <c r="W250" s="21">
        <f t="shared" si="79"/>
        <v>0.4</v>
      </c>
      <c r="X250" s="21">
        <f t="shared" si="79"/>
        <v>0.4</v>
      </c>
      <c r="Y250" s="21">
        <f t="shared" si="79"/>
        <v>0.4</v>
      </c>
      <c r="Z250" s="21">
        <f t="shared" si="79"/>
        <v>0.4</v>
      </c>
      <c r="AA250" s="21">
        <f t="shared" si="79"/>
        <v>0.4</v>
      </c>
      <c r="AB250" s="21">
        <f t="shared" si="79"/>
        <v>0.4</v>
      </c>
      <c r="AC250" s="21">
        <f t="shared" si="79"/>
        <v>0.4</v>
      </c>
      <c r="AD250" s="21">
        <f t="shared" si="79"/>
        <v>0.4</v>
      </c>
      <c r="AE250" s="21">
        <f t="shared" si="79"/>
        <v>0.4</v>
      </c>
      <c r="AF250" s="21">
        <f t="shared" si="79"/>
        <v>0.4</v>
      </c>
      <c r="AG250" s="20">
        <v>1</v>
      </c>
      <c r="AH250" s="12"/>
      <c r="AI250" s="11"/>
      <c r="AK250" s="19"/>
    </row>
    <row r="251" spans="1:37" ht="15.75" thickBot="1" x14ac:dyDescent="0.3">
      <c r="A251" s="18" t="s">
        <v>11</v>
      </c>
      <c r="B251" s="17">
        <f t="shared" si="74"/>
        <v>0.64</v>
      </c>
      <c r="C251" s="17">
        <v>0.64</v>
      </c>
      <c r="D251" s="17">
        <f t="shared" ref="D251:AF251" si="80">C251</f>
        <v>0.64</v>
      </c>
      <c r="E251" s="17">
        <f t="shared" si="80"/>
        <v>0.64</v>
      </c>
      <c r="F251" s="17">
        <f t="shared" si="80"/>
        <v>0.64</v>
      </c>
      <c r="G251" s="17">
        <f t="shared" si="80"/>
        <v>0.64</v>
      </c>
      <c r="H251" s="17">
        <f t="shared" si="80"/>
        <v>0.64</v>
      </c>
      <c r="I251" s="17">
        <f t="shared" si="80"/>
        <v>0.64</v>
      </c>
      <c r="J251" s="17">
        <f t="shared" si="80"/>
        <v>0.64</v>
      </c>
      <c r="K251" s="17">
        <f t="shared" si="80"/>
        <v>0.64</v>
      </c>
      <c r="L251" s="17">
        <f t="shared" si="80"/>
        <v>0.64</v>
      </c>
      <c r="M251" s="17">
        <f t="shared" si="80"/>
        <v>0.64</v>
      </c>
      <c r="N251" s="17">
        <f t="shared" si="80"/>
        <v>0.64</v>
      </c>
      <c r="O251" s="17">
        <f t="shared" si="80"/>
        <v>0.64</v>
      </c>
      <c r="P251" s="17">
        <f t="shared" si="80"/>
        <v>0.64</v>
      </c>
      <c r="Q251" s="17">
        <f t="shared" si="80"/>
        <v>0.64</v>
      </c>
      <c r="R251" s="17">
        <f t="shared" si="80"/>
        <v>0.64</v>
      </c>
      <c r="S251" s="17">
        <f t="shared" si="80"/>
        <v>0.64</v>
      </c>
      <c r="T251" s="17">
        <f t="shared" si="80"/>
        <v>0.64</v>
      </c>
      <c r="U251" s="17">
        <f t="shared" si="80"/>
        <v>0.64</v>
      </c>
      <c r="V251" s="17">
        <f t="shared" si="80"/>
        <v>0.64</v>
      </c>
      <c r="W251" s="17">
        <f t="shared" si="80"/>
        <v>0.64</v>
      </c>
      <c r="X251" s="17">
        <f t="shared" si="80"/>
        <v>0.64</v>
      </c>
      <c r="Y251" s="17">
        <f t="shared" si="80"/>
        <v>0.64</v>
      </c>
      <c r="Z251" s="17">
        <f t="shared" si="80"/>
        <v>0.64</v>
      </c>
      <c r="AA251" s="17">
        <f t="shared" si="80"/>
        <v>0.64</v>
      </c>
      <c r="AB251" s="17">
        <f t="shared" si="80"/>
        <v>0.64</v>
      </c>
      <c r="AC251" s="17">
        <f t="shared" si="80"/>
        <v>0.64</v>
      </c>
      <c r="AD251" s="17">
        <f t="shared" si="80"/>
        <v>0.64</v>
      </c>
      <c r="AE251" s="17">
        <f t="shared" si="80"/>
        <v>0.64</v>
      </c>
      <c r="AF251" s="17">
        <f t="shared" si="80"/>
        <v>0.64</v>
      </c>
      <c r="AG251" s="16">
        <v>0.66</v>
      </c>
      <c r="AH251" s="12"/>
      <c r="AI251" s="11"/>
    </row>
    <row r="252" spans="1:37" ht="15.75" thickBot="1" x14ac:dyDescent="0.3">
      <c r="A252" s="15" t="s">
        <v>10</v>
      </c>
      <c r="B252" s="14">
        <f t="shared" ref="B252:AG252" si="81">SUM(B246:B251)</f>
        <v>3.54</v>
      </c>
      <c r="C252" s="14">
        <f t="shared" si="81"/>
        <v>3.54</v>
      </c>
      <c r="D252" s="14">
        <f t="shared" si="81"/>
        <v>3.54</v>
      </c>
      <c r="E252" s="14">
        <f t="shared" si="81"/>
        <v>3.54</v>
      </c>
      <c r="F252" s="14">
        <f t="shared" si="81"/>
        <v>3.54</v>
      </c>
      <c r="G252" s="14">
        <f t="shared" si="81"/>
        <v>3.54</v>
      </c>
      <c r="H252" s="14">
        <f t="shared" si="81"/>
        <v>3.54</v>
      </c>
      <c r="I252" s="14">
        <f t="shared" si="81"/>
        <v>3.54</v>
      </c>
      <c r="J252" s="14">
        <f t="shared" si="81"/>
        <v>3.54</v>
      </c>
      <c r="K252" s="14">
        <f t="shared" si="81"/>
        <v>3.54</v>
      </c>
      <c r="L252" s="14">
        <f t="shared" si="81"/>
        <v>3.54</v>
      </c>
      <c r="M252" s="14">
        <f t="shared" si="81"/>
        <v>3.54</v>
      </c>
      <c r="N252" s="14">
        <f t="shared" si="81"/>
        <v>3.54</v>
      </c>
      <c r="O252" s="14">
        <f t="shared" si="81"/>
        <v>3.54</v>
      </c>
      <c r="P252" s="14">
        <f t="shared" si="81"/>
        <v>3.54</v>
      </c>
      <c r="Q252" s="14">
        <f t="shared" si="81"/>
        <v>3.54</v>
      </c>
      <c r="R252" s="14">
        <f t="shared" si="81"/>
        <v>3.54</v>
      </c>
      <c r="S252" s="14">
        <f t="shared" si="81"/>
        <v>3.54</v>
      </c>
      <c r="T252" s="14">
        <f t="shared" si="81"/>
        <v>3.54</v>
      </c>
      <c r="U252" s="14">
        <f t="shared" si="81"/>
        <v>3.54</v>
      </c>
      <c r="V252" s="14">
        <f t="shared" si="81"/>
        <v>3.54</v>
      </c>
      <c r="W252" s="14">
        <f t="shared" si="81"/>
        <v>3.54</v>
      </c>
      <c r="X252" s="14">
        <f t="shared" si="81"/>
        <v>3.54</v>
      </c>
      <c r="Y252" s="14">
        <f t="shared" si="81"/>
        <v>3.54</v>
      </c>
      <c r="Z252" s="14">
        <f t="shared" si="81"/>
        <v>3.54</v>
      </c>
      <c r="AA252" s="14">
        <f t="shared" si="81"/>
        <v>3.54</v>
      </c>
      <c r="AB252" s="14">
        <f t="shared" si="81"/>
        <v>3.54</v>
      </c>
      <c r="AC252" s="14">
        <f t="shared" si="81"/>
        <v>3.54</v>
      </c>
      <c r="AD252" s="14">
        <f t="shared" si="81"/>
        <v>3.54</v>
      </c>
      <c r="AE252" s="14">
        <f t="shared" si="81"/>
        <v>3.54</v>
      </c>
      <c r="AF252" s="14">
        <f t="shared" si="81"/>
        <v>3.54</v>
      </c>
      <c r="AG252" s="13">
        <f t="shared" si="81"/>
        <v>8.56</v>
      </c>
      <c r="AH252" s="12"/>
      <c r="AI252" s="11"/>
    </row>
    <row r="253" spans="1:37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25">
      <c r="A256" s="9" t="s">
        <v>9</v>
      </c>
      <c r="B256" s="8">
        <f>MAX(G99:N99)</f>
        <v>1592.94</v>
      </c>
      <c r="C256" s="7">
        <f>INDEX(G9:N9,1,MATCH(MAX(G99:N99),G99:N99,0))</f>
        <v>0.375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25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2080/10/5)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25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25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25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25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25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25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25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25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25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25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25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25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25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25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3736" priority="103">
      <formula>$AH11=0</formula>
    </cfRule>
  </conditionalFormatting>
  <conditionalFormatting sqref="A132:A253">
    <cfRule type="expression" dxfId="3735" priority="104">
      <formula>$AH132=0</formula>
    </cfRule>
  </conditionalFormatting>
  <conditionalFormatting sqref="B8">
    <cfRule type="expression" dxfId="3734" priority="160">
      <formula>C$9&lt;8/24</formula>
    </cfRule>
    <cfRule type="expression" dxfId="3733" priority="158">
      <formula>AND(C$9&gt;=14/24,C$9&lt;20/24)</formula>
    </cfRule>
    <cfRule type="expression" dxfId="3732" priority="159">
      <formula>AND(C$9&gt;=8/24,C$9&lt;14/24)</formula>
    </cfRule>
    <cfRule type="expression" dxfId="3731" priority="161">
      <formula>C$9&gt;=20/24</formula>
    </cfRule>
  </conditionalFormatting>
  <conditionalFormatting sqref="B55:L57 M55:AF55">
    <cfRule type="expression" dxfId="3730" priority="10">
      <formula>B$9&gt;=20/24</formula>
    </cfRule>
  </conditionalFormatting>
  <conditionalFormatting sqref="B56:P80">
    <cfRule type="expression" dxfId="3729" priority="9">
      <formula>B56&gt;$AG56</formula>
    </cfRule>
  </conditionalFormatting>
  <conditionalFormatting sqref="B9:AF52">
    <cfRule type="expression" dxfId="3728" priority="5">
      <formula>B$9&gt;=20/24</formula>
    </cfRule>
    <cfRule type="expression" dxfId="3727" priority="6">
      <formula>AND(B$9&gt;=14/24,B$9&lt;20/24)</formula>
    </cfRule>
    <cfRule type="expression" dxfId="3726" priority="7">
      <formula>AND(B$9&gt;=8/24,B$9&lt;14/24)</formula>
    </cfRule>
    <cfRule type="expression" dxfId="3725" priority="8">
      <formula>B$9&lt;8/24</formula>
    </cfRule>
  </conditionalFormatting>
  <conditionalFormatting sqref="B11:AF52">
    <cfRule type="expression" dxfId="3724" priority="4">
      <formula>B11&gt;$AG11</formula>
    </cfRule>
  </conditionalFormatting>
  <conditionalFormatting sqref="B53:AF54">
    <cfRule type="expression" dxfId="3723" priority="2">
      <formula>AND(B$9&gt;=14/24,B$9&lt;20/24)</formula>
    </cfRule>
    <cfRule type="expression" dxfId="3722" priority="3">
      <formula>AND(B$9&gt;=8/24,B$9&lt;14/24)</formula>
    </cfRule>
    <cfRule type="expression" dxfId="3721" priority="1">
      <formula>B$9&gt;=20/24</formula>
    </cfRule>
  </conditionalFormatting>
  <conditionalFormatting sqref="B53:AF55">
    <cfRule type="expression" dxfId="3720" priority="14">
      <formula>B53&gt;$AG53</formula>
    </cfRule>
  </conditionalFormatting>
  <conditionalFormatting sqref="B69:AF74 B77:AF99 E59:H61 B59:D68 E68:H74 B101:AF117 B119:AF137 B244:AF244 B246:B252">
    <cfRule type="expression" dxfId="3719" priority="55">
      <formula>B$9&gt;=20/24</formula>
    </cfRule>
  </conditionalFormatting>
  <conditionalFormatting sqref="D246:AF252">
    <cfRule type="expression" dxfId="3718" priority="143">
      <formula>D$9&gt;=20/24</formula>
    </cfRule>
    <cfRule type="expression" dxfId="3717" priority="146">
      <formula>D$9&lt;8/24</formula>
    </cfRule>
    <cfRule type="expression" dxfId="3716" priority="145">
      <formula>AND(D$9&gt;=8/24,D$9&lt;14/24)</formula>
    </cfRule>
    <cfRule type="expression" dxfId="3715" priority="144">
      <formula>AND(D$9&gt;=14/24,D$9&lt;20/24)</formula>
    </cfRule>
  </conditionalFormatting>
  <conditionalFormatting sqref="E59:H61 B59:D68 E68:H74 B69:AF74 B77:AF99 B101:AF117 B119:AF137 B244:AF244 B246:B252">
    <cfRule type="expression" dxfId="3714" priority="56">
      <formula>AND(B$9&gt;=14/24,B$9&lt;20/24)</formula>
    </cfRule>
    <cfRule type="expression" dxfId="3713" priority="57">
      <formula>AND(B$9&gt;=8/24,B$9&lt;14/24)</formula>
    </cfRule>
    <cfRule type="expression" dxfId="3712" priority="58">
      <formula>B$9&lt;8/24</formula>
    </cfRule>
  </conditionalFormatting>
  <conditionalFormatting sqref="E63:I67 J64:J67 K67">
    <cfRule type="expression" dxfId="3711" priority="70">
      <formula>AND(E$9&gt;=8/24,E$9&lt;14/24)</formula>
    </cfRule>
    <cfRule type="expression" dxfId="3710" priority="71">
      <formula>E$9&lt;8/24</formula>
    </cfRule>
    <cfRule type="expression" dxfId="3709" priority="69">
      <formula>AND(E$9&gt;=14/24,E$9&lt;20/24)</formula>
    </cfRule>
    <cfRule type="expression" dxfId="3708" priority="68">
      <formula>E$9&gt;=20/24</formula>
    </cfRule>
  </conditionalFormatting>
  <conditionalFormatting sqref="E68:K68">
    <cfRule type="expression" dxfId="3707" priority="63">
      <formula>E$9&gt;=20/24</formula>
    </cfRule>
    <cfRule type="expression" dxfId="3706" priority="64">
      <formula>AND(E$9&gt;=14/24,E$9&lt;20/24)</formula>
    </cfRule>
    <cfRule type="expression" dxfId="3705" priority="65">
      <formula>AND(E$9&gt;=8/24,E$9&lt;14/24)</formula>
    </cfRule>
    <cfRule type="expression" dxfId="3704" priority="66">
      <formula>E$9&lt;8/24</formula>
    </cfRule>
  </conditionalFormatting>
  <conditionalFormatting sqref="E59:AF62">
    <cfRule type="expression" dxfId="3703" priority="84">
      <formula>E$9&lt;8/24</formula>
    </cfRule>
    <cfRule type="expression" dxfId="3702" priority="82">
      <formula>AND(E$9&gt;=14/24,E$9&lt;20/24)</formula>
    </cfRule>
    <cfRule type="expression" dxfId="3701" priority="81">
      <formula>E$9&gt;=20/24</formula>
    </cfRule>
    <cfRule type="expression" dxfId="3700" priority="83">
      <formula>AND(E$9&gt;=8/24,E$9&lt;14/24)</formula>
    </cfRule>
  </conditionalFormatting>
  <conditionalFormatting sqref="F63:L65">
    <cfRule type="expression" dxfId="3699" priority="97">
      <formula>AND(F$9&gt;=8/24,F$9&lt;14/24)</formula>
    </cfRule>
    <cfRule type="expression" dxfId="3698" priority="98">
      <formula>F$9&lt;8/24</formula>
    </cfRule>
    <cfRule type="expression" dxfId="3697" priority="95">
      <formula>F$9&gt;=20/24</formula>
    </cfRule>
    <cfRule type="expression" dxfId="3696" priority="96">
      <formula>AND(F$9&gt;=14/24,F$9&lt;20/24)</formula>
    </cfRule>
  </conditionalFormatting>
  <conditionalFormatting sqref="L68:V68">
    <cfRule type="expression" dxfId="3695" priority="91">
      <formula>L$9&gt;=20/24</formula>
    </cfRule>
    <cfRule type="expression" dxfId="3694" priority="94">
      <formula>L$9&lt;8/24</formula>
    </cfRule>
    <cfRule type="expression" dxfId="3693" priority="93">
      <formula>AND(L$9&gt;=8/24,L$9&lt;14/24)</formula>
    </cfRule>
    <cfRule type="expression" dxfId="3692" priority="92">
      <formula>AND(L$9&gt;=14/24,L$9&lt;20/24)</formula>
    </cfRule>
  </conditionalFormatting>
  <conditionalFormatting sqref="M8 S8 AB8">
    <cfRule type="expression" dxfId="3691" priority="152">
      <formula>N$9&lt;8/24</formula>
    </cfRule>
    <cfRule type="expression" dxfId="3690" priority="150">
      <formula>AND(N$9&gt;=14/24,N$9&lt;20/24)</formula>
    </cfRule>
    <cfRule type="expression" dxfId="3689" priority="151">
      <formula>AND(N$9&gt;=8/24,N$9&lt;14/24)</formula>
    </cfRule>
  </conditionalFormatting>
  <conditionalFormatting sqref="M63:V67">
    <cfRule type="expression" dxfId="3688" priority="102">
      <formula>M$9&lt;8/24</formula>
    </cfRule>
    <cfRule type="expression" dxfId="3687" priority="99">
      <formula>M$9&gt;=20/24</formula>
    </cfRule>
    <cfRule type="expression" dxfId="3686" priority="101">
      <formula>AND(M$9&gt;=8/24,M$9&lt;14/24)</formula>
    </cfRule>
    <cfRule type="expression" dxfId="3685" priority="100">
      <formula>AND(M$9&gt;=14/24,M$9&lt;20/24)</formula>
    </cfRule>
  </conditionalFormatting>
  <conditionalFormatting sqref="M53:AF55 B53:L57">
    <cfRule type="expression" dxfId="3684" priority="13">
      <formula>B$9&lt;8/24</formula>
    </cfRule>
  </conditionalFormatting>
  <conditionalFormatting sqref="M55:AF55 B55:L57">
    <cfRule type="expression" dxfId="3683" priority="12">
      <formula>AND(B$9&gt;=8/24,B$9&lt;14/24)</formula>
    </cfRule>
    <cfRule type="expression" dxfId="3682" priority="11">
      <formula>AND(B$9&gt;=14/24,B$9&lt;20/24)</formula>
    </cfRule>
  </conditionalFormatting>
  <conditionalFormatting sqref="M56:AF57">
    <cfRule type="expression" dxfId="3681" priority="60">
      <formula>M$9&gt;=20/24</formula>
    </cfRule>
    <cfRule type="expression" dxfId="3680" priority="61">
      <formula>AND(M$9&gt;=14/24,M$9&lt;20/24)</formula>
    </cfRule>
    <cfRule type="expression" dxfId="3679" priority="67">
      <formula>M$9&lt;8/24</formula>
    </cfRule>
    <cfRule type="expression" dxfId="3678" priority="62">
      <formula>AND(M$9&gt;=8/24,M$9&lt;14/24)</formula>
    </cfRule>
  </conditionalFormatting>
  <conditionalFormatting sqref="O3:P3">
    <cfRule type="iconSet" priority="147">
      <iconSet iconSet="3TrafficLights2" reverse="1">
        <cfvo type="percent" val="0"/>
        <cfvo type="num" val="1"/>
        <cfvo type="num" val="1"/>
      </iconSet>
    </cfRule>
  </conditionalFormatting>
  <conditionalFormatting sqref="Q56:AF61 AC62:AG62 Q62:AB75 AC63:AF75 Q76:AF80 AG80">
    <cfRule type="expression" dxfId="3677" priority="54">
      <formula>Q56&gt;$AG56</formula>
    </cfRule>
  </conditionalFormatting>
  <conditionalFormatting sqref="S8 AB8 M8">
    <cfRule type="expression" dxfId="3676" priority="149">
      <formula>N$9&gt;=20/24</formula>
    </cfRule>
  </conditionalFormatting>
  <conditionalFormatting sqref="S8">
    <cfRule type="expression" dxfId="3675" priority="136">
      <formula>U$9&gt;=20/24</formula>
    </cfRule>
    <cfRule type="expression" dxfId="3674" priority="138">
      <formula>AND(U$9&gt;=8/24,U$9&lt;14/24)</formula>
    </cfRule>
    <cfRule type="expression" dxfId="3673" priority="139">
      <formula>U$9&lt;8/24</formula>
    </cfRule>
    <cfRule type="expression" dxfId="3672" priority="137">
      <formula>AND(U$9&gt;=14/24,U$9&lt;20/24)</formula>
    </cfRule>
  </conditionalFormatting>
  <conditionalFormatting sqref="T63:AF68">
    <cfRule type="expression" dxfId="3671" priority="88">
      <formula>T$9&lt;8/24</formula>
    </cfRule>
    <cfRule type="expression" dxfId="3670" priority="85">
      <formula>T$9&gt;=20/24</formula>
    </cfRule>
    <cfRule type="expression" dxfId="3669" priority="86">
      <formula>AND(T$9&gt;=14/24,T$9&lt;20/24)</formula>
    </cfRule>
    <cfRule type="expression" dxfId="3668" priority="87">
      <formula>AND(T$9&gt;=8/24,T$9&lt;14/24)</formula>
    </cfRule>
  </conditionalFormatting>
  <conditionalFormatting sqref="V3 AB3">
    <cfRule type="iconSet" priority="148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667" priority="132">
      <formula>AD$9&gt;=20/24</formula>
    </cfRule>
    <cfRule type="expression" dxfId="3666" priority="133">
      <formula>AND(AD$9&gt;=14/24,AD$9&lt;20/24)</formula>
    </cfRule>
    <cfRule type="expression" dxfId="3665" priority="135">
      <formula>AD$9&lt;8/24</formula>
    </cfRule>
    <cfRule type="expression" dxfId="3664" priority="134">
      <formula>AND(AD$9&gt;=8/24,AD$9&lt;14/24)</formula>
    </cfRule>
  </conditionalFormatting>
  <conditionalFormatting sqref="AG58">
    <cfRule type="expression" dxfId="3663" priority="127">
      <formula>AG58&gt;$AG58</formula>
    </cfRule>
  </conditionalFormatting>
  <conditionalFormatting sqref="AG62">
    <cfRule type="expression" dxfId="3662" priority="113">
      <formula>AG$9&lt;8/24</formula>
    </cfRule>
    <cfRule type="expression" dxfId="3661" priority="112">
      <formula>AND(AG$9&gt;=8/24,AG$9&lt;14/24)</formula>
    </cfRule>
    <cfRule type="expression" dxfId="3660" priority="111">
      <formula>AND(AG$9&gt;=14/24,AG$9&lt;20/24)</formula>
    </cfRule>
    <cfRule type="expression" dxfId="3659" priority="110">
      <formula>AG$9&gt;=20/24</formula>
    </cfRule>
  </conditionalFormatting>
  <conditionalFormatting sqref="AG75:AG76">
    <cfRule type="expression" dxfId="3658" priority="105">
      <formula>AG75&gt;$AG75</formula>
    </cfRule>
  </conditionalFormatting>
  <conditionalFormatting sqref="AG80">
    <cfRule type="expression" dxfId="3657" priority="106">
      <formula>AG$9&gt;=20/24</formula>
    </cfRule>
    <cfRule type="expression" dxfId="3656" priority="107">
      <formula>AND(AG$9&gt;=14/24,AG$9&lt;20/24)</formula>
    </cfRule>
    <cfRule type="expression" dxfId="3655" priority="108">
      <formula>AND(AG$9&gt;=8/24,AG$9&lt;14/24)</formula>
    </cfRule>
    <cfRule type="expression" dxfId="3654" priority="109">
      <formula>AG$9&lt;8/24</formula>
    </cfRule>
  </conditionalFormatting>
  <conditionalFormatting sqref="AG97">
    <cfRule type="expression" dxfId="3653" priority="131">
      <formula>AG$9&lt;8/24</formula>
    </cfRule>
    <cfRule type="expression" dxfId="3652" priority="130">
      <formula>AND(AG$9&gt;=8/24,AG$9&lt;14/24)</formula>
    </cfRule>
    <cfRule type="expression" dxfId="3651" priority="129">
      <formula>AND(AG$9&gt;=14/24,AG$9&lt;20/24)</formula>
    </cfRule>
    <cfRule type="expression" dxfId="3650" priority="128">
      <formula>AG$9&gt;=20/24</formula>
    </cfRule>
  </conditionalFormatting>
  <conditionalFormatting sqref="AL4:AL6">
    <cfRule type="iconSet" priority="142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25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40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14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649" priority="153">
      <formula>AJ$9&gt;=20/24</formula>
    </cfRule>
    <cfRule type="expression" dxfId="3648" priority="154">
      <formula>AND(AJ$9&gt;=14/24,AJ$9&lt;20/24)</formula>
    </cfRule>
    <cfRule type="expression" dxfId="3647" priority="155">
      <formula>AND(AJ$9&gt;=8/24,AJ$9&lt;14/24)</formula>
    </cfRule>
    <cfRule type="expression" dxfId="3646" priority="156">
      <formula>AJ$9&lt;8/24</formula>
    </cfRule>
  </conditionalFormatting>
  <conditionalFormatting sqref="AL88:AN88 AL94:AN94">
    <cfRule type="expression" dxfId="3645" priority="120">
      <formula>AL$9&gt;=20/24</formula>
    </cfRule>
    <cfRule type="expression" dxfId="3644" priority="122">
      <formula>AND(AL$9&gt;=8/24,AL$9&lt;14/24)</formula>
    </cfRule>
    <cfRule type="expression" dxfId="3643" priority="123">
      <formula>AL$9&lt;8/24</formula>
    </cfRule>
    <cfRule type="expression" dxfId="3642" priority="121">
      <formula>AND(AL$9&gt;=14/24,AL$9&lt;20/24)</formula>
    </cfRule>
  </conditionalFormatting>
  <conditionalFormatting sqref="AM15:AM21 AN16:AR21">
    <cfRule type="expression" dxfId="3641" priority="30">
      <formula>AX$9&lt;8/24</formula>
    </cfRule>
    <cfRule type="expression" dxfId="3640" priority="29">
      <formula>AND(AX$9&gt;=8/24,AX$9&lt;14/24)</formula>
    </cfRule>
    <cfRule type="expression" dxfId="3639" priority="28">
      <formula>AND(AX$9&gt;=14/24,AX$9&lt;20/24)</formula>
    </cfRule>
    <cfRule type="expression" dxfId="3638" priority="27">
      <formula>AX$9&gt;=20/24</formula>
    </cfRule>
  </conditionalFormatting>
  <conditionalFormatting sqref="AN89:AN92">
    <cfRule type="expression" dxfId="3637" priority="116">
      <formula>AN$9&gt;=20/24</formula>
    </cfRule>
    <cfRule type="expression" dxfId="3636" priority="117">
      <formula>AND(AN$9&gt;=14/24,AN$9&lt;20/24)</formula>
    </cfRule>
    <cfRule type="expression" dxfId="3635" priority="118">
      <formula>AND(AN$9&gt;=8/24,AN$9&lt;14/24)</formula>
    </cfRule>
    <cfRule type="expression" dxfId="3634" priority="119">
      <formula>AN$9&lt;8/24</formula>
    </cfRule>
  </conditionalFormatting>
  <conditionalFormatting sqref="AN15:AR15">
    <cfRule type="expression" dxfId="3633" priority="15">
      <formula>U$9&gt;=20/24</formula>
    </cfRule>
    <cfRule type="expression" dxfId="3632" priority="18">
      <formula>U$9&lt;8/24</formula>
    </cfRule>
    <cfRule type="expression" dxfId="3631" priority="17">
      <formula>AND(U$9&gt;=8/24,U$9&lt;14/24)</formula>
    </cfRule>
    <cfRule type="expression" dxfId="3630" priority="16">
      <formula>AND(U$9&gt;=14/24,U$9&lt;20/24)</formula>
    </cfRule>
  </conditionalFormatting>
  <conditionalFormatting sqref="AS15">
    <cfRule type="expression" dxfId="3629" priority="25">
      <formula>AND(AA$9&gt;=8/24,AA$9&lt;14/24)</formula>
    </cfRule>
    <cfRule type="expression" dxfId="3628" priority="24">
      <formula>AND(AA$9&gt;=14/24,AA$9&lt;20/24)</formula>
    </cfRule>
    <cfRule type="expression" dxfId="3627" priority="26">
      <formula>AA$9&lt;8/24</formula>
    </cfRule>
    <cfRule type="expression" dxfId="3626" priority="23">
      <formula>AA$9&gt;=20/24</formula>
    </cfRule>
  </conditionalFormatting>
  <conditionalFormatting sqref="AS16:AS21">
    <cfRule type="expression" dxfId="3625" priority="33">
      <formula>AND(BE$9&gt;=8/24,BE$9&lt;14/24)</formula>
    </cfRule>
    <cfRule type="expression" dxfId="3624" priority="32">
      <formula>AND(BE$9&gt;=14/24,BE$9&lt;20/24)</formula>
    </cfRule>
    <cfRule type="expression" dxfId="3623" priority="31">
      <formula>BE$9&gt;=20/24</formula>
    </cfRule>
    <cfRule type="expression" dxfId="3622" priority="34">
      <formula>BE$9&lt;8/24</formula>
    </cfRule>
  </conditionalFormatting>
  <conditionalFormatting sqref="AT15 AX15:BJ15">
    <cfRule type="expression" dxfId="3621" priority="36">
      <formula>AND(AC$9&gt;=14/24,AC$9&lt;20/24)</formula>
    </cfRule>
    <cfRule type="expression" dxfId="3620" priority="38">
      <formula>AC$9&lt;8/24</formula>
    </cfRule>
    <cfRule type="expression" dxfId="3619" priority="35">
      <formula>AC$9&gt;=20/24</formula>
    </cfRule>
    <cfRule type="expression" dxfId="3618" priority="37">
      <formula>AND(AC$9&gt;=8/24,AC$9&lt;14/24)</formula>
    </cfRule>
  </conditionalFormatting>
  <conditionalFormatting sqref="AT16:AT21">
    <cfRule type="expression" dxfId="3617" priority="39">
      <formula>BG$9&gt;=20/24</formula>
    </cfRule>
    <cfRule type="expression" dxfId="3616" priority="40">
      <formula>AND(BG$9&gt;=14/24,BG$9&lt;20/24)</formula>
    </cfRule>
    <cfRule type="expression" dxfId="3615" priority="41">
      <formula>AND(BG$9&gt;=8/24,BG$9&lt;14/24)</formula>
    </cfRule>
    <cfRule type="expression" dxfId="3614" priority="42">
      <formula>BG$9&lt;8/24</formula>
    </cfRule>
  </conditionalFormatting>
  <conditionalFormatting sqref="AU15:AV15">
    <cfRule type="expression" dxfId="3613" priority="46">
      <formula>AE$9&lt;8/24</formula>
    </cfRule>
    <cfRule type="expression" dxfId="3612" priority="43">
      <formula>AE$9&gt;=20/24</formula>
    </cfRule>
    <cfRule type="expression" dxfId="3611" priority="44">
      <formula>AND(AE$9&gt;=14/24,AE$9&lt;20/24)</formula>
    </cfRule>
    <cfRule type="expression" dxfId="3610" priority="45">
      <formula>AND(AE$9&gt;=8/24,AE$9&lt;14/24)</formula>
    </cfRule>
  </conditionalFormatting>
  <conditionalFormatting sqref="AU16:BJ21">
    <cfRule type="expression" dxfId="3609" priority="48">
      <formula>AND(BI$9&gt;=14/24,BI$9&lt;20/24)</formula>
    </cfRule>
    <cfRule type="expression" dxfId="3608" priority="49">
      <formula>AND(BI$9&gt;=8/24,BI$9&lt;14/24)</formula>
    </cfRule>
    <cfRule type="expression" dxfId="3607" priority="50">
      <formula>BI$9&lt;8/24</formula>
    </cfRule>
    <cfRule type="expression" dxfId="3606" priority="47">
      <formula>BI$9&gt;=20/24</formula>
    </cfRule>
  </conditionalFormatting>
  <conditionalFormatting sqref="AW15">
    <cfRule type="expression" dxfId="3605" priority="20">
      <formula>AND(B$9&gt;=14/24,B$9&lt;20/24)</formula>
    </cfRule>
    <cfRule type="expression" dxfId="3604" priority="19">
      <formula>B$9&gt;=20/24</formula>
    </cfRule>
    <cfRule type="expression" dxfId="3603" priority="22">
      <formula>B$9&lt;8/24</formula>
    </cfRule>
    <cfRule type="expression" dxfId="3602" priority="21">
      <formula>AND(B$9&gt;=8/24,B$9&lt;14/24)</formula>
    </cfRule>
  </conditionalFormatting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E2E50-54F6-4AC9-A861-B2830A44DD41}">
  <dimension ref="A1:CJ294"/>
  <sheetViews>
    <sheetView zoomScale="110" zoomScaleNormal="110" workbookViewId="0">
      <pane xSplit="1" ySplit="10" topLeftCell="E76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97" sqref="A97:AF10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20.25" hidden="1" x14ac:dyDescent="0.2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9.5" hidden="1" thickBot="1" x14ac:dyDescent="0.3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3">
      <c r="A4" s="162" t="s">
        <v>273</v>
      </c>
      <c r="B4" s="205" t="str">
        <f ca="1">"2080/"&amp;"10/"&amp;INT(MID(CELL("filename",D6),FIND("]",CELL("filename",D6))+1,200))</f>
        <v>2080/10/6</v>
      </c>
      <c r="C4" s="205"/>
      <c r="D4" s="205"/>
      <c r="E4" s="206" t="str">
        <f ca="1">"2080/"&amp;"10/"&amp;INT(MID(CELL("filename",G6),FIND("]",CELL("filename",G6))+1,200))</f>
        <v>2080/10/6</v>
      </c>
      <c r="F4" s="206"/>
      <c r="G4" s="206"/>
      <c r="H4" s="206" t="str">
        <f ca="1">TEXT(E4,"dddd")</f>
        <v>Sunday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3">
      <c r="A5" s="158"/>
      <c r="B5" s="161">
        <f t="shared" ref="B5:AE5" si="0">C92</f>
        <v>67.400000000000006</v>
      </c>
      <c r="C5" s="161">
        <f t="shared" si="0"/>
        <v>62.600000000000009</v>
      </c>
      <c r="D5" s="161">
        <f t="shared" si="0"/>
        <v>56</v>
      </c>
      <c r="E5" s="161">
        <f t="shared" si="0"/>
        <v>58.5</v>
      </c>
      <c r="F5" s="161">
        <f t="shared" si="0"/>
        <v>58.399999999999991</v>
      </c>
      <c r="G5" s="161">
        <f t="shared" si="0"/>
        <v>60.699999999999996</v>
      </c>
      <c r="H5" s="161">
        <f t="shared" si="0"/>
        <v>46.599999999999994</v>
      </c>
      <c r="I5" s="161">
        <f t="shared" si="0"/>
        <v>498.3</v>
      </c>
      <c r="J5" s="161">
        <f t="shared" si="0"/>
        <v>622</v>
      </c>
      <c r="K5" s="161">
        <f t="shared" si="0"/>
        <v>742.2</v>
      </c>
      <c r="L5" s="161">
        <f t="shared" si="0"/>
        <v>735</v>
      </c>
      <c r="M5" s="161">
        <f t="shared" si="0"/>
        <v>0</v>
      </c>
      <c r="N5" s="161">
        <f t="shared" si="0"/>
        <v>685.3</v>
      </c>
      <c r="O5" s="161">
        <f t="shared" si="0"/>
        <v>698.69999999999993</v>
      </c>
      <c r="P5" s="161">
        <f t="shared" si="0"/>
        <v>699.59999999999991</v>
      </c>
      <c r="Q5" s="161">
        <f t="shared" si="0"/>
        <v>685.09999999999991</v>
      </c>
      <c r="R5" s="161">
        <f t="shared" si="0"/>
        <v>806.80000000000007</v>
      </c>
      <c r="S5" s="161">
        <f t="shared" si="0"/>
        <v>819.40000000000009</v>
      </c>
      <c r="T5" s="161">
        <f t="shared" si="0"/>
        <v>781.1</v>
      </c>
      <c r="U5" s="161">
        <f t="shared" si="0"/>
        <v>754.43</v>
      </c>
      <c r="V5" s="161">
        <f t="shared" si="0"/>
        <v>778.9</v>
      </c>
      <c r="W5" s="161">
        <f t="shared" si="0"/>
        <v>611.9</v>
      </c>
      <c r="X5" s="161">
        <f t="shared" si="0"/>
        <v>290.09999999999997</v>
      </c>
      <c r="Y5" s="161">
        <f t="shared" si="0"/>
        <v>123.8</v>
      </c>
      <c r="Z5" s="161">
        <f t="shared" si="0"/>
        <v>70.099999999999994</v>
      </c>
      <c r="AA5" s="161">
        <f t="shared" si="0"/>
        <v>87.5</v>
      </c>
      <c r="AB5" s="161">
        <f t="shared" si="0"/>
        <v>66.7</v>
      </c>
      <c r="AC5" s="161">
        <f t="shared" si="0"/>
        <v>69.3</v>
      </c>
      <c r="AD5" s="161">
        <f t="shared" si="0"/>
        <v>73.099999999999994</v>
      </c>
      <c r="AE5" s="161">
        <f t="shared" si="0"/>
        <v>72</v>
      </c>
      <c r="AF5" s="161">
        <f>B92</f>
        <v>82.4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3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1608MW at 7:30hr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5" thickBot="1" x14ac:dyDescent="0.3">
      <c r="A7" s="151" t="str">
        <f>"Base Load="&amp;ROUND(MIN($B$7:$AF$7),0)</f>
        <v>Base Load=154</v>
      </c>
      <c r="B7" s="150">
        <f t="shared" ref="B7:AF7" si="1">B100</f>
        <v>1510.44</v>
      </c>
      <c r="C7" s="150">
        <f t="shared" si="1"/>
        <v>1456.8400000000001</v>
      </c>
      <c r="D7" s="150">
        <f t="shared" si="1"/>
        <v>1424.84</v>
      </c>
      <c r="E7" s="150">
        <f t="shared" si="1"/>
        <v>1384.6399999999999</v>
      </c>
      <c r="F7" s="150">
        <f t="shared" si="1"/>
        <v>1374.74</v>
      </c>
      <c r="G7" s="150">
        <f t="shared" si="1"/>
        <v>1407.94</v>
      </c>
      <c r="H7" s="150">
        <f t="shared" si="1"/>
        <v>1458.44</v>
      </c>
      <c r="I7" s="150">
        <f t="shared" si="1"/>
        <v>1462.6399999999996</v>
      </c>
      <c r="J7" s="150">
        <f t="shared" si="1"/>
        <v>1528.0399999999997</v>
      </c>
      <c r="K7" s="150">
        <f t="shared" si="1"/>
        <v>1567.7399999999998</v>
      </c>
      <c r="L7" s="150">
        <f t="shared" si="1"/>
        <v>1608.1399999999999</v>
      </c>
      <c r="M7" s="150">
        <f t="shared" si="1"/>
        <v>1600.84</v>
      </c>
      <c r="N7" s="150">
        <f t="shared" si="1"/>
        <v>153.54</v>
      </c>
      <c r="O7" s="150">
        <f t="shared" si="1"/>
        <v>1579.04</v>
      </c>
      <c r="P7" s="150">
        <f t="shared" si="1"/>
        <v>1617.4399999999998</v>
      </c>
      <c r="Q7" s="150">
        <f t="shared" si="1"/>
        <v>1638.4399999999998</v>
      </c>
      <c r="R7" s="150">
        <f t="shared" si="1"/>
        <v>1319.3999999999996</v>
      </c>
      <c r="S7" s="150">
        <f t="shared" si="1"/>
        <v>1673.2399999999998</v>
      </c>
      <c r="T7" s="150">
        <f t="shared" si="1"/>
        <v>1712.24</v>
      </c>
      <c r="U7" s="150">
        <f t="shared" si="1"/>
        <v>1684.7399999999998</v>
      </c>
      <c r="V7" s="150">
        <f t="shared" si="1"/>
        <v>1615.1699999999996</v>
      </c>
      <c r="W7" s="150">
        <f t="shared" si="1"/>
        <v>1579.94</v>
      </c>
      <c r="X7" s="150">
        <f t="shared" si="1"/>
        <v>1456.94</v>
      </c>
      <c r="Y7" s="150">
        <f t="shared" si="1"/>
        <v>1537.1</v>
      </c>
      <c r="Z7" s="150">
        <f t="shared" si="1"/>
        <v>1832.3999999999999</v>
      </c>
      <c r="AA7" s="150">
        <f t="shared" si="1"/>
        <v>1814.8399999999997</v>
      </c>
      <c r="AB7" s="150">
        <f t="shared" si="1"/>
        <v>1744.34</v>
      </c>
      <c r="AC7" s="150">
        <f t="shared" si="1"/>
        <v>1720.34</v>
      </c>
      <c r="AD7" s="150">
        <f t="shared" si="1"/>
        <v>1644.54</v>
      </c>
      <c r="AE7" s="150">
        <f t="shared" si="1"/>
        <v>1612.04</v>
      </c>
      <c r="AF7" s="150">
        <f t="shared" si="1"/>
        <v>1566.1399999999999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7.25" thickTop="1" thickBot="1" x14ac:dyDescent="0.3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1832.4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2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1832.4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.75" thickBot="1" x14ac:dyDescent="0.3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25">
      <c r="A11" s="89" t="s">
        <v>264</v>
      </c>
      <c r="B11" s="102">
        <v>25.9</v>
      </c>
      <c r="C11" s="102">
        <v>22.5</v>
      </c>
      <c r="D11" s="102">
        <v>25.3</v>
      </c>
      <c r="E11" s="102">
        <v>25.2</v>
      </c>
      <c r="F11" s="102">
        <v>25.2</v>
      </c>
      <c r="G11" s="102">
        <v>25.2</v>
      </c>
      <c r="H11" s="102">
        <v>25.2</v>
      </c>
      <c r="I11" s="102">
        <v>25.2</v>
      </c>
      <c r="J11" s="102">
        <v>25.2</v>
      </c>
      <c r="K11" s="102">
        <v>25.2</v>
      </c>
      <c r="L11" s="102">
        <v>25.2</v>
      </c>
      <c r="M11" s="102">
        <v>24.8</v>
      </c>
      <c r="N11" s="102" t="s">
        <v>285</v>
      </c>
      <c r="O11" s="102">
        <v>24.9</v>
      </c>
      <c r="P11" s="102">
        <v>24.3</v>
      </c>
      <c r="Q11" s="102">
        <v>24.8</v>
      </c>
      <c r="R11" s="102">
        <v>24.8</v>
      </c>
      <c r="S11" s="102">
        <v>24.8</v>
      </c>
      <c r="T11" s="102">
        <v>24.8</v>
      </c>
      <c r="U11" s="102">
        <v>24.8</v>
      </c>
      <c r="V11" s="102">
        <v>24.8</v>
      </c>
      <c r="W11" s="102">
        <v>24.8</v>
      </c>
      <c r="X11" s="102">
        <v>24.8</v>
      </c>
      <c r="Y11" s="102">
        <v>24.8</v>
      </c>
      <c r="Z11" s="102">
        <v>24.8</v>
      </c>
      <c r="AA11" s="102">
        <v>24.8</v>
      </c>
      <c r="AB11" s="102">
        <v>24.8</v>
      </c>
      <c r="AC11" s="102">
        <v>24.8</v>
      </c>
      <c r="AD11" s="102">
        <v>24.8</v>
      </c>
      <c r="AE11" s="102">
        <v>24.8</v>
      </c>
      <c r="AF11" s="102">
        <v>24.8</v>
      </c>
      <c r="AG11" s="140">
        <v>86</v>
      </c>
      <c r="AH11" s="12">
        <f t="shared" ref="AH11:AH16" si="2">MAX(B11:AF11)</f>
        <v>25.9</v>
      </c>
      <c r="AI11" s="11">
        <f t="shared" ref="AI11:AI16" si="3">MIN(B11:AF11)</f>
        <v>22.5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25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 t="s">
        <v>291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>
        <v>11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06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25">
      <c r="A13" s="89" t="s">
        <v>262</v>
      </c>
      <c r="B13" s="102">
        <v>20.6</v>
      </c>
      <c r="C13" s="102">
        <v>18.7</v>
      </c>
      <c r="D13" s="102">
        <v>18</v>
      </c>
      <c r="E13" s="102">
        <v>17</v>
      </c>
      <c r="F13" s="102">
        <v>17</v>
      </c>
      <c r="G13" s="102">
        <v>17</v>
      </c>
      <c r="H13" s="102">
        <v>17</v>
      </c>
      <c r="I13" s="102">
        <v>17</v>
      </c>
      <c r="J13" s="102">
        <v>17</v>
      </c>
      <c r="K13" s="102">
        <v>17</v>
      </c>
      <c r="L13" s="102">
        <v>17</v>
      </c>
      <c r="M13" s="102">
        <v>17</v>
      </c>
      <c r="N13" s="102" t="s">
        <v>285</v>
      </c>
      <c r="O13" s="102">
        <v>13.9</v>
      </c>
      <c r="P13" s="102">
        <v>13</v>
      </c>
      <c r="Q13" s="102">
        <v>14</v>
      </c>
      <c r="R13" s="102">
        <v>14</v>
      </c>
      <c r="S13" s="102">
        <v>14</v>
      </c>
      <c r="T13" s="102">
        <v>14</v>
      </c>
      <c r="U13" s="102">
        <v>14</v>
      </c>
      <c r="V13" s="102">
        <v>14</v>
      </c>
      <c r="W13" s="102">
        <v>14</v>
      </c>
      <c r="X13" s="102">
        <v>14</v>
      </c>
      <c r="Y13" s="102">
        <v>14</v>
      </c>
      <c r="Z13" s="102">
        <v>14</v>
      </c>
      <c r="AA13" s="102">
        <v>14</v>
      </c>
      <c r="AB13" s="102">
        <v>14</v>
      </c>
      <c r="AC13" s="102">
        <v>14</v>
      </c>
      <c r="AD13" s="102">
        <v>14</v>
      </c>
      <c r="AE13" s="102">
        <v>14</v>
      </c>
      <c r="AF13" s="102">
        <v>14</v>
      </c>
      <c r="AG13" s="130">
        <v>54</v>
      </c>
      <c r="AH13" s="12">
        <f t="shared" si="2"/>
        <v>20.6</v>
      </c>
      <c r="AI13" s="11">
        <f t="shared" si="3"/>
        <v>13</v>
      </c>
      <c r="AK13" s="19"/>
      <c r="AL13" s="6" t="str">
        <f ca="1">"Daily Load Curve(Excluding of Export) of Nepal ("&amp;A4&amp;" "&amp;B4&amp;")"</f>
        <v>Daily Load Curve(Excluding of Export) of Nepal (Nepali Date: 2080/10/6)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.75" thickBot="1" x14ac:dyDescent="0.3">
      <c r="A14" s="89" t="s">
        <v>261</v>
      </c>
      <c r="B14" s="102">
        <v>13.2</v>
      </c>
      <c r="C14" s="102">
        <v>13.2</v>
      </c>
      <c r="D14" s="102">
        <v>13</v>
      </c>
      <c r="E14" s="102">
        <v>13.2</v>
      </c>
      <c r="F14" s="102">
        <v>13.2</v>
      </c>
      <c r="G14" s="102">
        <v>13.2</v>
      </c>
      <c r="H14" s="102">
        <v>13.2</v>
      </c>
      <c r="I14" s="102">
        <v>13.2</v>
      </c>
      <c r="J14" s="102">
        <v>13.2</v>
      </c>
      <c r="K14" s="102">
        <v>13.2</v>
      </c>
      <c r="L14" s="102">
        <v>13.2</v>
      </c>
      <c r="M14" s="102">
        <v>13.2</v>
      </c>
      <c r="N14" s="102" t="s">
        <v>289</v>
      </c>
      <c r="O14" s="102">
        <v>13.2</v>
      </c>
      <c r="P14" s="102">
        <v>13.2</v>
      </c>
      <c r="Q14" s="102">
        <v>13.2</v>
      </c>
      <c r="R14" s="102">
        <v>13.2</v>
      </c>
      <c r="S14" s="102">
        <v>13.2</v>
      </c>
      <c r="T14" s="102">
        <v>13.2</v>
      </c>
      <c r="U14" s="102">
        <v>13.2</v>
      </c>
      <c r="V14" s="102">
        <v>13.2</v>
      </c>
      <c r="W14" s="102">
        <v>13.2</v>
      </c>
      <c r="X14" s="102">
        <v>13.2</v>
      </c>
      <c r="Y14" s="102">
        <v>13.2</v>
      </c>
      <c r="Z14" s="102">
        <v>13.2</v>
      </c>
      <c r="AA14" s="102">
        <v>13.2</v>
      </c>
      <c r="AB14" s="102">
        <v>13.2</v>
      </c>
      <c r="AC14" s="102">
        <v>13.2</v>
      </c>
      <c r="AD14" s="102">
        <v>13.2</v>
      </c>
      <c r="AE14" s="102">
        <v>13.2</v>
      </c>
      <c r="AF14" s="102">
        <v>13.2</v>
      </c>
      <c r="AG14" s="140">
        <v>52.4</v>
      </c>
      <c r="AH14" s="12">
        <f t="shared" si="2"/>
        <v>13.2</v>
      </c>
      <c r="AI14" s="11">
        <f t="shared" si="3"/>
        <v>13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.75" thickTop="1" x14ac:dyDescent="0.25">
      <c r="A15" s="89" t="s">
        <v>260</v>
      </c>
      <c r="B15" s="102">
        <v>44.8</v>
      </c>
      <c r="C15" s="102">
        <v>48.4</v>
      </c>
      <c r="D15" s="102">
        <v>49.5</v>
      </c>
      <c r="E15" s="102">
        <v>49.6</v>
      </c>
      <c r="F15" s="102">
        <v>49.6</v>
      </c>
      <c r="G15" s="102">
        <v>49.6</v>
      </c>
      <c r="H15" s="102">
        <v>49.6</v>
      </c>
      <c r="I15" s="102">
        <v>49.6</v>
      </c>
      <c r="J15" s="102">
        <v>49.6</v>
      </c>
      <c r="K15" s="102">
        <v>49.6</v>
      </c>
      <c r="L15" s="102">
        <v>49.6</v>
      </c>
      <c r="M15" s="102">
        <v>49.6</v>
      </c>
      <c r="N15" s="102" t="s">
        <v>292</v>
      </c>
      <c r="O15" s="102">
        <v>49.6</v>
      </c>
      <c r="P15" s="102">
        <v>49.6</v>
      </c>
      <c r="Q15" s="102">
        <v>49.6</v>
      </c>
      <c r="R15" s="102">
        <v>49.6</v>
      </c>
      <c r="S15" s="102">
        <v>49.6</v>
      </c>
      <c r="T15" s="102">
        <v>49.6</v>
      </c>
      <c r="U15" s="102">
        <v>49.6</v>
      </c>
      <c r="V15" s="102">
        <v>49.6</v>
      </c>
      <c r="W15" s="102">
        <v>49.6</v>
      </c>
      <c r="X15" s="102">
        <v>49.6</v>
      </c>
      <c r="Y15" s="102">
        <v>49.6</v>
      </c>
      <c r="Z15" s="102">
        <v>49.6</v>
      </c>
      <c r="AA15" s="102">
        <v>49.6</v>
      </c>
      <c r="AB15" s="102">
        <v>49.6</v>
      </c>
      <c r="AC15" s="102">
        <v>49.6</v>
      </c>
      <c r="AD15" s="102">
        <v>49.6</v>
      </c>
      <c r="AE15" s="102">
        <v>49.6</v>
      </c>
      <c r="AF15" s="102">
        <v>49.6</v>
      </c>
      <c r="AG15" s="130">
        <v>50</v>
      </c>
      <c r="AH15" s="12">
        <f t="shared" si="2"/>
        <v>49.6</v>
      </c>
      <c r="AI15" s="11">
        <f t="shared" si="3"/>
        <v>44.8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25">
      <c r="A16" s="89" t="s">
        <v>258</v>
      </c>
      <c r="B16" s="102">
        <v>15.1</v>
      </c>
      <c r="C16" s="102">
        <v>15.1</v>
      </c>
      <c r="D16" s="102">
        <v>15</v>
      </c>
      <c r="E16" s="102">
        <v>15.1</v>
      </c>
      <c r="F16" s="102">
        <v>15.1</v>
      </c>
      <c r="G16" s="102">
        <v>15.1</v>
      </c>
      <c r="H16" s="102">
        <v>15.1</v>
      </c>
      <c r="I16" s="102">
        <v>15.1</v>
      </c>
      <c r="J16" s="102">
        <v>15.1</v>
      </c>
      <c r="K16" s="102">
        <v>15.1</v>
      </c>
      <c r="L16" s="102">
        <v>15.1</v>
      </c>
      <c r="M16" s="102">
        <v>15.1</v>
      </c>
      <c r="N16" s="102" t="s">
        <v>287</v>
      </c>
      <c r="O16" s="102">
        <v>15.1</v>
      </c>
      <c r="P16" s="102">
        <v>15.1</v>
      </c>
      <c r="Q16" s="102">
        <v>15.1</v>
      </c>
      <c r="R16" s="102">
        <v>15.1</v>
      </c>
      <c r="S16" s="102">
        <v>15.1</v>
      </c>
      <c r="T16" s="102">
        <v>15.1</v>
      </c>
      <c r="U16" s="102">
        <v>15.1</v>
      </c>
      <c r="V16" s="102">
        <v>15.1</v>
      </c>
      <c r="W16" s="102">
        <v>15.1</v>
      </c>
      <c r="X16" s="102">
        <v>15.1</v>
      </c>
      <c r="Y16" s="102">
        <v>15.1</v>
      </c>
      <c r="Z16" s="102">
        <v>15.1</v>
      </c>
      <c r="AA16" s="102">
        <v>15.1</v>
      </c>
      <c r="AB16" s="102">
        <v>15.1</v>
      </c>
      <c r="AC16" s="102">
        <v>15.1</v>
      </c>
      <c r="AD16" s="102">
        <v>15.1</v>
      </c>
      <c r="AE16" s="102">
        <v>15.1</v>
      </c>
      <c r="AF16" s="102">
        <v>15.1</v>
      </c>
      <c r="AG16" s="130">
        <v>45</v>
      </c>
      <c r="AH16" s="12">
        <f t="shared" si="2"/>
        <v>15.1</v>
      </c>
      <c r="AI16" s="11">
        <f t="shared" si="3"/>
        <v>15</v>
      </c>
      <c r="AK16" s="19"/>
      <c r="AL16" s="135" t="s">
        <v>7</v>
      </c>
      <c r="AM16" s="134">
        <f t="shared" ref="AM16:AR16" si="4">B58</f>
        <v>550.69999999999993</v>
      </c>
      <c r="AN16" s="134">
        <f t="shared" si="4"/>
        <v>549</v>
      </c>
      <c r="AO16" s="134">
        <f t="shared" si="4"/>
        <v>551.89999999999986</v>
      </c>
      <c r="AP16" s="134">
        <f t="shared" si="4"/>
        <v>551.59999999999991</v>
      </c>
      <c r="AQ16" s="134">
        <f t="shared" si="4"/>
        <v>551.59999999999991</v>
      </c>
      <c r="AR16" s="134">
        <f t="shared" si="4"/>
        <v>551.59999999999991</v>
      </c>
      <c r="AS16" s="134">
        <f>I58</f>
        <v>551.59999999999991</v>
      </c>
      <c r="AT16" s="134">
        <f>K58</f>
        <v>551.59999999999991</v>
      </c>
      <c r="AU16" s="134">
        <f t="shared" ref="AU16:BD16" si="5">M58</f>
        <v>551.19999999999993</v>
      </c>
      <c r="AV16" s="134">
        <f t="shared" si="5"/>
        <v>150</v>
      </c>
      <c r="AW16" s="134">
        <f t="shared" si="5"/>
        <v>542.89999999999986</v>
      </c>
      <c r="AX16" s="134">
        <f t="shared" si="5"/>
        <v>541.59999999999991</v>
      </c>
      <c r="AY16" s="134">
        <f t="shared" si="5"/>
        <v>543.09999999999991</v>
      </c>
      <c r="AZ16" s="134">
        <f t="shared" si="5"/>
        <v>543.09999999999991</v>
      </c>
      <c r="BA16" s="134">
        <f t="shared" si="5"/>
        <v>543.09999999999991</v>
      </c>
      <c r="BB16" s="134">
        <f t="shared" si="5"/>
        <v>543.09999999999991</v>
      </c>
      <c r="BC16" s="134">
        <f t="shared" si="5"/>
        <v>543.09999999999991</v>
      </c>
      <c r="BD16" s="134">
        <f t="shared" si="5"/>
        <v>543.09999999999991</v>
      </c>
      <c r="BE16" s="133">
        <f>X58</f>
        <v>543.09999999999991</v>
      </c>
      <c r="BF16" s="133">
        <f>Z58</f>
        <v>543.09999999999991</v>
      </c>
      <c r="BG16" s="133">
        <f>AB58</f>
        <v>543.09999999999991</v>
      </c>
      <c r="BH16" s="133">
        <f>AD58</f>
        <v>543.09999999999991</v>
      </c>
      <c r="BI16" s="133">
        <f>AE58</f>
        <v>543.09999999999991</v>
      </c>
      <c r="BJ16" s="133">
        <f>AF58</f>
        <v>543.09999999999991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25">
      <c r="A17" s="89" t="s">
        <v>257</v>
      </c>
      <c r="B17" s="102">
        <v>21</v>
      </c>
      <c r="C17" s="102">
        <v>21</v>
      </c>
      <c r="D17" s="102">
        <v>21</v>
      </c>
      <c r="E17" s="102">
        <v>21</v>
      </c>
      <c r="F17" s="102">
        <v>21</v>
      </c>
      <c r="G17" s="102">
        <v>21</v>
      </c>
      <c r="H17" s="102">
        <v>21</v>
      </c>
      <c r="I17" s="102">
        <v>21</v>
      </c>
      <c r="J17" s="102">
        <v>21</v>
      </c>
      <c r="K17" s="102">
        <v>21</v>
      </c>
      <c r="L17" s="102">
        <v>21</v>
      </c>
      <c r="M17" s="102">
        <v>21</v>
      </c>
      <c r="N17" s="102"/>
      <c r="O17" s="102">
        <v>21</v>
      </c>
      <c r="P17" s="102">
        <v>21</v>
      </c>
      <c r="Q17" s="102">
        <v>21</v>
      </c>
      <c r="R17" s="102">
        <v>21</v>
      </c>
      <c r="S17" s="102">
        <v>21</v>
      </c>
      <c r="T17" s="102">
        <v>21</v>
      </c>
      <c r="U17" s="102">
        <v>21</v>
      </c>
      <c r="V17" s="102">
        <v>21</v>
      </c>
      <c r="W17" s="102">
        <v>21</v>
      </c>
      <c r="X17" s="102">
        <v>21</v>
      </c>
      <c r="Y17" s="102">
        <v>21</v>
      </c>
      <c r="Z17" s="102">
        <v>21</v>
      </c>
      <c r="AA17" s="102">
        <v>21</v>
      </c>
      <c r="AB17" s="102">
        <v>21</v>
      </c>
      <c r="AC17" s="102">
        <v>21</v>
      </c>
      <c r="AD17" s="102">
        <v>21</v>
      </c>
      <c r="AE17" s="102">
        <v>21</v>
      </c>
      <c r="AF17" s="102">
        <v>21</v>
      </c>
      <c r="AG17" s="130">
        <v>44</v>
      </c>
      <c r="AH17" s="12">
        <f>MAX(B17:AG17)</f>
        <v>44</v>
      </c>
      <c r="AI17" s="11">
        <f>MIN(B17:AG17)</f>
        <v>21</v>
      </c>
      <c r="AK17" s="19"/>
      <c r="AL17" s="135" t="s">
        <v>256</v>
      </c>
      <c r="AM17" s="134">
        <f t="shared" ref="AM17:AR17" si="6">B62</f>
        <v>247.7</v>
      </c>
      <c r="AN17" s="134">
        <f t="shared" si="6"/>
        <v>245.70000000000002</v>
      </c>
      <c r="AO17" s="134">
        <f t="shared" si="6"/>
        <v>246.6</v>
      </c>
      <c r="AP17" s="134">
        <f t="shared" si="6"/>
        <v>215.39999999999998</v>
      </c>
      <c r="AQ17" s="134">
        <f t="shared" si="6"/>
        <v>212.5</v>
      </c>
      <c r="AR17" s="134">
        <f t="shared" si="6"/>
        <v>221.3</v>
      </c>
      <c r="AS17" s="134">
        <f>I62</f>
        <v>320.3</v>
      </c>
      <c r="AT17" s="134">
        <f>K62</f>
        <v>41.8</v>
      </c>
      <c r="AU17" s="134">
        <f t="shared" ref="AU17:BD17" si="7">M62</f>
        <v>44.400000000000006</v>
      </c>
      <c r="AV17" s="134">
        <f t="shared" si="7"/>
        <v>0</v>
      </c>
      <c r="AW17" s="134">
        <f t="shared" si="7"/>
        <v>44.400000000000006</v>
      </c>
      <c r="AX17" s="134">
        <f t="shared" si="7"/>
        <v>44.400000000000006</v>
      </c>
      <c r="AY17" s="134">
        <f t="shared" si="7"/>
        <v>38.799999999999997</v>
      </c>
      <c r="AZ17" s="134">
        <f t="shared" si="7"/>
        <v>38.799999999999997</v>
      </c>
      <c r="BA17" s="134">
        <f t="shared" si="7"/>
        <v>38.799999999999997</v>
      </c>
      <c r="BB17" s="134">
        <f t="shared" si="7"/>
        <v>38.799999999999997</v>
      </c>
      <c r="BC17" s="134">
        <f t="shared" si="7"/>
        <v>38.799999999999997</v>
      </c>
      <c r="BD17" s="134">
        <f t="shared" si="7"/>
        <v>38.799999999999997</v>
      </c>
      <c r="BE17" s="133">
        <f>X62</f>
        <v>38.799999999999997</v>
      </c>
      <c r="BF17" s="133">
        <f>Z62</f>
        <v>428.6</v>
      </c>
      <c r="BG17" s="133">
        <f>AB62</f>
        <v>415.2</v>
      </c>
      <c r="BH17" s="133">
        <f>AD62</f>
        <v>363.2</v>
      </c>
      <c r="BI17" s="133">
        <f>AE62</f>
        <v>270.7</v>
      </c>
      <c r="BJ17" s="133">
        <f>AF62</f>
        <v>270.7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25">
      <c r="A18" s="89" t="s">
        <v>255</v>
      </c>
      <c r="B18" s="102">
        <v>12</v>
      </c>
      <c r="C18" s="102">
        <v>12</v>
      </c>
      <c r="D18" s="102">
        <v>12</v>
      </c>
      <c r="E18" s="102">
        <v>11</v>
      </c>
      <c r="F18" s="102">
        <v>11</v>
      </c>
      <c r="G18" s="102">
        <v>11</v>
      </c>
      <c r="H18" s="102">
        <v>11</v>
      </c>
      <c r="I18" s="102">
        <v>11</v>
      </c>
      <c r="J18" s="102">
        <v>11</v>
      </c>
      <c r="K18" s="102">
        <v>11</v>
      </c>
      <c r="L18" s="102">
        <v>11</v>
      </c>
      <c r="M18" s="102">
        <v>11</v>
      </c>
      <c r="N18" s="102" t="s">
        <v>288</v>
      </c>
      <c r="O18" s="102">
        <v>11</v>
      </c>
      <c r="P18" s="102">
        <v>11</v>
      </c>
      <c r="Q18" s="102">
        <v>11</v>
      </c>
      <c r="R18" s="102">
        <v>11</v>
      </c>
      <c r="S18" s="102">
        <v>11</v>
      </c>
      <c r="T18" s="102">
        <v>11</v>
      </c>
      <c r="U18" s="102">
        <v>11</v>
      </c>
      <c r="V18" s="102">
        <v>11</v>
      </c>
      <c r="W18" s="102">
        <v>11</v>
      </c>
      <c r="X18" s="102">
        <v>11</v>
      </c>
      <c r="Y18" s="102">
        <v>11</v>
      </c>
      <c r="Z18" s="102">
        <v>11</v>
      </c>
      <c r="AA18" s="102">
        <v>11</v>
      </c>
      <c r="AB18" s="102">
        <v>11</v>
      </c>
      <c r="AC18" s="102">
        <v>11</v>
      </c>
      <c r="AD18" s="102">
        <v>11</v>
      </c>
      <c r="AE18" s="102">
        <v>11</v>
      </c>
      <c r="AF18" s="102">
        <v>11</v>
      </c>
      <c r="AG18" s="130">
        <v>42</v>
      </c>
      <c r="AH18" s="12">
        <f t="shared" ref="AH18:AH81" si="8">MAX(B18:AF18)</f>
        <v>12</v>
      </c>
      <c r="AI18" s="11">
        <f t="shared" ref="AI18:AI81" si="9">MIN(B18:AF18)</f>
        <v>11</v>
      </c>
      <c r="AK18" s="19"/>
      <c r="AL18" s="135" t="s">
        <v>254</v>
      </c>
      <c r="AM18" s="134">
        <f t="shared" ref="AM18:AR18" si="10">B76</f>
        <v>315.74</v>
      </c>
      <c r="AN18" s="134">
        <f t="shared" si="10"/>
        <v>233.94</v>
      </c>
      <c r="AO18" s="134">
        <f t="shared" si="10"/>
        <v>209.54000000000002</v>
      </c>
      <c r="AP18" s="134">
        <f t="shared" si="10"/>
        <v>201.84000000000003</v>
      </c>
      <c r="AQ18" s="134">
        <f t="shared" si="10"/>
        <v>201.54000000000002</v>
      </c>
      <c r="AR18" s="134">
        <f t="shared" si="10"/>
        <v>227.64000000000001</v>
      </c>
      <c r="AS18" s="134">
        <f>I76</f>
        <v>244.23999999999998</v>
      </c>
      <c r="AT18" s="134">
        <f>K76</f>
        <v>276.64</v>
      </c>
      <c r="AU18" s="134">
        <f t="shared" ref="AU18:BD18" si="11">M76</f>
        <v>250.34</v>
      </c>
      <c r="AV18" s="134">
        <f t="shared" si="11"/>
        <v>3.54</v>
      </c>
      <c r="AW18" s="134">
        <f t="shared" si="11"/>
        <v>284.74</v>
      </c>
      <c r="AX18" s="134">
        <f t="shared" si="11"/>
        <v>300.34000000000003</v>
      </c>
      <c r="AY18" s="134">
        <f t="shared" si="11"/>
        <v>299.04000000000002</v>
      </c>
      <c r="AZ18" s="134">
        <f t="shared" si="11"/>
        <v>0</v>
      </c>
      <c r="BA18" s="134">
        <f t="shared" si="11"/>
        <v>205.14000000000001</v>
      </c>
      <c r="BB18" s="134">
        <f t="shared" si="11"/>
        <v>203.84</v>
      </c>
      <c r="BC18" s="134">
        <f t="shared" si="11"/>
        <v>227.44000000000003</v>
      </c>
      <c r="BD18" s="134">
        <f t="shared" si="11"/>
        <v>225.04000000000002</v>
      </c>
      <c r="BE18" s="133">
        <f>X76</f>
        <v>241.44</v>
      </c>
      <c r="BF18" s="133">
        <f>Z76</f>
        <v>399.9</v>
      </c>
      <c r="BG18" s="133">
        <f>AB76</f>
        <v>351.54</v>
      </c>
      <c r="BH18" s="133">
        <f>AD76</f>
        <v>337.34000000000003</v>
      </c>
      <c r="BI18" s="133">
        <f>AE76</f>
        <v>381.84000000000009</v>
      </c>
      <c r="BJ18" s="133">
        <f>AF76</f>
        <v>336.04000000000008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25">
      <c r="A19" s="89" t="s">
        <v>253</v>
      </c>
      <c r="B19" s="102">
        <v>24.1</v>
      </c>
      <c r="C19" s="102">
        <v>24.1</v>
      </c>
      <c r="D19" s="102">
        <v>24.1</v>
      </c>
      <c r="E19" s="102">
        <v>24.1</v>
      </c>
      <c r="F19" s="102">
        <v>24.1</v>
      </c>
      <c r="G19" s="102">
        <v>24.1</v>
      </c>
      <c r="H19" s="102">
        <v>24.1</v>
      </c>
      <c r="I19" s="102">
        <v>24.1</v>
      </c>
      <c r="J19" s="102">
        <v>24.1</v>
      </c>
      <c r="K19" s="102">
        <v>24.1</v>
      </c>
      <c r="L19" s="102">
        <v>24.1</v>
      </c>
      <c r="M19" s="102">
        <v>24.1</v>
      </c>
      <c r="N19" s="102" t="s">
        <v>293</v>
      </c>
      <c r="O19" s="102">
        <v>18.8</v>
      </c>
      <c r="P19" s="102">
        <v>19</v>
      </c>
      <c r="Q19" s="102">
        <v>19</v>
      </c>
      <c r="R19" s="102">
        <v>19</v>
      </c>
      <c r="S19" s="102">
        <v>19</v>
      </c>
      <c r="T19" s="102">
        <v>19</v>
      </c>
      <c r="U19" s="102">
        <v>19</v>
      </c>
      <c r="V19" s="102">
        <v>19</v>
      </c>
      <c r="W19" s="102">
        <v>19</v>
      </c>
      <c r="X19" s="102">
        <v>19</v>
      </c>
      <c r="Y19" s="102">
        <v>19</v>
      </c>
      <c r="Z19" s="102">
        <v>19</v>
      </c>
      <c r="AA19" s="102">
        <v>19</v>
      </c>
      <c r="AB19" s="102">
        <v>19</v>
      </c>
      <c r="AC19" s="102">
        <v>19</v>
      </c>
      <c r="AD19" s="102">
        <v>19</v>
      </c>
      <c r="AE19" s="102">
        <v>19</v>
      </c>
      <c r="AF19" s="102">
        <v>19</v>
      </c>
      <c r="AG19" s="130">
        <v>38.46</v>
      </c>
      <c r="AH19" s="12">
        <f t="shared" si="8"/>
        <v>24.1</v>
      </c>
      <c r="AI19" s="11">
        <f t="shared" si="9"/>
        <v>18.8</v>
      </c>
      <c r="AK19" s="19"/>
      <c r="AL19" s="135" t="s">
        <v>252</v>
      </c>
      <c r="AM19" s="134">
        <f t="shared" ref="AM19:AR19" si="12">B92</f>
        <v>82.4</v>
      </c>
      <c r="AN19" s="134">
        <f t="shared" si="12"/>
        <v>67.400000000000006</v>
      </c>
      <c r="AO19" s="134">
        <f t="shared" si="12"/>
        <v>62.600000000000009</v>
      </c>
      <c r="AP19" s="134">
        <f t="shared" si="12"/>
        <v>56</v>
      </c>
      <c r="AQ19" s="134">
        <f t="shared" si="12"/>
        <v>58.5</v>
      </c>
      <c r="AR19" s="134">
        <f t="shared" si="12"/>
        <v>58.399999999999991</v>
      </c>
      <c r="AS19" s="134">
        <f>I92</f>
        <v>46.599999999999994</v>
      </c>
      <c r="AT19" s="134">
        <f>K92</f>
        <v>622</v>
      </c>
      <c r="AU19" s="134">
        <f t="shared" ref="AU19:BD19" si="13">M92</f>
        <v>735</v>
      </c>
      <c r="AV19" s="134">
        <f t="shared" si="13"/>
        <v>0</v>
      </c>
      <c r="AW19" s="134">
        <f t="shared" si="13"/>
        <v>685.3</v>
      </c>
      <c r="AX19" s="134">
        <f t="shared" si="13"/>
        <v>698.69999999999993</v>
      </c>
      <c r="AY19" s="134">
        <f t="shared" si="13"/>
        <v>699.59999999999991</v>
      </c>
      <c r="AZ19" s="134">
        <f t="shared" si="13"/>
        <v>685.09999999999991</v>
      </c>
      <c r="BA19" s="134">
        <f t="shared" si="13"/>
        <v>806.80000000000007</v>
      </c>
      <c r="BB19" s="134">
        <f t="shared" si="13"/>
        <v>819.40000000000009</v>
      </c>
      <c r="BC19" s="134">
        <f t="shared" si="13"/>
        <v>781.1</v>
      </c>
      <c r="BD19" s="134">
        <f t="shared" si="13"/>
        <v>754.43</v>
      </c>
      <c r="BE19" s="133">
        <f>X92</f>
        <v>611.9</v>
      </c>
      <c r="BF19" s="133">
        <f>Z92</f>
        <v>123.8</v>
      </c>
      <c r="BG19" s="133">
        <f>AB92</f>
        <v>87.5</v>
      </c>
      <c r="BH19" s="133">
        <f>AD92</f>
        <v>69.3</v>
      </c>
      <c r="BI19" s="133">
        <f>AE92</f>
        <v>73.099999999999994</v>
      </c>
      <c r="BJ19" s="133">
        <f>AF92</f>
        <v>72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25">
      <c r="A20" s="89" t="s">
        <v>251</v>
      </c>
      <c r="B20" s="102">
        <v>9.6</v>
      </c>
      <c r="C20" s="102">
        <v>9.6</v>
      </c>
      <c r="D20" s="102">
        <v>9.6</v>
      </c>
      <c r="E20" s="102">
        <v>9.6</v>
      </c>
      <c r="F20" s="102">
        <v>9.6</v>
      </c>
      <c r="G20" s="102">
        <v>9.6</v>
      </c>
      <c r="H20" s="102">
        <v>9.6</v>
      </c>
      <c r="I20" s="102">
        <v>9.6</v>
      </c>
      <c r="J20" s="102">
        <v>9.6</v>
      </c>
      <c r="K20" s="102">
        <v>9.6</v>
      </c>
      <c r="L20" s="102">
        <v>9.6</v>
      </c>
      <c r="M20" s="102">
        <v>9.6</v>
      </c>
      <c r="N20" s="102" t="s">
        <v>285</v>
      </c>
      <c r="O20" s="102">
        <v>9.6</v>
      </c>
      <c r="P20" s="102">
        <v>9.6</v>
      </c>
      <c r="Q20" s="102">
        <v>9.6</v>
      </c>
      <c r="R20" s="102">
        <v>9.6</v>
      </c>
      <c r="S20" s="102">
        <v>9.6</v>
      </c>
      <c r="T20" s="102">
        <v>9.6</v>
      </c>
      <c r="U20" s="102">
        <v>9.6</v>
      </c>
      <c r="V20" s="102">
        <v>9.6</v>
      </c>
      <c r="W20" s="102">
        <v>9.6</v>
      </c>
      <c r="X20" s="102">
        <v>9.6</v>
      </c>
      <c r="Y20" s="102">
        <v>9.6</v>
      </c>
      <c r="Z20" s="102">
        <v>9.6</v>
      </c>
      <c r="AA20" s="102">
        <v>9.6</v>
      </c>
      <c r="AB20" s="102">
        <v>9.6</v>
      </c>
      <c r="AC20" s="102">
        <v>9.6</v>
      </c>
      <c r="AD20" s="102">
        <v>9.6</v>
      </c>
      <c r="AE20" s="102">
        <v>9.6</v>
      </c>
      <c r="AF20" s="102">
        <v>9.6</v>
      </c>
      <c r="AG20" s="130">
        <v>38.46</v>
      </c>
      <c r="AH20" s="12">
        <f t="shared" si="8"/>
        <v>9.6</v>
      </c>
      <c r="AI20" s="11">
        <f t="shared" si="9"/>
        <v>9.6</v>
      </c>
      <c r="AK20" s="19"/>
      <c r="AL20" s="135" t="s">
        <v>250</v>
      </c>
      <c r="AM20" s="134">
        <f t="shared" ref="AM20:AR20" si="14">B80</f>
        <v>33.9</v>
      </c>
      <c r="AN20" s="134">
        <f t="shared" si="14"/>
        <v>80.8</v>
      </c>
      <c r="AO20" s="134">
        <f t="shared" si="14"/>
        <v>74.2</v>
      </c>
      <c r="AP20" s="134">
        <f t="shared" si="14"/>
        <v>79.800000000000011</v>
      </c>
      <c r="AQ20" s="134">
        <f t="shared" si="14"/>
        <v>70.599999999999994</v>
      </c>
      <c r="AR20" s="134">
        <f t="shared" si="14"/>
        <v>69</v>
      </c>
      <c r="AS20" s="134">
        <f>I80</f>
        <v>69.900000000000006</v>
      </c>
      <c r="AT20" s="134">
        <f>K80</f>
        <v>35.700000000000003</v>
      </c>
      <c r="AU20" s="134">
        <f t="shared" ref="AU20:BD20" si="15">M80</f>
        <v>19.900000000000002</v>
      </c>
      <c r="AV20" s="134">
        <f t="shared" si="15"/>
        <v>0</v>
      </c>
      <c r="AW20" s="134">
        <f t="shared" si="15"/>
        <v>21.700000000000003</v>
      </c>
      <c r="AX20" s="134">
        <f t="shared" si="15"/>
        <v>32.4</v>
      </c>
      <c r="AY20" s="134">
        <f t="shared" si="15"/>
        <v>47.899999999999991</v>
      </c>
      <c r="AZ20" s="134">
        <f t="shared" si="15"/>
        <v>42.4</v>
      </c>
      <c r="BA20" s="134">
        <f t="shared" si="15"/>
        <v>69.400000000000006</v>
      </c>
      <c r="BB20" s="134">
        <f t="shared" si="15"/>
        <v>97.1</v>
      </c>
      <c r="BC20" s="134">
        <f t="shared" si="15"/>
        <v>84.300000000000011</v>
      </c>
      <c r="BD20" s="134">
        <f t="shared" si="15"/>
        <v>44.8</v>
      </c>
      <c r="BE20" s="133">
        <f>X80</f>
        <v>21.7</v>
      </c>
      <c r="BF20" s="133">
        <f>Z80</f>
        <v>87</v>
      </c>
      <c r="BG20" s="133">
        <f>AB80</f>
        <v>97</v>
      </c>
      <c r="BH20" s="133">
        <f>AD80</f>
        <v>81.600000000000009</v>
      </c>
      <c r="BI20" s="133">
        <f>AE80</f>
        <v>92.3</v>
      </c>
      <c r="BJ20" s="133">
        <f>AF80</f>
        <v>92.3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25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 t="s">
        <v>289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>
        <v>11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11</v>
      </c>
      <c r="AG21" s="130">
        <v>36</v>
      </c>
      <c r="AH21" s="12">
        <f t="shared" si="8"/>
        <v>11</v>
      </c>
      <c r="AI21" s="11">
        <f t="shared" si="9"/>
        <v>11</v>
      </c>
      <c r="AK21" s="19"/>
      <c r="AL21" s="135" t="s">
        <v>248</v>
      </c>
      <c r="AM21" s="134">
        <f t="shared" ref="AM21:AR21" si="16">B98</f>
        <v>280</v>
      </c>
      <c r="AN21" s="134">
        <f t="shared" si="16"/>
        <v>280</v>
      </c>
      <c r="AO21" s="134">
        <f t="shared" si="16"/>
        <v>280</v>
      </c>
      <c r="AP21" s="134">
        <f t="shared" si="16"/>
        <v>280</v>
      </c>
      <c r="AQ21" s="134">
        <f t="shared" si="16"/>
        <v>280</v>
      </c>
      <c r="AR21" s="134">
        <f t="shared" si="16"/>
        <v>280</v>
      </c>
      <c r="AS21" s="134">
        <f>I98</f>
        <v>230</v>
      </c>
      <c r="AT21" s="134">
        <f>K98</f>
        <v>40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10</v>
      </c>
      <c r="AZ21" s="134">
        <f t="shared" si="17"/>
        <v>10</v>
      </c>
      <c r="BA21" s="134">
        <f t="shared" si="17"/>
        <v>10</v>
      </c>
      <c r="BB21" s="134">
        <f t="shared" si="17"/>
        <v>10</v>
      </c>
      <c r="BC21" s="134">
        <f t="shared" si="17"/>
        <v>10</v>
      </c>
      <c r="BD21" s="134">
        <f t="shared" si="17"/>
        <v>10</v>
      </c>
      <c r="BE21" s="133">
        <f>X98</f>
        <v>0</v>
      </c>
      <c r="BF21" s="133">
        <f>Z98</f>
        <v>250</v>
      </c>
      <c r="BG21" s="133">
        <f>AB98</f>
        <v>250</v>
      </c>
      <c r="BH21" s="133">
        <f>AD98</f>
        <v>250</v>
      </c>
      <c r="BI21" s="133">
        <f>AE98</f>
        <v>251</v>
      </c>
      <c r="BJ21" s="133">
        <f>AF98</f>
        <v>252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25">
      <c r="A22" s="89" t="s">
        <v>247</v>
      </c>
      <c r="B22" s="102">
        <v>11.2</v>
      </c>
      <c r="C22" s="102">
        <v>11.2</v>
      </c>
      <c r="D22" s="102">
        <v>11.2</v>
      </c>
      <c r="E22" s="102">
        <v>12.4</v>
      </c>
      <c r="F22" s="102">
        <v>12.4</v>
      </c>
      <c r="G22" s="102">
        <v>12.4</v>
      </c>
      <c r="H22" s="102">
        <v>12.4</v>
      </c>
      <c r="I22" s="102">
        <v>12.4</v>
      </c>
      <c r="J22" s="102">
        <v>12.4</v>
      </c>
      <c r="K22" s="102">
        <v>12.4</v>
      </c>
      <c r="L22" s="102">
        <v>12.4</v>
      </c>
      <c r="M22" s="102">
        <v>12.4</v>
      </c>
      <c r="N22" s="102" t="s">
        <v>286</v>
      </c>
      <c r="O22" s="102">
        <v>12.4</v>
      </c>
      <c r="P22" s="102">
        <v>12.4</v>
      </c>
      <c r="Q22" s="102">
        <v>12.4</v>
      </c>
      <c r="R22" s="102">
        <v>12.4</v>
      </c>
      <c r="S22" s="102">
        <v>12.4</v>
      </c>
      <c r="T22" s="102">
        <v>12.4</v>
      </c>
      <c r="U22" s="102">
        <v>12.4</v>
      </c>
      <c r="V22" s="102">
        <v>12.4</v>
      </c>
      <c r="W22" s="102">
        <v>12.4</v>
      </c>
      <c r="X22" s="102">
        <v>12.4</v>
      </c>
      <c r="Y22" s="102">
        <v>12.4</v>
      </c>
      <c r="Z22" s="102">
        <v>12.4</v>
      </c>
      <c r="AA22" s="102">
        <v>12.4</v>
      </c>
      <c r="AB22" s="102">
        <v>12.4</v>
      </c>
      <c r="AC22" s="102">
        <v>12.4</v>
      </c>
      <c r="AD22" s="102">
        <v>12.4</v>
      </c>
      <c r="AE22" s="102">
        <v>12.4</v>
      </c>
      <c r="AF22" s="102">
        <v>12.4</v>
      </c>
      <c r="AG22" s="88">
        <v>30</v>
      </c>
      <c r="AH22" s="12">
        <f t="shared" si="8"/>
        <v>12.4</v>
      </c>
      <c r="AI22" s="11">
        <f t="shared" si="9"/>
        <v>11.2</v>
      </c>
      <c r="AK22" s="19"/>
      <c r="AL22" s="132" t="s">
        <v>246</v>
      </c>
      <c r="AM22" s="131">
        <f t="shared" ref="AM22:BJ22" si="18">SUM(AM16:AM21)</f>
        <v>1510.44</v>
      </c>
      <c r="AN22" s="131">
        <f t="shared" si="18"/>
        <v>1456.8400000000001</v>
      </c>
      <c r="AO22" s="131">
        <f t="shared" si="18"/>
        <v>1424.84</v>
      </c>
      <c r="AP22" s="131">
        <f t="shared" si="18"/>
        <v>1384.6399999999999</v>
      </c>
      <c r="AQ22" s="131">
        <f t="shared" si="18"/>
        <v>1374.7399999999998</v>
      </c>
      <c r="AR22" s="131">
        <f t="shared" si="18"/>
        <v>1407.9399999999998</v>
      </c>
      <c r="AS22" s="131">
        <f t="shared" si="18"/>
        <v>1462.6399999999999</v>
      </c>
      <c r="AT22" s="131">
        <f t="shared" si="18"/>
        <v>1567.74</v>
      </c>
      <c r="AU22" s="131">
        <f t="shared" si="18"/>
        <v>1600.8400000000001</v>
      </c>
      <c r="AV22" s="131">
        <f t="shared" si="18"/>
        <v>153.54</v>
      </c>
      <c r="AW22" s="131">
        <f t="shared" si="18"/>
        <v>1579.0399999999997</v>
      </c>
      <c r="AX22" s="131">
        <f t="shared" si="18"/>
        <v>1617.44</v>
      </c>
      <c r="AY22" s="131">
        <f t="shared" si="18"/>
        <v>1638.4399999999998</v>
      </c>
      <c r="AZ22" s="131">
        <f t="shared" si="18"/>
        <v>1319.3999999999999</v>
      </c>
      <c r="BA22" s="131">
        <f t="shared" si="18"/>
        <v>1673.24</v>
      </c>
      <c r="BB22" s="131">
        <f t="shared" si="18"/>
        <v>1712.2399999999998</v>
      </c>
      <c r="BC22" s="131">
        <f t="shared" si="18"/>
        <v>1684.74</v>
      </c>
      <c r="BD22" s="131">
        <f t="shared" si="18"/>
        <v>1616.1699999999998</v>
      </c>
      <c r="BE22" s="131">
        <f t="shared" si="18"/>
        <v>1456.9399999999998</v>
      </c>
      <c r="BF22" s="131">
        <f t="shared" si="18"/>
        <v>1832.3999999999999</v>
      </c>
      <c r="BG22" s="131">
        <f t="shared" si="18"/>
        <v>1744.34</v>
      </c>
      <c r="BH22" s="131">
        <f t="shared" si="18"/>
        <v>1644.5399999999997</v>
      </c>
      <c r="BI22" s="131">
        <f t="shared" si="18"/>
        <v>1612.04</v>
      </c>
      <c r="BJ22" s="131">
        <f t="shared" si="18"/>
        <v>1566.14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25">
      <c r="A23" s="89" t="s">
        <v>245</v>
      </c>
      <c r="B23" s="102">
        <v>9.4</v>
      </c>
      <c r="C23" s="102">
        <v>9.4</v>
      </c>
      <c r="D23" s="102">
        <v>9.4</v>
      </c>
      <c r="E23" s="102">
        <v>9.4</v>
      </c>
      <c r="F23" s="102">
        <v>9.4</v>
      </c>
      <c r="G23" s="102">
        <v>9.4</v>
      </c>
      <c r="H23" s="102">
        <v>9.4</v>
      </c>
      <c r="I23" s="102">
        <v>9.4</v>
      </c>
      <c r="J23" s="102">
        <v>9.4</v>
      </c>
      <c r="K23" s="102">
        <v>9.4</v>
      </c>
      <c r="L23" s="102">
        <v>9.4</v>
      </c>
      <c r="M23" s="102">
        <v>9.4</v>
      </c>
      <c r="N23" s="102" t="s">
        <v>294</v>
      </c>
      <c r="O23" s="102">
        <v>9.4</v>
      </c>
      <c r="P23" s="102">
        <v>9.4</v>
      </c>
      <c r="Q23" s="102">
        <v>9.4</v>
      </c>
      <c r="R23" s="102">
        <v>9.4</v>
      </c>
      <c r="S23" s="102">
        <v>9.4</v>
      </c>
      <c r="T23" s="102">
        <v>9.4</v>
      </c>
      <c r="U23" s="102">
        <v>9.4</v>
      </c>
      <c r="V23" s="102">
        <v>9.4</v>
      </c>
      <c r="W23" s="102">
        <v>9.4</v>
      </c>
      <c r="X23" s="102">
        <v>9.4</v>
      </c>
      <c r="Y23" s="102">
        <v>9.4</v>
      </c>
      <c r="Z23" s="102">
        <v>9.4</v>
      </c>
      <c r="AA23" s="102">
        <v>9.4</v>
      </c>
      <c r="AB23" s="102">
        <v>9.4</v>
      </c>
      <c r="AC23" s="102">
        <v>9.4</v>
      </c>
      <c r="AD23" s="102">
        <v>9.4</v>
      </c>
      <c r="AE23" s="102">
        <v>9.4</v>
      </c>
      <c r="AF23" s="102">
        <v>9.4</v>
      </c>
      <c r="AG23" s="130">
        <v>24.2</v>
      </c>
      <c r="AH23" s="12">
        <f t="shared" si="8"/>
        <v>9.4</v>
      </c>
      <c r="AI23" s="11">
        <f t="shared" si="9"/>
        <v>9.4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-1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25">
      <c r="A24" s="89" t="s">
        <v>244</v>
      </c>
      <c r="B24" s="102">
        <v>8.1</v>
      </c>
      <c r="C24" s="102">
        <v>8.1</v>
      </c>
      <c r="D24" s="102">
        <v>8.1</v>
      </c>
      <c r="E24" s="102">
        <v>8.1</v>
      </c>
      <c r="F24" s="102">
        <v>8.1</v>
      </c>
      <c r="G24" s="102">
        <v>8.1</v>
      </c>
      <c r="H24" s="102">
        <v>8.1</v>
      </c>
      <c r="I24" s="102">
        <v>8.1</v>
      </c>
      <c r="J24" s="102">
        <v>8.1</v>
      </c>
      <c r="K24" s="102">
        <v>8.1</v>
      </c>
      <c r="L24" s="102">
        <v>8.1</v>
      </c>
      <c r="M24" s="102">
        <v>8.1</v>
      </c>
      <c r="N24" s="102" t="s">
        <v>290</v>
      </c>
      <c r="O24" s="102">
        <v>8.1</v>
      </c>
      <c r="P24" s="102">
        <v>8.1</v>
      </c>
      <c r="Q24" s="102">
        <v>8.1</v>
      </c>
      <c r="R24" s="102">
        <v>8.1</v>
      </c>
      <c r="S24" s="102">
        <v>8.1</v>
      </c>
      <c r="T24" s="102">
        <v>8.1</v>
      </c>
      <c r="U24" s="102">
        <v>8.1</v>
      </c>
      <c r="V24" s="102">
        <v>8.1</v>
      </c>
      <c r="W24" s="102">
        <v>8.1</v>
      </c>
      <c r="X24" s="102">
        <v>8.1</v>
      </c>
      <c r="Y24" s="102">
        <v>8.1</v>
      </c>
      <c r="Z24" s="102">
        <v>8.1</v>
      </c>
      <c r="AA24" s="102">
        <v>8.1</v>
      </c>
      <c r="AB24" s="102">
        <v>8.1</v>
      </c>
      <c r="AC24" s="102">
        <v>8.1</v>
      </c>
      <c r="AD24" s="102">
        <v>8.1</v>
      </c>
      <c r="AE24" s="102">
        <v>8.1</v>
      </c>
      <c r="AF24" s="102">
        <v>8.1</v>
      </c>
      <c r="AG24" s="130">
        <v>28</v>
      </c>
      <c r="AH24" s="12">
        <f t="shared" si="8"/>
        <v>8.1</v>
      </c>
      <c r="AI24" s="11">
        <f t="shared" si="9"/>
        <v>8.1</v>
      </c>
      <c r="AK24" s="19"/>
      <c r="AL24" s="132" t="s">
        <v>243</v>
      </c>
      <c r="AM24" s="131">
        <f t="shared" ref="AM24:BJ24" si="21">AM22+AM23</f>
        <v>1510.44</v>
      </c>
      <c r="AN24" s="131">
        <f t="shared" si="21"/>
        <v>1456.8400000000001</v>
      </c>
      <c r="AO24" s="131">
        <f t="shared" si="21"/>
        <v>1424.84</v>
      </c>
      <c r="AP24" s="131">
        <f t="shared" si="21"/>
        <v>1384.6399999999999</v>
      </c>
      <c r="AQ24" s="131">
        <f t="shared" si="21"/>
        <v>1374.7399999999998</v>
      </c>
      <c r="AR24" s="131">
        <f t="shared" si="21"/>
        <v>1407.9399999999998</v>
      </c>
      <c r="AS24" s="131">
        <f t="shared" si="21"/>
        <v>1462.6399999999999</v>
      </c>
      <c r="AT24" s="131">
        <f t="shared" si="21"/>
        <v>1567.74</v>
      </c>
      <c r="AU24" s="131">
        <f t="shared" si="21"/>
        <v>1600.8400000000001</v>
      </c>
      <c r="AV24" s="131">
        <f t="shared" si="21"/>
        <v>153.54</v>
      </c>
      <c r="AW24" s="131">
        <f t="shared" si="21"/>
        <v>1579.0399999999997</v>
      </c>
      <c r="AX24" s="131">
        <f t="shared" si="21"/>
        <v>1617.44</v>
      </c>
      <c r="AY24" s="131">
        <f t="shared" si="21"/>
        <v>1638.4399999999998</v>
      </c>
      <c r="AZ24" s="131">
        <f t="shared" si="21"/>
        <v>1319.3999999999999</v>
      </c>
      <c r="BA24" s="131">
        <f t="shared" si="21"/>
        <v>1673.24</v>
      </c>
      <c r="BB24" s="131">
        <f t="shared" si="21"/>
        <v>1712.2399999999998</v>
      </c>
      <c r="BC24" s="131">
        <f t="shared" si="21"/>
        <v>1684.74</v>
      </c>
      <c r="BD24" s="131">
        <f t="shared" si="21"/>
        <v>1615.1699999999998</v>
      </c>
      <c r="BE24" s="131">
        <f t="shared" si="21"/>
        <v>1456.9399999999998</v>
      </c>
      <c r="BF24" s="131">
        <f t="shared" si="21"/>
        <v>1832.3999999999999</v>
      </c>
      <c r="BG24" s="131">
        <f t="shared" si="21"/>
        <v>1744.34</v>
      </c>
      <c r="BH24" s="131">
        <f t="shared" si="21"/>
        <v>1644.5399999999997</v>
      </c>
      <c r="BI24" s="131">
        <f t="shared" si="21"/>
        <v>1612.04</v>
      </c>
      <c r="BJ24" s="131">
        <f t="shared" si="21"/>
        <v>1566.14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25">
      <c r="A25" s="89" t="s">
        <v>242</v>
      </c>
      <c r="B25" s="102">
        <v>9</v>
      </c>
      <c r="C25" s="102">
        <v>9</v>
      </c>
      <c r="D25" s="102">
        <v>9</v>
      </c>
      <c r="E25" s="102">
        <v>9</v>
      </c>
      <c r="F25" s="102">
        <v>9</v>
      </c>
      <c r="G25" s="102">
        <v>9</v>
      </c>
      <c r="H25" s="102">
        <v>9</v>
      </c>
      <c r="I25" s="102">
        <v>9</v>
      </c>
      <c r="J25" s="102">
        <v>9</v>
      </c>
      <c r="K25" s="102">
        <v>9</v>
      </c>
      <c r="L25" s="102">
        <v>9</v>
      </c>
      <c r="M25" s="102">
        <v>9</v>
      </c>
      <c r="N25" s="102"/>
      <c r="O25" s="102">
        <v>9</v>
      </c>
      <c r="P25" s="102">
        <v>9</v>
      </c>
      <c r="Q25" s="102">
        <v>9</v>
      </c>
      <c r="R25" s="102">
        <v>9</v>
      </c>
      <c r="S25" s="102">
        <v>9</v>
      </c>
      <c r="T25" s="102">
        <v>9</v>
      </c>
      <c r="U25" s="102">
        <v>9</v>
      </c>
      <c r="V25" s="102">
        <v>9</v>
      </c>
      <c r="W25" s="102">
        <v>9</v>
      </c>
      <c r="X25" s="102">
        <v>9</v>
      </c>
      <c r="Y25" s="102">
        <v>9</v>
      </c>
      <c r="Z25" s="102">
        <v>9</v>
      </c>
      <c r="AA25" s="102">
        <v>9</v>
      </c>
      <c r="AB25" s="102">
        <v>9</v>
      </c>
      <c r="AC25" s="102">
        <v>9</v>
      </c>
      <c r="AD25" s="102">
        <v>9</v>
      </c>
      <c r="AE25" s="102">
        <v>9</v>
      </c>
      <c r="AF25" s="102">
        <v>9</v>
      </c>
      <c r="AG25" s="88">
        <v>30</v>
      </c>
      <c r="AH25" s="12">
        <f t="shared" si="8"/>
        <v>9</v>
      </c>
      <c r="AI25" s="11">
        <f t="shared" si="9"/>
        <v>9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25">
      <c r="A26" s="89" t="s">
        <v>241</v>
      </c>
      <c r="B26" s="102">
        <v>13.2</v>
      </c>
      <c r="C26" s="102">
        <v>13.2</v>
      </c>
      <c r="D26" s="102">
        <v>13.2</v>
      </c>
      <c r="E26" s="102">
        <v>13.4</v>
      </c>
      <c r="F26" s="102">
        <v>13.4</v>
      </c>
      <c r="G26" s="102">
        <v>13.4</v>
      </c>
      <c r="H26" s="102">
        <v>13.4</v>
      </c>
      <c r="I26" s="102">
        <v>13.4</v>
      </c>
      <c r="J26" s="102">
        <v>13.4</v>
      </c>
      <c r="K26" s="102">
        <v>13.4</v>
      </c>
      <c r="L26" s="102">
        <v>13.4</v>
      </c>
      <c r="M26" s="102">
        <v>13.4</v>
      </c>
      <c r="N26" s="102"/>
      <c r="O26" s="102">
        <v>13.4</v>
      </c>
      <c r="P26" s="102">
        <v>13.4</v>
      </c>
      <c r="Q26" s="102">
        <v>13.4</v>
      </c>
      <c r="R26" s="102">
        <v>13.4</v>
      </c>
      <c r="S26" s="102">
        <v>13.4</v>
      </c>
      <c r="T26" s="102">
        <v>13.4</v>
      </c>
      <c r="U26" s="102">
        <v>13.4</v>
      </c>
      <c r="V26" s="102">
        <v>13.4</v>
      </c>
      <c r="W26" s="102">
        <v>13.4</v>
      </c>
      <c r="X26" s="102">
        <v>13.4</v>
      </c>
      <c r="Y26" s="102">
        <v>13.4</v>
      </c>
      <c r="Z26" s="102">
        <v>13.4</v>
      </c>
      <c r="AA26" s="102">
        <v>13.4</v>
      </c>
      <c r="AB26" s="102">
        <v>13.4</v>
      </c>
      <c r="AC26" s="102">
        <v>13.4</v>
      </c>
      <c r="AD26" s="102">
        <v>13.4</v>
      </c>
      <c r="AE26" s="102">
        <v>13.4</v>
      </c>
      <c r="AF26" s="102">
        <v>13.4</v>
      </c>
      <c r="AG26" s="130">
        <v>25</v>
      </c>
      <c r="AH26" s="12">
        <f t="shared" si="8"/>
        <v>13.4</v>
      </c>
      <c r="AI26" s="11">
        <f t="shared" si="9"/>
        <v>13.2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25">
      <c r="A27" s="89" t="s">
        <v>240</v>
      </c>
      <c r="B27" s="102">
        <v>0</v>
      </c>
      <c r="C27" s="102">
        <v>0</v>
      </c>
      <c r="D27" s="102">
        <v>0</v>
      </c>
      <c r="E27" s="102">
        <v>0</v>
      </c>
      <c r="F27" s="102">
        <v>0</v>
      </c>
      <c r="G27" s="102">
        <v>0</v>
      </c>
      <c r="H27" s="102">
        <v>0</v>
      </c>
      <c r="I27" s="102">
        <v>0</v>
      </c>
      <c r="J27" s="102">
        <v>0</v>
      </c>
      <c r="K27" s="102">
        <v>0</v>
      </c>
      <c r="L27" s="102">
        <v>0</v>
      </c>
      <c r="M27" s="102">
        <v>0</v>
      </c>
      <c r="N27" s="102"/>
      <c r="O27" s="102">
        <v>0</v>
      </c>
      <c r="P27" s="102">
        <v>0</v>
      </c>
      <c r="Q27" s="102">
        <v>0</v>
      </c>
      <c r="R27" s="102">
        <v>0</v>
      </c>
      <c r="S27" s="102">
        <v>0</v>
      </c>
      <c r="T27" s="102">
        <v>0</v>
      </c>
      <c r="U27" s="102">
        <v>0</v>
      </c>
      <c r="V27" s="102">
        <v>0</v>
      </c>
      <c r="W27" s="102">
        <v>0</v>
      </c>
      <c r="X27" s="102">
        <v>0</v>
      </c>
      <c r="Y27" s="102">
        <v>0</v>
      </c>
      <c r="Z27" s="102">
        <v>0</v>
      </c>
      <c r="AA27" s="102">
        <v>0</v>
      </c>
      <c r="AB27" s="102">
        <v>0</v>
      </c>
      <c r="AC27" s="102">
        <v>0</v>
      </c>
      <c r="AD27" s="102">
        <v>0</v>
      </c>
      <c r="AE27" s="102">
        <v>0</v>
      </c>
      <c r="AF27" s="102">
        <v>0</v>
      </c>
      <c r="AG27" s="130">
        <v>25</v>
      </c>
      <c r="AH27" s="12">
        <f t="shared" si="8"/>
        <v>0</v>
      </c>
      <c r="AI27" s="11">
        <f t="shared" si="9"/>
        <v>0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25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/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25">
      <c r="A29" s="89" t="s">
        <v>238</v>
      </c>
      <c r="B29" s="102">
        <v>12.4</v>
      </c>
      <c r="C29" s="102">
        <v>12.4</v>
      </c>
      <c r="D29" s="102">
        <v>12.4</v>
      </c>
      <c r="E29" s="102">
        <v>12.4</v>
      </c>
      <c r="F29" s="102">
        <v>12.4</v>
      </c>
      <c r="G29" s="102">
        <v>12.4</v>
      </c>
      <c r="H29" s="102">
        <v>12.4</v>
      </c>
      <c r="I29" s="102">
        <v>12.4</v>
      </c>
      <c r="J29" s="102">
        <v>12.4</v>
      </c>
      <c r="K29" s="102">
        <v>12.4</v>
      </c>
      <c r="L29" s="102">
        <v>12.4</v>
      </c>
      <c r="M29" s="102">
        <v>12.4</v>
      </c>
      <c r="N29" s="102"/>
      <c r="O29" s="102">
        <v>12.4</v>
      </c>
      <c r="P29" s="102">
        <v>12.4</v>
      </c>
      <c r="Q29" s="102">
        <v>12.4</v>
      </c>
      <c r="R29" s="102">
        <v>12.4</v>
      </c>
      <c r="S29" s="102">
        <v>12.4</v>
      </c>
      <c r="T29" s="102">
        <v>12.4</v>
      </c>
      <c r="U29" s="102">
        <v>12.4</v>
      </c>
      <c r="V29" s="102">
        <v>12.4</v>
      </c>
      <c r="W29" s="102">
        <v>12.4</v>
      </c>
      <c r="X29" s="102">
        <v>12.4</v>
      </c>
      <c r="Y29" s="102">
        <v>12.4</v>
      </c>
      <c r="Z29" s="102">
        <v>12.4</v>
      </c>
      <c r="AA29" s="102">
        <v>12.4</v>
      </c>
      <c r="AB29" s="102">
        <v>12.4</v>
      </c>
      <c r="AC29" s="102">
        <v>12.4</v>
      </c>
      <c r="AD29" s="102">
        <v>12.4</v>
      </c>
      <c r="AE29" s="102">
        <v>12.4</v>
      </c>
      <c r="AF29" s="102">
        <v>12.4</v>
      </c>
      <c r="AG29" s="130">
        <v>25</v>
      </c>
      <c r="AH29" s="12">
        <f t="shared" si="8"/>
        <v>12.4</v>
      </c>
      <c r="AI29" s="11">
        <f t="shared" si="9"/>
        <v>12.4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25">
      <c r="A30" s="89" t="s">
        <v>237</v>
      </c>
      <c r="B30" s="102">
        <v>7</v>
      </c>
      <c r="C30" s="102">
        <v>7</v>
      </c>
      <c r="D30" s="102">
        <v>7</v>
      </c>
      <c r="E30" s="102">
        <v>7</v>
      </c>
      <c r="F30" s="102">
        <v>7</v>
      </c>
      <c r="G30" s="102">
        <v>7</v>
      </c>
      <c r="H30" s="102">
        <v>7</v>
      </c>
      <c r="I30" s="102">
        <v>7</v>
      </c>
      <c r="J30" s="102">
        <v>7</v>
      </c>
      <c r="K30" s="102">
        <v>7</v>
      </c>
      <c r="L30" s="102">
        <v>7</v>
      </c>
      <c r="M30" s="102">
        <v>7</v>
      </c>
      <c r="N30" s="102"/>
      <c r="O30" s="102">
        <v>7</v>
      </c>
      <c r="P30" s="102">
        <v>7</v>
      </c>
      <c r="Q30" s="102">
        <v>7</v>
      </c>
      <c r="R30" s="102">
        <v>7</v>
      </c>
      <c r="S30" s="102">
        <v>7</v>
      </c>
      <c r="T30" s="102">
        <v>7</v>
      </c>
      <c r="U30" s="102">
        <v>7</v>
      </c>
      <c r="V30" s="102">
        <v>7</v>
      </c>
      <c r="W30" s="102">
        <v>7</v>
      </c>
      <c r="X30" s="102">
        <v>7</v>
      </c>
      <c r="Y30" s="102">
        <v>7</v>
      </c>
      <c r="Z30" s="102">
        <v>7</v>
      </c>
      <c r="AA30" s="102">
        <v>7</v>
      </c>
      <c r="AB30" s="102">
        <v>7</v>
      </c>
      <c r="AC30" s="102">
        <v>7</v>
      </c>
      <c r="AD30" s="102">
        <v>7</v>
      </c>
      <c r="AE30" s="102">
        <v>7</v>
      </c>
      <c r="AF30" s="102">
        <v>7</v>
      </c>
      <c r="AG30" s="130">
        <v>23.5</v>
      </c>
      <c r="AH30" s="12">
        <f t="shared" si="8"/>
        <v>7</v>
      </c>
      <c r="AI30" s="11">
        <f t="shared" si="9"/>
        <v>7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25">
      <c r="A31" s="89" t="s">
        <v>236</v>
      </c>
      <c r="B31" s="102">
        <v>9</v>
      </c>
      <c r="C31" s="102">
        <v>9</v>
      </c>
      <c r="D31" s="102">
        <v>9</v>
      </c>
      <c r="E31" s="102">
        <v>9</v>
      </c>
      <c r="F31" s="102">
        <v>9</v>
      </c>
      <c r="G31" s="102">
        <v>9</v>
      </c>
      <c r="H31" s="102">
        <v>9</v>
      </c>
      <c r="I31" s="102">
        <v>9</v>
      </c>
      <c r="J31" s="102">
        <v>9</v>
      </c>
      <c r="K31" s="102">
        <v>9</v>
      </c>
      <c r="L31" s="102">
        <v>9</v>
      </c>
      <c r="M31" s="102">
        <v>9</v>
      </c>
      <c r="N31" s="102"/>
      <c r="O31" s="102">
        <v>9</v>
      </c>
      <c r="P31" s="102">
        <v>9</v>
      </c>
      <c r="Q31" s="102">
        <v>9</v>
      </c>
      <c r="R31" s="102">
        <v>9</v>
      </c>
      <c r="S31" s="102">
        <v>9</v>
      </c>
      <c r="T31" s="102">
        <v>9</v>
      </c>
      <c r="U31" s="102">
        <v>9</v>
      </c>
      <c r="V31" s="102">
        <v>9</v>
      </c>
      <c r="W31" s="102">
        <v>9</v>
      </c>
      <c r="X31" s="102">
        <v>9</v>
      </c>
      <c r="Y31" s="102">
        <v>9</v>
      </c>
      <c r="Z31" s="102">
        <v>9</v>
      </c>
      <c r="AA31" s="102">
        <v>9</v>
      </c>
      <c r="AB31" s="102">
        <v>9</v>
      </c>
      <c r="AC31" s="102">
        <v>9</v>
      </c>
      <c r="AD31" s="102">
        <v>9</v>
      </c>
      <c r="AE31" s="102">
        <v>9</v>
      </c>
      <c r="AF31" s="102">
        <v>9</v>
      </c>
      <c r="AG31" s="130">
        <v>22.2</v>
      </c>
      <c r="AH31" s="12">
        <f t="shared" si="8"/>
        <v>9</v>
      </c>
      <c r="AI31" s="11">
        <f t="shared" si="9"/>
        <v>9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25">
      <c r="A32" s="89" t="s">
        <v>235</v>
      </c>
      <c r="B32" s="102">
        <v>5.5</v>
      </c>
      <c r="C32" s="102">
        <v>5.5</v>
      </c>
      <c r="D32" s="102">
        <v>5.5</v>
      </c>
      <c r="E32" s="102">
        <v>5.5</v>
      </c>
      <c r="F32" s="102">
        <v>5.5</v>
      </c>
      <c r="G32" s="102">
        <v>5.5</v>
      </c>
      <c r="H32" s="102">
        <v>5.5</v>
      </c>
      <c r="I32" s="102">
        <v>5.5</v>
      </c>
      <c r="J32" s="102">
        <v>5.5</v>
      </c>
      <c r="K32" s="102">
        <v>5.5</v>
      </c>
      <c r="L32" s="102">
        <v>5.5</v>
      </c>
      <c r="M32" s="102">
        <v>5.5</v>
      </c>
      <c r="N32" s="102"/>
      <c r="O32" s="102">
        <v>5.5</v>
      </c>
      <c r="P32" s="102">
        <v>5.5</v>
      </c>
      <c r="Q32" s="102">
        <v>5.5</v>
      </c>
      <c r="R32" s="102">
        <v>5.5</v>
      </c>
      <c r="S32" s="102">
        <v>5.5</v>
      </c>
      <c r="T32" s="102">
        <v>5.5</v>
      </c>
      <c r="U32" s="102">
        <v>5.5</v>
      </c>
      <c r="V32" s="102">
        <v>5.5</v>
      </c>
      <c r="W32" s="102">
        <v>5.5</v>
      </c>
      <c r="X32" s="102">
        <v>5.5</v>
      </c>
      <c r="Y32" s="102">
        <v>5.5</v>
      </c>
      <c r="Z32" s="102">
        <v>5.5</v>
      </c>
      <c r="AA32" s="102">
        <v>5.5</v>
      </c>
      <c r="AB32" s="102">
        <v>5.5</v>
      </c>
      <c r="AC32" s="102">
        <v>5.5</v>
      </c>
      <c r="AD32" s="102">
        <v>5.5</v>
      </c>
      <c r="AE32" s="102">
        <v>5.5</v>
      </c>
      <c r="AF32" s="102">
        <v>5.5</v>
      </c>
      <c r="AG32" s="130">
        <v>22.1</v>
      </c>
      <c r="AH32" s="12">
        <f t="shared" si="8"/>
        <v>5.5</v>
      </c>
      <c r="AI32" s="11">
        <f t="shared" si="9"/>
        <v>5.5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25">
      <c r="A33" s="89" t="s">
        <v>234</v>
      </c>
      <c r="B33" s="102">
        <v>8</v>
      </c>
      <c r="C33" s="102">
        <v>8</v>
      </c>
      <c r="D33" s="102">
        <v>8</v>
      </c>
      <c r="E33" s="102">
        <v>8</v>
      </c>
      <c r="F33" s="102">
        <v>8</v>
      </c>
      <c r="G33" s="102">
        <v>8</v>
      </c>
      <c r="H33" s="102">
        <v>8</v>
      </c>
      <c r="I33" s="102">
        <v>8</v>
      </c>
      <c r="J33" s="102">
        <v>8</v>
      </c>
      <c r="K33" s="102">
        <v>8</v>
      </c>
      <c r="L33" s="102">
        <v>8</v>
      </c>
      <c r="M33" s="102">
        <v>8</v>
      </c>
      <c r="N33" s="102"/>
      <c r="O33" s="102">
        <v>8</v>
      </c>
      <c r="P33" s="102">
        <v>8</v>
      </c>
      <c r="Q33" s="102">
        <v>8</v>
      </c>
      <c r="R33" s="102">
        <v>8</v>
      </c>
      <c r="S33" s="102">
        <v>8</v>
      </c>
      <c r="T33" s="102">
        <v>8</v>
      </c>
      <c r="U33" s="102">
        <v>8</v>
      </c>
      <c r="V33" s="102">
        <v>8</v>
      </c>
      <c r="W33" s="102">
        <v>8</v>
      </c>
      <c r="X33" s="102">
        <v>8</v>
      </c>
      <c r="Y33" s="102">
        <v>8</v>
      </c>
      <c r="Z33" s="102">
        <v>8</v>
      </c>
      <c r="AA33" s="102">
        <v>8</v>
      </c>
      <c r="AB33" s="102">
        <v>8</v>
      </c>
      <c r="AC33" s="102">
        <v>8</v>
      </c>
      <c r="AD33" s="102">
        <v>8</v>
      </c>
      <c r="AE33" s="102">
        <v>8</v>
      </c>
      <c r="AF33" s="102">
        <v>8</v>
      </c>
      <c r="AG33" s="130">
        <v>22</v>
      </c>
      <c r="AH33" s="12">
        <f t="shared" si="8"/>
        <v>8</v>
      </c>
      <c r="AI33" s="11">
        <f t="shared" si="9"/>
        <v>8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25">
      <c r="A34" s="89" t="s">
        <v>233</v>
      </c>
      <c r="B34" s="102">
        <v>6.6</v>
      </c>
      <c r="C34" s="102">
        <v>6.6</v>
      </c>
      <c r="D34" s="102">
        <v>6.6</v>
      </c>
      <c r="E34" s="102">
        <v>6.6</v>
      </c>
      <c r="F34" s="102">
        <v>6.6</v>
      </c>
      <c r="G34" s="102">
        <v>6.6</v>
      </c>
      <c r="H34" s="102">
        <v>6.6</v>
      </c>
      <c r="I34" s="102">
        <v>6.6</v>
      </c>
      <c r="J34" s="102">
        <v>6.6</v>
      </c>
      <c r="K34" s="102">
        <v>6.6</v>
      </c>
      <c r="L34" s="102">
        <v>6.6</v>
      </c>
      <c r="M34" s="102">
        <v>6.6</v>
      </c>
      <c r="N34" s="102"/>
      <c r="O34" s="102">
        <v>6.6</v>
      </c>
      <c r="P34" s="102">
        <v>6.6</v>
      </c>
      <c r="Q34" s="102">
        <v>6.6</v>
      </c>
      <c r="R34" s="102">
        <v>6.6</v>
      </c>
      <c r="S34" s="102">
        <v>6.6</v>
      </c>
      <c r="T34" s="102">
        <v>6.6</v>
      </c>
      <c r="U34" s="102">
        <v>6.6</v>
      </c>
      <c r="V34" s="102">
        <v>6.6</v>
      </c>
      <c r="W34" s="102">
        <v>6.6</v>
      </c>
      <c r="X34" s="102">
        <v>6.6</v>
      </c>
      <c r="Y34" s="102">
        <v>6.6</v>
      </c>
      <c r="Z34" s="102">
        <v>6.6</v>
      </c>
      <c r="AA34" s="102">
        <v>6.6</v>
      </c>
      <c r="AB34" s="102">
        <v>6.6</v>
      </c>
      <c r="AC34" s="102">
        <v>6.6</v>
      </c>
      <c r="AD34" s="102">
        <v>6.6</v>
      </c>
      <c r="AE34" s="102">
        <v>6.6</v>
      </c>
      <c r="AF34" s="102">
        <v>6.6</v>
      </c>
      <c r="AG34" s="130">
        <v>22</v>
      </c>
      <c r="AH34" s="12">
        <f t="shared" si="8"/>
        <v>6.6</v>
      </c>
      <c r="AI34" s="11">
        <f t="shared" si="9"/>
        <v>6.6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25">
      <c r="A35" s="89" t="s">
        <v>232</v>
      </c>
      <c r="B35" s="102">
        <v>6</v>
      </c>
      <c r="C35" s="102">
        <v>6</v>
      </c>
      <c r="D35" s="102">
        <v>6</v>
      </c>
      <c r="E35" s="102">
        <v>6</v>
      </c>
      <c r="F35" s="102">
        <v>6</v>
      </c>
      <c r="G35" s="102">
        <v>6</v>
      </c>
      <c r="H35" s="102">
        <v>6</v>
      </c>
      <c r="I35" s="102">
        <v>6</v>
      </c>
      <c r="J35" s="102">
        <v>6</v>
      </c>
      <c r="K35" s="102">
        <v>6</v>
      </c>
      <c r="L35" s="102">
        <v>6</v>
      </c>
      <c r="M35" s="102">
        <v>6</v>
      </c>
      <c r="N35" s="102"/>
      <c r="O35" s="102">
        <v>6</v>
      </c>
      <c r="P35" s="102">
        <v>6</v>
      </c>
      <c r="Q35" s="102">
        <v>6</v>
      </c>
      <c r="R35" s="102">
        <v>6</v>
      </c>
      <c r="S35" s="102">
        <v>6</v>
      </c>
      <c r="T35" s="102">
        <v>6</v>
      </c>
      <c r="U35" s="102">
        <v>6</v>
      </c>
      <c r="V35" s="102">
        <v>6</v>
      </c>
      <c r="W35" s="102">
        <v>6</v>
      </c>
      <c r="X35" s="102">
        <v>6</v>
      </c>
      <c r="Y35" s="102">
        <v>6</v>
      </c>
      <c r="Z35" s="102">
        <v>6</v>
      </c>
      <c r="AA35" s="102">
        <v>6</v>
      </c>
      <c r="AB35" s="102">
        <v>6</v>
      </c>
      <c r="AC35" s="102">
        <v>6</v>
      </c>
      <c r="AD35" s="102">
        <v>6</v>
      </c>
      <c r="AE35" s="102">
        <v>6</v>
      </c>
      <c r="AF35" s="102">
        <v>6</v>
      </c>
      <c r="AG35" s="130">
        <v>20</v>
      </c>
      <c r="AH35" s="12">
        <f t="shared" si="8"/>
        <v>6</v>
      </c>
      <c r="AI35" s="11">
        <f t="shared" si="9"/>
        <v>6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25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/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25">
      <c r="A37" s="89" t="s">
        <v>230</v>
      </c>
      <c r="B37" s="102">
        <v>5.7</v>
      </c>
      <c r="C37" s="102">
        <v>5.7</v>
      </c>
      <c r="D37" s="102">
        <v>5.7</v>
      </c>
      <c r="E37" s="102">
        <v>5.7</v>
      </c>
      <c r="F37" s="102">
        <v>5.7</v>
      </c>
      <c r="G37" s="102">
        <v>5.7</v>
      </c>
      <c r="H37" s="102">
        <v>5.7</v>
      </c>
      <c r="I37" s="102">
        <v>5.7</v>
      </c>
      <c r="J37" s="102">
        <v>5.7</v>
      </c>
      <c r="K37" s="102">
        <v>5.7</v>
      </c>
      <c r="L37" s="102">
        <v>5.7</v>
      </c>
      <c r="M37" s="102">
        <v>5.7</v>
      </c>
      <c r="N37" s="102"/>
      <c r="O37" s="102">
        <v>5.7</v>
      </c>
      <c r="P37" s="102">
        <v>5.7</v>
      </c>
      <c r="Q37" s="102">
        <v>5.7</v>
      </c>
      <c r="R37" s="102">
        <v>5.7</v>
      </c>
      <c r="S37" s="102">
        <v>5.7</v>
      </c>
      <c r="T37" s="102">
        <v>5.7</v>
      </c>
      <c r="U37" s="102">
        <v>5.7</v>
      </c>
      <c r="V37" s="102">
        <v>5.7</v>
      </c>
      <c r="W37" s="102">
        <v>5.7</v>
      </c>
      <c r="X37" s="102">
        <v>5.7</v>
      </c>
      <c r="Y37" s="102">
        <v>5.7</v>
      </c>
      <c r="Z37" s="102">
        <v>5.7</v>
      </c>
      <c r="AA37" s="102">
        <v>5.7</v>
      </c>
      <c r="AB37" s="102">
        <v>5.7</v>
      </c>
      <c r="AC37" s="102">
        <v>5.7</v>
      </c>
      <c r="AD37" s="102">
        <v>5.7</v>
      </c>
      <c r="AE37" s="102">
        <v>5.7</v>
      </c>
      <c r="AF37" s="102">
        <v>5.7</v>
      </c>
      <c r="AG37" s="130">
        <v>18</v>
      </c>
      <c r="AH37" s="12">
        <f t="shared" si="8"/>
        <v>5.7</v>
      </c>
      <c r="AI37" s="11">
        <f t="shared" si="9"/>
        <v>5.7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25">
      <c r="A38" s="89" t="s">
        <v>229</v>
      </c>
      <c r="B38" s="102">
        <v>4.9000000000000004</v>
      </c>
      <c r="C38" s="102">
        <v>4.9000000000000004</v>
      </c>
      <c r="D38" s="102">
        <v>4.9000000000000004</v>
      </c>
      <c r="E38" s="102">
        <v>4.9000000000000004</v>
      </c>
      <c r="F38" s="102">
        <v>4.9000000000000004</v>
      </c>
      <c r="G38" s="102">
        <v>4.9000000000000004</v>
      </c>
      <c r="H38" s="102">
        <v>4.9000000000000004</v>
      </c>
      <c r="I38" s="102">
        <v>4.9000000000000004</v>
      </c>
      <c r="J38" s="102">
        <v>4.9000000000000004</v>
      </c>
      <c r="K38" s="102">
        <v>4.9000000000000004</v>
      </c>
      <c r="L38" s="102">
        <v>4.9000000000000004</v>
      </c>
      <c r="M38" s="102">
        <v>4.9000000000000004</v>
      </c>
      <c r="N38" s="102"/>
      <c r="O38" s="102">
        <v>4.9000000000000004</v>
      </c>
      <c r="P38" s="102">
        <v>4.9000000000000004</v>
      </c>
      <c r="Q38" s="102">
        <v>4.9000000000000004</v>
      </c>
      <c r="R38" s="102">
        <v>4.9000000000000004</v>
      </c>
      <c r="S38" s="102">
        <v>4.9000000000000004</v>
      </c>
      <c r="T38" s="102">
        <v>4.9000000000000004</v>
      </c>
      <c r="U38" s="102">
        <v>4.9000000000000004</v>
      </c>
      <c r="V38" s="102">
        <v>4.9000000000000004</v>
      </c>
      <c r="W38" s="102">
        <v>4.9000000000000004</v>
      </c>
      <c r="X38" s="102">
        <v>4.9000000000000004</v>
      </c>
      <c r="Y38" s="102">
        <v>4.9000000000000004</v>
      </c>
      <c r="Z38" s="102">
        <v>4.9000000000000004</v>
      </c>
      <c r="AA38" s="102">
        <v>4.9000000000000004</v>
      </c>
      <c r="AB38" s="102">
        <v>4.9000000000000004</v>
      </c>
      <c r="AC38" s="102">
        <v>4.9000000000000004</v>
      </c>
      <c r="AD38" s="102">
        <v>4.9000000000000004</v>
      </c>
      <c r="AE38" s="102">
        <v>4.9000000000000004</v>
      </c>
      <c r="AF38" s="102">
        <v>4.9000000000000004</v>
      </c>
      <c r="AG38" s="130">
        <v>14.9</v>
      </c>
      <c r="AH38" s="12">
        <f t="shared" si="8"/>
        <v>4.9000000000000004</v>
      </c>
      <c r="AI38" s="11">
        <f t="shared" si="9"/>
        <v>4.9000000000000004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25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/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25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/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25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/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25">
      <c r="A42" s="89" t="s">
        <v>225</v>
      </c>
      <c r="B42" s="102">
        <v>1.8</v>
      </c>
      <c r="C42" s="102">
        <v>1.8</v>
      </c>
      <c r="D42" s="102">
        <v>1.8</v>
      </c>
      <c r="E42" s="102">
        <v>1.8</v>
      </c>
      <c r="F42" s="102">
        <v>1.8</v>
      </c>
      <c r="G42" s="102">
        <v>1.8</v>
      </c>
      <c r="H42" s="102">
        <v>1.8</v>
      </c>
      <c r="I42" s="102">
        <v>1.8</v>
      </c>
      <c r="J42" s="102">
        <v>1.8</v>
      </c>
      <c r="K42" s="102">
        <v>1.8</v>
      </c>
      <c r="L42" s="102">
        <v>1.8</v>
      </c>
      <c r="M42" s="102">
        <v>1.8</v>
      </c>
      <c r="N42" s="102"/>
      <c r="O42" s="102">
        <v>1.8</v>
      </c>
      <c r="P42" s="102">
        <v>1.8</v>
      </c>
      <c r="Q42" s="102">
        <v>1.8</v>
      </c>
      <c r="R42" s="102">
        <v>1.8</v>
      </c>
      <c r="S42" s="102">
        <v>1.8</v>
      </c>
      <c r="T42" s="102">
        <v>1.8</v>
      </c>
      <c r="U42" s="102">
        <v>1.8</v>
      </c>
      <c r="V42" s="102">
        <v>1.8</v>
      </c>
      <c r="W42" s="102">
        <v>1.8</v>
      </c>
      <c r="X42" s="102">
        <v>1.8</v>
      </c>
      <c r="Y42" s="102">
        <v>1.8</v>
      </c>
      <c r="Z42" s="102">
        <v>1.8</v>
      </c>
      <c r="AA42" s="102">
        <v>1.8</v>
      </c>
      <c r="AB42" s="102">
        <v>1.8</v>
      </c>
      <c r="AC42" s="102">
        <v>1.8</v>
      </c>
      <c r="AD42" s="102">
        <v>1.8</v>
      </c>
      <c r="AE42" s="102">
        <v>1.8</v>
      </c>
      <c r="AF42" s="102">
        <v>1.8</v>
      </c>
      <c r="AG42" s="130">
        <v>13.6</v>
      </c>
      <c r="AH42" s="12">
        <f t="shared" si="8"/>
        <v>1.8</v>
      </c>
      <c r="AI42" s="11">
        <f t="shared" si="9"/>
        <v>1.8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25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/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25">
      <c r="A44" s="89" t="s">
        <v>223</v>
      </c>
      <c r="B44" s="102">
        <v>6.4</v>
      </c>
      <c r="C44" s="102">
        <v>6.4</v>
      </c>
      <c r="D44" s="102">
        <v>6.4</v>
      </c>
      <c r="E44" s="102">
        <v>6.4</v>
      </c>
      <c r="F44" s="102">
        <v>6.4</v>
      </c>
      <c r="G44" s="102">
        <v>6.4</v>
      </c>
      <c r="H44" s="102">
        <v>6.4</v>
      </c>
      <c r="I44" s="102">
        <v>6.4</v>
      </c>
      <c r="J44" s="102">
        <v>6.4</v>
      </c>
      <c r="K44" s="102">
        <v>6.4</v>
      </c>
      <c r="L44" s="102">
        <v>6.4</v>
      </c>
      <c r="M44" s="102">
        <v>6.4</v>
      </c>
      <c r="N44" s="102"/>
      <c r="O44" s="102">
        <v>6.4</v>
      </c>
      <c r="P44" s="102">
        <v>6.4</v>
      </c>
      <c r="Q44" s="102">
        <v>6.4</v>
      </c>
      <c r="R44" s="102">
        <v>6.4</v>
      </c>
      <c r="S44" s="102">
        <v>6.4</v>
      </c>
      <c r="T44" s="102">
        <v>6.4</v>
      </c>
      <c r="U44" s="102">
        <v>6.4</v>
      </c>
      <c r="V44" s="102">
        <v>6.4</v>
      </c>
      <c r="W44" s="102">
        <v>6.4</v>
      </c>
      <c r="X44" s="102">
        <v>6.4</v>
      </c>
      <c r="Y44" s="102">
        <v>6.4</v>
      </c>
      <c r="Z44" s="102">
        <v>6.4</v>
      </c>
      <c r="AA44" s="102">
        <v>6.4</v>
      </c>
      <c r="AB44" s="102">
        <v>6.4</v>
      </c>
      <c r="AC44" s="102">
        <v>6.4</v>
      </c>
      <c r="AD44" s="102">
        <v>6.4</v>
      </c>
      <c r="AE44" s="102">
        <v>6.4</v>
      </c>
      <c r="AF44" s="102">
        <v>6.4</v>
      </c>
      <c r="AG44" s="130">
        <v>12</v>
      </c>
      <c r="AH44" s="12">
        <f t="shared" si="8"/>
        <v>6.4</v>
      </c>
      <c r="AI44" s="11">
        <f t="shared" si="9"/>
        <v>6.4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25">
      <c r="A45" s="89" t="s">
        <v>222</v>
      </c>
      <c r="B45" s="102">
        <v>9</v>
      </c>
      <c r="C45" s="102">
        <v>9</v>
      </c>
      <c r="D45" s="102">
        <v>9</v>
      </c>
      <c r="E45" s="102">
        <v>9</v>
      </c>
      <c r="F45" s="102">
        <v>9</v>
      </c>
      <c r="G45" s="102">
        <v>9</v>
      </c>
      <c r="H45" s="102">
        <v>9</v>
      </c>
      <c r="I45" s="102">
        <v>9</v>
      </c>
      <c r="J45" s="102">
        <v>9</v>
      </c>
      <c r="K45" s="102">
        <v>9</v>
      </c>
      <c r="L45" s="102">
        <v>9</v>
      </c>
      <c r="M45" s="102">
        <v>9</v>
      </c>
      <c r="N45" s="102"/>
      <c r="O45" s="102">
        <v>9</v>
      </c>
      <c r="P45" s="102">
        <v>9</v>
      </c>
      <c r="Q45" s="102">
        <v>9</v>
      </c>
      <c r="R45" s="102">
        <v>9</v>
      </c>
      <c r="S45" s="102">
        <v>9</v>
      </c>
      <c r="T45" s="102">
        <v>9</v>
      </c>
      <c r="U45" s="102">
        <v>9</v>
      </c>
      <c r="V45" s="102">
        <v>9</v>
      </c>
      <c r="W45" s="102">
        <v>9</v>
      </c>
      <c r="X45" s="102">
        <v>9</v>
      </c>
      <c r="Y45" s="102">
        <v>9</v>
      </c>
      <c r="Z45" s="102">
        <v>9</v>
      </c>
      <c r="AA45" s="102">
        <v>9</v>
      </c>
      <c r="AB45" s="102">
        <v>9</v>
      </c>
      <c r="AC45" s="102">
        <v>9</v>
      </c>
      <c r="AD45" s="102">
        <v>9</v>
      </c>
      <c r="AE45" s="102">
        <v>9</v>
      </c>
      <c r="AF45" s="102">
        <v>9</v>
      </c>
      <c r="AG45" s="130">
        <v>12</v>
      </c>
      <c r="AH45" s="12">
        <f t="shared" si="8"/>
        <v>9</v>
      </c>
      <c r="AI45" s="11">
        <f t="shared" si="9"/>
        <v>9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25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/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25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/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25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/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25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/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25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/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25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/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25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/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25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/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25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/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25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/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25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.75" thickBot="1" x14ac:dyDescent="0.3">
      <c r="A57" s="124" t="s">
        <v>210</v>
      </c>
      <c r="B57" s="122">
        <v>55.5</v>
      </c>
      <c r="C57" s="122">
        <v>56</v>
      </c>
      <c r="D57" s="122">
        <v>53.5</v>
      </c>
      <c r="E57" s="122">
        <f>20.6+32.9</f>
        <v>53.5</v>
      </c>
      <c r="F57" s="122">
        <f>22.4+35.5</f>
        <v>57.9</v>
      </c>
      <c r="G57" s="122">
        <f>22+34.3</f>
        <v>56.3</v>
      </c>
      <c r="H57" s="122">
        <f>21.5+32.5</f>
        <v>54</v>
      </c>
      <c r="I57" s="122">
        <f>21.2+32.4</f>
        <v>53.599999999999994</v>
      </c>
      <c r="J57" s="122">
        <f>21.2+32.8</f>
        <v>54</v>
      </c>
      <c r="K57" s="123">
        <f>21.2+32.7</f>
        <v>53.900000000000006</v>
      </c>
      <c r="L57" s="123">
        <f>20.4+31.6</f>
        <v>52</v>
      </c>
      <c r="M57" s="123">
        <f>51.2</f>
        <v>51.2</v>
      </c>
      <c r="N57" s="123"/>
      <c r="O57" s="123">
        <f>30.5+18.3</f>
        <v>48.8</v>
      </c>
      <c r="P57" s="123">
        <f>32+20.4</f>
        <v>52.4</v>
      </c>
      <c r="Q57" s="123">
        <f>32.3+20.6</f>
        <v>52.9</v>
      </c>
      <c r="R57" s="123">
        <f>33.6+21.1</f>
        <v>54.7</v>
      </c>
      <c r="S57" s="123">
        <v>53</v>
      </c>
      <c r="T57" s="123">
        <v>53</v>
      </c>
      <c r="U57" s="123">
        <v>49.5</v>
      </c>
      <c r="V57" s="123">
        <v>49.5</v>
      </c>
      <c r="W57" s="123">
        <v>47</v>
      </c>
      <c r="X57" s="123">
        <v>47</v>
      </c>
      <c r="Y57" s="123">
        <v>47</v>
      </c>
      <c r="Z57" s="123">
        <v>47</v>
      </c>
      <c r="AA57" s="123">
        <v>47</v>
      </c>
      <c r="AB57" s="122">
        <f>19+29.1</f>
        <v>48.1</v>
      </c>
      <c r="AC57" s="122">
        <v>48.8</v>
      </c>
      <c r="AD57" s="122">
        <v>51.2</v>
      </c>
      <c r="AE57" s="122">
        <v>51.2</v>
      </c>
      <c r="AF57" s="122">
        <v>51.2</v>
      </c>
      <c r="AG57" s="86">
        <v>240</v>
      </c>
      <c r="AH57" s="12">
        <f t="shared" si="8"/>
        <v>57.9</v>
      </c>
      <c r="AI57" s="11">
        <f t="shared" si="9"/>
        <v>47</v>
      </c>
      <c r="AK57" s="19"/>
    </row>
    <row r="58" spans="1:88" ht="15.75" thickBot="1" x14ac:dyDescent="0.3">
      <c r="A58" s="121" t="s">
        <v>209</v>
      </c>
      <c r="B58" s="76">
        <f>SUM(B11:B56)</f>
        <v>550.69999999999993</v>
      </c>
      <c r="C58" s="76">
        <f t="shared" ref="C58:AB58" si="22">SUM(C11:C56)</f>
        <v>549</v>
      </c>
      <c r="D58" s="76">
        <f t="shared" si="22"/>
        <v>551.89999999999986</v>
      </c>
      <c r="E58" s="76">
        <f t="shared" si="22"/>
        <v>551.59999999999991</v>
      </c>
      <c r="F58" s="76">
        <f t="shared" si="22"/>
        <v>551.59999999999991</v>
      </c>
      <c r="G58" s="76">
        <f t="shared" si="22"/>
        <v>551.59999999999991</v>
      </c>
      <c r="H58" s="76">
        <f t="shared" si="22"/>
        <v>551.59999999999991</v>
      </c>
      <c r="I58" s="76">
        <f t="shared" si="22"/>
        <v>551.59999999999991</v>
      </c>
      <c r="J58" s="76">
        <f t="shared" si="22"/>
        <v>551.59999999999991</v>
      </c>
      <c r="K58" s="76">
        <f t="shared" si="22"/>
        <v>551.59999999999991</v>
      </c>
      <c r="L58" s="76">
        <f t="shared" si="22"/>
        <v>551.59999999999991</v>
      </c>
      <c r="M58" s="76">
        <f t="shared" si="22"/>
        <v>551.19999999999993</v>
      </c>
      <c r="N58" s="76">
        <f t="shared" si="22"/>
        <v>150</v>
      </c>
      <c r="O58" s="76">
        <f t="shared" si="22"/>
        <v>542.89999999999986</v>
      </c>
      <c r="P58" s="76">
        <f t="shared" si="22"/>
        <v>541.59999999999991</v>
      </c>
      <c r="Q58" s="76">
        <f t="shared" si="22"/>
        <v>543.09999999999991</v>
      </c>
      <c r="R58" s="76">
        <f t="shared" si="22"/>
        <v>543.09999999999991</v>
      </c>
      <c r="S58" s="76">
        <f t="shared" si="22"/>
        <v>543.09999999999991</v>
      </c>
      <c r="T58" s="76">
        <f t="shared" si="22"/>
        <v>543.09999999999991</v>
      </c>
      <c r="U58" s="76">
        <f t="shared" si="22"/>
        <v>543.09999999999991</v>
      </c>
      <c r="V58" s="76">
        <f t="shared" ref="V58" si="23">SUM(V11:V56)</f>
        <v>543.09999999999991</v>
      </c>
      <c r="W58" s="76">
        <f t="shared" si="22"/>
        <v>543.09999999999991</v>
      </c>
      <c r="X58" s="76">
        <f t="shared" si="22"/>
        <v>543.09999999999991</v>
      </c>
      <c r="Y58" s="76">
        <f t="shared" si="22"/>
        <v>543.09999999999991</v>
      </c>
      <c r="Z58" s="76">
        <f t="shared" si="22"/>
        <v>543.09999999999991</v>
      </c>
      <c r="AA58" s="76">
        <f t="shared" si="22"/>
        <v>543.09999999999991</v>
      </c>
      <c r="AB58" s="76">
        <f t="shared" si="22"/>
        <v>543.09999999999991</v>
      </c>
      <c r="AC58" s="76">
        <f t="shared" ref="AC58:AD58" si="24">SUM(AC11:AC56)</f>
        <v>543.09999999999991</v>
      </c>
      <c r="AD58" s="76">
        <f t="shared" si="24"/>
        <v>543.09999999999991</v>
      </c>
      <c r="AE58" s="76">
        <f t="shared" ref="AE58:AF58" si="25">SUM(AE11:AE56)</f>
        <v>543.09999999999991</v>
      </c>
      <c r="AF58" s="76">
        <f t="shared" si="25"/>
        <v>543.09999999999991</v>
      </c>
      <c r="AG58" s="93">
        <f>SUM(AG14:AG56)</f>
        <v>1042.4000000000001</v>
      </c>
      <c r="AH58" s="12">
        <f t="shared" si="8"/>
        <v>551.89999999999986</v>
      </c>
      <c r="AI58" s="11">
        <f t="shared" si="9"/>
        <v>150</v>
      </c>
      <c r="AK58" s="19"/>
    </row>
    <row r="59" spans="1:88" x14ac:dyDescent="0.25">
      <c r="A59" s="120" t="s">
        <v>208</v>
      </c>
      <c r="B59" s="102">
        <v>201.2</v>
      </c>
      <c r="C59" s="102">
        <v>201.9</v>
      </c>
      <c r="D59" s="102">
        <v>202</v>
      </c>
      <c r="E59" s="102">
        <v>172</v>
      </c>
      <c r="F59" s="102">
        <v>172.1</v>
      </c>
      <c r="G59" s="102">
        <v>180.8</v>
      </c>
      <c r="H59" s="102">
        <v>205</v>
      </c>
      <c r="I59" s="102">
        <v>280</v>
      </c>
      <c r="J59" s="102">
        <v>0</v>
      </c>
      <c r="K59" s="102">
        <v>0</v>
      </c>
      <c r="L59" s="102">
        <v>0</v>
      </c>
      <c r="M59" s="102">
        <v>0</v>
      </c>
      <c r="N59" s="119"/>
      <c r="O59" s="119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19">
        <v>0</v>
      </c>
      <c r="X59" s="119">
        <v>0</v>
      </c>
      <c r="Y59" s="119">
        <v>0</v>
      </c>
      <c r="Z59" s="102">
        <v>382</v>
      </c>
      <c r="AA59" s="102">
        <v>439</v>
      </c>
      <c r="AB59" s="102">
        <v>373.6</v>
      </c>
      <c r="AC59" s="102">
        <v>321.60000000000002</v>
      </c>
      <c r="AD59" s="102">
        <v>321.60000000000002</v>
      </c>
      <c r="AE59" s="102">
        <v>229.1</v>
      </c>
      <c r="AF59" s="102">
        <v>229.1</v>
      </c>
      <c r="AG59" s="88">
        <v>456</v>
      </c>
      <c r="AH59" s="12">
        <f t="shared" si="8"/>
        <v>439</v>
      </c>
      <c r="AI59" s="11">
        <f t="shared" si="9"/>
        <v>0</v>
      </c>
      <c r="AK59" s="19"/>
    </row>
    <row r="60" spans="1:88" x14ac:dyDescent="0.25">
      <c r="A60" s="118" t="s">
        <v>207</v>
      </c>
      <c r="B60" s="70">
        <v>25</v>
      </c>
      <c r="C60" s="70">
        <v>24.8</v>
      </c>
      <c r="D60" s="70">
        <v>25.6</v>
      </c>
      <c r="E60" s="70">
        <v>25.7</v>
      </c>
      <c r="F60" s="70">
        <v>25.1</v>
      </c>
      <c r="G60" s="70">
        <v>25.2</v>
      </c>
      <c r="H60" s="70">
        <v>25.2</v>
      </c>
      <c r="I60" s="70">
        <v>25</v>
      </c>
      <c r="J60" s="70">
        <v>25.2</v>
      </c>
      <c r="K60" s="70">
        <v>24.6</v>
      </c>
      <c r="L60" s="70">
        <v>25.6</v>
      </c>
      <c r="M60" s="70">
        <v>25.6</v>
      </c>
      <c r="N60" s="70"/>
      <c r="O60" s="70">
        <v>25.6</v>
      </c>
      <c r="P60" s="70">
        <v>25.6</v>
      </c>
      <c r="Q60" s="70">
        <v>25.6</v>
      </c>
      <c r="R60" s="70">
        <v>25.6</v>
      </c>
      <c r="S60" s="70">
        <v>25.6</v>
      </c>
      <c r="T60" s="70">
        <v>25.6</v>
      </c>
      <c r="U60" s="70">
        <v>25.6</v>
      </c>
      <c r="V60" s="70">
        <v>25.6</v>
      </c>
      <c r="W60" s="70">
        <v>25.6</v>
      </c>
      <c r="X60" s="70">
        <v>25.6</v>
      </c>
      <c r="Y60" s="70">
        <v>25.6</v>
      </c>
      <c r="Z60" s="70">
        <v>25.6</v>
      </c>
      <c r="AA60" s="70">
        <v>25.6</v>
      </c>
      <c r="AB60" s="70">
        <v>22.7</v>
      </c>
      <c r="AC60" s="70">
        <v>22.7</v>
      </c>
      <c r="AD60" s="70">
        <v>22.7</v>
      </c>
      <c r="AE60" s="70">
        <v>22.7</v>
      </c>
      <c r="AF60" s="70">
        <v>22.7</v>
      </c>
      <c r="AG60" s="86">
        <v>60</v>
      </c>
      <c r="AH60" s="12">
        <f t="shared" si="8"/>
        <v>25.7</v>
      </c>
      <c r="AI60" s="11">
        <f t="shared" si="9"/>
        <v>22.7</v>
      </c>
      <c r="AK60" s="19"/>
    </row>
    <row r="61" spans="1:88" ht="15.75" thickBot="1" x14ac:dyDescent="0.3">
      <c r="A61" s="117" t="s">
        <v>206</v>
      </c>
      <c r="B61" s="110">
        <v>21.5</v>
      </c>
      <c r="C61" s="110">
        <v>19</v>
      </c>
      <c r="D61" s="110">
        <v>19</v>
      </c>
      <c r="E61" s="110">
        <v>17.7</v>
      </c>
      <c r="F61" s="110">
        <v>15.3</v>
      </c>
      <c r="G61" s="110">
        <v>15.3</v>
      </c>
      <c r="H61" s="110">
        <v>15.3</v>
      </c>
      <c r="I61" s="110">
        <v>15.3</v>
      </c>
      <c r="J61" s="110">
        <v>17.2</v>
      </c>
      <c r="K61" s="110">
        <v>17.2</v>
      </c>
      <c r="L61" s="110">
        <v>17.2</v>
      </c>
      <c r="M61" s="110">
        <v>18.8</v>
      </c>
      <c r="N61" s="110"/>
      <c r="O61" s="110">
        <v>18.8</v>
      </c>
      <c r="P61" s="110">
        <v>18.8</v>
      </c>
      <c r="Q61" s="110">
        <v>13.2</v>
      </c>
      <c r="R61" s="110">
        <v>13.2</v>
      </c>
      <c r="S61" s="110">
        <v>13.2</v>
      </c>
      <c r="T61" s="110">
        <v>13.2</v>
      </c>
      <c r="U61" s="110">
        <v>13.2</v>
      </c>
      <c r="V61" s="110">
        <v>13.2</v>
      </c>
      <c r="W61" s="110">
        <v>13.2</v>
      </c>
      <c r="X61" s="110">
        <v>13.2</v>
      </c>
      <c r="Y61" s="110">
        <v>13.2</v>
      </c>
      <c r="Z61" s="110">
        <v>21</v>
      </c>
      <c r="AA61" s="110">
        <v>19</v>
      </c>
      <c r="AB61" s="110">
        <v>18.899999999999999</v>
      </c>
      <c r="AC61" s="110">
        <v>18.899999999999999</v>
      </c>
      <c r="AD61" s="110">
        <v>18.899999999999999</v>
      </c>
      <c r="AE61" s="110">
        <v>18.899999999999999</v>
      </c>
      <c r="AF61" s="110">
        <v>18.899999999999999</v>
      </c>
      <c r="AG61" s="109">
        <v>22.1</v>
      </c>
      <c r="AH61" s="12">
        <f t="shared" si="8"/>
        <v>21.5</v>
      </c>
      <c r="AI61" s="11">
        <f t="shared" si="9"/>
        <v>13.2</v>
      </c>
      <c r="AK61" s="19"/>
    </row>
    <row r="62" spans="1:88" ht="15.75" thickBot="1" x14ac:dyDescent="0.3">
      <c r="A62" s="116" t="s">
        <v>205</v>
      </c>
      <c r="B62" s="76">
        <f>SUM(B59:B61)</f>
        <v>247.7</v>
      </c>
      <c r="C62" s="76">
        <f t="shared" ref="C62:AG62" si="26">SUM(C59:C61)</f>
        <v>245.70000000000002</v>
      </c>
      <c r="D62" s="76">
        <f t="shared" si="26"/>
        <v>246.6</v>
      </c>
      <c r="E62" s="76">
        <f t="shared" si="26"/>
        <v>215.39999999999998</v>
      </c>
      <c r="F62" s="76">
        <f t="shared" si="26"/>
        <v>212.5</v>
      </c>
      <c r="G62" s="76">
        <f t="shared" si="26"/>
        <v>221.3</v>
      </c>
      <c r="H62" s="76">
        <f t="shared" si="26"/>
        <v>245.5</v>
      </c>
      <c r="I62" s="76">
        <f t="shared" si="26"/>
        <v>320.3</v>
      </c>
      <c r="J62" s="76">
        <f t="shared" si="26"/>
        <v>42.4</v>
      </c>
      <c r="K62" s="76">
        <f t="shared" si="26"/>
        <v>41.8</v>
      </c>
      <c r="L62" s="76">
        <f t="shared" si="26"/>
        <v>42.8</v>
      </c>
      <c r="M62" s="76">
        <f t="shared" si="26"/>
        <v>44.400000000000006</v>
      </c>
      <c r="N62" s="76">
        <f t="shared" si="26"/>
        <v>0</v>
      </c>
      <c r="O62" s="76">
        <f t="shared" si="26"/>
        <v>44.400000000000006</v>
      </c>
      <c r="P62" s="76">
        <f t="shared" si="26"/>
        <v>44.400000000000006</v>
      </c>
      <c r="Q62" s="76">
        <f t="shared" si="26"/>
        <v>38.799999999999997</v>
      </c>
      <c r="R62" s="76">
        <f t="shared" si="26"/>
        <v>38.799999999999997</v>
      </c>
      <c r="S62" s="76">
        <f t="shared" si="26"/>
        <v>38.799999999999997</v>
      </c>
      <c r="T62" s="76">
        <f t="shared" si="26"/>
        <v>38.799999999999997</v>
      </c>
      <c r="U62" s="76">
        <f t="shared" si="26"/>
        <v>38.799999999999997</v>
      </c>
      <c r="V62" s="76">
        <f t="shared" si="26"/>
        <v>38.799999999999997</v>
      </c>
      <c r="W62" s="76">
        <f t="shared" si="26"/>
        <v>38.799999999999997</v>
      </c>
      <c r="X62" s="76">
        <f t="shared" si="26"/>
        <v>38.799999999999997</v>
      </c>
      <c r="Y62" s="76">
        <f t="shared" si="26"/>
        <v>38.799999999999997</v>
      </c>
      <c r="Z62" s="76">
        <f t="shared" si="26"/>
        <v>428.6</v>
      </c>
      <c r="AA62" s="76">
        <f t="shared" si="26"/>
        <v>483.6</v>
      </c>
      <c r="AB62" s="76">
        <f t="shared" si="26"/>
        <v>415.2</v>
      </c>
      <c r="AC62" s="76">
        <f t="shared" si="26"/>
        <v>363.2</v>
      </c>
      <c r="AD62" s="76">
        <f t="shared" si="26"/>
        <v>363.2</v>
      </c>
      <c r="AE62" s="76">
        <f t="shared" si="26"/>
        <v>270.7</v>
      </c>
      <c r="AF62" s="76">
        <f t="shared" si="26"/>
        <v>270.7</v>
      </c>
      <c r="AG62" s="93">
        <f t="shared" si="26"/>
        <v>538.1</v>
      </c>
      <c r="AH62" s="12">
        <f t="shared" si="8"/>
        <v>483.6</v>
      </c>
      <c r="AI62" s="11">
        <f t="shared" si="9"/>
        <v>0</v>
      </c>
      <c r="AK62" s="19"/>
    </row>
    <row r="63" spans="1:88" x14ac:dyDescent="0.25">
      <c r="A63" s="89" t="s">
        <v>204</v>
      </c>
      <c r="B63" s="102">
        <v>115</v>
      </c>
      <c r="C63" s="102">
        <v>61</v>
      </c>
      <c r="D63" s="102">
        <v>30.5</v>
      </c>
      <c r="E63" s="102">
        <v>30.3</v>
      </c>
      <c r="F63" s="102">
        <v>30.4</v>
      </c>
      <c r="G63" s="102">
        <v>31</v>
      </c>
      <c r="H63" s="102">
        <v>30.4</v>
      </c>
      <c r="I63" s="102">
        <v>31.1</v>
      </c>
      <c r="J63" s="102">
        <v>62.3</v>
      </c>
      <c r="K63" s="102">
        <v>61.6</v>
      </c>
      <c r="L63" s="102">
        <v>60.6</v>
      </c>
      <c r="M63" s="102">
        <v>61.3</v>
      </c>
      <c r="N63" s="102"/>
      <c r="O63" s="102">
        <v>60.6</v>
      </c>
      <c r="P63" s="102">
        <v>66.8</v>
      </c>
      <c r="Q63" s="102">
        <v>61.1</v>
      </c>
      <c r="R63" s="102">
        <v>48.5</v>
      </c>
      <c r="S63" s="102">
        <v>30.6</v>
      </c>
      <c r="T63" s="102">
        <v>40</v>
      </c>
      <c r="U63" s="102">
        <v>61.1</v>
      </c>
      <c r="V63" s="102">
        <v>60.6</v>
      </c>
      <c r="W63" s="102">
        <v>60.6</v>
      </c>
      <c r="X63" s="102">
        <v>85.5</v>
      </c>
      <c r="Y63" s="102">
        <v>132.5</v>
      </c>
      <c r="Z63" s="102">
        <v>144</v>
      </c>
      <c r="AA63" s="102">
        <v>135</v>
      </c>
      <c r="AB63" s="102">
        <v>126.6</v>
      </c>
      <c r="AC63" s="102">
        <v>144.80000000000001</v>
      </c>
      <c r="AD63" s="102">
        <v>121.5</v>
      </c>
      <c r="AE63" s="102">
        <v>143</v>
      </c>
      <c r="AF63" s="102">
        <v>143</v>
      </c>
      <c r="AG63" s="88">
        <v>144</v>
      </c>
      <c r="AH63" s="12">
        <f t="shared" si="8"/>
        <v>144.80000000000001</v>
      </c>
      <c r="AI63" s="11">
        <f t="shared" si="9"/>
        <v>30.3</v>
      </c>
      <c r="AK63" s="19"/>
    </row>
    <row r="64" spans="1:88" x14ac:dyDescent="0.25">
      <c r="A64" s="87" t="s">
        <v>203</v>
      </c>
      <c r="B64" s="70">
        <v>49</v>
      </c>
      <c r="C64" s="70">
        <v>29.3</v>
      </c>
      <c r="D64" s="70">
        <v>29.9</v>
      </c>
      <c r="E64" s="70">
        <v>23.2</v>
      </c>
      <c r="F64" s="70">
        <v>22.8</v>
      </c>
      <c r="G64" s="70">
        <v>34.9</v>
      </c>
      <c r="H64" s="70">
        <v>46.7</v>
      </c>
      <c r="I64" s="70">
        <v>46</v>
      </c>
      <c r="J64" s="70">
        <v>46.7</v>
      </c>
      <c r="K64" s="70">
        <v>46</v>
      </c>
      <c r="L64" s="70">
        <v>35</v>
      </c>
      <c r="M64" s="70">
        <v>35.1</v>
      </c>
      <c r="N64" s="70"/>
      <c r="O64" s="70">
        <v>54.5</v>
      </c>
      <c r="P64" s="70">
        <v>61.3</v>
      </c>
      <c r="Q64" s="70">
        <v>51.5</v>
      </c>
      <c r="R64" s="70">
        <v>24.5</v>
      </c>
      <c r="S64" s="70">
        <v>34.6</v>
      </c>
      <c r="T64" s="70">
        <v>31</v>
      </c>
      <c r="U64" s="70">
        <v>34.799999999999997</v>
      </c>
      <c r="V64" s="70">
        <v>34.799999999999997</v>
      </c>
      <c r="W64" s="70">
        <v>34.799999999999997</v>
      </c>
      <c r="X64" s="70">
        <v>34.799999999999997</v>
      </c>
      <c r="Y64" s="70">
        <v>58.1</v>
      </c>
      <c r="Z64" s="102">
        <v>68</v>
      </c>
      <c r="AA64" s="102">
        <v>49.7</v>
      </c>
      <c r="AB64" s="102">
        <v>49.6</v>
      </c>
      <c r="AC64" s="102">
        <v>70</v>
      </c>
      <c r="AD64" s="102">
        <v>46.3</v>
      </c>
      <c r="AE64" s="102">
        <v>69.099999999999994</v>
      </c>
      <c r="AF64" s="102">
        <v>51.4</v>
      </c>
      <c r="AG64" s="86">
        <v>70</v>
      </c>
      <c r="AH64" s="12">
        <f t="shared" si="8"/>
        <v>70</v>
      </c>
      <c r="AI64" s="11">
        <f t="shared" si="9"/>
        <v>22.8</v>
      </c>
      <c r="AK64" s="19"/>
    </row>
    <row r="65" spans="1:75" x14ac:dyDescent="0.25">
      <c r="A65" s="87" t="s">
        <v>202</v>
      </c>
      <c r="B65" s="70">
        <v>50.6</v>
      </c>
      <c r="C65" s="70">
        <v>32.5</v>
      </c>
      <c r="D65" s="70">
        <v>32.6</v>
      </c>
      <c r="E65" s="70">
        <v>32</v>
      </c>
      <c r="F65" s="70">
        <v>32.1</v>
      </c>
      <c r="G65" s="70">
        <v>40.5</v>
      </c>
      <c r="H65" s="70">
        <v>53.5</v>
      </c>
      <c r="I65" s="70">
        <v>60.6</v>
      </c>
      <c r="J65" s="70">
        <v>60.3</v>
      </c>
      <c r="K65" s="70">
        <v>51.3</v>
      </c>
      <c r="L65" s="70">
        <v>40.700000000000003</v>
      </c>
      <c r="M65" s="70">
        <v>40</v>
      </c>
      <c r="N65" s="70"/>
      <c r="O65" s="70">
        <v>50.5</v>
      </c>
      <c r="P65" s="70">
        <v>50.5</v>
      </c>
      <c r="Q65" s="70">
        <v>60.4</v>
      </c>
      <c r="R65" s="70">
        <v>17.3</v>
      </c>
      <c r="S65" s="70">
        <v>22.6</v>
      </c>
      <c r="T65" s="70">
        <v>22.6</v>
      </c>
      <c r="U65" s="70">
        <v>22.6</v>
      </c>
      <c r="V65" s="70">
        <v>15</v>
      </c>
      <c r="W65" s="70">
        <v>0</v>
      </c>
      <c r="X65" s="70">
        <v>19</v>
      </c>
      <c r="Y65" s="70">
        <v>56</v>
      </c>
      <c r="Z65" s="102">
        <v>70</v>
      </c>
      <c r="AA65" s="102">
        <v>69</v>
      </c>
      <c r="AB65" s="102">
        <v>57.4</v>
      </c>
      <c r="AC65" s="102">
        <v>65.7</v>
      </c>
      <c r="AD65" s="102">
        <v>49</v>
      </c>
      <c r="AE65" s="102">
        <v>52</v>
      </c>
      <c r="AF65" s="102">
        <v>32.299999999999997</v>
      </c>
      <c r="AG65" s="86">
        <v>69</v>
      </c>
      <c r="AH65" s="12">
        <f t="shared" si="8"/>
        <v>70</v>
      </c>
      <c r="AI65" s="11">
        <f t="shared" si="9"/>
        <v>0</v>
      </c>
      <c r="AK65" s="19"/>
    </row>
    <row r="66" spans="1:75" x14ac:dyDescent="0.25">
      <c r="A66" s="87" t="s">
        <v>201</v>
      </c>
      <c r="B66" s="70">
        <v>55.9</v>
      </c>
      <c r="C66" s="70">
        <v>55.7</v>
      </c>
      <c r="D66" s="70">
        <v>60.9</v>
      </c>
      <c r="E66" s="70">
        <v>60.4</v>
      </c>
      <c r="F66" s="70">
        <v>60.4</v>
      </c>
      <c r="G66" s="70">
        <v>60.4</v>
      </c>
      <c r="H66" s="70">
        <v>60.4</v>
      </c>
      <c r="I66" s="70">
        <v>60.7</v>
      </c>
      <c r="J66" s="70">
        <v>58.7</v>
      </c>
      <c r="K66" s="122">
        <v>58.7</v>
      </c>
      <c r="L66" s="122">
        <v>56.2</v>
      </c>
      <c r="M66" s="70">
        <v>56.4</v>
      </c>
      <c r="N66" s="70"/>
      <c r="O66" s="70">
        <v>58</v>
      </c>
      <c r="P66" s="70">
        <v>52.1</v>
      </c>
      <c r="Q66" s="70">
        <v>52.4</v>
      </c>
      <c r="R66" s="70">
        <v>51.9</v>
      </c>
      <c r="S66" s="70">
        <v>48</v>
      </c>
      <c r="T66" s="70">
        <v>46</v>
      </c>
      <c r="U66" s="70">
        <v>50.4</v>
      </c>
      <c r="V66" s="70">
        <v>48</v>
      </c>
      <c r="W66" s="70">
        <v>48</v>
      </c>
      <c r="X66" s="70">
        <v>48</v>
      </c>
      <c r="Y66" s="70">
        <v>48</v>
      </c>
      <c r="Z66" s="102">
        <v>50.4</v>
      </c>
      <c r="AA66" s="102">
        <v>50.4</v>
      </c>
      <c r="AB66" s="102">
        <v>51.1</v>
      </c>
      <c r="AC66" s="102">
        <v>53.4</v>
      </c>
      <c r="AD66" s="102">
        <v>53.2</v>
      </c>
      <c r="AE66" s="102">
        <v>50.6</v>
      </c>
      <c r="AF66" s="102">
        <v>50.6</v>
      </c>
      <c r="AG66" s="86">
        <v>60</v>
      </c>
      <c r="AH66" s="12">
        <f t="shared" si="8"/>
        <v>60.9</v>
      </c>
      <c r="AI66" s="11">
        <f t="shared" si="9"/>
        <v>46</v>
      </c>
      <c r="AK66" s="19"/>
    </row>
    <row r="67" spans="1:75" x14ac:dyDescent="0.25">
      <c r="A67" s="87" t="s">
        <v>200</v>
      </c>
      <c r="B67" s="102">
        <v>0</v>
      </c>
      <c r="C67" s="102">
        <v>10</v>
      </c>
      <c r="D67" s="102">
        <v>10</v>
      </c>
      <c r="E67" s="70">
        <v>10.3</v>
      </c>
      <c r="F67" s="70">
        <v>10.199999999999999</v>
      </c>
      <c r="G67" s="70">
        <v>15.2</v>
      </c>
      <c r="H67" s="70">
        <v>15</v>
      </c>
      <c r="I67" s="70" t="s">
        <v>123</v>
      </c>
      <c r="J67" s="70">
        <v>23.6</v>
      </c>
      <c r="K67" s="70">
        <v>11.9</v>
      </c>
      <c r="L67" s="122">
        <v>10.1</v>
      </c>
      <c r="M67" s="70">
        <v>10.199999999999999</v>
      </c>
      <c r="N67" s="70"/>
      <c r="O67" s="70">
        <v>10.3</v>
      </c>
      <c r="P67" s="70">
        <v>10.199999999999999</v>
      </c>
      <c r="Q67" s="70">
        <v>13.3</v>
      </c>
      <c r="R67" s="70">
        <v>13</v>
      </c>
      <c r="S67" s="70">
        <v>13</v>
      </c>
      <c r="T67" s="70">
        <v>10</v>
      </c>
      <c r="U67" s="70">
        <v>10</v>
      </c>
      <c r="V67" s="70">
        <v>21</v>
      </c>
      <c r="W67" s="70">
        <v>0</v>
      </c>
      <c r="X67" s="70">
        <v>9.8000000000000007</v>
      </c>
      <c r="Y67" s="70">
        <v>9.8000000000000007</v>
      </c>
      <c r="Z67" s="102">
        <v>23.4</v>
      </c>
      <c r="AA67" s="102">
        <v>23.4</v>
      </c>
      <c r="AB67" s="102">
        <v>22.7</v>
      </c>
      <c r="AC67" s="102">
        <v>22.4</v>
      </c>
      <c r="AD67" s="102">
        <v>23.2</v>
      </c>
      <c r="AE67" s="102">
        <v>23</v>
      </c>
      <c r="AF67" s="102">
        <v>14.6</v>
      </c>
      <c r="AG67" s="86">
        <v>30</v>
      </c>
      <c r="AH67" s="12">
        <f t="shared" si="8"/>
        <v>23.6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25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0.2</v>
      </c>
      <c r="J68" s="102">
        <v>0.7</v>
      </c>
      <c r="K68" s="102">
        <v>1.5</v>
      </c>
      <c r="L68" s="70">
        <v>3.3</v>
      </c>
      <c r="M68" s="70">
        <v>1.7</v>
      </c>
      <c r="N68" s="70"/>
      <c r="O68" s="70">
        <v>5.2</v>
      </c>
      <c r="P68" s="70">
        <v>13.8</v>
      </c>
      <c r="Q68" s="70">
        <v>14.7</v>
      </c>
      <c r="R68" s="70">
        <v>13.9</v>
      </c>
      <c r="S68" s="70">
        <v>10.7</v>
      </c>
      <c r="T68" s="70">
        <v>8.6</v>
      </c>
      <c r="U68" s="70">
        <v>4.9000000000000004</v>
      </c>
      <c r="V68" s="70">
        <v>2</v>
      </c>
      <c r="W68" s="70">
        <v>0.4</v>
      </c>
      <c r="X68" s="70">
        <v>0.2</v>
      </c>
      <c r="Y68" s="70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14.7</v>
      </c>
      <c r="AI68" s="11">
        <f t="shared" si="9"/>
        <v>0</v>
      </c>
      <c r="AK68" s="19"/>
      <c r="AY68" s="1" t="s">
        <v>198</v>
      </c>
      <c r="AZ68" s="78">
        <f>ROUND(C81,0)</f>
        <v>21</v>
      </c>
      <c r="BA68" s="83">
        <f t="shared" ref="BA68:BD72" si="27">D81</f>
        <v>18.600000000000001</v>
      </c>
      <c r="BB68" s="83">
        <f t="shared" si="27"/>
        <v>13.1</v>
      </c>
      <c r="BC68" s="83">
        <f t="shared" si="27"/>
        <v>11.4</v>
      </c>
      <c r="BD68" s="83">
        <f t="shared" si="27"/>
        <v>17.7</v>
      </c>
      <c r="BE68" s="78">
        <f>I81</f>
        <v>15.7</v>
      </c>
      <c r="BF68" s="78">
        <f>K81</f>
        <v>62.5</v>
      </c>
      <c r="BG68" s="78">
        <f t="shared" ref="BG68:BP72" si="28">M81</f>
        <v>57</v>
      </c>
      <c r="BH68" s="78">
        <f t="shared" si="28"/>
        <v>0</v>
      </c>
      <c r="BI68" s="78">
        <f t="shared" si="28"/>
        <v>53.9</v>
      </c>
      <c r="BJ68" s="78">
        <f t="shared" si="28"/>
        <v>69.5</v>
      </c>
      <c r="BK68" s="78">
        <f t="shared" si="28"/>
        <v>59.4</v>
      </c>
      <c r="BL68" s="78">
        <f t="shared" si="28"/>
        <v>65.7</v>
      </c>
      <c r="BM68" s="78">
        <f t="shared" si="28"/>
        <v>68.7</v>
      </c>
      <c r="BN68" s="78">
        <f t="shared" si="28"/>
        <v>56.2</v>
      </c>
      <c r="BO68" s="78">
        <f t="shared" si="28"/>
        <v>42.4</v>
      </c>
      <c r="BP68" s="78">
        <f t="shared" si="28"/>
        <v>61.8</v>
      </c>
      <c r="BQ68" s="78">
        <f>X81</f>
        <v>50.6</v>
      </c>
      <c r="BR68" s="78">
        <f>Z81</f>
        <v>10.8</v>
      </c>
      <c r="BS68" s="83">
        <f>AB81</f>
        <v>11.1</v>
      </c>
      <c r="BT68" s="83">
        <f t="shared" ref="BT68:BV72" si="29">AD81</f>
        <v>10.6</v>
      </c>
      <c r="BU68" s="83">
        <f t="shared" si="29"/>
        <v>9</v>
      </c>
      <c r="BV68" s="83">
        <f t="shared" si="29"/>
        <v>13.9</v>
      </c>
      <c r="BW68" s="83">
        <f>B81</f>
        <v>35.299999999999997</v>
      </c>
    </row>
    <row r="69" spans="1:75" x14ac:dyDescent="0.25">
      <c r="A69" s="87" t="s">
        <v>197</v>
      </c>
      <c r="B69" s="70">
        <v>15</v>
      </c>
      <c r="C69" s="70">
        <v>15</v>
      </c>
      <c r="D69" s="70">
        <v>15</v>
      </c>
      <c r="E69" s="70">
        <v>15</v>
      </c>
      <c r="F69" s="70">
        <v>15</v>
      </c>
      <c r="G69" s="70">
        <v>15</v>
      </c>
      <c r="H69" s="70">
        <v>15</v>
      </c>
      <c r="I69" s="70">
        <v>15</v>
      </c>
      <c r="J69" s="70">
        <v>15</v>
      </c>
      <c r="K69" s="70">
        <v>15</v>
      </c>
      <c r="L69" s="70">
        <v>15</v>
      </c>
      <c r="M69" s="70">
        <v>15</v>
      </c>
      <c r="N69" s="70"/>
      <c r="O69" s="70">
        <v>15</v>
      </c>
      <c r="P69" s="70">
        <v>15</v>
      </c>
      <c r="Q69" s="70">
        <v>15</v>
      </c>
      <c r="R69" s="70">
        <v>15</v>
      </c>
      <c r="S69" s="70">
        <v>15</v>
      </c>
      <c r="T69" s="70">
        <v>15</v>
      </c>
      <c r="U69" s="70">
        <v>15</v>
      </c>
      <c r="V69" s="70">
        <v>15</v>
      </c>
      <c r="W69" s="70">
        <v>15</v>
      </c>
      <c r="X69" s="70">
        <v>15</v>
      </c>
      <c r="Y69" s="70">
        <v>15</v>
      </c>
      <c r="Z69" s="70">
        <v>15</v>
      </c>
      <c r="AA69" s="70">
        <v>15</v>
      </c>
      <c r="AB69" s="70">
        <v>15</v>
      </c>
      <c r="AC69" s="70">
        <v>15</v>
      </c>
      <c r="AD69" s="70">
        <v>15</v>
      </c>
      <c r="AE69" s="70">
        <v>15</v>
      </c>
      <c r="AF69" s="70">
        <v>15</v>
      </c>
      <c r="AG69" s="86">
        <v>24</v>
      </c>
      <c r="AH69" s="12">
        <f t="shared" si="8"/>
        <v>15</v>
      </c>
      <c r="AI69" s="11">
        <f t="shared" si="9"/>
        <v>15</v>
      </c>
      <c r="AK69" s="19"/>
      <c r="AY69" s="1" t="s">
        <v>196</v>
      </c>
      <c r="AZ69" s="78">
        <f>ROUND(C82,0)</f>
        <v>0</v>
      </c>
      <c r="BA69" s="83">
        <f t="shared" si="27"/>
        <v>0</v>
      </c>
      <c r="BB69" s="83">
        <f t="shared" si="27"/>
        <v>0</v>
      </c>
      <c r="BC69" s="83">
        <f t="shared" si="27"/>
        <v>0</v>
      </c>
      <c r="BD69" s="83">
        <f t="shared" si="27"/>
        <v>0</v>
      </c>
      <c r="BE69" s="78">
        <f>I82</f>
        <v>0</v>
      </c>
      <c r="BF69" s="78">
        <f>K82</f>
        <v>0</v>
      </c>
      <c r="BG69" s="78">
        <f t="shared" si="28"/>
        <v>0</v>
      </c>
      <c r="BH69" s="78">
        <f t="shared" si="28"/>
        <v>0</v>
      </c>
      <c r="BI69" s="78">
        <f t="shared" si="28"/>
        <v>0</v>
      </c>
      <c r="BJ69" s="78">
        <f t="shared" si="28"/>
        <v>0</v>
      </c>
      <c r="BK69" s="78">
        <f t="shared" si="28"/>
        <v>0</v>
      </c>
      <c r="BL69" s="78">
        <f t="shared" si="28"/>
        <v>0</v>
      </c>
      <c r="BM69" s="78">
        <f t="shared" si="28"/>
        <v>0</v>
      </c>
      <c r="BN69" s="78">
        <f t="shared" si="28"/>
        <v>0</v>
      </c>
      <c r="BO69" s="78">
        <f t="shared" si="28"/>
        <v>0</v>
      </c>
      <c r="BP69" s="78">
        <f t="shared" si="28"/>
        <v>0</v>
      </c>
      <c r="BQ69" s="78">
        <f>X82</f>
        <v>0</v>
      </c>
      <c r="BR69" s="78">
        <f>Z82</f>
        <v>0</v>
      </c>
      <c r="BS69" s="83">
        <f>AB82</f>
        <v>0</v>
      </c>
      <c r="BT69" s="83">
        <f t="shared" si="29"/>
        <v>0</v>
      </c>
      <c r="BU69" s="83">
        <f t="shared" si="29"/>
        <v>0</v>
      </c>
      <c r="BV69" s="83">
        <f t="shared" si="29"/>
        <v>0</v>
      </c>
      <c r="BW69" s="83">
        <f>B82</f>
        <v>0</v>
      </c>
    </row>
    <row r="70" spans="1:75" x14ac:dyDescent="0.25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/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2</v>
      </c>
      <c r="BA70" s="83">
        <f t="shared" si="27"/>
        <v>2.2999999999999998</v>
      </c>
      <c r="BB70" s="83">
        <f t="shared" si="27"/>
        <v>1.1000000000000001</v>
      </c>
      <c r="BC70" s="83">
        <f t="shared" si="27"/>
        <v>4.7</v>
      </c>
      <c r="BD70" s="83">
        <f t="shared" si="27"/>
        <v>0.4</v>
      </c>
      <c r="BE70" s="78">
        <f>I83</f>
        <v>0</v>
      </c>
      <c r="BF70" s="78">
        <f>K83</f>
        <v>479.9</v>
      </c>
      <c r="BG70" s="78">
        <f t="shared" si="28"/>
        <v>485</v>
      </c>
      <c r="BH70" s="78">
        <f t="shared" si="28"/>
        <v>0</v>
      </c>
      <c r="BI70" s="78">
        <f t="shared" si="28"/>
        <v>418</v>
      </c>
      <c r="BJ70" s="78">
        <f t="shared" si="28"/>
        <v>410.2</v>
      </c>
      <c r="BK70" s="78">
        <f t="shared" si="28"/>
        <v>425.7</v>
      </c>
      <c r="BL70" s="78">
        <f t="shared" si="28"/>
        <v>411.7</v>
      </c>
      <c r="BM70" s="78">
        <f t="shared" si="28"/>
        <v>520.1</v>
      </c>
      <c r="BN70" s="78">
        <f t="shared" si="28"/>
        <v>520.20000000000005</v>
      </c>
      <c r="BO70" s="78">
        <f t="shared" si="28"/>
        <v>510.1</v>
      </c>
      <c r="BP70" s="78">
        <f t="shared" si="28"/>
        <v>492</v>
      </c>
      <c r="BQ70" s="78">
        <f>X83</f>
        <v>394</v>
      </c>
      <c r="BR70" s="78">
        <f>Z83</f>
        <v>70</v>
      </c>
      <c r="BS70" s="83">
        <f>AB83</f>
        <v>35.5</v>
      </c>
      <c r="BT70" s="83">
        <f t="shared" si="29"/>
        <v>16.2</v>
      </c>
      <c r="BU70" s="83">
        <f t="shared" si="29"/>
        <v>21.8</v>
      </c>
      <c r="BV70" s="83">
        <f t="shared" si="29"/>
        <v>13.1</v>
      </c>
      <c r="BW70" s="83">
        <f>B83</f>
        <v>0.9</v>
      </c>
    </row>
    <row r="71" spans="1:75" s="115" customFormat="1" x14ac:dyDescent="0.25">
      <c r="A71" s="87" t="s">
        <v>193</v>
      </c>
      <c r="B71" s="70">
        <v>13.4</v>
      </c>
      <c r="C71" s="70">
        <v>13.6</v>
      </c>
      <c r="D71" s="70">
        <v>13.8</v>
      </c>
      <c r="E71" s="70">
        <v>13.8</v>
      </c>
      <c r="F71" s="70">
        <v>13.8</v>
      </c>
      <c r="G71" s="70">
        <v>13.8</v>
      </c>
      <c r="H71" s="70">
        <v>13.8</v>
      </c>
      <c r="I71" s="70">
        <v>13.8</v>
      </c>
      <c r="J71" s="70">
        <v>13.8</v>
      </c>
      <c r="K71" s="70">
        <v>13.8</v>
      </c>
      <c r="L71" s="70">
        <v>13.8</v>
      </c>
      <c r="M71" s="70">
        <v>13.8</v>
      </c>
      <c r="N71" s="70"/>
      <c r="O71" s="70">
        <v>13.8</v>
      </c>
      <c r="P71" s="70">
        <v>13.8</v>
      </c>
      <c r="Q71" s="70">
        <v>13.8</v>
      </c>
      <c r="R71" s="70">
        <v>13.8</v>
      </c>
      <c r="S71" s="70">
        <v>13.8</v>
      </c>
      <c r="T71" s="70">
        <v>13.8</v>
      </c>
      <c r="U71" s="70">
        <v>11.8</v>
      </c>
      <c r="V71" s="70">
        <v>11.8</v>
      </c>
      <c r="W71" s="70">
        <v>11.8</v>
      </c>
      <c r="X71" s="70">
        <v>12.6</v>
      </c>
      <c r="Y71" s="70">
        <v>12.6</v>
      </c>
      <c r="Z71" s="70">
        <v>12.6</v>
      </c>
      <c r="AA71" s="70">
        <v>12.6</v>
      </c>
      <c r="AB71" s="70">
        <v>12.6</v>
      </c>
      <c r="AC71" s="70">
        <v>12.6</v>
      </c>
      <c r="AD71" s="70">
        <v>12.6</v>
      </c>
      <c r="AE71" s="70">
        <v>12.6</v>
      </c>
      <c r="AF71" s="70">
        <v>12.6</v>
      </c>
      <c r="AG71" s="86">
        <v>14.1</v>
      </c>
      <c r="AH71" s="12">
        <f t="shared" si="8"/>
        <v>13.8</v>
      </c>
      <c r="AI71" s="11">
        <f t="shared" si="9"/>
        <v>11.8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27"/>
        <v>0</v>
      </c>
      <c r="BB71" s="83">
        <f t="shared" si="27"/>
        <v>0</v>
      </c>
      <c r="BC71" s="83">
        <f t="shared" si="27"/>
        <v>0</v>
      </c>
      <c r="BD71" s="83">
        <f t="shared" si="27"/>
        <v>0</v>
      </c>
      <c r="BE71" s="78">
        <f>I84</f>
        <v>0</v>
      </c>
      <c r="BF71" s="78">
        <f>K84</f>
        <v>36.6</v>
      </c>
      <c r="BG71" s="78">
        <f t="shared" si="28"/>
        <v>40.799999999999997</v>
      </c>
      <c r="BH71" s="78">
        <f t="shared" si="28"/>
        <v>0</v>
      </c>
      <c r="BI71" s="78">
        <f t="shared" si="28"/>
        <v>40.799999999999997</v>
      </c>
      <c r="BJ71" s="78">
        <f t="shared" si="28"/>
        <v>45.2</v>
      </c>
      <c r="BK71" s="78">
        <f t="shared" si="28"/>
        <v>31.2</v>
      </c>
      <c r="BL71" s="78">
        <f t="shared" si="28"/>
        <v>33.5</v>
      </c>
      <c r="BM71" s="78">
        <f t="shared" si="28"/>
        <v>39.4</v>
      </c>
      <c r="BN71" s="78">
        <f t="shared" si="28"/>
        <v>43</v>
      </c>
      <c r="BO71" s="78">
        <f t="shared" si="28"/>
        <v>45.8</v>
      </c>
      <c r="BP71" s="78">
        <f t="shared" si="28"/>
        <v>39</v>
      </c>
      <c r="BQ71" s="78">
        <f>X84</f>
        <v>42.4</v>
      </c>
      <c r="BR71" s="78">
        <f>Z84</f>
        <v>0</v>
      </c>
      <c r="BS71" s="83">
        <f>AB84</f>
        <v>0</v>
      </c>
      <c r="BT71" s="83">
        <f t="shared" si="29"/>
        <v>0</v>
      </c>
      <c r="BU71" s="83">
        <f t="shared" si="29"/>
        <v>0</v>
      </c>
      <c r="BV71" s="83">
        <f t="shared" si="29"/>
        <v>0</v>
      </c>
      <c r="BW71" s="83">
        <f>B84</f>
        <v>0</v>
      </c>
    </row>
    <row r="72" spans="1:75" x14ac:dyDescent="0.25">
      <c r="A72" s="111" t="s">
        <v>191</v>
      </c>
      <c r="B72" s="70">
        <v>7.3</v>
      </c>
      <c r="C72" s="70">
        <v>7.3</v>
      </c>
      <c r="D72" s="70">
        <v>7.3</v>
      </c>
      <c r="E72" s="70">
        <v>7.3</v>
      </c>
      <c r="F72" s="70">
        <v>7.3</v>
      </c>
      <c r="G72" s="70">
        <v>7.3</v>
      </c>
      <c r="H72" s="70">
        <v>7.3</v>
      </c>
      <c r="I72" s="70">
        <v>7.3</v>
      </c>
      <c r="J72" s="70">
        <v>7.3</v>
      </c>
      <c r="K72" s="70">
        <v>7.3</v>
      </c>
      <c r="L72" s="70">
        <v>7.3</v>
      </c>
      <c r="M72" s="70">
        <v>7.3</v>
      </c>
      <c r="N72" s="70"/>
      <c r="O72" s="70">
        <v>7.3</v>
      </c>
      <c r="P72" s="70">
        <v>7.3</v>
      </c>
      <c r="Q72" s="70">
        <v>7.3</v>
      </c>
      <c r="R72" s="70">
        <v>7.3</v>
      </c>
      <c r="S72" s="70">
        <v>7.3</v>
      </c>
      <c r="T72" s="70">
        <v>7.3</v>
      </c>
      <c r="U72" s="70">
        <v>7.3</v>
      </c>
      <c r="V72" s="70">
        <v>7.3</v>
      </c>
      <c r="W72" s="70">
        <v>7.3</v>
      </c>
      <c r="X72" s="70">
        <v>7</v>
      </c>
      <c r="Y72" s="70">
        <v>7</v>
      </c>
      <c r="Z72" s="70">
        <v>7</v>
      </c>
      <c r="AA72" s="70">
        <v>7</v>
      </c>
      <c r="AB72" s="70">
        <v>7</v>
      </c>
      <c r="AC72" s="70">
        <v>7</v>
      </c>
      <c r="AD72" s="70">
        <v>7</v>
      </c>
      <c r="AE72" s="70">
        <v>7</v>
      </c>
      <c r="AF72" s="70">
        <v>7</v>
      </c>
      <c r="AG72" s="86">
        <v>14</v>
      </c>
      <c r="AH72" s="12">
        <f t="shared" si="8"/>
        <v>7.3</v>
      </c>
      <c r="AI72" s="11">
        <f t="shared" si="9"/>
        <v>7</v>
      </c>
      <c r="AK72" s="19"/>
      <c r="AY72" s="1" t="s">
        <v>190</v>
      </c>
      <c r="AZ72" s="78">
        <f>ROUND(C85,0)</f>
        <v>0</v>
      </c>
      <c r="BA72" s="83">
        <f t="shared" si="27"/>
        <v>0</v>
      </c>
      <c r="BB72" s="83">
        <f t="shared" si="27"/>
        <v>0</v>
      </c>
      <c r="BC72" s="83">
        <f t="shared" si="27"/>
        <v>0</v>
      </c>
      <c r="BD72" s="83">
        <f t="shared" si="27"/>
        <v>0</v>
      </c>
      <c r="BE72" s="78">
        <f>I85</f>
        <v>0</v>
      </c>
      <c r="BF72" s="78">
        <f>K85</f>
        <v>0</v>
      </c>
      <c r="BG72" s="78">
        <f t="shared" si="28"/>
        <v>104.2</v>
      </c>
      <c r="BH72" s="78">
        <f t="shared" si="28"/>
        <v>0</v>
      </c>
      <c r="BI72" s="78">
        <f t="shared" si="28"/>
        <v>128.30000000000001</v>
      </c>
      <c r="BJ72" s="78">
        <f t="shared" si="28"/>
        <v>130</v>
      </c>
      <c r="BK72" s="78">
        <f t="shared" si="28"/>
        <v>134.30000000000001</v>
      </c>
      <c r="BL72" s="78">
        <f t="shared" si="28"/>
        <v>126.9</v>
      </c>
      <c r="BM72" s="78">
        <f t="shared" si="28"/>
        <v>129.1</v>
      </c>
      <c r="BN72" s="78">
        <f t="shared" si="28"/>
        <v>145</v>
      </c>
      <c r="BO72" s="78">
        <f t="shared" si="28"/>
        <v>124.6</v>
      </c>
      <c r="BP72" s="78">
        <f t="shared" si="28"/>
        <v>120</v>
      </c>
      <c r="BQ72" s="78">
        <f>X85</f>
        <v>86.5</v>
      </c>
      <c r="BR72" s="78">
        <f>Z85</f>
        <v>0</v>
      </c>
      <c r="BS72" s="83">
        <f>AB85</f>
        <v>0</v>
      </c>
      <c r="BT72" s="83">
        <f t="shared" si="29"/>
        <v>0</v>
      </c>
      <c r="BU72" s="83">
        <f t="shared" si="29"/>
        <v>0</v>
      </c>
      <c r="BV72" s="83">
        <f t="shared" si="29"/>
        <v>0</v>
      </c>
      <c r="BW72" s="83">
        <f>B85</f>
        <v>0</v>
      </c>
    </row>
    <row r="73" spans="1:75" x14ac:dyDescent="0.25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/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8"/>
        <v>4</v>
      </c>
      <c r="AI73" s="11">
        <f t="shared" si="9"/>
        <v>4</v>
      </c>
      <c r="AK73" s="19"/>
      <c r="AY73" s="1" t="s">
        <v>188</v>
      </c>
      <c r="AZ73" s="78">
        <f>ROUND(C91,0)</f>
        <v>44</v>
      </c>
      <c r="BA73" s="78">
        <f>D91</f>
        <v>41.7</v>
      </c>
      <c r="BB73" s="78">
        <f>E91</f>
        <v>41.8</v>
      </c>
      <c r="BC73" s="78">
        <f>F91</f>
        <v>42.4</v>
      </c>
      <c r="BD73" s="78">
        <f>G91</f>
        <v>40.299999999999997</v>
      </c>
      <c r="BE73" s="78">
        <f>I91</f>
        <v>30.9</v>
      </c>
      <c r="BF73" s="78">
        <f>K91</f>
        <v>43</v>
      </c>
      <c r="BG73" s="78">
        <f t="shared" ref="BG73:BP73" si="30">M91</f>
        <v>48</v>
      </c>
      <c r="BH73" s="78">
        <f t="shared" si="30"/>
        <v>0</v>
      </c>
      <c r="BI73" s="78">
        <f t="shared" si="30"/>
        <v>44.3</v>
      </c>
      <c r="BJ73" s="78">
        <f t="shared" si="30"/>
        <v>43.8</v>
      </c>
      <c r="BK73" s="78">
        <f t="shared" si="30"/>
        <v>49</v>
      </c>
      <c r="BL73" s="78">
        <f t="shared" si="30"/>
        <v>47.3</v>
      </c>
      <c r="BM73" s="78">
        <f t="shared" si="30"/>
        <v>49.5</v>
      </c>
      <c r="BN73" s="78">
        <f t="shared" si="30"/>
        <v>55</v>
      </c>
      <c r="BO73" s="78">
        <f t="shared" si="30"/>
        <v>58.2</v>
      </c>
      <c r="BP73" s="78">
        <f t="shared" si="30"/>
        <v>41.63</v>
      </c>
      <c r="BQ73" s="78">
        <f>X91</f>
        <v>38.4</v>
      </c>
      <c r="BR73" s="78">
        <f>Z91</f>
        <v>43</v>
      </c>
      <c r="BS73" s="78">
        <f>AB91</f>
        <v>40.9</v>
      </c>
      <c r="BT73" s="78">
        <f>AD91</f>
        <v>42.5</v>
      </c>
      <c r="BU73" s="78">
        <f>AE91</f>
        <v>42.3</v>
      </c>
      <c r="BV73" s="78">
        <f>AF91</f>
        <v>45</v>
      </c>
      <c r="BW73" s="78">
        <f>B91</f>
        <v>46.2</v>
      </c>
    </row>
    <row r="74" spans="1:75" x14ac:dyDescent="0.25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/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.75" thickBot="1" x14ac:dyDescent="0.3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/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3.5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</v>
      </c>
      <c r="AK75" s="19"/>
      <c r="AZ75" s="78">
        <f t="shared" ref="AZ75:BW80" si="31">VALUE(AZ68)</f>
        <v>21</v>
      </c>
      <c r="BA75" s="78">
        <f t="shared" si="31"/>
        <v>18.600000000000001</v>
      </c>
      <c r="BB75" s="78">
        <f t="shared" si="31"/>
        <v>13.1</v>
      </c>
      <c r="BC75" s="78">
        <f t="shared" si="31"/>
        <v>11.4</v>
      </c>
      <c r="BD75" s="78">
        <f t="shared" si="31"/>
        <v>17.7</v>
      </c>
      <c r="BE75" s="78">
        <f t="shared" si="31"/>
        <v>15.7</v>
      </c>
      <c r="BF75" s="78">
        <f t="shared" si="31"/>
        <v>62.5</v>
      </c>
      <c r="BG75" s="78">
        <f t="shared" si="31"/>
        <v>57</v>
      </c>
      <c r="BH75" s="78">
        <f t="shared" si="31"/>
        <v>0</v>
      </c>
      <c r="BI75" s="78">
        <f t="shared" si="31"/>
        <v>53.9</v>
      </c>
      <c r="BJ75" s="78">
        <f t="shared" si="31"/>
        <v>69.5</v>
      </c>
      <c r="BK75" s="78">
        <f t="shared" si="31"/>
        <v>59.4</v>
      </c>
      <c r="BL75" s="78">
        <f t="shared" si="31"/>
        <v>65.7</v>
      </c>
      <c r="BM75" s="78">
        <f t="shared" si="31"/>
        <v>68.7</v>
      </c>
      <c r="BN75" s="78">
        <f t="shared" si="31"/>
        <v>56.2</v>
      </c>
      <c r="BO75" s="78">
        <f t="shared" si="31"/>
        <v>42.4</v>
      </c>
      <c r="BP75" s="78">
        <f t="shared" si="31"/>
        <v>61.8</v>
      </c>
      <c r="BQ75" s="78">
        <f t="shared" si="31"/>
        <v>50.6</v>
      </c>
      <c r="BR75" s="78">
        <f t="shared" si="31"/>
        <v>10.8</v>
      </c>
      <c r="BS75" s="78">
        <f t="shared" si="31"/>
        <v>11.1</v>
      </c>
      <c r="BT75" s="78">
        <f t="shared" si="31"/>
        <v>10.6</v>
      </c>
      <c r="BU75" s="78">
        <f t="shared" si="31"/>
        <v>9</v>
      </c>
      <c r="BV75" s="78">
        <f t="shared" si="31"/>
        <v>13.9</v>
      </c>
      <c r="BW75" s="78">
        <f t="shared" si="31"/>
        <v>35.299999999999997</v>
      </c>
    </row>
    <row r="76" spans="1:75" ht="15.75" thickBot="1" x14ac:dyDescent="0.3">
      <c r="A76" s="77" t="s">
        <v>186</v>
      </c>
      <c r="B76" s="76">
        <f>SUM(B63:B75)</f>
        <v>315.74</v>
      </c>
      <c r="C76" s="76">
        <f t="shared" ref="C76:AG76" si="32">SUM(C63:C75)</f>
        <v>233.94</v>
      </c>
      <c r="D76" s="76">
        <f t="shared" si="32"/>
        <v>209.54000000000002</v>
      </c>
      <c r="E76" s="76">
        <f t="shared" si="32"/>
        <v>201.84000000000003</v>
      </c>
      <c r="F76" s="76">
        <f t="shared" si="32"/>
        <v>201.54000000000002</v>
      </c>
      <c r="G76" s="76">
        <f t="shared" si="32"/>
        <v>227.64000000000001</v>
      </c>
      <c r="H76" s="76">
        <f t="shared" si="32"/>
        <v>251.64000000000001</v>
      </c>
      <c r="I76" s="76">
        <f t="shared" si="32"/>
        <v>244.23999999999998</v>
      </c>
      <c r="J76" s="76">
        <f t="shared" si="32"/>
        <v>297.94</v>
      </c>
      <c r="K76" s="76">
        <f t="shared" si="32"/>
        <v>276.64</v>
      </c>
      <c r="L76" s="76">
        <f t="shared" si="32"/>
        <v>251.54000000000002</v>
      </c>
      <c r="M76" s="76">
        <f t="shared" si="32"/>
        <v>250.34</v>
      </c>
      <c r="N76" s="76">
        <f t="shared" si="32"/>
        <v>3.54</v>
      </c>
      <c r="O76" s="76">
        <f t="shared" si="32"/>
        <v>284.74</v>
      </c>
      <c r="P76" s="76">
        <f t="shared" si="32"/>
        <v>300.34000000000003</v>
      </c>
      <c r="Q76" s="76">
        <f t="shared" si="32"/>
        <v>299.04000000000002</v>
      </c>
      <c r="R76" s="76"/>
      <c r="S76" s="76">
        <f t="shared" si="32"/>
        <v>205.14000000000001</v>
      </c>
      <c r="T76" s="76">
        <f t="shared" si="32"/>
        <v>203.84</v>
      </c>
      <c r="U76" s="76">
        <f t="shared" si="32"/>
        <v>227.44000000000003</v>
      </c>
      <c r="V76" s="76">
        <f t="shared" si="32"/>
        <v>225.04000000000002</v>
      </c>
      <c r="W76" s="76">
        <f t="shared" si="32"/>
        <v>187.44000000000003</v>
      </c>
      <c r="X76" s="76">
        <f t="shared" si="32"/>
        <v>241.44</v>
      </c>
      <c r="Y76" s="76">
        <f t="shared" si="32"/>
        <v>348.50000000000006</v>
      </c>
      <c r="Z76" s="76">
        <f t="shared" si="32"/>
        <v>399.9</v>
      </c>
      <c r="AA76" s="76">
        <f t="shared" si="32"/>
        <v>371.64</v>
      </c>
      <c r="AB76" s="76">
        <f t="shared" si="32"/>
        <v>351.54</v>
      </c>
      <c r="AC76" s="76">
        <f t="shared" si="32"/>
        <v>400.44</v>
      </c>
      <c r="AD76" s="76">
        <f t="shared" si="32"/>
        <v>337.34000000000003</v>
      </c>
      <c r="AE76" s="76">
        <f t="shared" si="32"/>
        <v>381.84000000000009</v>
      </c>
      <c r="AF76" s="76">
        <f t="shared" si="32"/>
        <v>336.04000000000008</v>
      </c>
      <c r="AG76" s="93">
        <f t="shared" si="32"/>
        <v>489.91</v>
      </c>
      <c r="AH76" s="12">
        <f t="shared" si="8"/>
        <v>400.44</v>
      </c>
      <c r="AI76" s="11">
        <f t="shared" si="9"/>
        <v>3.54</v>
      </c>
      <c r="AK76" s="19"/>
      <c r="AZ76" s="78">
        <f t="shared" si="31"/>
        <v>0</v>
      </c>
      <c r="BA76" s="78">
        <f t="shared" si="31"/>
        <v>0</v>
      </c>
      <c r="BB76" s="78">
        <f t="shared" si="31"/>
        <v>0</v>
      </c>
      <c r="BC76" s="78">
        <f t="shared" si="31"/>
        <v>0</v>
      </c>
      <c r="BD76" s="78">
        <f t="shared" si="31"/>
        <v>0</v>
      </c>
      <c r="BE76" s="78">
        <f t="shared" si="31"/>
        <v>0</v>
      </c>
      <c r="BF76" s="78">
        <f t="shared" si="31"/>
        <v>0</v>
      </c>
      <c r="BG76" s="78">
        <f t="shared" si="31"/>
        <v>0</v>
      </c>
      <c r="BH76" s="78">
        <f t="shared" si="31"/>
        <v>0</v>
      </c>
      <c r="BI76" s="78">
        <f t="shared" si="31"/>
        <v>0</v>
      </c>
      <c r="BJ76" s="78">
        <f t="shared" si="31"/>
        <v>0</v>
      </c>
      <c r="BK76" s="78">
        <f t="shared" si="31"/>
        <v>0</v>
      </c>
      <c r="BL76" s="78">
        <f t="shared" si="31"/>
        <v>0</v>
      </c>
      <c r="BM76" s="78">
        <f t="shared" si="31"/>
        <v>0</v>
      </c>
      <c r="BN76" s="78">
        <f t="shared" si="31"/>
        <v>0</v>
      </c>
      <c r="BO76" s="78">
        <f t="shared" si="31"/>
        <v>0</v>
      </c>
      <c r="BP76" s="78">
        <f t="shared" si="31"/>
        <v>0</v>
      </c>
      <c r="BQ76" s="78">
        <f t="shared" si="31"/>
        <v>0</v>
      </c>
      <c r="BR76" s="78">
        <f t="shared" si="31"/>
        <v>0</v>
      </c>
      <c r="BS76" s="78">
        <f t="shared" si="31"/>
        <v>0</v>
      </c>
      <c r="BT76" s="78">
        <f t="shared" si="31"/>
        <v>0</v>
      </c>
      <c r="BU76" s="78">
        <f t="shared" si="31"/>
        <v>0</v>
      </c>
      <c r="BV76" s="78">
        <f t="shared" si="31"/>
        <v>0</v>
      </c>
      <c r="BW76" s="78">
        <f t="shared" si="31"/>
        <v>0</v>
      </c>
    </row>
    <row r="77" spans="1:75" x14ac:dyDescent="0.25">
      <c r="A77" s="89" t="s">
        <v>185</v>
      </c>
      <c r="B77" s="102">
        <v>15.1</v>
      </c>
      <c r="C77" s="102">
        <v>49.8</v>
      </c>
      <c r="D77" s="102">
        <v>44.4</v>
      </c>
      <c r="E77" s="102">
        <v>48.5</v>
      </c>
      <c r="F77" s="102">
        <v>44.3</v>
      </c>
      <c r="G77" s="102">
        <v>44.6</v>
      </c>
      <c r="H77" s="102">
        <v>44.6</v>
      </c>
      <c r="I77" s="102">
        <v>44.9</v>
      </c>
      <c r="J77" s="102">
        <v>19.600000000000001</v>
      </c>
      <c r="K77" s="102">
        <v>30.1</v>
      </c>
      <c r="L77" s="102">
        <v>0</v>
      </c>
      <c r="M77" s="102">
        <v>13.9</v>
      </c>
      <c r="N77" s="102"/>
      <c r="O77" s="102">
        <v>13.9</v>
      </c>
      <c r="P77" s="102">
        <v>20.399999999999999</v>
      </c>
      <c r="Q77" s="102">
        <v>29.9</v>
      </c>
      <c r="R77" s="102">
        <v>29.8</v>
      </c>
      <c r="S77" s="102">
        <v>44.1</v>
      </c>
      <c r="T77" s="102">
        <v>59.7</v>
      </c>
      <c r="U77" s="102">
        <v>54.7</v>
      </c>
      <c r="V77" s="102">
        <v>31</v>
      </c>
      <c r="W77" s="102">
        <v>13.4</v>
      </c>
      <c r="X77" s="102">
        <v>13.4</v>
      </c>
      <c r="Y77" s="102">
        <v>41.8</v>
      </c>
      <c r="Z77" s="102">
        <v>54.5</v>
      </c>
      <c r="AA77" s="102">
        <v>59.2</v>
      </c>
      <c r="AB77" s="102">
        <v>59.1</v>
      </c>
      <c r="AC77" s="102">
        <v>58.9</v>
      </c>
      <c r="AD77" s="102">
        <v>49</v>
      </c>
      <c r="AE77" s="102">
        <v>59.7</v>
      </c>
      <c r="AF77" s="102">
        <v>59.7</v>
      </c>
      <c r="AG77" s="88">
        <v>60</v>
      </c>
      <c r="AH77" s="12">
        <f t="shared" si="8"/>
        <v>59.7</v>
      </c>
      <c r="AI77" s="11">
        <f t="shared" si="9"/>
        <v>0</v>
      </c>
      <c r="AK77" s="19"/>
      <c r="AZ77" s="78">
        <f t="shared" si="31"/>
        <v>2</v>
      </c>
      <c r="BA77" s="78">
        <f t="shared" si="31"/>
        <v>2.2999999999999998</v>
      </c>
      <c r="BB77" s="78">
        <f t="shared" si="31"/>
        <v>1.1000000000000001</v>
      </c>
      <c r="BC77" s="78">
        <f t="shared" si="31"/>
        <v>4.7</v>
      </c>
      <c r="BD77" s="78">
        <f t="shared" si="31"/>
        <v>0.4</v>
      </c>
      <c r="BE77" s="78">
        <f t="shared" si="31"/>
        <v>0</v>
      </c>
      <c r="BF77" s="78">
        <f t="shared" si="31"/>
        <v>479.9</v>
      </c>
      <c r="BG77" s="78">
        <f t="shared" si="31"/>
        <v>485</v>
      </c>
      <c r="BH77" s="78">
        <f t="shared" si="31"/>
        <v>0</v>
      </c>
      <c r="BI77" s="78">
        <f t="shared" si="31"/>
        <v>418</v>
      </c>
      <c r="BJ77" s="78">
        <f t="shared" si="31"/>
        <v>410.2</v>
      </c>
      <c r="BK77" s="78">
        <f t="shared" si="31"/>
        <v>425.7</v>
      </c>
      <c r="BL77" s="78">
        <f t="shared" si="31"/>
        <v>411.7</v>
      </c>
      <c r="BM77" s="78">
        <f t="shared" si="31"/>
        <v>520.1</v>
      </c>
      <c r="BN77" s="78">
        <f t="shared" si="31"/>
        <v>520.20000000000005</v>
      </c>
      <c r="BO77" s="78">
        <f t="shared" si="31"/>
        <v>510.1</v>
      </c>
      <c r="BP77" s="78">
        <f t="shared" si="31"/>
        <v>492</v>
      </c>
      <c r="BQ77" s="78">
        <f t="shared" si="31"/>
        <v>394</v>
      </c>
      <c r="BR77" s="78">
        <f t="shared" si="31"/>
        <v>70</v>
      </c>
      <c r="BS77" s="78">
        <f t="shared" si="31"/>
        <v>35.5</v>
      </c>
      <c r="BT77" s="78">
        <f t="shared" si="31"/>
        <v>16.2</v>
      </c>
      <c r="BU77" s="78">
        <f t="shared" si="31"/>
        <v>21.8</v>
      </c>
      <c r="BV77" s="78">
        <f t="shared" si="31"/>
        <v>13.1</v>
      </c>
      <c r="BW77" s="78">
        <f t="shared" si="31"/>
        <v>0.9</v>
      </c>
    </row>
    <row r="78" spans="1:75" x14ac:dyDescent="0.25">
      <c r="A78" s="87" t="s">
        <v>184</v>
      </c>
      <c r="B78" s="70">
        <v>13.8</v>
      </c>
      <c r="C78" s="70">
        <v>22.8</v>
      </c>
      <c r="D78" s="70">
        <v>21.8</v>
      </c>
      <c r="E78" s="70">
        <v>22.9</v>
      </c>
      <c r="F78" s="70">
        <v>19.3</v>
      </c>
      <c r="G78" s="70">
        <v>17.899999999999999</v>
      </c>
      <c r="H78" s="70">
        <v>17.899999999999999</v>
      </c>
      <c r="I78" s="70">
        <v>18.3</v>
      </c>
      <c r="J78" s="70">
        <v>13.3</v>
      </c>
      <c r="K78" s="70">
        <v>4.0999999999999996</v>
      </c>
      <c r="L78" s="70">
        <v>0</v>
      </c>
      <c r="M78" s="70">
        <v>4.4000000000000004</v>
      </c>
      <c r="N78" s="70"/>
      <c r="O78" s="70">
        <v>5.7</v>
      </c>
      <c r="P78" s="70">
        <v>8.8000000000000007</v>
      </c>
      <c r="Q78" s="70">
        <v>13.2</v>
      </c>
      <c r="R78" s="70">
        <v>9.1999999999999993</v>
      </c>
      <c r="S78" s="70">
        <v>18.5</v>
      </c>
      <c r="T78" s="70">
        <v>27.4</v>
      </c>
      <c r="U78" s="70">
        <v>21.7</v>
      </c>
      <c r="V78" s="70">
        <v>10</v>
      </c>
      <c r="W78" s="70">
        <v>6.1</v>
      </c>
      <c r="X78" s="70">
        <v>6.1</v>
      </c>
      <c r="Y78" s="70">
        <v>16.7</v>
      </c>
      <c r="Z78" s="70">
        <v>23.8</v>
      </c>
      <c r="AA78" s="70">
        <v>27.2</v>
      </c>
      <c r="AB78" s="70">
        <v>27.8</v>
      </c>
      <c r="AC78" s="70">
        <v>27.8</v>
      </c>
      <c r="AD78" s="70">
        <v>23.9</v>
      </c>
      <c r="AE78" s="70">
        <v>23.9</v>
      </c>
      <c r="AF78" s="70">
        <v>23.9</v>
      </c>
      <c r="AG78" s="86">
        <v>32</v>
      </c>
      <c r="AH78" s="12">
        <f t="shared" si="8"/>
        <v>27.8</v>
      </c>
      <c r="AI78" s="11">
        <f t="shared" si="9"/>
        <v>0</v>
      </c>
      <c r="AK78" s="19"/>
      <c r="AZ78" s="78">
        <f t="shared" si="31"/>
        <v>0</v>
      </c>
      <c r="BA78" s="78">
        <f t="shared" si="31"/>
        <v>0</v>
      </c>
      <c r="BB78" s="78">
        <f t="shared" si="31"/>
        <v>0</v>
      </c>
      <c r="BC78" s="78">
        <f t="shared" si="31"/>
        <v>0</v>
      </c>
      <c r="BD78" s="78">
        <f t="shared" si="31"/>
        <v>0</v>
      </c>
      <c r="BE78" s="78">
        <f t="shared" si="31"/>
        <v>0</v>
      </c>
      <c r="BF78" s="78">
        <f t="shared" si="31"/>
        <v>36.6</v>
      </c>
      <c r="BG78" s="78">
        <f t="shared" si="31"/>
        <v>40.799999999999997</v>
      </c>
      <c r="BH78" s="78">
        <f t="shared" si="31"/>
        <v>0</v>
      </c>
      <c r="BI78" s="78">
        <f t="shared" si="31"/>
        <v>40.799999999999997</v>
      </c>
      <c r="BJ78" s="78">
        <f t="shared" si="31"/>
        <v>45.2</v>
      </c>
      <c r="BK78" s="78">
        <f t="shared" si="31"/>
        <v>31.2</v>
      </c>
      <c r="BL78" s="78">
        <f t="shared" si="31"/>
        <v>33.5</v>
      </c>
      <c r="BM78" s="78">
        <f t="shared" si="31"/>
        <v>39.4</v>
      </c>
      <c r="BN78" s="78">
        <f t="shared" si="31"/>
        <v>43</v>
      </c>
      <c r="BO78" s="78">
        <f t="shared" si="31"/>
        <v>45.8</v>
      </c>
      <c r="BP78" s="78">
        <f t="shared" si="31"/>
        <v>39</v>
      </c>
      <c r="BQ78" s="78">
        <f t="shared" si="31"/>
        <v>42.4</v>
      </c>
      <c r="BR78" s="78">
        <f t="shared" si="31"/>
        <v>0</v>
      </c>
      <c r="BS78" s="78">
        <f t="shared" si="31"/>
        <v>0</v>
      </c>
      <c r="BT78" s="78">
        <f t="shared" si="31"/>
        <v>0</v>
      </c>
      <c r="BU78" s="78">
        <f t="shared" si="31"/>
        <v>0</v>
      </c>
      <c r="BV78" s="78">
        <f t="shared" si="31"/>
        <v>0</v>
      </c>
      <c r="BW78" s="78">
        <f t="shared" si="31"/>
        <v>0</v>
      </c>
    </row>
    <row r="79" spans="1:75" ht="15.75" thickBot="1" x14ac:dyDescent="0.3">
      <c r="A79" s="111" t="s">
        <v>183</v>
      </c>
      <c r="B79" s="110">
        <v>5</v>
      </c>
      <c r="C79" s="110">
        <v>8.1999999999999993</v>
      </c>
      <c r="D79" s="110">
        <v>8</v>
      </c>
      <c r="E79" s="110">
        <v>8.4</v>
      </c>
      <c r="F79" s="110">
        <v>7</v>
      </c>
      <c r="G79" s="110">
        <v>6.5</v>
      </c>
      <c r="H79" s="110">
        <v>6.5</v>
      </c>
      <c r="I79" s="110">
        <v>6.7</v>
      </c>
      <c r="J79" s="110">
        <v>4.9000000000000004</v>
      </c>
      <c r="K79" s="110">
        <v>1.5</v>
      </c>
      <c r="L79" s="110">
        <v>0</v>
      </c>
      <c r="M79" s="110">
        <v>1.6</v>
      </c>
      <c r="N79" s="110"/>
      <c r="O79" s="110">
        <v>2.1</v>
      </c>
      <c r="P79" s="110">
        <v>3.2</v>
      </c>
      <c r="Q79" s="110">
        <v>4.8</v>
      </c>
      <c r="R79" s="110">
        <v>3.4</v>
      </c>
      <c r="S79" s="110">
        <v>6.8</v>
      </c>
      <c r="T79" s="110">
        <v>10</v>
      </c>
      <c r="U79" s="110">
        <v>7.9</v>
      </c>
      <c r="V79" s="110">
        <v>3.8</v>
      </c>
      <c r="W79" s="110">
        <v>2.2000000000000002</v>
      </c>
      <c r="X79" s="110">
        <v>2.2000000000000002</v>
      </c>
      <c r="Y79" s="110">
        <v>8.1</v>
      </c>
      <c r="Z79" s="110">
        <v>8.6999999999999993</v>
      </c>
      <c r="AA79" s="110">
        <v>10</v>
      </c>
      <c r="AB79" s="110">
        <v>10.1</v>
      </c>
      <c r="AC79" s="110">
        <v>10.199999999999999</v>
      </c>
      <c r="AD79" s="110">
        <v>8.6999999999999993</v>
      </c>
      <c r="AE79" s="110">
        <v>8.6999999999999993</v>
      </c>
      <c r="AF79" s="110">
        <v>8.6999999999999993</v>
      </c>
      <c r="AG79" s="109">
        <v>14</v>
      </c>
      <c r="AH79" s="12">
        <f t="shared" si="8"/>
        <v>10.199999999999999</v>
      </c>
      <c r="AI79" s="11">
        <f t="shared" si="9"/>
        <v>0</v>
      </c>
      <c r="AK79" s="19"/>
      <c r="AZ79" s="78">
        <f t="shared" si="31"/>
        <v>0</v>
      </c>
      <c r="BA79" s="78">
        <f t="shared" si="31"/>
        <v>0</v>
      </c>
      <c r="BB79" s="78">
        <f t="shared" si="31"/>
        <v>0</v>
      </c>
      <c r="BC79" s="78">
        <f t="shared" si="31"/>
        <v>0</v>
      </c>
      <c r="BD79" s="78">
        <f t="shared" si="31"/>
        <v>0</v>
      </c>
      <c r="BE79" s="78">
        <f t="shared" si="31"/>
        <v>0</v>
      </c>
      <c r="BF79" s="78">
        <f t="shared" si="31"/>
        <v>0</v>
      </c>
      <c r="BG79" s="78">
        <f t="shared" si="31"/>
        <v>104.2</v>
      </c>
      <c r="BH79" s="78">
        <f t="shared" si="31"/>
        <v>0</v>
      </c>
      <c r="BI79" s="78">
        <f t="shared" si="31"/>
        <v>128.30000000000001</v>
      </c>
      <c r="BJ79" s="78">
        <f t="shared" si="31"/>
        <v>130</v>
      </c>
      <c r="BK79" s="78">
        <f t="shared" si="31"/>
        <v>134.30000000000001</v>
      </c>
      <c r="BL79" s="78">
        <f t="shared" si="31"/>
        <v>126.9</v>
      </c>
      <c r="BM79" s="78">
        <f t="shared" si="31"/>
        <v>129.1</v>
      </c>
      <c r="BN79" s="78">
        <f t="shared" si="31"/>
        <v>145</v>
      </c>
      <c r="BO79" s="78">
        <f t="shared" si="31"/>
        <v>124.6</v>
      </c>
      <c r="BP79" s="78">
        <f t="shared" si="31"/>
        <v>120</v>
      </c>
      <c r="BQ79" s="78">
        <f t="shared" si="31"/>
        <v>86.5</v>
      </c>
      <c r="BR79" s="78">
        <f t="shared" si="31"/>
        <v>0</v>
      </c>
      <c r="BS79" s="78">
        <f t="shared" si="31"/>
        <v>0</v>
      </c>
      <c r="BT79" s="78">
        <f t="shared" si="31"/>
        <v>0</v>
      </c>
      <c r="BU79" s="78">
        <f t="shared" si="31"/>
        <v>0</v>
      </c>
      <c r="BV79" s="78">
        <f t="shared" si="31"/>
        <v>0</v>
      </c>
      <c r="BW79" s="78">
        <f t="shared" si="31"/>
        <v>0</v>
      </c>
    </row>
    <row r="80" spans="1:75" ht="15.75" thickBot="1" x14ac:dyDescent="0.3">
      <c r="A80" s="77" t="s">
        <v>182</v>
      </c>
      <c r="B80" s="76">
        <f t="shared" ref="B80" si="33">B77+B78+B79</f>
        <v>33.9</v>
      </c>
      <c r="C80" s="76">
        <f t="shared" ref="C80:AF80" si="34">C77+C78+C79</f>
        <v>80.8</v>
      </c>
      <c r="D80" s="76">
        <f t="shared" si="34"/>
        <v>74.2</v>
      </c>
      <c r="E80" s="76">
        <f t="shared" si="34"/>
        <v>79.800000000000011</v>
      </c>
      <c r="F80" s="76">
        <f t="shared" si="34"/>
        <v>70.599999999999994</v>
      </c>
      <c r="G80" s="76">
        <f t="shared" si="34"/>
        <v>69</v>
      </c>
      <c r="H80" s="76">
        <f t="shared" si="34"/>
        <v>69</v>
      </c>
      <c r="I80" s="76">
        <f t="shared" si="34"/>
        <v>69.900000000000006</v>
      </c>
      <c r="J80" s="76">
        <f t="shared" si="34"/>
        <v>37.800000000000004</v>
      </c>
      <c r="K80" s="76">
        <f t="shared" si="34"/>
        <v>35.700000000000003</v>
      </c>
      <c r="L80" s="76">
        <f t="shared" si="34"/>
        <v>0</v>
      </c>
      <c r="M80" s="76">
        <f t="shared" si="34"/>
        <v>19.900000000000002</v>
      </c>
      <c r="N80" s="76">
        <f t="shared" si="34"/>
        <v>0</v>
      </c>
      <c r="O80" s="76">
        <f t="shared" si="34"/>
        <v>21.700000000000003</v>
      </c>
      <c r="P80" s="76">
        <f t="shared" si="34"/>
        <v>32.4</v>
      </c>
      <c r="Q80" s="76">
        <f t="shared" si="34"/>
        <v>47.899999999999991</v>
      </c>
      <c r="R80" s="76">
        <f t="shared" si="34"/>
        <v>42.4</v>
      </c>
      <c r="S80" s="76">
        <f t="shared" si="34"/>
        <v>69.400000000000006</v>
      </c>
      <c r="T80" s="76">
        <f t="shared" si="34"/>
        <v>97.1</v>
      </c>
      <c r="U80" s="76">
        <f t="shared" si="34"/>
        <v>84.300000000000011</v>
      </c>
      <c r="V80" s="76">
        <f t="shared" si="34"/>
        <v>44.8</v>
      </c>
      <c r="W80" s="76">
        <f t="shared" si="34"/>
        <v>21.7</v>
      </c>
      <c r="X80" s="76">
        <f t="shared" si="34"/>
        <v>21.7</v>
      </c>
      <c r="Y80" s="76">
        <f t="shared" si="34"/>
        <v>66.599999999999994</v>
      </c>
      <c r="Z80" s="76">
        <f t="shared" si="34"/>
        <v>87</v>
      </c>
      <c r="AA80" s="76">
        <f t="shared" si="34"/>
        <v>96.4</v>
      </c>
      <c r="AB80" s="76">
        <f t="shared" si="34"/>
        <v>97</v>
      </c>
      <c r="AC80" s="76">
        <f t="shared" si="34"/>
        <v>96.9</v>
      </c>
      <c r="AD80" s="76">
        <f t="shared" si="34"/>
        <v>81.600000000000009</v>
      </c>
      <c r="AE80" s="76">
        <f t="shared" si="34"/>
        <v>92.3</v>
      </c>
      <c r="AF80" s="76">
        <f t="shared" si="34"/>
        <v>92.3</v>
      </c>
      <c r="AG80" s="93">
        <f>SUM(AG77:AG79)</f>
        <v>106</v>
      </c>
      <c r="AH80" s="12">
        <f t="shared" si="8"/>
        <v>97.1</v>
      </c>
      <c r="AI80" s="11">
        <f t="shared" si="9"/>
        <v>0</v>
      </c>
      <c r="AK80" s="19"/>
      <c r="AZ80" s="78">
        <f t="shared" si="31"/>
        <v>44</v>
      </c>
      <c r="BA80" s="78">
        <f t="shared" si="31"/>
        <v>41.7</v>
      </c>
      <c r="BB80" s="78">
        <f t="shared" si="31"/>
        <v>41.8</v>
      </c>
      <c r="BC80" s="78">
        <f t="shared" si="31"/>
        <v>42.4</v>
      </c>
      <c r="BD80" s="78">
        <f t="shared" si="31"/>
        <v>40.299999999999997</v>
      </c>
      <c r="BE80" s="78">
        <f t="shared" si="31"/>
        <v>30.9</v>
      </c>
      <c r="BF80" s="78">
        <f t="shared" si="31"/>
        <v>43</v>
      </c>
      <c r="BG80" s="78">
        <f t="shared" si="31"/>
        <v>48</v>
      </c>
      <c r="BH80" s="78">
        <f t="shared" si="31"/>
        <v>0</v>
      </c>
      <c r="BI80" s="78">
        <f t="shared" si="31"/>
        <v>44.3</v>
      </c>
      <c r="BJ80" s="78">
        <f t="shared" si="31"/>
        <v>43.8</v>
      </c>
      <c r="BK80" s="78">
        <f t="shared" si="31"/>
        <v>49</v>
      </c>
      <c r="BL80" s="78">
        <f t="shared" si="31"/>
        <v>47.3</v>
      </c>
      <c r="BM80" s="78">
        <f t="shared" si="31"/>
        <v>49.5</v>
      </c>
      <c r="BN80" s="78">
        <f t="shared" si="31"/>
        <v>55</v>
      </c>
      <c r="BO80" s="78">
        <f t="shared" si="31"/>
        <v>58.2</v>
      </c>
      <c r="BP80" s="78">
        <f t="shared" si="31"/>
        <v>41.63</v>
      </c>
      <c r="BQ80" s="78">
        <f t="shared" si="31"/>
        <v>38.4</v>
      </c>
      <c r="BR80" s="78">
        <f t="shared" si="31"/>
        <v>43</v>
      </c>
      <c r="BS80" s="78">
        <f t="shared" si="31"/>
        <v>40.9</v>
      </c>
      <c r="BT80" s="78">
        <f t="shared" si="31"/>
        <v>42.5</v>
      </c>
      <c r="BU80" s="78">
        <f t="shared" si="31"/>
        <v>42.3</v>
      </c>
      <c r="BV80" s="78">
        <f t="shared" si="31"/>
        <v>45</v>
      </c>
      <c r="BW80" s="78">
        <f t="shared" si="31"/>
        <v>46.2</v>
      </c>
    </row>
    <row r="81" spans="1:64" x14ac:dyDescent="0.25">
      <c r="A81" s="89" t="s">
        <v>157</v>
      </c>
      <c r="B81" s="102">
        <v>35.299999999999997</v>
      </c>
      <c r="C81" s="102">
        <v>21.3</v>
      </c>
      <c r="D81" s="102">
        <v>18.600000000000001</v>
      </c>
      <c r="E81" s="102">
        <v>13.1</v>
      </c>
      <c r="F81" s="102">
        <v>11.4</v>
      </c>
      <c r="G81" s="102">
        <v>17.7</v>
      </c>
      <c r="H81" s="102">
        <v>21.9</v>
      </c>
      <c r="I81" s="102">
        <v>15.7</v>
      </c>
      <c r="J81" s="102">
        <v>40</v>
      </c>
      <c r="K81" s="102">
        <v>62.5</v>
      </c>
      <c r="L81" s="102">
        <v>60.6</v>
      </c>
      <c r="M81" s="102">
        <v>57</v>
      </c>
      <c r="N81" s="102"/>
      <c r="O81" s="102">
        <v>53.9</v>
      </c>
      <c r="P81" s="102">
        <v>69.5</v>
      </c>
      <c r="Q81" s="102">
        <v>59.4</v>
      </c>
      <c r="R81" s="102">
        <v>65.7</v>
      </c>
      <c r="S81" s="102">
        <v>68.7</v>
      </c>
      <c r="T81" s="102">
        <v>56.2</v>
      </c>
      <c r="U81" s="102">
        <v>42.4</v>
      </c>
      <c r="V81" s="102">
        <v>61.8</v>
      </c>
      <c r="W81" s="102">
        <v>66</v>
      </c>
      <c r="X81" s="102">
        <v>50.6</v>
      </c>
      <c r="Y81" s="102">
        <v>48.7</v>
      </c>
      <c r="Z81" s="102">
        <v>10.8</v>
      </c>
      <c r="AA81" s="102">
        <v>18.399999999999999</v>
      </c>
      <c r="AB81" s="102">
        <v>11.1</v>
      </c>
      <c r="AC81" s="102">
        <v>13.1</v>
      </c>
      <c r="AD81" s="102">
        <v>10.6</v>
      </c>
      <c r="AE81" s="102">
        <v>9</v>
      </c>
      <c r="AF81" s="102">
        <v>13.9</v>
      </c>
      <c r="AG81" s="88"/>
      <c r="AH81" s="12">
        <f t="shared" si="8"/>
        <v>69.5</v>
      </c>
      <c r="AI81" s="11">
        <f t="shared" si="9"/>
        <v>9</v>
      </c>
      <c r="AK81" s="19"/>
      <c r="AY81" s="78"/>
    </row>
    <row r="82" spans="1:64" x14ac:dyDescent="0.25">
      <c r="A82" s="87" t="s">
        <v>160</v>
      </c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>
        <v>0</v>
      </c>
      <c r="AD82" s="70">
        <v>0</v>
      </c>
      <c r="AE82" s="70">
        <v>0</v>
      </c>
      <c r="AF82" s="70">
        <v>0</v>
      </c>
      <c r="AG82" s="86"/>
      <c r="AH82" s="12">
        <f t="shared" ref="AH82:AH124" si="35">MAX(B82:AF82)</f>
        <v>0</v>
      </c>
      <c r="AI82" s="11">
        <f t="shared" ref="AI82:AI124" si="36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25">
      <c r="A83" s="87" t="s">
        <v>181</v>
      </c>
      <c r="B83" s="70">
        <v>0.9</v>
      </c>
      <c r="C83" s="70">
        <v>1.9</v>
      </c>
      <c r="D83" s="70">
        <v>2.2999999999999998</v>
      </c>
      <c r="E83" s="70">
        <v>1.1000000000000001</v>
      </c>
      <c r="F83" s="70">
        <v>4.7</v>
      </c>
      <c r="G83" s="70">
        <v>0.4</v>
      </c>
      <c r="H83" s="70">
        <v>0</v>
      </c>
      <c r="I83" s="70">
        <v>0</v>
      </c>
      <c r="J83" s="70">
        <v>417</v>
      </c>
      <c r="K83" s="70">
        <v>479.9</v>
      </c>
      <c r="L83" s="70">
        <v>486</v>
      </c>
      <c r="M83" s="70">
        <v>485</v>
      </c>
      <c r="N83" s="70"/>
      <c r="O83" s="70">
        <v>418</v>
      </c>
      <c r="P83" s="70">
        <v>410.2</v>
      </c>
      <c r="Q83" s="70">
        <v>425.7</v>
      </c>
      <c r="R83" s="70">
        <v>411.7</v>
      </c>
      <c r="S83" s="70">
        <v>520.1</v>
      </c>
      <c r="T83" s="70">
        <v>520.20000000000005</v>
      </c>
      <c r="U83" s="70">
        <v>510.1</v>
      </c>
      <c r="V83" s="70">
        <v>492</v>
      </c>
      <c r="W83" s="70">
        <v>505</v>
      </c>
      <c r="X83" s="70">
        <v>394</v>
      </c>
      <c r="Y83" s="70">
        <v>202</v>
      </c>
      <c r="Z83" s="70">
        <v>70</v>
      </c>
      <c r="AA83" s="70">
        <v>10.4</v>
      </c>
      <c r="AB83" s="70">
        <v>35.5</v>
      </c>
      <c r="AC83" s="70">
        <v>12.4</v>
      </c>
      <c r="AD83" s="70">
        <v>16.2</v>
      </c>
      <c r="AE83" s="70">
        <v>21.8</v>
      </c>
      <c r="AF83" s="70">
        <v>13.1</v>
      </c>
      <c r="AG83" s="96"/>
      <c r="AH83" s="12">
        <f t="shared" si="35"/>
        <v>520.20000000000005</v>
      </c>
      <c r="AI83" s="11">
        <f t="shared" si="36"/>
        <v>0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25">
      <c r="A84" s="87" t="s">
        <v>161</v>
      </c>
      <c r="B84" s="70">
        <v>0</v>
      </c>
      <c r="C84" s="70"/>
      <c r="D84" s="70"/>
      <c r="E84" s="85">
        <v>0</v>
      </c>
      <c r="F84" s="85">
        <v>0</v>
      </c>
      <c r="G84" s="85">
        <v>0</v>
      </c>
      <c r="H84" s="85">
        <v>0</v>
      </c>
      <c r="I84" s="85">
        <v>0</v>
      </c>
      <c r="J84" s="85">
        <v>0</v>
      </c>
      <c r="K84" s="85">
        <v>36.6</v>
      </c>
      <c r="L84" s="85">
        <v>44.1</v>
      </c>
      <c r="M84" s="85">
        <v>40.799999999999997</v>
      </c>
      <c r="N84" s="85"/>
      <c r="O84" s="85">
        <v>40.799999999999997</v>
      </c>
      <c r="P84" s="85">
        <v>45.2</v>
      </c>
      <c r="Q84" s="85">
        <v>31.2</v>
      </c>
      <c r="R84" s="85">
        <v>33.5</v>
      </c>
      <c r="S84" s="85">
        <v>39.4</v>
      </c>
      <c r="T84" s="85">
        <v>43</v>
      </c>
      <c r="U84" s="85">
        <v>45.8</v>
      </c>
      <c r="V84" s="85">
        <v>39</v>
      </c>
      <c r="W84" s="85">
        <v>42.6</v>
      </c>
      <c r="X84" s="85">
        <v>42.4</v>
      </c>
      <c r="Y84" s="85">
        <v>0</v>
      </c>
      <c r="Z84" s="85"/>
      <c r="AA84" s="85"/>
      <c r="AB84" s="85">
        <v>0</v>
      </c>
      <c r="AC84" s="85">
        <v>0</v>
      </c>
      <c r="AD84" s="85">
        <v>0</v>
      </c>
      <c r="AE84" s="85">
        <v>0</v>
      </c>
      <c r="AF84" s="85">
        <v>0</v>
      </c>
      <c r="AG84" s="96"/>
      <c r="AH84" s="12">
        <f t="shared" si="35"/>
        <v>45.8</v>
      </c>
      <c r="AI84" s="11">
        <f t="shared" si="36"/>
        <v>0</v>
      </c>
      <c r="AK84" s="19"/>
      <c r="AY84" s="78"/>
      <c r="BF84" s="83"/>
      <c r="BG84" s="78">
        <f t="array" ref="BG84:BL107">TRANSPOSE(AZ68:BW73)</f>
        <v>21</v>
      </c>
      <c r="BH84" s="78">
        <v>0</v>
      </c>
      <c r="BI84" s="78">
        <v>2</v>
      </c>
      <c r="BJ84" s="78">
        <v>0</v>
      </c>
      <c r="BK84" s="78">
        <v>0</v>
      </c>
      <c r="BL84" s="78">
        <v>44</v>
      </c>
    </row>
    <row r="85" spans="1:64" x14ac:dyDescent="0.25">
      <c r="A85" s="87" t="s">
        <v>180</v>
      </c>
      <c r="B85" s="102">
        <v>0</v>
      </c>
      <c r="C85" s="102"/>
      <c r="D85" s="102"/>
      <c r="E85" s="102">
        <v>0</v>
      </c>
      <c r="F85" s="102">
        <v>0</v>
      </c>
      <c r="G85" s="102">
        <v>0</v>
      </c>
      <c r="H85" s="102">
        <v>0</v>
      </c>
      <c r="I85" s="102">
        <v>0</v>
      </c>
      <c r="J85" s="102">
        <v>0</v>
      </c>
      <c r="K85" s="102">
        <v>0</v>
      </c>
      <c r="L85" s="102">
        <v>105.3</v>
      </c>
      <c r="M85" s="102">
        <v>104.2</v>
      </c>
      <c r="N85" s="102"/>
      <c r="O85" s="102">
        <v>128.30000000000001</v>
      </c>
      <c r="P85" s="102">
        <v>130</v>
      </c>
      <c r="Q85" s="102">
        <v>134.30000000000001</v>
      </c>
      <c r="R85" s="102">
        <v>126.9</v>
      </c>
      <c r="S85" s="102">
        <v>129.1</v>
      </c>
      <c r="T85" s="102">
        <v>145</v>
      </c>
      <c r="U85" s="102">
        <v>124.6</v>
      </c>
      <c r="V85" s="102">
        <v>120</v>
      </c>
      <c r="W85" s="102">
        <v>130.69999999999999</v>
      </c>
      <c r="X85" s="102">
        <v>86.5</v>
      </c>
      <c r="Y85" s="102">
        <v>0</v>
      </c>
      <c r="Z85" s="102"/>
      <c r="AA85" s="102"/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35"/>
        <v>145</v>
      </c>
      <c r="AI85" s="11">
        <f t="shared" si="36"/>
        <v>0</v>
      </c>
      <c r="AK85" s="19"/>
      <c r="AY85" s="78"/>
      <c r="BF85" s="83"/>
      <c r="BG85" s="78">
        <v>18.600000000000001</v>
      </c>
      <c r="BH85" s="78">
        <v>0</v>
      </c>
      <c r="BI85" s="78">
        <v>2.2999999999999998</v>
      </c>
      <c r="BJ85" s="78">
        <v>0</v>
      </c>
      <c r="BK85" s="78">
        <v>0</v>
      </c>
      <c r="BL85" s="78">
        <v>41.7</v>
      </c>
    </row>
    <row r="86" spans="1:64" x14ac:dyDescent="0.25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35"/>
        <v>0</v>
      </c>
      <c r="AI86" s="11">
        <f t="shared" si="36"/>
        <v>0</v>
      </c>
      <c r="AK86" s="19"/>
      <c r="AY86" s="78"/>
      <c r="BF86" s="83"/>
      <c r="BG86" s="78">
        <v>13.1</v>
      </c>
      <c r="BH86" s="78">
        <v>0</v>
      </c>
      <c r="BI86" s="78">
        <v>1.1000000000000001</v>
      </c>
      <c r="BJ86" s="78">
        <v>0</v>
      </c>
      <c r="BK86" s="78">
        <v>0</v>
      </c>
      <c r="BL86" s="78">
        <v>41.8</v>
      </c>
    </row>
    <row r="87" spans="1:64" ht="15.75" thickBot="1" x14ac:dyDescent="0.3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35"/>
        <v>0</v>
      </c>
      <c r="AI87" s="11">
        <f t="shared" si="36"/>
        <v>0</v>
      </c>
      <c r="AK87" s="19"/>
      <c r="AL87" s="108" t="s">
        <v>177</v>
      </c>
      <c r="AM87" s="108"/>
      <c r="AY87" s="78"/>
      <c r="BF87" s="78"/>
      <c r="BG87" s="78">
        <v>11.4</v>
      </c>
      <c r="BH87" s="78">
        <v>0</v>
      </c>
      <c r="BI87" s="78">
        <v>4.7</v>
      </c>
      <c r="BJ87" s="78">
        <v>0</v>
      </c>
      <c r="BK87" s="78">
        <v>0</v>
      </c>
      <c r="BL87" s="78">
        <v>42.4</v>
      </c>
    </row>
    <row r="88" spans="1:64" x14ac:dyDescent="0.25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35"/>
        <v>0</v>
      </c>
      <c r="AI88" s="11">
        <f t="shared" si="36"/>
        <v>0</v>
      </c>
      <c r="AK88" s="107"/>
      <c r="AL88" s="106"/>
      <c r="AM88" s="106"/>
      <c r="AN88" s="105"/>
      <c r="AY88" s="78"/>
      <c r="BF88" s="78"/>
      <c r="BG88" s="78">
        <v>17.7</v>
      </c>
      <c r="BH88" s="78">
        <v>0</v>
      </c>
      <c r="BI88" s="78">
        <v>0.4</v>
      </c>
      <c r="BJ88" s="78">
        <v>0</v>
      </c>
      <c r="BK88" s="78">
        <v>0</v>
      </c>
      <c r="BL88" s="78">
        <v>40.299999999999997</v>
      </c>
    </row>
    <row r="89" spans="1:64" x14ac:dyDescent="0.25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35"/>
        <v>0</v>
      </c>
      <c r="AI89" s="11">
        <f t="shared" si="36"/>
        <v>0</v>
      </c>
      <c r="AK89" s="104" t="s">
        <v>174</v>
      </c>
      <c r="AL89" s="70"/>
      <c r="AM89" s="85"/>
      <c r="AN89" s="103"/>
      <c r="AY89" s="78"/>
      <c r="BF89" s="78"/>
      <c r="BG89" s="78">
        <v>15.7</v>
      </c>
      <c r="BH89" s="78">
        <v>0</v>
      </c>
      <c r="BI89" s="78">
        <v>0</v>
      </c>
      <c r="BJ89" s="78">
        <v>0</v>
      </c>
      <c r="BK89" s="78">
        <v>0</v>
      </c>
      <c r="BL89" s="78">
        <v>30.9</v>
      </c>
    </row>
    <row r="90" spans="1:64" x14ac:dyDescent="0.25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35"/>
        <v>0</v>
      </c>
      <c r="AI90" s="11">
        <f t="shared" si="36"/>
        <v>0</v>
      </c>
      <c r="AK90" s="104" t="s">
        <v>172</v>
      </c>
      <c r="AL90" s="85"/>
      <c r="AM90" s="85"/>
      <c r="AN90" s="103"/>
      <c r="AY90" s="78"/>
      <c r="BF90" s="78"/>
      <c r="BG90" s="78">
        <v>62.5</v>
      </c>
      <c r="BH90" s="78">
        <v>0</v>
      </c>
      <c r="BI90" s="78">
        <v>479.9</v>
      </c>
      <c r="BJ90" s="78">
        <v>36.6</v>
      </c>
      <c r="BK90" s="78">
        <v>0</v>
      </c>
      <c r="BL90" s="78">
        <v>43</v>
      </c>
    </row>
    <row r="91" spans="1:64" ht="15.75" thickBot="1" x14ac:dyDescent="0.3">
      <c r="A91" s="82" t="s">
        <v>171</v>
      </c>
      <c r="B91" s="97">
        <v>46.2</v>
      </c>
      <c r="C91" s="97">
        <v>44.2</v>
      </c>
      <c r="D91" s="97">
        <v>41.7</v>
      </c>
      <c r="E91" s="97">
        <v>41.8</v>
      </c>
      <c r="F91" s="97">
        <v>42.4</v>
      </c>
      <c r="G91" s="97">
        <v>40.299999999999997</v>
      </c>
      <c r="H91" s="97">
        <v>38.799999999999997</v>
      </c>
      <c r="I91" s="97">
        <v>30.9</v>
      </c>
      <c r="J91" s="97">
        <v>41.3</v>
      </c>
      <c r="K91" s="97">
        <v>43</v>
      </c>
      <c r="L91" s="97">
        <v>46.2</v>
      </c>
      <c r="M91" s="97">
        <v>48</v>
      </c>
      <c r="N91" s="97"/>
      <c r="O91" s="97">
        <v>44.3</v>
      </c>
      <c r="P91" s="97">
        <v>43.8</v>
      </c>
      <c r="Q91" s="97">
        <v>49</v>
      </c>
      <c r="R91" s="97">
        <v>47.3</v>
      </c>
      <c r="S91" s="97">
        <v>49.5</v>
      </c>
      <c r="T91" s="97">
        <v>55</v>
      </c>
      <c r="U91" s="97">
        <v>58.2</v>
      </c>
      <c r="V91" s="97">
        <v>41.63</v>
      </c>
      <c r="W91" s="97">
        <v>34.6</v>
      </c>
      <c r="X91" s="97">
        <v>38.4</v>
      </c>
      <c r="Y91" s="97">
        <v>39.4</v>
      </c>
      <c r="Z91" s="97">
        <v>43</v>
      </c>
      <c r="AA91" s="97">
        <v>41.3</v>
      </c>
      <c r="AB91" s="97">
        <v>40.9</v>
      </c>
      <c r="AC91" s="97">
        <v>41.2</v>
      </c>
      <c r="AD91" s="97">
        <v>42.5</v>
      </c>
      <c r="AE91" s="97">
        <v>42.3</v>
      </c>
      <c r="AF91" s="97">
        <v>45</v>
      </c>
      <c r="AG91" s="80"/>
      <c r="AH91" s="12">
        <f t="shared" si="35"/>
        <v>58.2</v>
      </c>
      <c r="AI91" s="11">
        <f t="shared" si="36"/>
        <v>30.9</v>
      </c>
      <c r="AK91" s="98"/>
      <c r="AL91" s="102"/>
      <c r="AM91" s="102"/>
      <c r="AN91" s="101"/>
      <c r="AY91" s="78"/>
      <c r="BF91" s="78"/>
      <c r="BG91" s="78">
        <v>57</v>
      </c>
      <c r="BH91" s="78">
        <v>0</v>
      </c>
      <c r="BI91" s="78">
        <v>485</v>
      </c>
      <c r="BJ91" s="78">
        <v>40.799999999999997</v>
      </c>
      <c r="BK91" s="78">
        <v>104.2</v>
      </c>
      <c r="BL91" s="78">
        <v>48</v>
      </c>
    </row>
    <row r="92" spans="1:64" ht="15.75" thickBot="1" x14ac:dyDescent="0.3">
      <c r="A92" s="77" t="s">
        <v>170</v>
      </c>
      <c r="B92" s="76">
        <f t="shared" ref="B92" si="37">SUMIF(B81:B91,"&gt;0")</f>
        <v>82.4</v>
      </c>
      <c r="C92" s="76">
        <f t="shared" ref="C92:AF92" si="38">SUMIF(C81:C91,"&gt;0")</f>
        <v>67.400000000000006</v>
      </c>
      <c r="D92" s="76">
        <f t="shared" si="38"/>
        <v>62.600000000000009</v>
      </c>
      <c r="E92" s="76">
        <f t="shared" si="38"/>
        <v>56</v>
      </c>
      <c r="F92" s="76">
        <f t="shared" si="38"/>
        <v>58.5</v>
      </c>
      <c r="G92" s="76">
        <f t="shared" si="38"/>
        <v>58.399999999999991</v>
      </c>
      <c r="H92" s="76">
        <f t="shared" si="38"/>
        <v>60.699999999999996</v>
      </c>
      <c r="I92" s="76">
        <f t="shared" si="38"/>
        <v>46.599999999999994</v>
      </c>
      <c r="J92" s="76">
        <f t="shared" si="38"/>
        <v>498.3</v>
      </c>
      <c r="K92" s="76">
        <f t="shared" si="38"/>
        <v>622</v>
      </c>
      <c r="L92" s="76">
        <f t="shared" si="38"/>
        <v>742.2</v>
      </c>
      <c r="M92" s="76">
        <f t="shared" si="38"/>
        <v>735</v>
      </c>
      <c r="N92" s="76">
        <f t="shared" si="38"/>
        <v>0</v>
      </c>
      <c r="O92" s="76">
        <f t="shared" si="38"/>
        <v>685.3</v>
      </c>
      <c r="P92" s="76">
        <f t="shared" si="38"/>
        <v>698.69999999999993</v>
      </c>
      <c r="Q92" s="76">
        <f t="shared" si="38"/>
        <v>699.59999999999991</v>
      </c>
      <c r="R92" s="76">
        <f t="shared" si="38"/>
        <v>685.09999999999991</v>
      </c>
      <c r="S92" s="76">
        <f t="shared" si="38"/>
        <v>806.80000000000007</v>
      </c>
      <c r="T92" s="76">
        <f t="shared" si="38"/>
        <v>819.40000000000009</v>
      </c>
      <c r="U92" s="76">
        <f t="shared" si="38"/>
        <v>781.1</v>
      </c>
      <c r="V92" s="76">
        <f t="shared" si="38"/>
        <v>754.43</v>
      </c>
      <c r="W92" s="76">
        <f t="shared" si="38"/>
        <v>778.9</v>
      </c>
      <c r="X92" s="76">
        <f t="shared" si="38"/>
        <v>611.9</v>
      </c>
      <c r="Y92" s="76">
        <f t="shared" si="38"/>
        <v>290.09999999999997</v>
      </c>
      <c r="Z92" s="76">
        <f t="shared" si="38"/>
        <v>123.8</v>
      </c>
      <c r="AA92" s="76">
        <f t="shared" si="38"/>
        <v>70.099999999999994</v>
      </c>
      <c r="AB92" s="76">
        <f t="shared" si="38"/>
        <v>87.5</v>
      </c>
      <c r="AC92" s="76">
        <f t="shared" si="38"/>
        <v>66.7</v>
      </c>
      <c r="AD92" s="76">
        <f t="shared" si="38"/>
        <v>69.3</v>
      </c>
      <c r="AE92" s="76">
        <f t="shared" si="38"/>
        <v>73.099999999999994</v>
      </c>
      <c r="AF92" s="76">
        <f t="shared" si="38"/>
        <v>72</v>
      </c>
      <c r="AG92" s="75">
        <f>SUM(AG81:AG91)</f>
        <v>0</v>
      </c>
      <c r="AH92" s="12">
        <f t="shared" si="35"/>
        <v>819.40000000000009</v>
      </c>
      <c r="AI92" s="11">
        <f t="shared" si="36"/>
        <v>0</v>
      </c>
      <c r="AK92" s="98"/>
      <c r="AL92" s="97"/>
      <c r="AM92" s="100"/>
      <c r="AN92" s="220"/>
      <c r="AY92" s="78"/>
      <c r="BF92" s="78"/>
      <c r="BG92" s="78">
        <v>0</v>
      </c>
      <c r="BH92" s="78">
        <v>0</v>
      </c>
      <c r="BI92" s="78">
        <v>0</v>
      </c>
      <c r="BJ92" s="78">
        <v>0</v>
      </c>
      <c r="BK92" s="78">
        <v>0</v>
      </c>
      <c r="BL92" s="78">
        <v>0</v>
      </c>
    </row>
    <row r="93" spans="1:64" x14ac:dyDescent="0.25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35"/>
        <v>0</v>
      </c>
      <c r="AI93" s="11">
        <f t="shared" si="36"/>
        <v>0</v>
      </c>
      <c r="AK93" s="98"/>
      <c r="AL93" s="97"/>
      <c r="AM93" s="97"/>
      <c r="AN93" s="221"/>
      <c r="BF93" s="78"/>
      <c r="BG93" s="78">
        <v>53.9</v>
      </c>
      <c r="BH93" s="78">
        <v>0</v>
      </c>
      <c r="BI93" s="78">
        <v>418</v>
      </c>
      <c r="BJ93" s="78">
        <v>40.799999999999997</v>
      </c>
      <c r="BK93" s="78">
        <v>128.30000000000001</v>
      </c>
      <c r="BL93" s="78">
        <v>44.3</v>
      </c>
    </row>
    <row r="94" spans="1:64" ht="15.75" thickBot="1" x14ac:dyDescent="0.3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35"/>
        <v>0</v>
      </c>
      <c r="AI94" s="11">
        <f t="shared" si="36"/>
        <v>0</v>
      </c>
      <c r="AK94" s="95"/>
      <c r="AL94" s="67"/>
      <c r="AM94" s="67"/>
      <c r="AN94" s="94"/>
      <c r="BF94" s="78"/>
      <c r="BG94" s="78">
        <v>69.5</v>
      </c>
      <c r="BH94" s="78">
        <v>0</v>
      </c>
      <c r="BI94" s="78">
        <v>410.2</v>
      </c>
      <c r="BJ94" s="78">
        <v>45.2</v>
      </c>
      <c r="BK94" s="78">
        <v>130</v>
      </c>
      <c r="BL94" s="78">
        <v>43.8</v>
      </c>
    </row>
    <row r="95" spans="1:64" ht="15.75" thickBot="1" x14ac:dyDescent="0.3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35"/>
        <v>0</v>
      </c>
      <c r="AI95" s="11">
        <f t="shared" si="36"/>
        <v>0</v>
      </c>
      <c r="BF95" s="78"/>
      <c r="BG95" s="78">
        <v>59.4</v>
      </c>
      <c r="BH95" s="78">
        <v>0</v>
      </c>
      <c r="BI95" s="78">
        <v>425.7</v>
      </c>
      <c r="BJ95" s="78">
        <v>31.2</v>
      </c>
      <c r="BK95" s="78">
        <v>134.30000000000001</v>
      </c>
      <c r="BL95" s="78">
        <v>49</v>
      </c>
    </row>
    <row r="96" spans="1:64" ht="15.75" thickBot="1" x14ac:dyDescent="0.3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>
        <v>0</v>
      </c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35"/>
        <v>0</v>
      </c>
      <c r="AI96" s="11">
        <f t="shared" si="36"/>
        <v>0</v>
      </c>
      <c r="BF96" s="78"/>
      <c r="BG96" s="78">
        <v>65.7</v>
      </c>
      <c r="BH96" s="78">
        <v>0</v>
      </c>
      <c r="BI96" s="78">
        <v>411.7</v>
      </c>
      <c r="BJ96" s="78">
        <v>33.5</v>
      </c>
      <c r="BK96" s="78">
        <v>126.9</v>
      </c>
      <c r="BL96" s="78">
        <v>47.3</v>
      </c>
    </row>
    <row r="97" spans="1:64" ht="15.75" thickBot="1" x14ac:dyDescent="0.3">
      <c r="A97" s="77" t="s">
        <v>165</v>
      </c>
      <c r="B97" s="90">
        <f t="shared" ref="B97" si="39">B58+B62+B80+B76+B92+B96</f>
        <v>1230.44</v>
      </c>
      <c r="C97" s="90">
        <f t="shared" ref="C97:AG97" si="40">C58+C62+C80+C76+C92+C96</f>
        <v>1176.8400000000001</v>
      </c>
      <c r="D97" s="90">
        <f t="shared" si="40"/>
        <v>1144.8399999999999</v>
      </c>
      <c r="E97" s="90">
        <f t="shared" si="40"/>
        <v>1104.6399999999999</v>
      </c>
      <c r="F97" s="90">
        <f t="shared" si="40"/>
        <v>1094.74</v>
      </c>
      <c r="G97" s="90">
        <f t="shared" si="40"/>
        <v>1127.94</v>
      </c>
      <c r="H97" s="90">
        <f t="shared" si="40"/>
        <v>1178.44</v>
      </c>
      <c r="I97" s="90">
        <f t="shared" si="40"/>
        <v>1232.6399999999996</v>
      </c>
      <c r="J97" s="90">
        <f t="shared" si="40"/>
        <v>1428.0399999999997</v>
      </c>
      <c r="K97" s="90">
        <f t="shared" si="40"/>
        <v>1527.7399999999998</v>
      </c>
      <c r="L97" s="90">
        <f t="shared" si="40"/>
        <v>1588.1399999999999</v>
      </c>
      <c r="M97" s="90">
        <f t="shared" si="40"/>
        <v>1600.84</v>
      </c>
      <c r="N97" s="90">
        <f t="shared" si="40"/>
        <v>153.54</v>
      </c>
      <c r="O97" s="90">
        <f t="shared" si="40"/>
        <v>1579.04</v>
      </c>
      <c r="P97" s="90">
        <f t="shared" si="40"/>
        <v>1617.4399999999998</v>
      </c>
      <c r="Q97" s="90">
        <f t="shared" si="40"/>
        <v>1628.4399999999998</v>
      </c>
      <c r="R97" s="90">
        <f t="shared" si="40"/>
        <v>1309.3999999999996</v>
      </c>
      <c r="S97" s="90">
        <f t="shared" si="40"/>
        <v>1663.2399999999998</v>
      </c>
      <c r="T97" s="90">
        <f t="shared" si="40"/>
        <v>1702.24</v>
      </c>
      <c r="U97" s="90">
        <f t="shared" si="40"/>
        <v>1674.7399999999998</v>
      </c>
      <c r="V97" s="90">
        <f t="shared" si="40"/>
        <v>1606.1699999999996</v>
      </c>
      <c r="W97" s="90">
        <f t="shared" si="40"/>
        <v>1569.94</v>
      </c>
      <c r="X97" s="90">
        <f t="shared" si="40"/>
        <v>1456.94</v>
      </c>
      <c r="Y97" s="90">
        <f t="shared" si="40"/>
        <v>1287.0999999999999</v>
      </c>
      <c r="Z97" s="90">
        <f t="shared" si="40"/>
        <v>1582.3999999999999</v>
      </c>
      <c r="AA97" s="90">
        <f t="shared" si="40"/>
        <v>1564.8399999999997</v>
      </c>
      <c r="AB97" s="90">
        <f t="shared" si="40"/>
        <v>1494.34</v>
      </c>
      <c r="AC97" s="90">
        <f t="shared" si="40"/>
        <v>1470.34</v>
      </c>
      <c r="AD97" s="90">
        <f t="shared" si="40"/>
        <v>1394.54</v>
      </c>
      <c r="AE97" s="90">
        <f t="shared" si="40"/>
        <v>1361.04</v>
      </c>
      <c r="AF97" s="90">
        <f t="shared" si="40"/>
        <v>1314.1399999999999</v>
      </c>
      <c r="AG97" s="93">
        <f t="shared" si="40"/>
        <v>2231.81</v>
      </c>
      <c r="AH97" s="12">
        <f t="shared" si="35"/>
        <v>1702.24</v>
      </c>
      <c r="AI97" s="11">
        <f t="shared" si="36"/>
        <v>153.54</v>
      </c>
      <c r="BF97" s="78"/>
      <c r="BG97" s="78">
        <v>68.7</v>
      </c>
      <c r="BH97" s="78">
        <v>0</v>
      </c>
      <c r="BI97" s="78">
        <v>520.1</v>
      </c>
      <c r="BJ97" s="78">
        <v>39.4</v>
      </c>
      <c r="BK97" s="78">
        <v>129.1</v>
      </c>
      <c r="BL97" s="78">
        <v>49.5</v>
      </c>
    </row>
    <row r="98" spans="1:64" ht="15.75" thickBot="1" x14ac:dyDescent="0.3">
      <c r="A98" s="92" t="s">
        <v>164</v>
      </c>
      <c r="B98" s="91">
        <v>280</v>
      </c>
      <c r="C98" s="91">
        <v>280</v>
      </c>
      <c r="D98" s="91">
        <v>280</v>
      </c>
      <c r="E98" s="91">
        <v>280</v>
      </c>
      <c r="F98" s="91">
        <v>280</v>
      </c>
      <c r="G98" s="91">
        <v>280</v>
      </c>
      <c r="H98" s="91">
        <v>280</v>
      </c>
      <c r="I98" s="91">
        <v>230</v>
      </c>
      <c r="J98" s="91">
        <v>100</v>
      </c>
      <c r="K98" s="91">
        <v>40</v>
      </c>
      <c r="L98" s="91">
        <v>20</v>
      </c>
      <c r="M98" s="91">
        <v>0</v>
      </c>
      <c r="N98" s="91"/>
      <c r="O98" s="91"/>
      <c r="P98" s="91"/>
      <c r="Q98" s="91">
        <v>10</v>
      </c>
      <c r="R98" s="91">
        <v>10</v>
      </c>
      <c r="S98" s="91">
        <v>10</v>
      </c>
      <c r="T98" s="91">
        <v>10</v>
      </c>
      <c r="U98" s="91">
        <v>10</v>
      </c>
      <c r="V98" s="91">
        <v>10</v>
      </c>
      <c r="W98" s="91">
        <v>10</v>
      </c>
      <c r="X98" s="91"/>
      <c r="Y98" s="91">
        <v>250</v>
      </c>
      <c r="Z98" s="91">
        <v>250</v>
      </c>
      <c r="AA98" s="91">
        <v>250</v>
      </c>
      <c r="AB98" s="91">
        <v>250</v>
      </c>
      <c r="AC98" s="91">
        <v>250</v>
      </c>
      <c r="AD98" s="91">
        <v>250</v>
      </c>
      <c r="AE98" s="91">
        <v>251</v>
      </c>
      <c r="AF98" s="91">
        <v>252</v>
      </c>
      <c r="AG98" s="75"/>
      <c r="AH98" s="12">
        <f t="shared" si="35"/>
        <v>280</v>
      </c>
      <c r="AI98" s="11">
        <f t="shared" si="36"/>
        <v>0</v>
      </c>
      <c r="BF98" s="78"/>
      <c r="BG98" s="78">
        <v>56.2</v>
      </c>
      <c r="BH98" s="78">
        <v>0</v>
      </c>
      <c r="BI98" s="78">
        <v>520.20000000000005</v>
      </c>
      <c r="BJ98" s="78">
        <v>43</v>
      </c>
      <c r="BK98" s="78">
        <v>145</v>
      </c>
      <c r="BL98" s="78">
        <v>55</v>
      </c>
    </row>
    <row r="99" spans="1:64" ht="15.75" thickBot="1" x14ac:dyDescent="0.3">
      <c r="A99" s="77" t="s">
        <v>163</v>
      </c>
      <c r="B99" s="90">
        <f t="shared" ref="B99" si="41">B97+B98</f>
        <v>1510.44</v>
      </c>
      <c r="C99" s="90">
        <f t="shared" ref="C99:AF99" si="42">C97+C98</f>
        <v>1456.8400000000001</v>
      </c>
      <c r="D99" s="90">
        <f t="shared" si="42"/>
        <v>1424.84</v>
      </c>
      <c r="E99" s="90">
        <f t="shared" si="42"/>
        <v>1384.6399999999999</v>
      </c>
      <c r="F99" s="90">
        <f t="shared" si="42"/>
        <v>1374.74</v>
      </c>
      <c r="G99" s="90">
        <f t="shared" si="42"/>
        <v>1407.94</v>
      </c>
      <c r="H99" s="90">
        <f t="shared" si="42"/>
        <v>1458.44</v>
      </c>
      <c r="I99" s="90">
        <f t="shared" si="42"/>
        <v>1462.6399999999996</v>
      </c>
      <c r="J99" s="90">
        <f t="shared" si="42"/>
        <v>1528.0399999999997</v>
      </c>
      <c r="K99" s="90">
        <f t="shared" si="42"/>
        <v>1567.7399999999998</v>
      </c>
      <c r="L99" s="90">
        <f t="shared" si="42"/>
        <v>1608.1399999999999</v>
      </c>
      <c r="M99" s="90">
        <f t="shared" si="42"/>
        <v>1600.84</v>
      </c>
      <c r="N99" s="90">
        <f t="shared" si="42"/>
        <v>153.54</v>
      </c>
      <c r="O99" s="90">
        <f t="shared" si="42"/>
        <v>1579.04</v>
      </c>
      <c r="P99" s="90">
        <f t="shared" si="42"/>
        <v>1617.4399999999998</v>
      </c>
      <c r="Q99" s="90">
        <f t="shared" si="42"/>
        <v>1638.4399999999998</v>
      </c>
      <c r="R99" s="90">
        <f t="shared" si="42"/>
        <v>1319.3999999999996</v>
      </c>
      <c r="S99" s="90">
        <f t="shared" si="42"/>
        <v>1673.2399999999998</v>
      </c>
      <c r="T99" s="90">
        <f t="shared" si="42"/>
        <v>1712.24</v>
      </c>
      <c r="U99" s="90">
        <f t="shared" si="42"/>
        <v>1684.7399999999998</v>
      </c>
      <c r="V99" s="90">
        <f t="shared" si="42"/>
        <v>1616.1699999999996</v>
      </c>
      <c r="W99" s="90">
        <f t="shared" si="42"/>
        <v>1579.94</v>
      </c>
      <c r="X99" s="90">
        <f t="shared" si="42"/>
        <v>1456.94</v>
      </c>
      <c r="Y99" s="90">
        <f t="shared" si="42"/>
        <v>1537.1</v>
      </c>
      <c r="Z99" s="90">
        <f t="shared" si="42"/>
        <v>1832.3999999999999</v>
      </c>
      <c r="AA99" s="90">
        <f t="shared" si="42"/>
        <v>1814.8399999999997</v>
      </c>
      <c r="AB99" s="90">
        <f t="shared" si="42"/>
        <v>1744.34</v>
      </c>
      <c r="AC99" s="90">
        <f t="shared" si="42"/>
        <v>1720.34</v>
      </c>
      <c r="AD99" s="90">
        <f t="shared" si="42"/>
        <v>1644.54</v>
      </c>
      <c r="AE99" s="90">
        <f t="shared" si="42"/>
        <v>1612.04</v>
      </c>
      <c r="AF99" s="90">
        <f t="shared" si="42"/>
        <v>1566.1399999999999</v>
      </c>
      <c r="AG99" s="75">
        <f>AG96+AG92+AG80+AG76+AG58+AG98</f>
        <v>1693.71</v>
      </c>
      <c r="AH99" s="12">
        <f t="shared" si="35"/>
        <v>1832.3999999999999</v>
      </c>
      <c r="AI99" s="11">
        <f t="shared" si="36"/>
        <v>153.54</v>
      </c>
      <c r="BF99" s="78"/>
      <c r="BG99" s="78">
        <v>42.4</v>
      </c>
      <c r="BH99" s="78">
        <v>0</v>
      </c>
      <c r="BI99" s="78">
        <v>510.1</v>
      </c>
      <c r="BJ99" s="78">
        <v>45.8</v>
      </c>
      <c r="BK99" s="78">
        <v>124.6</v>
      </c>
      <c r="BL99" s="78">
        <v>58.2</v>
      </c>
    </row>
    <row r="100" spans="1:64" ht="15.75" thickBot="1" x14ac:dyDescent="0.3">
      <c r="A100" s="77" t="s">
        <v>162</v>
      </c>
      <c r="B100" s="90">
        <f t="shared" ref="B100" si="43">B99-(B107)</f>
        <v>1510.44</v>
      </c>
      <c r="C100" s="90">
        <f t="shared" ref="C100:AF100" si="44">C99-(C107)</f>
        <v>1456.8400000000001</v>
      </c>
      <c r="D100" s="90">
        <f t="shared" si="44"/>
        <v>1424.84</v>
      </c>
      <c r="E100" s="90">
        <f t="shared" si="44"/>
        <v>1384.6399999999999</v>
      </c>
      <c r="F100" s="90">
        <f t="shared" si="44"/>
        <v>1374.74</v>
      </c>
      <c r="G100" s="90">
        <f t="shared" si="44"/>
        <v>1407.94</v>
      </c>
      <c r="H100" s="90">
        <f t="shared" si="44"/>
        <v>1458.44</v>
      </c>
      <c r="I100" s="90">
        <f t="shared" si="44"/>
        <v>1462.6399999999996</v>
      </c>
      <c r="J100" s="90">
        <f t="shared" si="44"/>
        <v>1528.0399999999997</v>
      </c>
      <c r="K100" s="90">
        <f t="shared" si="44"/>
        <v>1567.7399999999998</v>
      </c>
      <c r="L100" s="90">
        <f t="shared" si="44"/>
        <v>1608.1399999999999</v>
      </c>
      <c r="M100" s="90">
        <f t="shared" si="44"/>
        <v>1600.84</v>
      </c>
      <c r="N100" s="90">
        <f t="shared" si="44"/>
        <v>153.54</v>
      </c>
      <c r="O100" s="90">
        <f t="shared" si="44"/>
        <v>1579.04</v>
      </c>
      <c r="P100" s="90">
        <f t="shared" si="44"/>
        <v>1617.4399999999998</v>
      </c>
      <c r="Q100" s="90">
        <f t="shared" si="44"/>
        <v>1638.4399999999998</v>
      </c>
      <c r="R100" s="90">
        <f t="shared" si="44"/>
        <v>1319.3999999999996</v>
      </c>
      <c r="S100" s="90">
        <f t="shared" si="44"/>
        <v>1673.2399999999998</v>
      </c>
      <c r="T100" s="90">
        <f t="shared" si="44"/>
        <v>1712.24</v>
      </c>
      <c r="U100" s="90">
        <f t="shared" si="44"/>
        <v>1684.7399999999998</v>
      </c>
      <c r="V100" s="90">
        <f t="shared" si="44"/>
        <v>1615.1699999999996</v>
      </c>
      <c r="W100" s="90">
        <f t="shared" si="44"/>
        <v>1579.94</v>
      </c>
      <c r="X100" s="90">
        <f t="shared" si="44"/>
        <v>1456.94</v>
      </c>
      <c r="Y100" s="90">
        <f t="shared" si="44"/>
        <v>1537.1</v>
      </c>
      <c r="Z100" s="90">
        <f t="shared" si="44"/>
        <v>1832.3999999999999</v>
      </c>
      <c r="AA100" s="90">
        <f t="shared" si="44"/>
        <v>1814.8399999999997</v>
      </c>
      <c r="AB100" s="90">
        <f t="shared" si="44"/>
        <v>1744.34</v>
      </c>
      <c r="AC100" s="90">
        <f t="shared" si="44"/>
        <v>1720.34</v>
      </c>
      <c r="AD100" s="90">
        <f t="shared" si="44"/>
        <v>1644.54</v>
      </c>
      <c r="AE100" s="90">
        <f t="shared" si="44"/>
        <v>1612.04</v>
      </c>
      <c r="AF100" s="90">
        <f t="shared" si="44"/>
        <v>1566.1399999999999</v>
      </c>
      <c r="AG100" s="75"/>
      <c r="AH100" s="12">
        <f t="shared" si="35"/>
        <v>1832.3999999999999</v>
      </c>
      <c r="AI100" s="11">
        <f t="shared" si="36"/>
        <v>153.54</v>
      </c>
      <c r="BF100" s="78"/>
      <c r="BG100" s="78">
        <v>61.8</v>
      </c>
      <c r="BH100" s="78">
        <v>0</v>
      </c>
      <c r="BI100" s="78">
        <v>492</v>
      </c>
      <c r="BJ100" s="78">
        <v>39</v>
      </c>
      <c r="BK100" s="78">
        <v>120</v>
      </c>
      <c r="BL100" s="78">
        <v>41.63</v>
      </c>
    </row>
    <row r="101" spans="1:64" x14ac:dyDescent="0.25">
      <c r="A101" s="89" t="s">
        <v>161</v>
      </c>
      <c r="B101" s="85">
        <f t="shared" ref="B101" si="45">IF(B84&lt;0,B84*-1,0)</f>
        <v>0</v>
      </c>
      <c r="C101" s="85">
        <f t="shared" ref="C101:AB101" si="46">IF(C84&lt;0,C84*-1,0)</f>
        <v>0</v>
      </c>
      <c r="D101" s="85">
        <f t="shared" si="46"/>
        <v>0</v>
      </c>
      <c r="E101" s="85">
        <f t="shared" si="46"/>
        <v>0</v>
      </c>
      <c r="F101" s="85">
        <f t="shared" si="46"/>
        <v>0</v>
      </c>
      <c r="G101" s="85">
        <f t="shared" si="46"/>
        <v>0</v>
      </c>
      <c r="H101" s="85">
        <f t="shared" si="46"/>
        <v>0</v>
      </c>
      <c r="I101" s="85">
        <f t="shared" si="46"/>
        <v>0</v>
      </c>
      <c r="J101" s="85">
        <f t="shared" si="46"/>
        <v>0</v>
      </c>
      <c r="K101" s="85">
        <f t="shared" si="46"/>
        <v>0</v>
      </c>
      <c r="L101" s="85">
        <f t="shared" si="46"/>
        <v>0</v>
      </c>
      <c r="M101" s="85">
        <f t="shared" si="46"/>
        <v>0</v>
      </c>
      <c r="N101" s="85">
        <f t="shared" si="46"/>
        <v>0</v>
      </c>
      <c r="O101" s="85">
        <f t="shared" si="46"/>
        <v>0</v>
      </c>
      <c r="P101" s="85">
        <f t="shared" si="46"/>
        <v>0</v>
      </c>
      <c r="Q101" s="85">
        <f t="shared" si="46"/>
        <v>0</v>
      </c>
      <c r="R101" s="85">
        <f t="shared" si="46"/>
        <v>0</v>
      </c>
      <c r="S101" s="85">
        <f t="shared" si="46"/>
        <v>0</v>
      </c>
      <c r="T101" s="85">
        <f t="shared" si="46"/>
        <v>0</v>
      </c>
      <c r="U101" s="85">
        <f t="shared" si="46"/>
        <v>0</v>
      </c>
      <c r="V101" s="85">
        <f t="shared" ref="V101" si="47">IF(V84&lt;0,V84*-1,0)</f>
        <v>0</v>
      </c>
      <c r="W101" s="85">
        <f t="shared" si="46"/>
        <v>0</v>
      </c>
      <c r="X101" s="85">
        <f t="shared" si="46"/>
        <v>0</v>
      </c>
      <c r="Y101" s="85">
        <f t="shared" si="46"/>
        <v>0</v>
      </c>
      <c r="Z101" s="85">
        <f t="shared" si="46"/>
        <v>0</v>
      </c>
      <c r="AA101" s="85">
        <f t="shared" si="46"/>
        <v>0</v>
      </c>
      <c r="AB101" s="85">
        <f t="shared" si="46"/>
        <v>0</v>
      </c>
      <c r="AC101" s="85">
        <f t="shared" ref="AC101:AD101" si="48">IF(AC84&lt;0,AC84*-1,0)</f>
        <v>0</v>
      </c>
      <c r="AD101" s="85">
        <f t="shared" si="48"/>
        <v>0</v>
      </c>
      <c r="AE101" s="85">
        <f t="shared" ref="AE101:AF101" si="49">IF(AE84&lt;0,AE84*-1,0)</f>
        <v>0</v>
      </c>
      <c r="AF101" s="85">
        <f t="shared" si="49"/>
        <v>0</v>
      </c>
      <c r="AG101" s="88"/>
      <c r="AH101" s="12">
        <f t="shared" si="35"/>
        <v>0</v>
      </c>
      <c r="AI101" s="11">
        <f t="shared" si="36"/>
        <v>0</v>
      </c>
      <c r="BF101" s="83"/>
      <c r="BG101" s="78">
        <v>50.6</v>
      </c>
      <c r="BH101" s="78">
        <v>0</v>
      </c>
      <c r="BI101" s="78">
        <v>394</v>
      </c>
      <c r="BJ101" s="78">
        <v>42.4</v>
      </c>
      <c r="BK101" s="78">
        <v>86.5</v>
      </c>
      <c r="BL101" s="78">
        <v>38.4</v>
      </c>
    </row>
    <row r="102" spans="1:64" x14ac:dyDescent="0.25">
      <c r="A102" s="87" t="s">
        <v>160</v>
      </c>
      <c r="B102" s="85">
        <f t="shared" ref="B102" si="50">IF(B82&lt;0,B82*-1,0)</f>
        <v>0</v>
      </c>
      <c r="C102" s="85">
        <f t="shared" ref="C102:AB102" si="51">IF(C82&lt;0,C82*-1,0)</f>
        <v>0</v>
      </c>
      <c r="D102" s="85">
        <f t="shared" si="51"/>
        <v>0</v>
      </c>
      <c r="E102" s="85">
        <f t="shared" si="51"/>
        <v>0</v>
      </c>
      <c r="F102" s="85">
        <f t="shared" si="51"/>
        <v>0</v>
      </c>
      <c r="G102" s="85">
        <f t="shared" si="51"/>
        <v>0</v>
      </c>
      <c r="H102" s="85">
        <f t="shared" si="51"/>
        <v>0</v>
      </c>
      <c r="I102" s="85">
        <f t="shared" si="51"/>
        <v>0</v>
      </c>
      <c r="J102" s="85">
        <f t="shared" si="51"/>
        <v>0</v>
      </c>
      <c r="K102" s="85">
        <f t="shared" si="51"/>
        <v>0</v>
      </c>
      <c r="L102" s="85">
        <f t="shared" si="51"/>
        <v>0</v>
      </c>
      <c r="M102" s="85">
        <f t="shared" si="51"/>
        <v>0</v>
      </c>
      <c r="N102" s="85">
        <f t="shared" si="51"/>
        <v>0</v>
      </c>
      <c r="O102" s="85">
        <f t="shared" si="51"/>
        <v>0</v>
      </c>
      <c r="P102" s="85">
        <f t="shared" si="51"/>
        <v>0</v>
      </c>
      <c r="Q102" s="85">
        <f t="shared" si="51"/>
        <v>0</v>
      </c>
      <c r="R102" s="85">
        <f t="shared" si="51"/>
        <v>0</v>
      </c>
      <c r="S102" s="85">
        <f t="shared" si="51"/>
        <v>0</v>
      </c>
      <c r="T102" s="85">
        <f t="shared" si="51"/>
        <v>0</v>
      </c>
      <c r="U102" s="85">
        <f t="shared" si="51"/>
        <v>0</v>
      </c>
      <c r="V102" s="85">
        <f t="shared" ref="V102" si="52">IF(V82&lt;0,V82*-1,0)</f>
        <v>0</v>
      </c>
      <c r="W102" s="85">
        <f t="shared" si="51"/>
        <v>0</v>
      </c>
      <c r="X102" s="85">
        <f t="shared" si="51"/>
        <v>0</v>
      </c>
      <c r="Y102" s="85">
        <f t="shared" si="51"/>
        <v>0</v>
      </c>
      <c r="Z102" s="85">
        <f t="shared" si="51"/>
        <v>0</v>
      </c>
      <c r="AA102" s="85">
        <f t="shared" si="51"/>
        <v>0</v>
      </c>
      <c r="AB102" s="85">
        <f t="shared" si="51"/>
        <v>0</v>
      </c>
      <c r="AC102" s="85">
        <f t="shared" ref="AC102:AD102" si="53">IF(AC82&lt;0,AC82*-1,0)</f>
        <v>0</v>
      </c>
      <c r="AD102" s="85">
        <f t="shared" si="53"/>
        <v>0</v>
      </c>
      <c r="AE102" s="85">
        <f t="shared" ref="AE102:AF102" si="54">IF(AE82&lt;0,AE82*-1,0)</f>
        <v>0</v>
      </c>
      <c r="AF102" s="85">
        <f t="shared" si="54"/>
        <v>0</v>
      </c>
      <c r="AG102" s="86"/>
      <c r="AH102" s="12">
        <f t="shared" si="35"/>
        <v>0</v>
      </c>
      <c r="AI102" s="11">
        <f t="shared" si="36"/>
        <v>0</v>
      </c>
      <c r="BF102" s="83"/>
      <c r="BG102" s="78">
        <v>10.8</v>
      </c>
      <c r="BH102" s="78">
        <v>0</v>
      </c>
      <c r="BI102" s="78">
        <v>70</v>
      </c>
      <c r="BJ102" s="78">
        <v>0</v>
      </c>
      <c r="BK102" s="78">
        <v>0</v>
      </c>
      <c r="BL102" s="78">
        <v>43</v>
      </c>
    </row>
    <row r="103" spans="1:64" x14ac:dyDescent="0.25">
      <c r="A103" s="82" t="s">
        <v>159</v>
      </c>
      <c r="B103" s="85">
        <f t="shared" ref="B103" si="55">IF(B85&lt;0,B85*-1,0)</f>
        <v>0</v>
      </c>
      <c r="C103" s="85">
        <f t="shared" ref="C103:AB103" si="56">IF(C85&lt;0,C85*-1,0)</f>
        <v>0</v>
      </c>
      <c r="D103" s="85">
        <f t="shared" si="56"/>
        <v>0</v>
      </c>
      <c r="E103" s="85">
        <f t="shared" si="56"/>
        <v>0</v>
      </c>
      <c r="F103" s="85">
        <f t="shared" si="56"/>
        <v>0</v>
      </c>
      <c r="G103" s="85">
        <f t="shared" si="56"/>
        <v>0</v>
      </c>
      <c r="H103" s="85">
        <f t="shared" si="56"/>
        <v>0</v>
      </c>
      <c r="I103" s="85">
        <f t="shared" si="56"/>
        <v>0</v>
      </c>
      <c r="J103" s="85">
        <f t="shared" si="56"/>
        <v>0</v>
      </c>
      <c r="K103" s="85">
        <f t="shared" si="56"/>
        <v>0</v>
      </c>
      <c r="L103" s="85">
        <f t="shared" si="56"/>
        <v>0</v>
      </c>
      <c r="M103" s="85">
        <f t="shared" si="56"/>
        <v>0</v>
      </c>
      <c r="N103" s="85">
        <f t="shared" si="56"/>
        <v>0</v>
      </c>
      <c r="O103" s="85">
        <f t="shared" si="56"/>
        <v>0</v>
      </c>
      <c r="P103" s="85">
        <f t="shared" si="56"/>
        <v>0</v>
      </c>
      <c r="Q103" s="85">
        <f t="shared" si="56"/>
        <v>0</v>
      </c>
      <c r="R103" s="85">
        <f t="shared" si="56"/>
        <v>0</v>
      </c>
      <c r="S103" s="85">
        <f t="shared" si="56"/>
        <v>0</v>
      </c>
      <c r="T103" s="85">
        <f t="shared" si="56"/>
        <v>0</v>
      </c>
      <c r="U103" s="85">
        <f t="shared" si="56"/>
        <v>0</v>
      </c>
      <c r="V103" s="85">
        <f t="shared" ref="V103" si="57">IF(V85&lt;0,V85*-1,0)</f>
        <v>0</v>
      </c>
      <c r="W103" s="85">
        <f t="shared" si="56"/>
        <v>0</v>
      </c>
      <c r="X103" s="85">
        <f t="shared" si="56"/>
        <v>0</v>
      </c>
      <c r="Y103" s="85">
        <f t="shared" si="56"/>
        <v>0</v>
      </c>
      <c r="Z103" s="85">
        <f t="shared" si="56"/>
        <v>0</v>
      </c>
      <c r="AA103" s="85">
        <f t="shared" si="56"/>
        <v>0</v>
      </c>
      <c r="AB103" s="85">
        <f t="shared" si="56"/>
        <v>0</v>
      </c>
      <c r="AC103" s="85">
        <f t="shared" ref="AC103:AD103" si="58">IF(AC85&lt;0,AC85*-1,0)</f>
        <v>0</v>
      </c>
      <c r="AD103" s="85">
        <f t="shared" si="58"/>
        <v>0</v>
      </c>
      <c r="AE103" s="85">
        <f t="shared" ref="AE103:AF103" si="59">IF(AE85&lt;0,AE85*-1,0)</f>
        <v>0</v>
      </c>
      <c r="AF103" s="85">
        <f t="shared" si="59"/>
        <v>0</v>
      </c>
      <c r="AG103" s="84"/>
      <c r="AH103" s="12">
        <f t="shared" si="35"/>
        <v>0</v>
      </c>
      <c r="AI103" s="11">
        <f t="shared" si="36"/>
        <v>0</v>
      </c>
      <c r="BF103" s="83"/>
      <c r="BG103" s="78">
        <v>11.1</v>
      </c>
      <c r="BH103" s="78">
        <v>0</v>
      </c>
      <c r="BI103" s="78">
        <v>35.5</v>
      </c>
      <c r="BJ103" s="78">
        <v>0</v>
      </c>
      <c r="BK103" s="78">
        <v>0</v>
      </c>
      <c r="BL103" s="78">
        <v>40.9</v>
      </c>
    </row>
    <row r="104" spans="1:64" x14ac:dyDescent="0.25">
      <c r="A104" s="82" t="s">
        <v>158</v>
      </c>
      <c r="B104" s="85">
        <f t="shared" ref="B104" si="60">IF(B83&lt;0,B83*-1,0)</f>
        <v>0</v>
      </c>
      <c r="C104" s="85">
        <f t="shared" ref="C104:AB104" si="61">IF(C83&lt;0,C83*-1,0)</f>
        <v>0</v>
      </c>
      <c r="D104" s="85">
        <f t="shared" si="61"/>
        <v>0</v>
      </c>
      <c r="E104" s="85">
        <f t="shared" si="61"/>
        <v>0</v>
      </c>
      <c r="F104" s="85">
        <f t="shared" si="61"/>
        <v>0</v>
      </c>
      <c r="G104" s="85">
        <f t="shared" si="61"/>
        <v>0</v>
      </c>
      <c r="H104" s="85">
        <f t="shared" si="61"/>
        <v>0</v>
      </c>
      <c r="I104" s="85">
        <f t="shared" si="61"/>
        <v>0</v>
      </c>
      <c r="J104" s="85">
        <f t="shared" si="61"/>
        <v>0</v>
      </c>
      <c r="K104" s="85">
        <f t="shared" si="61"/>
        <v>0</v>
      </c>
      <c r="L104" s="85">
        <f t="shared" si="61"/>
        <v>0</v>
      </c>
      <c r="M104" s="85">
        <f t="shared" si="61"/>
        <v>0</v>
      </c>
      <c r="N104" s="85">
        <f t="shared" si="61"/>
        <v>0</v>
      </c>
      <c r="O104" s="85">
        <f t="shared" si="61"/>
        <v>0</v>
      </c>
      <c r="P104" s="85">
        <f t="shared" si="61"/>
        <v>0</v>
      </c>
      <c r="Q104" s="85">
        <f t="shared" si="61"/>
        <v>0</v>
      </c>
      <c r="R104" s="85">
        <f t="shared" si="61"/>
        <v>0</v>
      </c>
      <c r="S104" s="85">
        <f t="shared" si="61"/>
        <v>0</v>
      </c>
      <c r="T104" s="85">
        <f t="shared" si="61"/>
        <v>0</v>
      </c>
      <c r="U104" s="85">
        <f t="shared" si="61"/>
        <v>0</v>
      </c>
      <c r="V104" s="85">
        <f t="shared" ref="V104" si="62">IF(V83&lt;0,V83*-1,0)</f>
        <v>0</v>
      </c>
      <c r="W104" s="85">
        <f t="shared" si="61"/>
        <v>0</v>
      </c>
      <c r="X104" s="85">
        <f t="shared" si="61"/>
        <v>0</v>
      </c>
      <c r="Y104" s="85">
        <f t="shared" si="61"/>
        <v>0</v>
      </c>
      <c r="Z104" s="85">
        <f t="shared" si="61"/>
        <v>0</v>
      </c>
      <c r="AA104" s="85">
        <f t="shared" si="61"/>
        <v>0</v>
      </c>
      <c r="AB104" s="85">
        <f t="shared" si="61"/>
        <v>0</v>
      </c>
      <c r="AC104" s="85">
        <f t="shared" ref="AC104:AD104" si="63">IF(AC83&lt;0,AC83*-1,0)</f>
        <v>0</v>
      </c>
      <c r="AD104" s="85">
        <f t="shared" si="63"/>
        <v>0</v>
      </c>
      <c r="AE104" s="85">
        <f t="shared" ref="AE104:AF104" si="64">IF(AE83&lt;0,AE83*-1,0)</f>
        <v>0</v>
      </c>
      <c r="AF104" s="85">
        <f t="shared" si="64"/>
        <v>0</v>
      </c>
      <c r="AG104" s="84"/>
      <c r="AH104" s="12">
        <f t="shared" si="35"/>
        <v>0</v>
      </c>
      <c r="AI104" s="11">
        <f t="shared" si="36"/>
        <v>0</v>
      </c>
      <c r="BF104" s="83"/>
      <c r="BG104" s="78">
        <v>10.6</v>
      </c>
      <c r="BH104" s="78">
        <v>0</v>
      </c>
      <c r="BI104" s="78">
        <v>16.2</v>
      </c>
      <c r="BJ104" s="78">
        <v>0</v>
      </c>
      <c r="BK104" s="78">
        <v>0</v>
      </c>
      <c r="BL104" s="78">
        <v>42.5</v>
      </c>
    </row>
    <row r="105" spans="1:64" x14ac:dyDescent="0.25">
      <c r="A105" s="82" t="s">
        <v>157</v>
      </c>
      <c r="B105" s="85">
        <f t="shared" ref="B105" si="65">IF(B81&lt;0,B81*-1,0)</f>
        <v>0</v>
      </c>
      <c r="C105" s="85">
        <f t="shared" ref="C105:AB105" si="66">IF(C81&lt;0,C81*-1,0)</f>
        <v>0</v>
      </c>
      <c r="D105" s="85">
        <f t="shared" si="66"/>
        <v>0</v>
      </c>
      <c r="E105" s="85">
        <f t="shared" si="66"/>
        <v>0</v>
      </c>
      <c r="F105" s="85">
        <f t="shared" si="66"/>
        <v>0</v>
      </c>
      <c r="G105" s="85">
        <f t="shared" si="66"/>
        <v>0</v>
      </c>
      <c r="H105" s="85">
        <f t="shared" si="66"/>
        <v>0</v>
      </c>
      <c r="I105" s="85">
        <f t="shared" si="66"/>
        <v>0</v>
      </c>
      <c r="J105" s="85">
        <f t="shared" si="66"/>
        <v>0</v>
      </c>
      <c r="K105" s="85">
        <f t="shared" si="66"/>
        <v>0</v>
      </c>
      <c r="L105" s="85">
        <f t="shared" si="66"/>
        <v>0</v>
      </c>
      <c r="M105" s="85">
        <f t="shared" si="66"/>
        <v>0</v>
      </c>
      <c r="N105" s="85">
        <f t="shared" si="66"/>
        <v>0</v>
      </c>
      <c r="O105" s="85">
        <f t="shared" si="66"/>
        <v>0</v>
      </c>
      <c r="P105" s="85">
        <f t="shared" si="66"/>
        <v>0</v>
      </c>
      <c r="Q105" s="85">
        <f t="shared" si="66"/>
        <v>0</v>
      </c>
      <c r="R105" s="85">
        <f t="shared" si="66"/>
        <v>0</v>
      </c>
      <c r="S105" s="85">
        <f t="shared" si="66"/>
        <v>0</v>
      </c>
      <c r="T105" s="85">
        <f t="shared" si="66"/>
        <v>0</v>
      </c>
      <c r="U105" s="85">
        <f t="shared" si="66"/>
        <v>0</v>
      </c>
      <c r="V105" s="85">
        <f t="shared" ref="V105" si="67">IF(V81&lt;0,V81*-1,0)</f>
        <v>0</v>
      </c>
      <c r="W105" s="85">
        <f t="shared" si="66"/>
        <v>0</v>
      </c>
      <c r="X105" s="85">
        <f t="shared" si="66"/>
        <v>0</v>
      </c>
      <c r="Y105" s="85">
        <f t="shared" si="66"/>
        <v>0</v>
      </c>
      <c r="Z105" s="85">
        <f t="shared" si="66"/>
        <v>0</v>
      </c>
      <c r="AA105" s="85">
        <f t="shared" si="66"/>
        <v>0</v>
      </c>
      <c r="AB105" s="85">
        <f t="shared" si="66"/>
        <v>0</v>
      </c>
      <c r="AC105" s="85">
        <f t="shared" ref="AC105:AD105" si="68">IF(AC81&lt;0,AC81*-1,0)</f>
        <v>0</v>
      </c>
      <c r="AD105" s="85">
        <f t="shared" si="68"/>
        <v>0</v>
      </c>
      <c r="AE105" s="85">
        <f t="shared" ref="AE105:AF105" si="69">IF(AE81&lt;0,AE81*-1,0)</f>
        <v>0</v>
      </c>
      <c r="AF105" s="85">
        <f t="shared" si="69"/>
        <v>0</v>
      </c>
      <c r="AG105" s="84"/>
      <c r="AH105" s="12">
        <f t="shared" si="35"/>
        <v>0</v>
      </c>
      <c r="AI105" s="11">
        <f t="shared" si="36"/>
        <v>0</v>
      </c>
      <c r="BF105" s="83"/>
      <c r="BG105" s="78">
        <v>9</v>
      </c>
      <c r="BH105" s="78">
        <v>0</v>
      </c>
      <c r="BI105" s="78">
        <v>21.8</v>
      </c>
      <c r="BJ105" s="78">
        <v>0</v>
      </c>
      <c r="BK105" s="78">
        <v>0</v>
      </c>
      <c r="BL105" s="78">
        <v>42.3</v>
      </c>
    </row>
    <row r="106" spans="1:64" ht="15.75" thickBot="1" x14ac:dyDescent="0.3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1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35"/>
        <v>1</v>
      </c>
      <c r="AI106" s="11">
        <f t="shared" si="36"/>
        <v>0</v>
      </c>
      <c r="BG106" s="78">
        <v>13.9</v>
      </c>
      <c r="BH106" s="78">
        <v>0</v>
      </c>
      <c r="BI106" s="78">
        <v>13.1</v>
      </c>
      <c r="BJ106" s="78">
        <v>0</v>
      </c>
      <c r="BK106" s="78">
        <v>0</v>
      </c>
      <c r="BL106" s="78">
        <v>45</v>
      </c>
    </row>
    <row r="107" spans="1:64" ht="15.75" thickBot="1" x14ac:dyDescent="0.3">
      <c r="A107" s="79" t="s">
        <v>155</v>
      </c>
      <c r="B107" s="76">
        <f t="shared" ref="B107" si="70">SUM(B101:B106)</f>
        <v>0</v>
      </c>
      <c r="C107" s="76">
        <f t="shared" ref="C107:AF107" si="71">SUM(C101:C106)</f>
        <v>0</v>
      </c>
      <c r="D107" s="76">
        <f t="shared" si="71"/>
        <v>0</v>
      </c>
      <c r="E107" s="76">
        <f t="shared" si="71"/>
        <v>0</v>
      </c>
      <c r="F107" s="76">
        <f t="shared" si="71"/>
        <v>0</v>
      </c>
      <c r="G107" s="76">
        <f t="shared" si="71"/>
        <v>0</v>
      </c>
      <c r="H107" s="76">
        <f t="shared" si="71"/>
        <v>0</v>
      </c>
      <c r="I107" s="76">
        <f t="shared" si="71"/>
        <v>0</v>
      </c>
      <c r="J107" s="76">
        <f t="shared" si="71"/>
        <v>0</v>
      </c>
      <c r="K107" s="76">
        <f t="shared" si="71"/>
        <v>0</v>
      </c>
      <c r="L107" s="76">
        <f t="shared" si="71"/>
        <v>0</v>
      </c>
      <c r="M107" s="76">
        <f t="shared" si="71"/>
        <v>0</v>
      </c>
      <c r="N107" s="76">
        <f t="shared" si="71"/>
        <v>0</v>
      </c>
      <c r="O107" s="76">
        <f t="shared" si="71"/>
        <v>0</v>
      </c>
      <c r="P107" s="76">
        <f t="shared" si="71"/>
        <v>0</v>
      </c>
      <c r="Q107" s="76">
        <f t="shared" si="71"/>
        <v>0</v>
      </c>
      <c r="R107" s="76">
        <f t="shared" si="71"/>
        <v>0</v>
      </c>
      <c r="S107" s="76">
        <f t="shared" si="71"/>
        <v>0</v>
      </c>
      <c r="T107" s="76">
        <f t="shared" si="71"/>
        <v>0</v>
      </c>
      <c r="U107" s="76">
        <f t="shared" si="71"/>
        <v>0</v>
      </c>
      <c r="V107" s="76">
        <f t="shared" si="71"/>
        <v>1</v>
      </c>
      <c r="W107" s="76">
        <f t="shared" si="71"/>
        <v>0</v>
      </c>
      <c r="X107" s="76">
        <f t="shared" si="71"/>
        <v>0</v>
      </c>
      <c r="Y107" s="76">
        <f t="shared" si="71"/>
        <v>0</v>
      </c>
      <c r="Z107" s="76">
        <f t="shared" si="71"/>
        <v>0</v>
      </c>
      <c r="AA107" s="76">
        <f t="shared" si="71"/>
        <v>0</v>
      </c>
      <c r="AB107" s="76">
        <f t="shared" si="71"/>
        <v>0</v>
      </c>
      <c r="AC107" s="76">
        <f t="shared" si="71"/>
        <v>0</v>
      </c>
      <c r="AD107" s="76">
        <f t="shared" si="71"/>
        <v>0</v>
      </c>
      <c r="AE107" s="76">
        <f t="shared" si="71"/>
        <v>0</v>
      </c>
      <c r="AF107" s="76">
        <f t="shared" si="71"/>
        <v>0</v>
      </c>
      <c r="AG107" s="75"/>
      <c r="AH107" s="12">
        <f t="shared" si="35"/>
        <v>1</v>
      </c>
      <c r="AI107" s="11">
        <f t="shared" si="36"/>
        <v>0</v>
      </c>
      <c r="AK107" s="19"/>
      <c r="BG107" s="78">
        <v>35.299999999999997</v>
      </c>
      <c r="BH107" s="78">
        <v>0</v>
      </c>
      <c r="BI107" s="78">
        <v>0.9</v>
      </c>
      <c r="BJ107" s="78">
        <v>0</v>
      </c>
      <c r="BK107" s="78">
        <v>0</v>
      </c>
      <c r="BL107" s="78">
        <v>46.2</v>
      </c>
    </row>
    <row r="108" spans="1:64" ht="15.75" thickBot="1" x14ac:dyDescent="0.3">
      <c r="A108" s="77" t="s">
        <v>154</v>
      </c>
      <c r="B108" s="76">
        <f t="shared" ref="B108" si="72">B92-B107</f>
        <v>82.4</v>
      </c>
      <c r="C108" s="76">
        <f t="shared" ref="C108:AF108" si="73">C92-C107</f>
        <v>67.400000000000006</v>
      </c>
      <c r="D108" s="76">
        <f t="shared" si="73"/>
        <v>62.600000000000009</v>
      </c>
      <c r="E108" s="76">
        <f t="shared" si="73"/>
        <v>56</v>
      </c>
      <c r="F108" s="76">
        <f t="shared" si="73"/>
        <v>58.5</v>
      </c>
      <c r="G108" s="76">
        <f t="shared" si="73"/>
        <v>58.399999999999991</v>
      </c>
      <c r="H108" s="76">
        <f t="shared" si="73"/>
        <v>60.699999999999996</v>
      </c>
      <c r="I108" s="76">
        <f t="shared" si="73"/>
        <v>46.599999999999994</v>
      </c>
      <c r="J108" s="76">
        <f t="shared" si="73"/>
        <v>498.3</v>
      </c>
      <c r="K108" s="76">
        <f t="shared" si="73"/>
        <v>622</v>
      </c>
      <c r="L108" s="76">
        <f t="shared" si="73"/>
        <v>742.2</v>
      </c>
      <c r="M108" s="76">
        <f t="shared" si="73"/>
        <v>735</v>
      </c>
      <c r="N108" s="76">
        <f t="shared" si="73"/>
        <v>0</v>
      </c>
      <c r="O108" s="76">
        <f t="shared" si="73"/>
        <v>685.3</v>
      </c>
      <c r="P108" s="76">
        <f t="shared" si="73"/>
        <v>698.69999999999993</v>
      </c>
      <c r="Q108" s="76">
        <f t="shared" si="73"/>
        <v>699.59999999999991</v>
      </c>
      <c r="R108" s="76">
        <f t="shared" si="73"/>
        <v>685.09999999999991</v>
      </c>
      <c r="S108" s="76">
        <f t="shared" si="73"/>
        <v>806.80000000000007</v>
      </c>
      <c r="T108" s="76">
        <f t="shared" si="73"/>
        <v>819.40000000000009</v>
      </c>
      <c r="U108" s="76">
        <f t="shared" si="73"/>
        <v>781.1</v>
      </c>
      <c r="V108" s="76">
        <f t="shared" si="73"/>
        <v>753.43</v>
      </c>
      <c r="W108" s="76">
        <f t="shared" si="73"/>
        <v>778.9</v>
      </c>
      <c r="X108" s="76">
        <f t="shared" si="73"/>
        <v>611.9</v>
      </c>
      <c r="Y108" s="76">
        <f t="shared" si="73"/>
        <v>290.09999999999997</v>
      </c>
      <c r="Z108" s="76">
        <f t="shared" si="73"/>
        <v>123.8</v>
      </c>
      <c r="AA108" s="76">
        <f t="shared" si="73"/>
        <v>70.099999999999994</v>
      </c>
      <c r="AB108" s="76">
        <f t="shared" si="73"/>
        <v>87.5</v>
      </c>
      <c r="AC108" s="76">
        <f t="shared" si="73"/>
        <v>66.7</v>
      </c>
      <c r="AD108" s="76">
        <f t="shared" si="73"/>
        <v>69.3</v>
      </c>
      <c r="AE108" s="76">
        <f t="shared" si="73"/>
        <v>73.099999999999994</v>
      </c>
      <c r="AF108" s="76">
        <f t="shared" si="73"/>
        <v>72</v>
      </c>
      <c r="AG108" s="75"/>
      <c r="AH108" s="12">
        <f t="shared" si="35"/>
        <v>819.40000000000009</v>
      </c>
      <c r="AI108" s="11">
        <f t="shared" si="36"/>
        <v>0</v>
      </c>
    </row>
    <row r="109" spans="1:64" x14ac:dyDescent="0.25">
      <c r="A109" s="25" t="s">
        <v>153</v>
      </c>
      <c r="B109" s="74">
        <v>50.003999999999998</v>
      </c>
      <c r="C109" s="74">
        <v>50.040999999999997</v>
      </c>
      <c r="D109" s="74">
        <v>50.026000000000003</v>
      </c>
      <c r="E109" s="74">
        <v>50.018999999999998</v>
      </c>
      <c r="F109" s="74">
        <v>49.987000000000002</v>
      </c>
      <c r="G109" s="74">
        <v>49.866999999999997</v>
      </c>
      <c r="H109" s="74">
        <v>49.887</v>
      </c>
      <c r="I109" s="74">
        <v>50.030999999999999</v>
      </c>
      <c r="J109" s="74">
        <v>49.98</v>
      </c>
      <c r="K109" s="74">
        <v>49.999000000000002</v>
      </c>
      <c r="L109" s="74">
        <v>50.02</v>
      </c>
      <c r="M109" s="74">
        <v>50.03</v>
      </c>
      <c r="N109" s="74"/>
      <c r="O109" s="74">
        <v>50.018999999999998</v>
      </c>
      <c r="P109" s="74">
        <v>50.055999999999997</v>
      </c>
      <c r="Q109" s="74">
        <v>50.05</v>
      </c>
      <c r="R109" s="74">
        <v>49.972999999999999</v>
      </c>
      <c r="S109" s="74">
        <v>50.036999999999999</v>
      </c>
      <c r="T109" s="74">
        <v>49.957000000000001</v>
      </c>
      <c r="U109" s="74">
        <v>49.993000000000002</v>
      </c>
      <c r="V109" s="74">
        <v>50.06</v>
      </c>
      <c r="W109" s="74">
        <v>50.036000000000001</v>
      </c>
      <c r="X109" s="74">
        <v>50.085000000000001</v>
      </c>
      <c r="Y109" s="74">
        <v>50.042000000000002</v>
      </c>
      <c r="Z109" s="74">
        <v>50</v>
      </c>
      <c r="AA109" s="74">
        <v>50.064999999999998</v>
      </c>
      <c r="AB109" s="74">
        <v>50.055999999999997</v>
      </c>
      <c r="AC109" s="74">
        <v>49.96</v>
      </c>
      <c r="AD109" s="74">
        <v>49.98</v>
      </c>
      <c r="AE109" s="74">
        <v>50.08</v>
      </c>
      <c r="AF109" s="74">
        <v>49.94</v>
      </c>
      <c r="AG109" s="73"/>
      <c r="AH109" s="12">
        <f t="shared" si="35"/>
        <v>50.085000000000001</v>
      </c>
      <c r="AI109" s="11">
        <f t="shared" si="36"/>
        <v>49.866999999999997</v>
      </c>
    </row>
    <row r="110" spans="1:64" x14ac:dyDescent="0.25">
      <c r="A110" s="22" t="s">
        <v>152</v>
      </c>
      <c r="B110" s="70">
        <v>127.8</v>
      </c>
      <c r="C110" s="70">
        <v>130.19999999999999</v>
      </c>
      <c r="D110" s="70">
        <v>130.9</v>
      </c>
      <c r="E110" s="70">
        <v>131.4</v>
      </c>
      <c r="F110" s="70">
        <v>131.69999999999999</v>
      </c>
      <c r="G110" s="70">
        <v>131.30000000000001</v>
      </c>
      <c r="H110" s="70">
        <v>130.5</v>
      </c>
      <c r="I110" s="70">
        <v>128.30000000000001</v>
      </c>
      <c r="J110" s="70">
        <v>124.8</v>
      </c>
      <c r="K110" s="70">
        <v>123.1</v>
      </c>
      <c r="L110" s="70">
        <v>124.4</v>
      </c>
      <c r="M110" s="70">
        <v>128.69999999999999</v>
      </c>
      <c r="N110" s="70"/>
      <c r="O110" s="70">
        <v>124.4</v>
      </c>
      <c r="P110" s="70">
        <v>123.2</v>
      </c>
      <c r="Q110" s="70">
        <v>124.1</v>
      </c>
      <c r="R110" s="70">
        <v>127.9</v>
      </c>
      <c r="S110" s="70">
        <v>123.6</v>
      </c>
      <c r="T110" s="70">
        <v>124.5</v>
      </c>
      <c r="U110" s="70">
        <v>123.6</v>
      </c>
      <c r="V110" s="70">
        <v>125.8</v>
      </c>
      <c r="W110" s="70">
        <v>124.5</v>
      </c>
      <c r="X110" s="70">
        <v>128.30000000000001</v>
      </c>
      <c r="Y110" s="70">
        <v>127.6</v>
      </c>
      <c r="Z110" s="70">
        <v>128</v>
      </c>
      <c r="AA110" s="70">
        <v>129</v>
      </c>
      <c r="AB110" s="70">
        <v>129.30000000000001</v>
      </c>
      <c r="AC110" s="70">
        <v>128.1</v>
      </c>
      <c r="AD110" s="70">
        <v>131.19999999999999</v>
      </c>
      <c r="AE110" s="70">
        <v>128.4</v>
      </c>
      <c r="AF110" s="70">
        <v>128.4</v>
      </c>
      <c r="AG110" s="69"/>
      <c r="AH110" s="12">
        <f t="shared" si="35"/>
        <v>131.69999999999999</v>
      </c>
      <c r="AI110" s="11">
        <f t="shared" si="36"/>
        <v>123.1</v>
      </c>
    </row>
    <row r="111" spans="1:64" x14ac:dyDescent="0.25">
      <c r="A111" s="22" t="s">
        <v>151</v>
      </c>
      <c r="B111" s="70">
        <v>132.30000000000001</v>
      </c>
      <c r="C111" s="70">
        <v>134.5</v>
      </c>
      <c r="D111" s="70">
        <v>134.30000000000001</v>
      </c>
      <c r="E111" s="70">
        <v>135</v>
      </c>
      <c r="F111" s="70">
        <v>135.5</v>
      </c>
      <c r="G111" s="70">
        <v>134.80000000000001</v>
      </c>
      <c r="H111" s="70">
        <v>134.1</v>
      </c>
      <c r="I111" s="70">
        <v>132.30000000000001</v>
      </c>
      <c r="J111" s="70">
        <v>129.69999999999999</v>
      </c>
      <c r="K111" s="70">
        <v>128.80000000000001</v>
      </c>
      <c r="L111" s="70">
        <v>128.5</v>
      </c>
      <c r="M111" s="70">
        <v>124.6</v>
      </c>
      <c r="N111" s="70"/>
      <c r="O111" s="70"/>
      <c r="P111" s="70"/>
      <c r="Q111" s="70"/>
      <c r="R111" s="70"/>
      <c r="S111" s="70"/>
      <c r="T111" s="70"/>
      <c r="U111" s="70"/>
      <c r="V111" s="70"/>
      <c r="W111" s="70">
        <v>128.69999999999999</v>
      </c>
      <c r="X111" s="70">
        <v>131.5</v>
      </c>
      <c r="Y111" s="70">
        <v>131.30000000000001</v>
      </c>
      <c r="Z111" s="70">
        <v>131.19999999999999</v>
      </c>
      <c r="AA111" s="70">
        <v>132.6</v>
      </c>
      <c r="AB111" s="70">
        <v>132.9</v>
      </c>
      <c r="AC111" s="70">
        <v>131.80000000000001</v>
      </c>
      <c r="AD111" s="70">
        <v>134</v>
      </c>
      <c r="AE111" s="70">
        <v>132.80000000000001</v>
      </c>
      <c r="AF111" s="70">
        <v>132.80000000000001</v>
      </c>
      <c r="AG111" s="69"/>
      <c r="AH111" s="12">
        <f t="shared" si="35"/>
        <v>135.5</v>
      </c>
      <c r="AI111" s="11">
        <f t="shared" si="36"/>
        <v>124.6</v>
      </c>
    </row>
    <row r="112" spans="1:64" x14ac:dyDescent="0.25">
      <c r="A112" s="22" t="s">
        <v>150</v>
      </c>
      <c r="B112" s="70">
        <v>132.4</v>
      </c>
      <c r="C112" s="70">
        <v>131</v>
      </c>
      <c r="D112" s="70">
        <v>132.30000000000001</v>
      </c>
      <c r="E112" s="70">
        <v>132.30000000000001</v>
      </c>
      <c r="F112" s="70">
        <v>134.19999999999999</v>
      </c>
      <c r="G112" s="70">
        <v>132.69999999999999</v>
      </c>
      <c r="H112" s="70">
        <v>133.30000000000001</v>
      </c>
      <c r="I112" s="70">
        <v>128.69999999999999</v>
      </c>
      <c r="J112" s="70">
        <v>131.6</v>
      </c>
      <c r="K112" s="70">
        <v>126.4</v>
      </c>
      <c r="L112" s="70">
        <v>127.2</v>
      </c>
      <c r="M112" s="70">
        <v>125.4</v>
      </c>
      <c r="N112" s="70"/>
      <c r="O112" s="70">
        <v>125.6</v>
      </c>
      <c r="P112" s="70">
        <v>124.4</v>
      </c>
      <c r="Q112" s="70">
        <v>126.2</v>
      </c>
      <c r="R112" s="70">
        <v>126.6</v>
      </c>
      <c r="S112" s="70">
        <v>120.6</v>
      </c>
      <c r="T112" s="70">
        <v>126</v>
      </c>
      <c r="U112" s="70">
        <v>122.7</v>
      </c>
      <c r="V112" s="70">
        <v>129</v>
      </c>
      <c r="W112" s="70">
        <v>128.19999999999999</v>
      </c>
      <c r="X112" s="70">
        <v>131.1</v>
      </c>
      <c r="Y112" s="70">
        <v>129.19999999999999</v>
      </c>
      <c r="Z112" s="70">
        <v>130</v>
      </c>
      <c r="AA112" s="70">
        <v>130.19999999999999</v>
      </c>
      <c r="AB112" s="70">
        <v>126.5</v>
      </c>
      <c r="AC112" s="70">
        <v>129.4</v>
      </c>
      <c r="AD112" s="70">
        <v>129.6</v>
      </c>
      <c r="AE112" s="70">
        <v>130</v>
      </c>
      <c r="AF112" s="70">
        <v>130</v>
      </c>
      <c r="AG112" s="69"/>
      <c r="AH112" s="12">
        <f t="shared" si="35"/>
        <v>134.19999999999999</v>
      </c>
      <c r="AI112" s="11">
        <f t="shared" si="36"/>
        <v>120.6</v>
      </c>
    </row>
    <row r="113" spans="1:35" x14ac:dyDescent="0.25">
      <c r="A113" s="72" t="s">
        <v>149</v>
      </c>
      <c r="B113" s="70">
        <v>133.19999999999999</v>
      </c>
      <c r="C113" s="70">
        <v>131.19999999999999</v>
      </c>
      <c r="D113" s="70">
        <v>132.30000000000001</v>
      </c>
      <c r="E113" s="70">
        <v>132.69999999999999</v>
      </c>
      <c r="F113" s="70">
        <v>133.6</v>
      </c>
      <c r="G113" s="70">
        <v>133.30000000000001</v>
      </c>
      <c r="H113" s="70">
        <v>132.30000000000001</v>
      </c>
      <c r="I113" s="70">
        <v>129</v>
      </c>
      <c r="J113" s="70">
        <v>131.69999999999999</v>
      </c>
      <c r="K113" s="70">
        <v>126.4</v>
      </c>
      <c r="L113" s="70">
        <v>128.5</v>
      </c>
      <c r="M113" s="70">
        <v>125.8</v>
      </c>
      <c r="N113" s="70"/>
      <c r="O113" s="70">
        <v>125.4</v>
      </c>
      <c r="P113" s="70">
        <v>125.3</v>
      </c>
      <c r="Q113" s="70">
        <v>127.8</v>
      </c>
      <c r="R113" s="70">
        <v>129</v>
      </c>
      <c r="S113" s="70">
        <v>122.5</v>
      </c>
      <c r="T113" s="70">
        <v>126.5</v>
      </c>
      <c r="U113" s="70">
        <v>123.7</v>
      </c>
      <c r="V113" s="70">
        <v>129</v>
      </c>
      <c r="W113" s="70">
        <v>127.7</v>
      </c>
      <c r="X113" s="70">
        <v>130.5</v>
      </c>
      <c r="Y113" s="70">
        <v>128.80000000000001</v>
      </c>
      <c r="Z113" s="70">
        <v>129.19999999999999</v>
      </c>
      <c r="AA113" s="70">
        <v>130.30000000000001</v>
      </c>
      <c r="AB113" s="70">
        <v>128.5</v>
      </c>
      <c r="AC113" s="70">
        <v>130.5</v>
      </c>
      <c r="AD113" s="70">
        <v>130</v>
      </c>
      <c r="AE113" s="70">
        <v>130.80000000000001</v>
      </c>
      <c r="AF113" s="70">
        <v>130.80000000000001</v>
      </c>
      <c r="AG113" s="69"/>
      <c r="AH113" s="12">
        <f t="shared" si="35"/>
        <v>133.6</v>
      </c>
      <c r="AI113" s="11">
        <f t="shared" si="36"/>
        <v>122.5</v>
      </c>
    </row>
    <row r="114" spans="1:35" x14ac:dyDescent="0.25">
      <c r="A114" s="72" t="s">
        <v>148</v>
      </c>
      <c r="B114" s="56">
        <v>136.9</v>
      </c>
      <c r="C114" s="56">
        <v>136.80000000000001</v>
      </c>
      <c r="D114" s="56">
        <v>136.69999999999999</v>
      </c>
      <c r="E114" s="56">
        <v>135.1</v>
      </c>
      <c r="F114" s="56">
        <v>135.19999999999999</v>
      </c>
      <c r="G114" s="56">
        <v>134.9</v>
      </c>
      <c r="H114" s="56">
        <v>133.5</v>
      </c>
      <c r="I114" s="56">
        <v>131.1</v>
      </c>
      <c r="J114" s="56">
        <v>132</v>
      </c>
      <c r="K114" s="56">
        <v>131.80000000000001</v>
      </c>
      <c r="L114" s="56">
        <v>133.1</v>
      </c>
      <c r="M114" s="56">
        <v>133.30000000000001</v>
      </c>
      <c r="N114" s="56"/>
      <c r="O114" s="56">
        <v>131.80000000000001</v>
      </c>
      <c r="P114" s="56">
        <v>135.6</v>
      </c>
      <c r="Q114" s="56">
        <v>135.69999999999999</v>
      </c>
      <c r="R114" s="56">
        <v>136</v>
      </c>
      <c r="S114" s="56">
        <v>131.69999999999999</v>
      </c>
      <c r="T114" s="56">
        <v>131.19999999999999</v>
      </c>
      <c r="U114" s="56">
        <v>133.30000000000001</v>
      </c>
      <c r="V114" s="56">
        <v>136</v>
      </c>
      <c r="W114" s="56">
        <v>134</v>
      </c>
      <c r="X114" s="56">
        <v>134.9</v>
      </c>
      <c r="Y114" s="56">
        <v>133</v>
      </c>
      <c r="Z114" s="56">
        <v>130.30000000000001</v>
      </c>
      <c r="AA114" s="56">
        <v>133</v>
      </c>
      <c r="AB114" s="56">
        <v>132.30000000000001</v>
      </c>
      <c r="AC114" s="56">
        <v>131.69999999999999</v>
      </c>
      <c r="AD114" s="56">
        <v>132.19999999999999</v>
      </c>
      <c r="AE114" s="56">
        <v>132.9</v>
      </c>
      <c r="AF114" s="56">
        <v>132.9</v>
      </c>
      <c r="AG114" s="71"/>
      <c r="AH114" s="12">
        <f t="shared" si="35"/>
        <v>136.9</v>
      </c>
      <c r="AI114" s="11">
        <f t="shared" si="36"/>
        <v>130.30000000000001</v>
      </c>
    </row>
    <row r="115" spans="1:35" x14ac:dyDescent="0.25">
      <c r="A115" s="22" t="s">
        <v>147</v>
      </c>
      <c r="B115" s="70">
        <v>131.69999999999999</v>
      </c>
      <c r="C115" s="70">
        <v>133</v>
      </c>
      <c r="D115" s="70">
        <v>133.9</v>
      </c>
      <c r="E115" s="70">
        <v>131.80000000000001</v>
      </c>
      <c r="F115" s="70">
        <v>132.6</v>
      </c>
      <c r="G115" s="70">
        <v>128.6</v>
      </c>
      <c r="H115" s="70">
        <v>131.1</v>
      </c>
      <c r="I115" s="70">
        <v>130.4</v>
      </c>
      <c r="J115" s="70">
        <v>128.5</v>
      </c>
      <c r="K115" s="70">
        <v>125.8</v>
      </c>
      <c r="L115" s="70">
        <v>127.5</v>
      </c>
      <c r="M115" s="70">
        <v>124.6</v>
      </c>
      <c r="N115" s="70"/>
      <c r="O115" s="70">
        <v>129.19999999999999</v>
      </c>
      <c r="P115" s="70">
        <v>126.4</v>
      </c>
      <c r="Q115" s="70">
        <v>132.4</v>
      </c>
      <c r="R115" s="70">
        <v>130.5</v>
      </c>
      <c r="S115" s="70">
        <v>129.19999999999999</v>
      </c>
      <c r="T115" s="70">
        <v>131.4</v>
      </c>
      <c r="U115" s="70">
        <v>133.5</v>
      </c>
      <c r="V115" s="70">
        <v>126</v>
      </c>
      <c r="W115" s="70">
        <v>125.1</v>
      </c>
      <c r="X115" s="70">
        <v>135</v>
      </c>
      <c r="Y115" s="70">
        <v>129</v>
      </c>
      <c r="Z115" s="70">
        <v>122</v>
      </c>
      <c r="AA115" s="70">
        <v>122.7</v>
      </c>
      <c r="AB115" s="70">
        <v>122.3</v>
      </c>
      <c r="AC115" s="70">
        <v>132.6</v>
      </c>
      <c r="AD115" s="70">
        <v>131.69999999999999</v>
      </c>
      <c r="AE115" s="70">
        <v>131.5</v>
      </c>
      <c r="AF115" s="70">
        <v>131.5</v>
      </c>
      <c r="AG115" s="69"/>
      <c r="AH115" s="12">
        <f t="shared" si="35"/>
        <v>135</v>
      </c>
      <c r="AI115" s="11">
        <f t="shared" si="36"/>
        <v>122</v>
      </c>
    </row>
    <row r="116" spans="1:35" ht="15.75" thickBot="1" x14ac:dyDescent="0.3">
      <c r="A116" s="22" t="s">
        <v>146</v>
      </c>
      <c r="B116" s="67">
        <v>66.5</v>
      </c>
      <c r="C116" s="67">
        <v>67.2</v>
      </c>
      <c r="D116" s="67">
        <v>67.400000000000006</v>
      </c>
      <c r="E116" s="67">
        <v>67.5</v>
      </c>
      <c r="F116" s="67">
        <v>67.7</v>
      </c>
      <c r="G116" s="67">
        <v>67.3</v>
      </c>
      <c r="H116" s="67">
        <v>67</v>
      </c>
      <c r="I116" s="67">
        <v>66</v>
      </c>
      <c r="J116" s="67">
        <v>64.8</v>
      </c>
      <c r="K116" s="67">
        <v>64.5</v>
      </c>
      <c r="L116" s="67">
        <v>63.9</v>
      </c>
      <c r="M116" s="67">
        <v>64.099999999999994</v>
      </c>
      <c r="N116" s="67"/>
      <c r="O116" s="67"/>
      <c r="P116" s="67"/>
      <c r="Q116" s="67"/>
      <c r="R116" s="67"/>
      <c r="S116" s="67"/>
      <c r="T116" s="67">
        <v>64.099999999999994</v>
      </c>
      <c r="U116" s="67">
        <v>63.9</v>
      </c>
      <c r="V116" s="67">
        <v>64.599999999999994</v>
      </c>
      <c r="W116" s="67">
        <v>64.2</v>
      </c>
      <c r="X116" s="67">
        <v>65.400000000000006</v>
      </c>
      <c r="Y116" s="67">
        <v>65.7</v>
      </c>
      <c r="Z116" s="67">
        <v>65.599999999999994</v>
      </c>
      <c r="AA116" s="67">
        <v>66</v>
      </c>
      <c r="AB116" s="67">
        <v>66.3</v>
      </c>
      <c r="AC116" s="67">
        <v>66</v>
      </c>
      <c r="AD116" s="67">
        <v>67</v>
      </c>
      <c r="AE116" s="67">
        <v>66.7</v>
      </c>
      <c r="AF116" s="67">
        <v>66.7</v>
      </c>
      <c r="AG116" s="66"/>
      <c r="AH116" s="12">
        <f t="shared" si="35"/>
        <v>67.7</v>
      </c>
      <c r="AI116" s="11">
        <f t="shared" si="36"/>
        <v>63.9</v>
      </c>
    </row>
    <row r="117" spans="1:35" ht="15.75" thickBot="1" x14ac:dyDescent="0.3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35"/>
        <v>0</v>
      </c>
      <c r="AI117" s="11">
        <f t="shared" si="36"/>
        <v>0</v>
      </c>
    </row>
    <row r="118" spans="1:35" ht="15.75" thickBot="1" x14ac:dyDescent="0.3">
      <c r="A118" s="65" t="s">
        <v>144</v>
      </c>
      <c r="B118" s="64">
        <f t="shared" ref="B118" si="74">SUM(B22,B28,B31:B32,B66,B68:B69,B71,B73,B119:B123,B155,B161,B167,B176,B178,B190,B197,B200:B201,B208,B210,B212,B216:B218,B220:B222,B227,B233:B234,B236:B238,B246,B251)</f>
        <v>113.43999999999998</v>
      </c>
      <c r="C118" s="64">
        <f t="shared" ref="C118:O118" si="75">SUM(C22,C28,C31:C32,C66,C68:C69,C71,C73,C119:C123,C155,C161,C167,C176,C178,C190,C197,C200:C201,C208,C210,C212,C216:C218,C220:C222,C227,C233:C234,C236:C238,C246,C251)</f>
        <v>92.14</v>
      </c>
      <c r="D118" s="64">
        <f t="shared" si="75"/>
        <v>84.769999999999982</v>
      </c>
      <c r="E118" s="64">
        <f t="shared" si="75"/>
        <v>115.34</v>
      </c>
      <c r="F118" s="64">
        <f t="shared" si="75"/>
        <v>121.44000000000001</v>
      </c>
      <c r="G118" s="64">
        <f t="shared" si="75"/>
        <v>149.84</v>
      </c>
      <c r="H118" s="64">
        <f t="shared" si="75"/>
        <v>168.23999999999998</v>
      </c>
      <c r="I118" s="64">
        <f t="shared" si="75"/>
        <v>207.43999999999997</v>
      </c>
      <c r="J118" s="64">
        <f t="shared" si="75"/>
        <v>251.73999999999998</v>
      </c>
      <c r="K118" s="64">
        <f t="shared" si="75"/>
        <v>277.73999999999995</v>
      </c>
      <c r="L118" s="64">
        <f t="shared" si="75"/>
        <v>294.64</v>
      </c>
      <c r="M118" s="64">
        <f t="shared" si="75"/>
        <v>306.84000000000003</v>
      </c>
      <c r="N118" s="64">
        <f t="shared" si="75"/>
        <v>0.94</v>
      </c>
      <c r="O118" s="64">
        <f t="shared" si="75"/>
        <v>286.23</v>
      </c>
      <c r="P118" s="64">
        <v>42</v>
      </c>
      <c r="Q118" s="64">
        <f t="shared" ref="Q118:X118" si="76">SUM(Q22,Q28,Q31:Q32,Q66,Q68:Q69,Q71,Q73,Q119:Q123,Q155,Q161,Q167,Q176,Q178,Q190,Q197,Q200:Q201,Q208,Q210,Q212,Q216:Q218,Q220:Q222,Q227,Q233:Q234,Q236:Q238,Q246,Q251)</f>
        <v>286.94</v>
      </c>
      <c r="R118" s="64">
        <f t="shared" si="76"/>
        <v>276.44</v>
      </c>
      <c r="S118" s="64">
        <f t="shared" si="76"/>
        <v>257.14</v>
      </c>
      <c r="T118" s="64">
        <f t="shared" si="76"/>
        <v>288.04000000000002</v>
      </c>
      <c r="U118" s="64">
        <f t="shared" si="76"/>
        <v>285.24</v>
      </c>
      <c r="V118" s="64">
        <f t="shared" si="76"/>
        <v>273.64</v>
      </c>
      <c r="W118" s="64">
        <f t="shared" si="76"/>
        <v>293.83999999999997</v>
      </c>
      <c r="X118" s="64">
        <f t="shared" si="76"/>
        <v>286.14000000000004</v>
      </c>
      <c r="Y118" s="64">
        <f>SUM(Y20,Y26,Y37:Y38,Y66,Y68:Y69,Y71,Y73,Y119:Y123,Y148,Y154,Y160,Y169,Y171,Y183,Y190,Y193:Y194,Y201,Y203,Y205,Y209:Y211,Y213:Y215,Y220,Y226:Y227,Y229:Y231,Y239,Y244)</f>
        <v>311.7</v>
      </c>
      <c r="Z118" s="64">
        <f>SUM(Z20,Z26,Z37:Z38,Z66,Z68:Z69,Z71,Z73,Z119:Z123,Z148,Z154,Z160,Z169,Z171,Z183,Z190,Z193:Z194,Z201,Z203,Z205,Z209:Z211,Z213:Z215,Z220,Z226:Z227,Z229:Z231,Z239,Z244)</f>
        <v>357.8</v>
      </c>
      <c r="AA118" s="64">
        <f t="shared" ref="AA118:AF118" si="77">SUM(AA22,AA28,AA31:AA32,AA66,AA68:AA69,AA71,AA73,AA119:AA123,AA155,AA161,AA167,AA176,AA178,AA190,AA197,AA200:AA201,AA208,AA210,AA212,AA216:AA218,AA220:AA222,AA227,AA233:AA234,AA236:AA238,AA246,AA251)</f>
        <v>338.73999999999995</v>
      </c>
      <c r="AB118" s="64">
        <f t="shared" si="77"/>
        <v>308.33999999999997</v>
      </c>
      <c r="AC118" s="64">
        <f t="shared" si="77"/>
        <v>295.14</v>
      </c>
      <c r="AD118" s="64">
        <f t="shared" si="77"/>
        <v>308.04000000000002</v>
      </c>
      <c r="AE118" s="64">
        <f t="shared" si="77"/>
        <v>205.24</v>
      </c>
      <c r="AF118" s="64">
        <f t="shared" si="77"/>
        <v>156.14000000000001</v>
      </c>
      <c r="AG118" s="63"/>
      <c r="AH118" s="12">
        <f t="shared" si="35"/>
        <v>357.8</v>
      </c>
      <c r="AI118" s="11">
        <f t="shared" si="36"/>
        <v>0.94</v>
      </c>
    </row>
    <row r="119" spans="1:35" x14ac:dyDescent="0.25">
      <c r="A119" s="59" t="s">
        <v>143</v>
      </c>
      <c r="B119" s="62">
        <v>58.6</v>
      </c>
      <c r="C119" s="62">
        <v>21.8</v>
      </c>
      <c r="D119" s="62">
        <v>14.1</v>
      </c>
      <c r="E119" s="62">
        <v>16.3</v>
      </c>
      <c r="F119" s="62">
        <v>14</v>
      </c>
      <c r="G119" s="62">
        <v>20</v>
      </c>
      <c r="H119" s="62">
        <v>25.2</v>
      </c>
      <c r="I119" s="62">
        <v>21.9</v>
      </c>
      <c r="J119" s="62">
        <v>28.6</v>
      </c>
      <c r="K119" s="62">
        <v>37.299999999999997</v>
      </c>
      <c r="L119" s="62">
        <v>22.2</v>
      </c>
      <c r="M119" s="62">
        <v>25</v>
      </c>
      <c r="N119" s="62"/>
      <c r="O119" s="62">
        <v>40.200000000000003</v>
      </c>
      <c r="P119" s="62">
        <v>44.7</v>
      </c>
      <c r="Q119" s="62">
        <v>37.700000000000003</v>
      </c>
      <c r="R119" s="62">
        <v>23.8</v>
      </c>
      <c r="S119" s="62">
        <v>-5.4</v>
      </c>
      <c r="T119" s="62">
        <v>-10.3</v>
      </c>
      <c r="U119" s="62">
        <v>2</v>
      </c>
      <c r="V119" s="62">
        <v>4</v>
      </c>
      <c r="W119" s="62">
        <v>4.2</v>
      </c>
      <c r="X119" s="62">
        <v>20.2</v>
      </c>
      <c r="Y119" s="62">
        <v>56</v>
      </c>
      <c r="Z119" s="62">
        <v>43</v>
      </c>
      <c r="AA119" s="62">
        <v>25.8</v>
      </c>
      <c r="AB119" s="62">
        <v>37.799999999999997</v>
      </c>
      <c r="AC119" s="62">
        <v>56.4</v>
      </c>
      <c r="AD119" s="62">
        <v>31.3</v>
      </c>
      <c r="AE119" s="62">
        <v>42.9</v>
      </c>
      <c r="AF119" s="62">
        <v>40</v>
      </c>
      <c r="AG119" s="55">
        <v>75</v>
      </c>
      <c r="AH119" s="12">
        <f t="shared" si="35"/>
        <v>58.6</v>
      </c>
      <c r="AI119" s="11">
        <f t="shared" si="36"/>
        <v>-10.3</v>
      </c>
    </row>
    <row r="120" spans="1:35" x14ac:dyDescent="0.25">
      <c r="A120" s="57" t="s">
        <v>142</v>
      </c>
      <c r="B120" s="61">
        <v>86.8</v>
      </c>
      <c r="C120" s="61">
        <v>38</v>
      </c>
      <c r="D120" s="61">
        <v>29.2</v>
      </c>
      <c r="E120" s="61">
        <v>30.6</v>
      </c>
      <c r="F120" s="61">
        <v>28.8</v>
      </c>
      <c r="G120" s="61">
        <v>33.700000000000003</v>
      </c>
      <c r="H120" s="61">
        <v>41.6</v>
      </c>
      <c r="I120" s="61">
        <v>33.1</v>
      </c>
      <c r="J120" s="61">
        <v>38.700000000000003</v>
      </c>
      <c r="K120" s="61">
        <v>45</v>
      </c>
      <c r="L120" s="61">
        <v>26.2</v>
      </c>
      <c r="M120" s="61">
        <v>27.1</v>
      </c>
      <c r="N120" s="61"/>
      <c r="O120" s="61">
        <v>53.1</v>
      </c>
      <c r="P120" s="61">
        <v>57.8</v>
      </c>
      <c r="Q120" s="61">
        <v>47.4</v>
      </c>
      <c r="R120" s="61">
        <v>27.8</v>
      </c>
      <c r="S120" s="61">
        <v>-12.9</v>
      </c>
      <c r="T120" s="61">
        <v>-20</v>
      </c>
      <c r="U120" s="61">
        <v>-3</v>
      </c>
      <c r="V120" s="61">
        <v>2</v>
      </c>
      <c r="W120" s="61">
        <v>4</v>
      </c>
      <c r="X120" s="61">
        <v>33.700000000000003</v>
      </c>
      <c r="Y120" s="61">
        <v>81.3</v>
      </c>
      <c r="Z120" s="61">
        <v>66.2</v>
      </c>
      <c r="AA120" s="61">
        <v>42.1</v>
      </c>
      <c r="AB120" s="61">
        <v>58.2</v>
      </c>
      <c r="AC120" s="61">
        <v>84.4</v>
      </c>
      <c r="AD120" s="61">
        <v>51.4</v>
      </c>
      <c r="AE120" s="61">
        <v>66</v>
      </c>
      <c r="AF120" s="61">
        <v>64.7</v>
      </c>
      <c r="AG120" s="55">
        <v>240</v>
      </c>
      <c r="AH120" s="12">
        <f t="shared" si="35"/>
        <v>86.8</v>
      </c>
      <c r="AI120" s="11">
        <f t="shared" si="36"/>
        <v>-20</v>
      </c>
    </row>
    <row r="121" spans="1:35" x14ac:dyDescent="0.25">
      <c r="A121" s="57" t="s">
        <v>141</v>
      </c>
      <c r="B121" s="61">
        <v>-152.6</v>
      </c>
      <c r="C121" s="61">
        <v>-116.2</v>
      </c>
      <c r="D121" s="61">
        <v>-110.2</v>
      </c>
      <c r="E121" s="61">
        <f>-34.8-44.7</f>
        <v>-79.5</v>
      </c>
      <c r="F121" s="61">
        <f>-32.9-41.3</f>
        <v>-74.199999999999989</v>
      </c>
      <c r="G121" s="61">
        <f>-31.2-38.6</f>
        <v>-69.8</v>
      </c>
      <c r="H121" s="61">
        <f>-32.6-40.6</f>
        <v>-73.2</v>
      </c>
      <c r="I121" s="61">
        <f>-23.3-31.1</f>
        <v>-54.400000000000006</v>
      </c>
      <c r="J121" s="61">
        <f>-15-20.8</f>
        <v>-35.799999999999997</v>
      </c>
      <c r="K121" s="61">
        <f>-21-24.3</f>
        <v>-45.3</v>
      </c>
      <c r="L121" s="61">
        <f>1.9+1.2</f>
        <v>3.0999999999999996</v>
      </c>
      <c r="M121" s="61">
        <v>3.8</v>
      </c>
      <c r="N121" s="61"/>
      <c r="O121" s="61">
        <f>-16-19</f>
        <v>-35</v>
      </c>
      <c r="P121" s="61">
        <f>-16-19.3</f>
        <v>-35.299999999999997</v>
      </c>
      <c r="Q121" s="61">
        <v>-18</v>
      </c>
      <c r="R121" s="61">
        <v>8.6999999999999993</v>
      </c>
      <c r="S121" s="61">
        <v>60</v>
      </c>
      <c r="T121" s="61">
        <v>75</v>
      </c>
      <c r="U121" s="61">
        <v>51</v>
      </c>
      <c r="V121" s="61">
        <v>20</v>
      </c>
      <c r="W121" s="61">
        <v>35</v>
      </c>
      <c r="X121" s="61">
        <v>1.7</v>
      </c>
      <c r="Y121" s="61">
        <v>-81</v>
      </c>
      <c r="Z121" s="61">
        <v>-53</v>
      </c>
      <c r="AA121" s="61">
        <v>-26</v>
      </c>
      <c r="AB121" s="61">
        <f>-23.6-34.2</f>
        <v>-57.800000000000004</v>
      </c>
      <c r="AC121" s="61">
        <v>-100</v>
      </c>
      <c r="AD121" s="61">
        <v>-57</v>
      </c>
      <c r="AE121" s="61">
        <v>-98</v>
      </c>
      <c r="AF121" s="61">
        <v>-110</v>
      </c>
      <c r="AG121" s="55">
        <v>240</v>
      </c>
      <c r="AH121" s="12">
        <f t="shared" si="35"/>
        <v>75</v>
      </c>
      <c r="AI121" s="11">
        <f t="shared" si="36"/>
        <v>-152.6</v>
      </c>
    </row>
    <row r="122" spans="1:35" ht="15.75" thickBot="1" x14ac:dyDescent="0.3">
      <c r="A122" s="57" t="s">
        <v>140</v>
      </c>
      <c r="B122" s="61">
        <v>-2.2000000000000002</v>
      </c>
      <c r="C122" s="61">
        <v>18</v>
      </c>
      <c r="D122" s="61">
        <v>14.63</v>
      </c>
      <c r="E122" s="61">
        <v>17.399999999999999</v>
      </c>
      <c r="F122" s="61">
        <v>16.3</v>
      </c>
      <c r="G122" s="61">
        <v>18.2</v>
      </c>
      <c r="H122" s="61">
        <v>18.600000000000001</v>
      </c>
      <c r="I122" s="61">
        <v>17.2</v>
      </c>
      <c r="J122" s="61">
        <v>7.3</v>
      </c>
      <c r="K122" s="61">
        <v>8.1999999999999993</v>
      </c>
      <c r="L122" s="61">
        <v>-1.7</v>
      </c>
      <c r="M122" s="61">
        <v>8.9</v>
      </c>
      <c r="N122" s="61"/>
      <c r="O122" s="61"/>
      <c r="P122" s="61"/>
      <c r="Q122" s="61"/>
      <c r="R122" s="61"/>
      <c r="S122" s="61"/>
      <c r="T122" s="61">
        <v>40.1</v>
      </c>
      <c r="U122" s="61">
        <v>31.3</v>
      </c>
      <c r="V122" s="61">
        <v>18</v>
      </c>
      <c r="W122" s="61">
        <v>16.600000000000001</v>
      </c>
      <c r="X122" s="61">
        <v>21</v>
      </c>
      <c r="Y122" s="61">
        <v>22</v>
      </c>
      <c r="Z122" s="61">
        <v>35</v>
      </c>
      <c r="AA122" s="61">
        <v>39</v>
      </c>
      <c r="AB122" s="61">
        <v>33.200000000000003</v>
      </c>
      <c r="AC122" s="61">
        <v>26.7</v>
      </c>
      <c r="AD122" s="61">
        <v>27.1</v>
      </c>
      <c r="AE122" s="61">
        <v>25.6</v>
      </c>
      <c r="AF122" s="61">
        <v>22.5</v>
      </c>
      <c r="AG122" s="55">
        <v>60</v>
      </c>
      <c r="AH122" s="12">
        <f t="shared" si="35"/>
        <v>40.1</v>
      </c>
      <c r="AI122" s="11">
        <f t="shared" si="36"/>
        <v>-2.2000000000000002</v>
      </c>
    </row>
    <row r="123" spans="1:35" x14ac:dyDescent="0.25">
      <c r="A123" s="59" t="s">
        <v>139</v>
      </c>
      <c r="B123" s="58">
        <v>1.9</v>
      </c>
      <c r="C123" s="58">
        <v>9.6</v>
      </c>
      <c r="D123" s="58">
        <v>10.7</v>
      </c>
      <c r="E123" s="58">
        <v>3.5</v>
      </c>
      <c r="F123" s="58">
        <v>9.5</v>
      </c>
      <c r="G123" s="58">
        <v>20.7</v>
      </c>
      <c r="H123" s="58">
        <v>29</v>
      </c>
      <c r="I123" s="58">
        <v>62.1</v>
      </c>
      <c r="J123" s="58">
        <v>86.9</v>
      </c>
      <c r="K123" s="58">
        <v>105.7</v>
      </c>
      <c r="L123" s="58">
        <v>118.7</v>
      </c>
      <c r="M123" s="58">
        <v>117.3</v>
      </c>
      <c r="N123" s="58"/>
      <c r="O123" s="58">
        <v>98.09</v>
      </c>
      <c r="P123" s="58">
        <v>92.5</v>
      </c>
      <c r="Q123" s="58">
        <v>86.1</v>
      </c>
      <c r="R123" s="58">
        <v>83.7</v>
      </c>
      <c r="S123" s="58">
        <v>90.1</v>
      </c>
      <c r="T123" s="58">
        <v>82</v>
      </c>
      <c r="U123" s="58">
        <v>84</v>
      </c>
      <c r="V123" s="58">
        <v>115</v>
      </c>
      <c r="W123" s="58">
        <v>121</v>
      </c>
      <c r="X123" s="58">
        <v>95.9</v>
      </c>
      <c r="Y123" s="58">
        <v>120.2</v>
      </c>
      <c r="Z123" s="58">
        <v>151</v>
      </c>
      <c r="AA123" s="58">
        <v>142</v>
      </c>
      <c r="AB123" s="58">
        <v>120.4</v>
      </c>
      <c r="AC123" s="58">
        <v>108.8</v>
      </c>
      <c r="AD123" s="58">
        <v>136.6</v>
      </c>
      <c r="AE123" s="58">
        <v>52.7</v>
      </c>
      <c r="AF123" s="58">
        <v>22.9</v>
      </c>
      <c r="AG123" s="60">
        <v>120</v>
      </c>
      <c r="AH123" s="12">
        <f t="shared" si="35"/>
        <v>151</v>
      </c>
      <c r="AI123" s="11">
        <f t="shared" si="36"/>
        <v>1.9</v>
      </c>
    </row>
    <row r="124" spans="1:35" x14ac:dyDescent="0.25">
      <c r="A124" s="57" t="s">
        <v>138</v>
      </c>
      <c r="B124" s="58">
        <v>26</v>
      </c>
      <c r="C124" s="58">
        <v>30.2</v>
      </c>
      <c r="D124" s="58">
        <v>30.6</v>
      </c>
      <c r="E124" s="58">
        <v>26.3</v>
      </c>
      <c r="F124" s="58">
        <v>28.6</v>
      </c>
      <c r="G124" s="58">
        <v>34.200000000000003</v>
      </c>
      <c r="H124" s="58">
        <v>38.9</v>
      </c>
      <c r="I124" s="58">
        <v>54.9</v>
      </c>
      <c r="J124" s="58">
        <v>68.599999999999994</v>
      </c>
      <c r="K124" s="58">
        <v>77.900000000000006</v>
      </c>
      <c r="L124" s="58">
        <v>82.1</v>
      </c>
      <c r="M124" s="58">
        <v>80.8</v>
      </c>
      <c r="N124" s="58"/>
      <c r="O124" s="58">
        <v>70.3</v>
      </c>
      <c r="P124" s="58">
        <v>68</v>
      </c>
      <c r="Q124" s="58">
        <v>65.3</v>
      </c>
      <c r="R124" s="58">
        <v>64.8</v>
      </c>
      <c r="S124" s="58">
        <v>67</v>
      </c>
      <c r="T124" s="58">
        <v>62.5</v>
      </c>
      <c r="U124" s="58">
        <v>64.400000000000006</v>
      </c>
      <c r="V124" s="58">
        <v>79</v>
      </c>
      <c r="W124" s="58">
        <v>82.2</v>
      </c>
      <c r="X124" s="58">
        <v>70.099999999999994</v>
      </c>
      <c r="Y124" s="58">
        <v>81.5</v>
      </c>
      <c r="Z124" s="58">
        <v>96</v>
      </c>
      <c r="AA124" s="58">
        <v>92.1</v>
      </c>
      <c r="AB124" s="58">
        <v>82.5</v>
      </c>
      <c r="AC124" s="58">
        <v>72</v>
      </c>
      <c r="AD124" s="58">
        <v>85.1</v>
      </c>
      <c r="AE124" s="58">
        <v>46.8</v>
      </c>
      <c r="AF124" s="58">
        <v>32.1</v>
      </c>
      <c r="AG124" s="60"/>
      <c r="AH124" s="12">
        <f t="shared" si="35"/>
        <v>96</v>
      </c>
      <c r="AI124" s="11">
        <f t="shared" si="36"/>
        <v>26</v>
      </c>
    </row>
    <row r="125" spans="1:35" x14ac:dyDescent="0.25">
      <c r="A125" s="57" t="s">
        <v>137</v>
      </c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>
        <v>14.5</v>
      </c>
      <c r="X125" s="58">
        <v>-7.8</v>
      </c>
      <c r="Y125" s="58">
        <v>0</v>
      </c>
      <c r="Z125" s="58">
        <v>0</v>
      </c>
      <c r="AA125" s="58">
        <v>0</v>
      </c>
      <c r="AB125" s="58"/>
      <c r="AC125" s="58">
        <v>0</v>
      </c>
      <c r="AD125" s="58">
        <v>0</v>
      </c>
      <c r="AE125" s="58">
        <v>0</v>
      </c>
      <c r="AF125" s="58">
        <v>0</v>
      </c>
      <c r="AG125" s="60"/>
      <c r="AH125" s="12"/>
      <c r="AI125" s="11"/>
    </row>
    <row r="126" spans="1:35" ht="15.75" thickBot="1" x14ac:dyDescent="0.3">
      <c r="A126" s="57" t="s">
        <v>136</v>
      </c>
      <c r="B126" s="58">
        <v>23.5</v>
      </c>
      <c r="C126" s="58">
        <v>29.7</v>
      </c>
      <c r="D126" s="58">
        <v>34.299999999999997</v>
      </c>
      <c r="E126" s="58">
        <v>25.4</v>
      </c>
      <c r="F126" s="58">
        <v>26.8</v>
      </c>
      <c r="G126" s="58">
        <v>31.4</v>
      </c>
      <c r="H126" s="58">
        <v>37</v>
      </c>
      <c r="I126" s="58">
        <v>52.3</v>
      </c>
      <c r="J126" s="58">
        <v>96.2</v>
      </c>
      <c r="K126" s="58">
        <v>108.6</v>
      </c>
      <c r="L126" s="58">
        <v>93</v>
      </c>
      <c r="M126" s="58">
        <v>87.9</v>
      </c>
      <c r="N126" s="58"/>
      <c r="O126" s="58">
        <v>60.8</v>
      </c>
      <c r="P126" s="58">
        <v>61</v>
      </c>
      <c r="Q126" s="58">
        <v>63.1</v>
      </c>
      <c r="R126" s="58">
        <v>67.5</v>
      </c>
      <c r="S126" s="58">
        <v>109</v>
      </c>
      <c r="T126" s="58">
        <v>102</v>
      </c>
      <c r="U126" s="58">
        <v>100</v>
      </c>
      <c r="V126" s="58">
        <v>96</v>
      </c>
      <c r="W126" s="58">
        <v>94.5</v>
      </c>
      <c r="X126" s="58">
        <v>68.3</v>
      </c>
      <c r="Y126" s="58">
        <v>25</v>
      </c>
      <c r="Z126" s="58">
        <v>39.200000000000003</v>
      </c>
      <c r="AA126" s="58">
        <v>-36</v>
      </c>
      <c r="AB126" s="58">
        <v>38.700000000000003</v>
      </c>
      <c r="AC126" s="58">
        <v>15.5</v>
      </c>
      <c r="AD126" s="58">
        <v>-16.399999999999999</v>
      </c>
      <c r="AE126" s="58">
        <v>9.6999999999999993</v>
      </c>
      <c r="AF126" s="58">
        <v>8.8000000000000007</v>
      </c>
      <c r="AG126" s="55"/>
      <c r="AH126" s="12">
        <f>MAX(B126:AF126)</f>
        <v>109</v>
      </c>
      <c r="AI126" s="11">
        <f>MIN(B126:AF126)</f>
        <v>-36</v>
      </c>
    </row>
    <row r="127" spans="1:35" x14ac:dyDescent="0.25">
      <c r="A127" s="59" t="s">
        <v>135</v>
      </c>
      <c r="B127" s="58">
        <v>-136.19999999999999</v>
      </c>
      <c r="C127" s="58">
        <v>-133.19999999999999</v>
      </c>
      <c r="D127" s="58">
        <v>-133.69999999999999</v>
      </c>
      <c r="E127" s="58">
        <v>-123.9</v>
      </c>
      <c r="F127" s="58">
        <v>-119.9</v>
      </c>
      <c r="G127" s="58">
        <v>-116.6</v>
      </c>
      <c r="H127" s="58">
        <v>-123.2</v>
      </c>
      <c r="I127" s="58">
        <v>-143.69999999999999</v>
      </c>
      <c r="J127" s="58">
        <v>12.6</v>
      </c>
      <c r="K127" s="58">
        <v>18.399999999999999</v>
      </c>
      <c r="L127" s="58">
        <v>24.4</v>
      </c>
      <c r="M127" s="58">
        <v>22.9</v>
      </c>
      <c r="N127" s="58"/>
      <c r="O127" s="58">
        <v>13.9</v>
      </c>
      <c r="P127" s="58">
        <v>11.1</v>
      </c>
      <c r="Q127" s="58">
        <v>8.4</v>
      </c>
      <c r="R127" s="58">
        <v>7.1</v>
      </c>
      <c r="S127" s="58">
        <v>9.6</v>
      </c>
      <c r="T127" s="58">
        <v>6</v>
      </c>
      <c r="U127" s="58">
        <v>9.5</v>
      </c>
      <c r="V127" s="58">
        <v>24</v>
      </c>
      <c r="W127" s="58">
        <v>27</v>
      </c>
      <c r="X127" s="58">
        <v>14</v>
      </c>
      <c r="Y127" s="58">
        <v>-118</v>
      </c>
      <c r="Z127" s="58">
        <v>-145</v>
      </c>
      <c r="AA127" s="58">
        <v>-178</v>
      </c>
      <c r="AB127" s="58">
        <v>-151.69999999999999</v>
      </c>
      <c r="AC127" s="58">
        <v>-138.80000000000001</v>
      </c>
      <c r="AD127" s="58">
        <v>-105.2</v>
      </c>
      <c r="AE127" s="58">
        <v>-126.8</v>
      </c>
      <c r="AF127" s="58">
        <v>-119.9</v>
      </c>
      <c r="AG127" s="55"/>
      <c r="AH127" s="12">
        <f>MAX(B127:AF127)</f>
        <v>27</v>
      </c>
      <c r="AI127" s="11">
        <f>MIN(B127:AF127)</f>
        <v>-178</v>
      </c>
    </row>
    <row r="128" spans="1:35" x14ac:dyDescent="0.25">
      <c r="A128" s="57" t="s">
        <v>134</v>
      </c>
      <c r="B128" s="56">
        <v>-13.9</v>
      </c>
      <c r="C128" s="56">
        <v>-6.9</v>
      </c>
      <c r="D128" s="56">
        <v>-6.3</v>
      </c>
      <c r="E128" s="56">
        <v>-5.7</v>
      </c>
      <c r="F128" s="56">
        <v>-0.8</v>
      </c>
      <c r="G128" s="56">
        <v>1.6</v>
      </c>
      <c r="H128" s="56">
        <v>-3.8</v>
      </c>
      <c r="I128" s="56">
        <v>-7.2</v>
      </c>
      <c r="J128" s="56">
        <v>-10.1</v>
      </c>
      <c r="K128" s="56">
        <v>-13.1</v>
      </c>
      <c r="L128" s="56">
        <v>-16.8</v>
      </c>
      <c r="M128" s="56">
        <v>-20.9</v>
      </c>
      <c r="N128" s="56"/>
      <c r="O128" s="56">
        <v>-19.2</v>
      </c>
      <c r="P128" s="56">
        <v>-16.5</v>
      </c>
      <c r="Q128" s="56">
        <v>-11.3</v>
      </c>
      <c r="R128" s="56">
        <v>-9.1</v>
      </c>
      <c r="S128" s="56">
        <v>-16.3</v>
      </c>
      <c r="T128" s="56">
        <v>-12.1</v>
      </c>
      <c r="U128" s="56">
        <v>-23.3</v>
      </c>
      <c r="V128" s="56">
        <v>-27</v>
      </c>
      <c r="W128" s="56">
        <v>-27.5</v>
      </c>
      <c r="X128" s="56">
        <v>-30</v>
      </c>
      <c r="Y128" s="56">
        <v>-38</v>
      </c>
      <c r="Z128" s="56">
        <v>-43.1</v>
      </c>
      <c r="AA128" s="56">
        <v>-36</v>
      </c>
      <c r="AB128" s="56">
        <v>-32.1</v>
      </c>
      <c r="AC128" s="56">
        <v>-31.1</v>
      </c>
      <c r="AD128" s="56">
        <v>-24.1</v>
      </c>
      <c r="AE128" s="56">
        <v>-19.399999999999999</v>
      </c>
      <c r="AF128" s="56">
        <v>-13.6</v>
      </c>
      <c r="AG128" s="55"/>
      <c r="AH128" s="12">
        <f>MAX(B128:AF128)</f>
        <v>1.6</v>
      </c>
      <c r="AI128" s="11">
        <f>MIN(B128:AF128)</f>
        <v>-43.1</v>
      </c>
    </row>
    <row r="129" spans="1:37" x14ac:dyDescent="0.25">
      <c r="A129" s="57" t="s">
        <v>133</v>
      </c>
      <c r="B129" s="56">
        <v>76.400000000000006</v>
      </c>
      <c r="C129" s="56">
        <v>68.900000000000006</v>
      </c>
      <c r="D129" s="56">
        <v>62</v>
      </c>
      <c r="E129" s="56">
        <v>63.1</v>
      </c>
      <c r="F129" s="56">
        <v>59.4</v>
      </c>
      <c r="G129" s="56">
        <v>57.1</v>
      </c>
      <c r="H129" s="56">
        <v>53.7</v>
      </c>
      <c r="I129" s="56">
        <v>64.2</v>
      </c>
      <c r="J129" s="56">
        <v>82.3</v>
      </c>
      <c r="K129" s="56">
        <v>100.4</v>
      </c>
      <c r="L129" s="56">
        <v>108.6</v>
      </c>
      <c r="M129" s="56">
        <v>110.3</v>
      </c>
      <c r="N129" s="56"/>
      <c r="O129" s="56">
        <v>114.4</v>
      </c>
      <c r="P129" s="56">
        <v>114.6</v>
      </c>
      <c r="Q129" s="56">
        <v>113.8</v>
      </c>
      <c r="R129" s="56">
        <v>100.4</v>
      </c>
      <c r="S129" s="56">
        <v>117</v>
      </c>
      <c r="T129" s="56">
        <v>122</v>
      </c>
      <c r="U129" s="56">
        <v>120.3</v>
      </c>
      <c r="V129" s="56">
        <v>108</v>
      </c>
      <c r="W129" s="56">
        <v>99</v>
      </c>
      <c r="X129" s="56">
        <v>87</v>
      </c>
      <c r="Y129" s="56">
        <v>96</v>
      </c>
      <c r="Z129" s="56">
        <v>106</v>
      </c>
      <c r="AA129" s="56">
        <v>102</v>
      </c>
      <c r="AB129" s="56">
        <v>95.5</v>
      </c>
      <c r="AC129" s="56">
        <v>95.3</v>
      </c>
      <c r="AD129" s="56">
        <v>93.3</v>
      </c>
      <c r="AE129" s="56">
        <v>90.9</v>
      </c>
      <c r="AF129" s="56">
        <v>80.3</v>
      </c>
      <c r="AG129" s="55"/>
      <c r="AH129" s="12">
        <f>MAX(B129:AF129)</f>
        <v>122</v>
      </c>
      <c r="AI129" s="11">
        <f>MIN(B129:AF129)</f>
        <v>53.7</v>
      </c>
    </row>
    <row r="130" spans="1:37" ht="15.75" thickBot="1" x14ac:dyDescent="0.3">
      <c r="A130" s="57" t="s">
        <v>132</v>
      </c>
      <c r="B130" s="56">
        <v>90.2</v>
      </c>
      <c r="C130" s="56">
        <v>80.8</v>
      </c>
      <c r="D130" s="56">
        <v>74.599999999999994</v>
      </c>
      <c r="E130" s="56">
        <v>76.5</v>
      </c>
      <c r="F130" s="56">
        <v>72.599999999999994</v>
      </c>
      <c r="G130" s="56">
        <v>69.7</v>
      </c>
      <c r="H130" s="56">
        <v>66.900000000000006</v>
      </c>
      <c r="I130" s="56">
        <v>70.400000000000006</v>
      </c>
      <c r="J130" s="56">
        <v>94.7</v>
      </c>
      <c r="K130" s="56">
        <v>103.8</v>
      </c>
      <c r="L130" s="56">
        <v>108.4</v>
      </c>
      <c r="M130" s="56">
        <v>109.9</v>
      </c>
      <c r="N130" s="56"/>
      <c r="O130" s="56">
        <v>115.6</v>
      </c>
      <c r="P130" s="56">
        <v>117</v>
      </c>
      <c r="Q130" s="56">
        <v>114.1</v>
      </c>
      <c r="R130" s="56">
        <v>109.9</v>
      </c>
      <c r="S130" s="56">
        <v>121.2</v>
      </c>
      <c r="T130" s="56">
        <v>128</v>
      </c>
      <c r="U130" s="56">
        <v>123.8</v>
      </c>
      <c r="V130" s="56">
        <v>110</v>
      </c>
      <c r="W130" s="56">
        <v>105</v>
      </c>
      <c r="X130" s="56">
        <v>98</v>
      </c>
      <c r="Y130" s="56">
        <v>108</v>
      </c>
      <c r="Z130" s="56">
        <v>117</v>
      </c>
      <c r="AA130" s="56">
        <v>113</v>
      </c>
      <c r="AB130" s="56">
        <v>106.4</v>
      </c>
      <c r="AC130" s="56">
        <v>107.3</v>
      </c>
      <c r="AD130" s="56">
        <v>105.7</v>
      </c>
      <c r="AE130" s="56">
        <v>101.2</v>
      </c>
      <c r="AF130" s="56">
        <v>91.8</v>
      </c>
      <c r="AG130" s="55"/>
      <c r="AH130" s="12">
        <f>MAX(B130:AF130)</f>
        <v>128</v>
      </c>
      <c r="AI130" s="11">
        <f>MIN(B130:AF130)</f>
        <v>66.900000000000006</v>
      </c>
    </row>
    <row r="131" spans="1:37" x14ac:dyDescent="0.25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25">
      <c r="A132" s="47" t="s">
        <v>130</v>
      </c>
      <c r="B132" s="51">
        <v>1984.61</v>
      </c>
      <c r="C132" s="51">
        <v>1984.38</v>
      </c>
      <c r="D132" s="51">
        <v>1984.1</v>
      </c>
      <c r="E132" s="51">
        <v>1983.87</v>
      </c>
      <c r="F132" s="51">
        <v>1983.67</v>
      </c>
      <c r="G132" s="51">
        <v>1983.4</v>
      </c>
      <c r="H132" s="51"/>
      <c r="I132" s="51">
        <v>1983.02</v>
      </c>
      <c r="J132" s="51"/>
      <c r="K132" s="51">
        <v>1983.09</v>
      </c>
      <c r="L132" s="51"/>
      <c r="M132" s="51">
        <v>1983.48</v>
      </c>
      <c r="N132" s="51">
        <v>1983.8</v>
      </c>
      <c r="O132" s="51">
        <v>1984.12</v>
      </c>
      <c r="P132" s="51">
        <v>1984.4</v>
      </c>
      <c r="Q132" s="51">
        <v>1984.68</v>
      </c>
      <c r="R132" s="51">
        <v>1984.94</v>
      </c>
      <c r="S132" s="51">
        <v>1985.2</v>
      </c>
      <c r="T132" s="51">
        <v>1985.47</v>
      </c>
      <c r="U132" s="51">
        <v>1985.7</v>
      </c>
      <c r="V132" s="51">
        <v>1985.92</v>
      </c>
      <c r="W132" s="51"/>
      <c r="X132" s="51">
        <v>1986.15</v>
      </c>
      <c r="Y132" s="51"/>
      <c r="Z132" s="51">
        <v>1985.88</v>
      </c>
      <c r="AA132" s="51">
        <v>1985.5</v>
      </c>
      <c r="AB132" s="51">
        <v>1985.03</v>
      </c>
      <c r="AC132" s="51"/>
      <c r="AD132" s="51">
        <v>1984.32</v>
      </c>
      <c r="AE132" s="51">
        <v>1983.9</v>
      </c>
      <c r="AF132" s="50">
        <v>1983.5</v>
      </c>
      <c r="AG132" s="44"/>
      <c r="AH132" s="12"/>
      <c r="AI132" s="11"/>
    </row>
    <row r="133" spans="1:37" x14ac:dyDescent="0.25">
      <c r="A133" s="47" t="s">
        <v>129</v>
      </c>
      <c r="B133" s="49">
        <v>520.84</v>
      </c>
      <c r="C133" s="49">
        <v>520.74</v>
      </c>
      <c r="D133" s="49">
        <v>520.86</v>
      </c>
      <c r="E133" s="49">
        <v>521.1</v>
      </c>
      <c r="F133" s="49">
        <v>521.32000000000005</v>
      </c>
      <c r="G133" s="49">
        <v>521.54</v>
      </c>
      <c r="H133" s="49"/>
      <c r="I133" s="49">
        <v>521.77</v>
      </c>
      <c r="J133" s="49"/>
      <c r="K133" s="49">
        <v>521.85</v>
      </c>
      <c r="L133" s="49"/>
      <c r="M133" s="49">
        <v>521.91999999999996</v>
      </c>
      <c r="N133" s="49">
        <v>522.17999999999995</v>
      </c>
      <c r="O133" s="49">
        <v>522.41</v>
      </c>
      <c r="P133" s="49">
        <v>522.52</v>
      </c>
      <c r="Q133" s="49">
        <v>522.62</v>
      </c>
      <c r="R133" s="49">
        <v>522.77</v>
      </c>
      <c r="S133" s="49">
        <v>523</v>
      </c>
      <c r="T133" s="49">
        <v>523.23</v>
      </c>
      <c r="U133" s="49">
        <v>523.36</v>
      </c>
      <c r="V133" s="49">
        <v>523.4</v>
      </c>
      <c r="W133" s="49"/>
      <c r="X133" s="49">
        <v>523.46</v>
      </c>
      <c r="Y133" s="49"/>
      <c r="Z133" s="49">
        <v>523.28</v>
      </c>
      <c r="AA133" s="49"/>
      <c r="AB133" s="49">
        <v>522.89</v>
      </c>
      <c r="AC133" s="49"/>
      <c r="AD133" s="49">
        <v>522.53</v>
      </c>
      <c r="AE133" s="49">
        <v>522.14</v>
      </c>
      <c r="AF133" s="48">
        <v>521.64</v>
      </c>
      <c r="AG133" s="44"/>
      <c r="AH133" s="12"/>
      <c r="AI133" s="11"/>
    </row>
    <row r="134" spans="1:37" x14ac:dyDescent="0.25">
      <c r="A134" s="47" t="s">
        <v>128</v>
      </c>
      <c r="B134" s="49">
        <v>623.35</v>
      </c>
      <c r="C134" s="49">
        <v>623.39</v>
      </c>
      <c r="D134" s="49">
        <v>623.52</v>
      </c>
      <c r="E134" s="49">
        <v>623.82000000000005</v>
      </c>
      <c r="F134" s="49">
        <v>624.15</v>
      </c>
      <c r="G134" s="49">
        <v>624.41999999999996</v>
      </c>
      <c r="H134" s="49"/>
      <c r="I134" s="49">
        <v>624.45000000000005</v>
      </c>
      <c r="J134" s="49"/>
      <c r="K134" s="49">
        <v>624.44000000000005</v>
      </c>
      <c r="L134" s="49"/>
      <c r="M134" s="49">
        <v>624.6</v>
      </c>
      <c r="N134" s="49">
        <v>624.9</v>
      </c>
      <c r="O134" s="49">
        <v>624.74</v>
      </c>
      <c r="P134" s="49">
        <v>624.47</v>
      </c>
      <c r="Q134" s="49">
        <v>624.32000000000005</v>
      </c>
      <c r="R134" s="49">
        <v>624.37</v>
      </c>
      <c r="S134" s="49">
        <v>624.55999999999995</v>
      </c>
      <c r="T134" s="49">
        <v>624.77</v>
      </c>
      <c r="U134" s="49">
        <v>625</v>
      </c>
      <c r="V134" s="49">
        <v>625.05999999999995</v>
      </c>
      <c r="W134" s="49"/>
      <c r="X134" s="49">
        <v>625.21</v>
      </c>
      <c r="Y134" s="49"/>
      <c r="Z134" s="49">
        <v>625</v>
      </c>
      <c r="AA134" s="49"/>
      <c r="AB134" s="49">
        <v>624.75</v>
      </c>
      <c r="AC134" s="49"/>
      <c r="AD134" s="49">
        <v>624.52</v>
      </c>
      <c r="AE134" s="49">
        <v>624.4</v>
      </c>
      <c r="AF134" s="48">
        <v>624.19000000000005</v>
      </c>
      <c r="AG134" s="44"/>
      <c r="AH134" s="12"/>
      <c r="AI134" s="11"/>
    </row>
    <row r="135" spans="1:37" x14ac:dyDescent="0.25">
      <c r="A135" s="47" t="s">
        <v>127</v>
      </c>
      <c r="B135" s="49">
        <v>335.78</v>
      </c>
      <c r="C135" s="49">
        <v>335.9</v>
      </c>
      <c r="D135" s="49">
        <v>336.13</v>
      </c>
      <c r="E135" s="49">
        <v>336.35</v>
      </c>
      <c r="F135" s="49">
        <v>336.53</v>
      </c>
      <c r="G135" s="49">
        <v>336.72</v>
      </c>
      <c r="H135" s="49"/>
      <c r="I135" s="49">
        <v>336.7</v>
      </c>
      <c r="J135" s="49"/>
      <c r="K135" s="49">
        <v>336.56</v>
      </c>
      <c r="L135" s="49"/>
      <c r="M135" s="49">
        <v>336.47</v>
      </c>
      <c r="N135" s="49">
        <v>336.42</v>
      </c>
      <c r="O135" s="49">
        <v>336.28</v>
      </c>
      <c r="P135" s="49">
        <v>336.07</v>
      </c>
      <c r="Q135" s="49">
        <v>335.98</v>
      </c>
      <c r="R135" s="49">
        <v>335.89</v>
      </c>
      <c r="S135" s="49">
        <v>335.99</v>
      </c>
      <c r="T135" s="49">
        <v>336.14</v>
      </c>
      <c r="U135" s="49">
        <v>336.68</v>
      </c>
      <c r="V135" s="49">
        <v>336.68</v>
      </c>
      <c r="W135" s="49"/>
      <c r="X135" s="49">
        <v>337.02</v>
      </c>
      <c r="Y135" s="49"/>
      <c r="Z135" s="49">
        <v>336.97</v>
      </c>
      <c r="AA135" s="49"/>
      <c r="AB135" s="49">
        <v>336.62</v>
      </c>
      <c r="AC135" s="49"/>
      <c r="AD135" s="49">
        <v>336.38</v>
      </c>
      <c r="AE135" s="49">
        <v>336.14</v>
      </c>
      <c r="AF135" s="48">
        <v>336.02</v>
      </c>
      <c r="AG135" s="44"/>
      <c r="AH135" s="12"/>
      <c r="AI135" s="11"/>
    </row>
    <row r="136" spans="1:37" x14ac:dyDescent="0.25">
      <c r="A136" s="47" t="s">
        <v>126</v>
      </c>
      <c r="B136" s="49">
        <v>884.5</v>
      </c>
      <c r="C136" s="49">
        <v>885.2</v>
      </c>
      <c r="D136" s="49">
        <v>885.6</v>
      </c>
      <c r="E136" s="49">
        <v>886</v>
      </c>
      <c r="F136" s="49">
        <v>886.3</v>
      </c>
      <c r="G136" s="49">
        <v>886.5</v>
      </c>
      <c r="H136" s="49"/>
      <c r="I136" s="49">
        <v>886.4</v>
      </c>
      <c r="J136" s="49"/>
      <c r="K136" s="49">
        <v>885.7</v>
      </c>
      <c r="L136" s="49"/>
      <c r="M136" s="49">
        <v>885.9</v>
      </c>
      <c r="N136" s="49">
        <v>886.2</v>
      </c>
      <c r="O136" s="49">
        <v>886.4</v>
      </c>
      <c r="P136" s="49">
        <v>886.5</v>
      </c>
      <c r="Q136" s="49">
        <v>886.6</v>
      </c>
      <c r="R136" s="49">
        <v>886.6</v>
      </c>
      <c r="S136" s="49">
        <v>886.6</v>
      </c>
      <c r="T136" s="49">
        <v>886.5</v>
      </c>
      <c r="U136" s="49">
        <v>886.6</v>
      </c>
      <c r="V136" s="49">
        <v>887</v>
      </c>
      <c r="W136" s="49"/>
      <c r="X136" s="49">
        <v>887.5</v>
      </c>
      <c r="Y136" s="49"/>
      <c r="Z136" s="49">
        <v>887.2</v>
      </c>
      <c r="AA136" s="49"/>
      <c r="AB136" s="49">
        <v>886.6</v>
      </c>
      <c r="AC136" s="49"/>
      <c r="AD136" s="49">
        <v>885.9</v>
      </c>
      <c r="AE136" s="49">
        <v>885.1</v>
      </c>
      <c r="AF136" s="48">
        <v>885</v>
      </c>
      <c r="AG136" s="44"/>
      <c r="AH136" s="12"/>
      <c r="AI136" s="11"/>
    </row>
    <row r="137" spans="1:37" ht="15.75" thickBot="1" x14ac:dyDescent="0.3">
      <c r="A137" s="47" t="s">
        <v>125</v>
      </c>
      <c r="B137" s="46">
        <v>1512.81</v>
      </c>
      <c r="C137" s="46">
        <v>1512.79</v>
      </c>
      <c r="D137" s="46">
        <v>1512.77</v>
      </c>
      <c r="E137" s="46"/>
      <c r="F137" s="46"/>
      <c r="G137" s="46"/>
      <c r="H137" s="46"/>
      <c r="I137" s="46"/>
      <c r="J137" s="46"/>
      <c r="K137" s="46"/>
      <c r="L137" s="46"/>
      <c r="M137" s="46">
        <v>1512.67</v>
      </c>
      <c r="N137" s="46"/>
      <c r="O137" s="46"/>
      <c r="P137" s="46">
        <v>1512.65</v>
      </c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.75" thickBot="1" x14ac:dyDescent="0.3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25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>
        <f>M132-K132</f>
        <v>0.39000000000010004</v>
      </c>
      <c r="N139" s="38">
        <f>N132-M132</f>
        <v>0.31999999999993634</v>
      </c>
      <c r="O139" s="38">
        <f>O132-N132</f>
        <v>0.31999999999993634</v>
      </c>
      <c r="P139" s="38">
        <f t="shared" ref="P139:R139" si="78">P132-O132</f>
        <v>0.28000000000020009</v>
      </c>
      <c r="Q139" s="38">
        <f t="shared" si="78"/>
        <v>0.27999999999997272</v>
      </c>
      <c r="R139" s="38">
        <f t="shared" si="78"/>
        <v>0.25999999999999091</v>
      </c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25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25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25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25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25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25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25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25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25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25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25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25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25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25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25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25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25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25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25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25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25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25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25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25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25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25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25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25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25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25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25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25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25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25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25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25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25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25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25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25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25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25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25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25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25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25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25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25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25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25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25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25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25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25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25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25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25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25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25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25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25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25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25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25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25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25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25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25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25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25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25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25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25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25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25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25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25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25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25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25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25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25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25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25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25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25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25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25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25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25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25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25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25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25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25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25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25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25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25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25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25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25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25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.75" thickBot="1" x14ac:dyDescent="0.3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.75" thickBot="1" x14ac:dyDescent="0.3">
      <c r="A244" s="31" t="s">
        <v>17</v>
      </c>
      <c r="B244" s="30">
        <f t="shared" ref="B244:AG244" si="79">SUM(B139:B243)</f>
        <v>0</v>
      </c>
      <c r="C244" s="14">
        <f t="shared" si="79"/>
        <v>0</v>
      </c>
      <c r="D244" s="14">
        <f t="shared" si="79"/>
        <v>0</v>
      </c>
      <c r="E244" s="14">
        <f t="shared" si="79"/>
        <v>0</v>
      </c>
      <c r="F244" s="14">
        <f t="shared" si="79"/>
        <v>0</v>
      </c>
      <c r="G244" s="14">
        <f t="shared" si="79"/>
        <v>0</v>
      </c>
      <c r="H244" s="14">
        <f t="shared" si="79"/>
        <v>0</v>
      </c>
      <c r="I244" s="14">
        <f t="shared" si="79"/>
        <v>0</v>
      </c>
      <c r="J244" s="14">
        <f t="shared" si="79"/>
        <v>0</v>
      </c>
      <c r="K244" s="14">
        <f t="shared" si="79"/>
        <v>0</v>
      </c>
      <c r="L244" s="14">
        <f t="shared" si="79"/>
        <v>0</v>
      </c>
      <c r="M244" s="14">
        <f t="shared" si="79"/>
        <v>0.39000000000010004</v>
      </c>
      <c r="N244" s="14">
        <f t="shared" si="79"/>
        <v>0.31999999999993634</v>
      </c>
      <c r="O244" s="14">
        <f t="shared" si="79"/>
        <v>0.31999999999993634</v>
      </c>
      <c r="P244" s="14">
        <f t="shared" si="79"/>
        <v>0.28000000000020009</v>
      </c>
      <c r="Q244" s="14">
        <f t="shared" si="79"/>
        <v>0.27999999999997272</v>
      </c>
      <c r="R244" s="14">
        <f t="shared" si="79"/>
        <v>0.25999999999999091</v>
      </c>
      <c r="S244" s="14">
        <f t="shared" si="79"/>
        <v>0</v>
      </c>
      <c r="T244" s="14">
        <f t="shared" si="79"/>
        <v>0</v>
      </c>
      <c r="U244" s="14">
        <f t="shared" si="79"/>
        <v>0</v>
      </c>
      <c r="V244" s="14">
        <f t="shared" si="79"/>
        <v>0</v>
      </c>
      <c r="W244" s="14">
        <f t="shared" si="79"/>
        <v>0</v>
      </c>
      <c r="X244" s="14">
        <f t="shared" si="79"/>
        <v>0</v>
      </c>
      <c r="Y244" s="14">
        <f t="shared" si="79"/>
        <v>0</v>
      </c>
      <c r="Z244" s="14">
        <f t="shared" si="79"/>
        <v>0</v>
      </c>
      <c r="AA244" s="14">
        <f t="shared" si="79"/>
        <v>0</v>
      </c>
      <c r="AB244" s="14">
        <f t="shared" si="79"/>
        <v>0</v>
      </c>
      <c r="AC244" s="14">
        <f t="shared" si="79"/>
        <v>0</v>
      </c>
      <c r="AD244" s="14">
        <f t="shared" si="79"/>
        <v>0</v>
      </c>
      <c r="AE244" s="14">
        <f t="shared" si="79"/>
        <v>0</v>
      </c>
      <c r="AF244" s="29">
        <f t="shared" si="79"/>
        <v>0</v>
      </c>
      <c r="AG244" s="28">
        <f t="shared" si="79"/>
        <v>412.72299999999984</v>
      </c>
      <c r="AH244" s="12"/>
      <c r="AI244" s="11"/>
      <c r="AK244" s="19"/>
    </row>
    <row r="245" spans="1:37" ht="15.75" thickBot="1" x14ac:dyDescent="0.3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25">
      <c r="A246" s="25" t="s">
        <v>16</v>
      </c>
      <c r="B246" s="24">
        <f t="shared" ref="B246:B251" si="80">AF246</f>
        <v>0.3</v>
      </c>
      <c r="C246" s="24">
        <v>0.3</v>
      </c>
      <c r="D246" s="24">
        <f t="shared" ref="D246:AF251" si="81">C246</f>
        <v>0.3</v>
      </c>
      <c r="E246" s="24">
        <f t="shared" si="81"/>
        <v>0.3</v>
      </c>
      <c r="F246" s="24">
        <f t="shared" si="81"/>
        <v>0.3</v>
      </c>
      <c r="G246" s="24">
        <f t="shared" si="81"/>
        <v>0.3</v>
      </c>
      <c r="H246" s="24">
        <f t="shared" si="81"/>
        <v>0.3</v>
      </c>
      <c r="I246" s="24">
        <f t="shared" si="81"/>
        <v>0.3</v>
      </c>
      <c r="J246" s="24">
        <f t="shared" si="81"/>
        <v>0.3</v>
      </c>
      <c r="K246" s="24">
        <f t="shared" si="81"/>
        <v>0.3</v>
      </c>
      <c r="L246" s="24">
        <f t="shared" si="81"/>
        <v>0.3</v>
      </c>
      <c r="M246" s="24">
        <f t="shared" si="81"/>
        <v>0.3</v>
      </c>
      <c r="N246" s="24">
        <f t="shared" si="81"/>
        <v>0.3</v>
      </c>
      <c r="O246" s="24">
        <f t="shared" si="81"/>
        <v>0.3</v>
      </c>
      <c r="P246" s="24">
        <f t="shared" si="81"/>
        <v>0.3</v>
      </c>
      <c r="Q246" s="24">
        <f t="shared" si="81"/>
        <v>0.3</v>
      </c>
      <c r="R246" s="24">
        <f t="shared" si="81"/>
        <v>0.3</v>
      </c>
      <c r="S246" s="24">
        <f t="shared" si="81"/>
        <v>0.3</v>
      </c>
      <c r="T246" s="24">
        <f t="shared" si="81"/>
        <v>0.3</v>
      </c>
      <c r="U246" s="24">
        <f t="shared" si="81"/>
        <v>0.3</v>
      </c>
      <c r="V246" s="24">
        <f t="shared" si="81"/>
        <v>0.3</v>
      </c>
      <c r="W246" s="24">
        <f t="shared" si="81"/>
        <v>0.3</v>
      </c>
      <c r="X246" s="24">
        <f t="shared" si="81"/>
        <v>0.3</v>
      </c>
      <c r="Y246" s="24">
        <f t="shared" si="81"/>
        <v>0.3</v>
      </c>
      <c r="Z246" s="24">
        <f t="shared" si="81"/>
        <v>0.3</v>
      </c>
      <c r="AA246" s="24">
        <f t="shared" si="81"/>
        <v>0.3</v>
      </c>
      <c r="AB246" s="24">
        <f t="shared" si="81"/>
        <v>0.3</v>
      </c>
      <c r="AC246" s="24">
        <f t="shared" si="81"/>
        <v>0.3</v>
      </c>
      <c r="AD246" s="24">
        <f t="shared" si="81"/>
        <v>0.3</v>
      </c>
      <c r="AE246" s="24">
        <f t="shared" si="81"/>
        <v>0.3</v>
      </c>
      <c r="AF246" s="24">
        <f t="shared" si="81"/>
        <v>0.3</v>
      </c>
      <c r="AG246" s="23">
        <v>2.4</v>
      </c>
      <c r="AH246" s="12"/>
      <c r="AI246" s="11"/>
      <c r="AK246" s="19"/>
    </row>
    <row r="247" spans="1:37" x14ac:dyDescent="0.25">
      <c r="A247" s="22" t="s">
        <v>15</v>
      </c>
      <c r="B247" s="21">
        <f t="shared" si="80"/>
        <v>0.4</v>
      </c>
      <c r="C247" s="21">
        <v>0.4</v>
      </c>
      <c r="D247" s="21">
        <f t="shared" si="81"/>
        <v>0.4</v>
      </c>
      <c r="E247" s="21">
        <f t="shared" si="81"/>
        <v>0.4</v>
      </c>
      <c r="F247" s="21">
        <f t="shared" si="81"/>
        <v>0.4</v>
      </c>
      <c r="G247" s="21">
        <f t="shared" si="81"/>
        <v>0.4</v>
      </c>
      <c r="H247" s="21">
        <f t="shared" si="81"/>
        <v>0.4</v>
      </c>
      <c r="I247" s="21">
        <f t="shared" si="81"/>
        <v>0.4</v>
      </c>
      <c r="J247" s="21">
        <f t="shared" si="81"/>
        <v>0.4</v>
      </c>
      <c r="K247" s="21">
        <f t="shared" si="81"/>
        <v>0.4</v>
      </c>
      <c r="L247" s="21">
        <f t="shared" si="81"/>
        <v>0.4</v>
      </c>
      <c r="M247" s="21">
        <f t="shared" si="81"/>
        <v>0.4</v>
      </c>
      <c r="N247" s="21">
        <f t="shared" si="81"/>
        <v>0.4</v>
      </c>
      <c r="O247" s="21">
        <f t="shared" si="81"/>
        <v>0.4</v>
      </c>
      <c r="P247" s="21">
        <f t="shared" si="81"/>
        <v>0.4</v>
      </c>
      <c r="Q247" s="21">
        <f t="shared" si="81"/>
        <v>0.4</v>
      </c>
      <c r="R247" s="21">
        <f t="shared" si="81"/>
        <v>0.4</v>
      </c>
      <c r="S247" s="21">
        <f t="shared" si="81"/>
        <v>0.4</v>
      </c>
      <c r="T247" s="21">
        <f t="shared" si="81"/>
        <v>0.4</v>
      </c>
      <c r="U247" s="21">
        <f t="shared" si="81"/>
        <v>0.4</v>
      </c>
      <c r="V247" s="21">
        <f t="shared" si="81"/>
        <v>0.4</v>
      </c>
      <c r="W247" s="21">
        <f t="shared" si="81"/>
        <v>0.4</v>
      </c>
      <c r="X247" s="21">
        <f t="shared" si="81"/>
        <v>0.4</v>
      </c>
      <c r="Y247" s="21">
        <f t="shared" si="81"/>
        <v>0.4</v>
      </c>
      <c r="Z247" s="21">
        <f t="shared" si="81"/>
        <v>0.4</v>
      </c>
      <c r="AA247" s="21">
        <f t="shared" si="81"/>
        <v>0.4</v>
      </c>
      <c r="AB247" s="21">
        <f t="shared" si="81"/>
        <v>0.4</v>
      </c>
      <c r="AC247" s="21">
        <f t="shared" si="81"/>
        <v>0.4</v>
      </c>
      <c r="AD247" s="21">
        <f t="shared" si="81"/>
        <v>0.4</v>
      </c>
      <c r="AE247" s="21">
        <f t="shared" si="81"/>
        <v>0.4</v>
      </c>
      <c r="AF247" s="21">
        <f t="shared" si="81"/>
        <v>0.4</v>
      </c>
      <c r="AG247" s="20">
        <v>2</v>
      </c>
      <c r="AH247" s="12"/>
      <c r="AI247" s="11"/>
      <c r="AK247" s="19"/>
    </row>
    <row r="248" spans="1:37" x14ac:dyDescent="0.25">
      <c r="A248" s="22" t="s">
        <v>14</v>
      </c>
      <c r="B248" s="21">
        <f t="shared" si="80"/>
        <v>1.5</v>
      </c>
      <c r="C248" s="21">
        <v>1.5</v>
      </c>
      <c r="D248" s="21">
        <f t="shared" si="81"/>
        <v>1.5</v>
      </c>
      <c r="E248" s="21">
        <f t="shared" si="81"/>
        <v>1.5</v>
      </c>
      <c r="F248" s="21">
        <f t="shared" si="81"/>
        <v>1.5</v>
      </c>
      <c r="G248" s="21">
        <f t="shared" si="81"/>
        <v>1.5</v>
      </c>
      <c r="H248" s="21">
        <f t="shared" si="81"/>
        <v>1.5</v>
      </c>
      <c r="I248" s="21">
        <f t="shared" si="81"/>
        <v>1.5</v>
      </c>
      <c r="J248" s="21">
        <f t="shared" si="81"/>
        <v>1.5</v>
      </c>
      <c r="K248" s="21">
        <f t="shared" si="81"/>
        <v>1.5</v>
      </c>
      <c r="L248" s="21">
        <f t="shared" si="81"/>
        <v>1.5</v>
      </c>
      <c r="M248" s="21">
        <f t="shared" si="81"/>
        <v>1.5</v>
      </c>
      <c r="N248" s="21">
        <f t="shared" si="81"/>
        <v>1.5</v>
      </c>
      <c r="O248" s="21">
        <f t="shared" si="81"/>
        <v>1.5</v>
      </c>
      <c r="P248" s="21">
        <f t="shared" si="81"/>
        <v>1.5</v>
      </c>
      <c r="Q248" s="21">
        <f t="shared" si="81"/>
        <v>1.5</v>
      </c>
      <c r="R248" s="21">
        <f t="shared" si="81"/>
        <v>1.5</v>
      </c>
      <c r="S248" s="21">
        <f t="shared" si="81"/>
        <v>1.5</v>
      </c>
      <c r="T248" s="21">
        <f t="shared" si="81"/>
        <v>1.5</v>
      </c>
      <c r="U248" s="21">
        <f t="shared" si="81"/>
        <v>1.5</v>
      </c>
      <c r="V248" s="21">
        <f t="shared" si="81"/>
        <v>1.5</v>
      </c>
      <c r="W248" s="21">
        <f t="shared" si="81"/>
        <v>1.5</v>
      </c>
      <c r="X248" s="21">
        <f t="shared" si="81"/>
        <v>1.5</v>
      </c>
      <c r="Y248" s="21">
        <f t="shared" si="81"/>
        <v>1.5</v>
      </c>
      <c r="Z248" s="21">
        <f t="shared" si="81"/>
        <v>1.5</v>
      </c>
      <c r="AA248" s="21">
        <f t="shared" si="81"/>
        <v>1.5</v>
      </c>
      <c r="AB248" s="21">
        <f t="shared" si="81"/>
        <v>1.5</v>
      </c>
      <c r="AC248" s="21">
        <f t="shared" si="81"/>
        <v>1.5</v>
      </c>
      <c r="AD248" s="21">
        <f t="shared" si="81"/>
        <v>1.5</v>
      </c>
      <c r="AE248" s="21">
        <f t="shared" si="81"/>
        <v>1.5</v>
      </c>
      <c r="AF248" s="21">
        <f t="shared" si="81"/>
        <v>1.5</v>
      </c>
      <c r="AG248" s="20">
        <v>1.5</v>
      </c>
      <c r="AH248" s="12"/>
      <c r="AI248" s="11"/>
      <c r="AK248" s="19"/>
    </row>
    <row r="249" spans="1:37" x14ac:dyDescent="0.25">
      <c r="A249" s="22" t="s">
        <v>13</v>
      </c>
      <c r="B249" s="21">
        <f t="shared" si="80"/>
        <v>0.3</v>
      </c>
      <c r="C249" s="21">
        <v>0.3</v>
      </c>
      <c r="D249" s="21">
        <f t="shared" si="81"/>
        <v>0.3</v>
      </c>
      <c r="E249" s="21">
        <f t="shared" si="81"/>
        <v>0.3</v>
      </c>
      <c r="F249" s="21">
        <f t="shared" si="81"/>
        <v>0.3</v>
      </c>
      <c r="G249" s="21">
        <f t="shared" si="81"/>
        <v>0.3</v>
      </c>
      <c r="H249" s="21">
        <f t="shared" si="81"/>
        <v>0.3</v>
      </c>
      <c r="I249" s="21">
        <f t="shared" si="81"/>
        <v>0.3</v>
      </c>
      <c r="J249" s="21">
        <f t="shared" si="81"/>
        <v>0.3</v>
      </c>
      <c r="K249" s="21">
        <f t="shared" si="81"/>
        <v>0.3</v>
      </c>
      <c r="L249" s="21">
        <f t="shared" si="81"/>
        <v>0.3</v>
      </c>
      <c r="M249" s="21">
        <f t="shared" si="81"/>
        <v>0.3</v>
      </c>
      <c r="N249" s="21">
        <f t="shared" si="81"/>
        <v>0.3</v>
      </c>
      <c r="O249" s="21">
        <f t="shared" si="81"/>
        <v>0.3</v>
      </c>
      <c r="P249" s="21">
        <f t="shared" si="81"/>
        <v>0.3</v>
      </c>
      <c r="Q249" s="21">
        <f t="shared" si="81"/>
        <v>0.3</v>
      </c>
      <c r="R249" s="21">
        <f t="shared" si="81"/>
        <v>0.3</v>
      </c>
      <c r="S249" s="21">
        <f t="shared" si="81"/>
        <v>0.3</v>
      </c>
      <c r="T249" s="21">
        <f t="shared" si="81"/>
        <v>0.3</v>
      </c>
      <c r="U249" s="21">
        <f t="shared" si="81"/>
        <v>0.3</v>
      </c>
      <c r="V249" s="21">
        <f t="shared" si="81"/>
        <v>0.3</v>
      </c>
      <c r="W249" s="21">
        <f t="shared" si="81"/>
        <v>0.3</v>
      </c>
      <c r="X249" s="21">
        <f t="shared" si="81"/>
        <v>0.3</v>
      </c>
      <c r="Y249" s="21">
        <f t="shared" si="81"/>
        <v>0.3</v>
      </c>
      <c r="Z249" s="21">
        <f t="shared" si="81"/>
        <v>0.3</v>
      </c>
      <c r="AA249" s="21">
        <f t="shared" si="81"/>
        <v>0.3</v>
      </c>
      <c r="AB249" s="21">
        <f t="shared" si="81"/>
        <v>0.3</v>
      </c>
      <c r="AC249" s="21">
        <f t="shared" si="81"/>
        <v>0.3</v>
      </c>
      <c r="AD249" s="21">
        <f t="shared" si="81"/>
        <v>0.3</v>
      </c>
      <c r="AE249" s="21">
        <f t="shared" si="81"/>
        <v>0.3</v>
      </c>
      <c r="AF249" s="21">
        <f t="shared" si="81"/>
        <v>0.3</v>
      </c>
      <c r="AG249" s="20">
        <v>1</v>
      </c>
      <c r="AH249" s="12"/>
      <c r="AI249" s="11"/>
      <c r="AK249" s="19"/>
    </row>
    <row r="250" spans="1:37" x14ac:dyDescent="0.25">
      <c r="A250" s="22" t="s">
        <v>12</v>
      </c>
      <c r="B250" s="21">
        <f t="shared" si="80"/>
        <v>0.4</v>
      </c>
      <c r="C250" s="21">
        <v>0.4</v>
      </c>
      <c r="D250" s="21">
        <f t="shared" si="81"/>
        <v>0.4</v>
      </c>
      <c r="E250" s="21">
        <f t="shared" si="81"/>
        <v>0.4</v>
      </c>
      <c r="F250" s="21">
        <f t="shared" si="81"/>
        <v>0.4</v>
      </c>
      <c r="G250" s="21">
        <f t="shared" si="81"/>
        <v>0.4</v>
      </c>
      <c r="H250" s="21">
        <f t="shared" si="81"/>
        <v>0.4</v>
      </c>
      <c r="I250" s="21">
        <f t="shared" si="81"/>
        <v>0.4</v>
      </c>
      <c r="J250" s="21">
        <f t="shared" si="81"/>
        <v>0.4</v>
      </c>
      <c r="K250" s="21">
        <f t="shared" si="81"/>
        <v>0.4</v>
      </c>
      <c r="L250" s="21">
        <f t="shared" si="81"/>
        <v>0.4</v>
      </c>
      <c r="M250" s="21">
        <f t="shared" si="81"/>
        <v>0.4</v>
      </c>
      <c r="N250" s="21">
        <f t="shared" si="81"/>
        <v>0.4</v>
      </c>
      <c r="O250" s="21">
        <f t="shared" si="81"/>
        <v>0.4</v>
      </c>
      <c r="P250" s="21">
        <f t="shared" si="81"/>
        <v>0.4</v>
      </c>
      <c r="Q250" s="21">
        <f t="shared" si="81"/>
        <v>0.4</v>
      </c>
      <c r="R250" s="21">
        <f t="shared" si="81"/>
        <v>0.4</v>
      </c>
      <c r="S250" s="21">
        <f t="shared" si="81"/>
        <v>0.4</v>
      </c>
      <c r="T250" s="21">
        <f t="shared" si="81"/>
        <v>0.4</v>
      </c>
      <c r="U250" s="21">
        <f t="shared" si="81"/>
        <v>0.4</v>
      </c>
      <c r="V250" s="21">
        <f t="shared" si="81"/>
        <v>0.4</v>
      </c>
      <c r="W250" s="21">
        <f t="shared" si="81"/>
        <v>0.4</v>
      </c>
      <c r="X250" s="21">
        <f t="shared" si="81"/>
        <v>0.4</v>
      </c>
      <c r="Y250" s="21">
        <f t="shared" si="81"/>
        <v>0.4</v>
      </c>
      <c r="Z250" s="21">
        <f t="shared" si="81"/>
        <v>0.4</v>
      </c>
      <c r="AA250" s="21">
        <f t="shared" si="81"/>
        <v>0.4</v>
      </c>
      <c r="AB250" s="21">
        <f t="shared" si="81"/>
        <v>0.4</v>
      </c>
      <c r="AC250" s="21">
        <f t="shared" si="81"/>
        <v>0.4</v>
      </c>
      <c r="AD250" s="21">
        <f t="shared" si="81"/>
        <v>0.4</v>
      </c>
      <c r="AE250" s="21">
        <f t="shared" si="81"/>
        <v>0.4</v>
      </c>
      <c r="AF250" s="21">
        <f t="shared" si="81"/>
        <v>0.4</v>
      </c>
      <c r="AG250" s="20">
        <v>1</v>
      </c>
      <c r="AH250" s="12"/>
      <c r="AI250" s="11"/>
      <c r="AK250" s="19"/>
    </row>
    <row r="251" spans="1:37" ht="15.75" thickBot="1" x14ac:dyDescent="0.3">
      <c r="A251" s="18" t="s">
        <v>11</v>
      </c>
      <c r="B251" s="17">
        <f t="shared" si="80"/>
        <v>0.64</v>
      </c>
      <c r="C251" s="17">
        <v>0.64</v>
      </c>
      <c r="D251" s="17">
        <f t="shared" si="81"/>
        <v>0.64</v>
      </c>
      <c r="E251" s="17">
        <f t="shared" si="81"/>
        <v>0.64</v>
      </c>
      <c r="F251" s="17">
        <f t="shared" si="81"/>
        <v>0.64</v>
      </c>
      <c r="G251" s="17">
        <f t="shared" si="81"/>
        <v>0.64</v>
      </c>
      <c r="H251" s="17">
        <f t="shared" si="81"/>
        <v>0.64</v>
      </c>
      <c r="I251" s="17">
        <f t="shared" si="81"/>
        <v>0.64</v>
      </c>
      <c r="J251" s="17">
        <f t="shared" si="81"/>
        <v>0.64</v>
      </c>
      <c r="K251" s="17">
        <f t="shared" si="81"/>
        <v>0.64</v>
      </c>
      <c r="L251" s="17">
        <f t="shared" si="81"/>
        <v>0.64</v>
      </c>
      <c r="M251" s="17">
        <f t="shared" si="81"/>
        <v>0.64</v>
      </c>
      <c r="N251" s="17">
        <f t="shared" si="81"/>
        <v>0.64</v>
      </c>
      <c r="O251" s="17">
        <f t="shared" si="81"/>
        <v>0.64</v>
      </c>
      <c r="P251" s="17">
        <f t="shared" si="81"/>
        <v>0.64</v>
      </c>
      <c r="Q251" s="17">
        <f t="shared" si="81"/>
        <v>0.64</v>
      </c>
      <c r="R251" s="17">
        <f t="shared" si="81"/>
        <v>0.64</v>
      </c>
      <c r="S251" s="17">
        <f t="shared" si="81"/>
        <v>0.64</v>
      </c>
      <c r="T251" s="17">
        <f t="shared" si="81"/>
        <v>0.64</v>
      </c>
      <c r="U251" s="17">
        <f t="shared" si="81"/>
        <v>0.64</v>
      </c>
      <c r="V251" s="17">
        <f t="shared" si="81"/>
        <v>0.64</v>
      </c>
      <c r="W251" s="17">
        <f t="shared" si="81"/>
        <v>0.64</v>
      </c>
      <c r="X251" s="17">
        <f t="shared" si="81"/>
        <v>0.64</v>
      </c>
      <c r="Y251" s="17">
        <f t="shared" si="81"/>
        <v>0.64</v>
      </c>
      <c r="Z251" s="17">
        <f t="shared" si="81"/>
        <v>0.64</v>
      </c>
      <c r="AA251" s="17">
        <f t="shared" si="81"/>
        <v>0.64</v>
      </c>
      <c r="AB251" s="17">
        <f t="shared" si="81"/>
        <v>0.64</v>
      </c>
      <c r="AC251" s="17">
        <f t="shared" si="81"/>
        <v>0.64</v>
      </c>
      <c r="AD251" s="17">
        <f t="shared" si="81"/>
        <v>0.64</v>
      </c>
      <c r="AE251" s="17">
        <f t="shared" si="81"/>
        <v>0.64</v>
      </c>
      <c r="AF251" s="17">
        <f t="shared" si="81"/>
        <v>0.64</v>
      </c>
      <c r="AG251" s="16">
        <v>0.66</v>
      </c>
      <c r="AH251" s="12"/>
      <c r="AI251" s="11"/>
    </row>
    <row r="252" spans="1:37" ht="15.75" thickBot="1" x14ac:dyDescent="0.3">
      <c r="A252" s="15" t="s">
        <v>10</v>
      </c>
      <c r="B252" s="14">
        <f t="shared" ref="B252:AG252" si="82">SUM(B246:B251)</f>
        <v>3.54</v>
      </c>
      <c r="C252" s="14">
        <f t="shared" si="82"/>
        <v>3.54</v>
      </c>
      <c r="D252" s="14">
        <f t="shared" si="82"/>
        <v>3.54</v>
      </c>
      <c r="E252" s="14">
        <f t="shared" si="82"/>
        <v>3.54</v>
      </c>
      <c r="F252" s="14">
        <f t="shared" si="82"/>
        <v>3.54</v>
      </c>
      <c r="G252" s="14">
        <f t="shared" si="82"/>
        <v>3.54</v>
      </c>
      <c r="H252" s="14">
        <f t="shared" si="82"/>
        <v>3.54</v>
      </c>
      <c r="I252" s="14">
        <f t="shared" si="82"/>
        <v>3.54</v>
      </c>
      <c r="J252" s="14">
        <f t="shared" si="82"/>
        <v>3.54</v>
      </c>
      <c r="K252" s="14">
        <f t="shared" si="82"/>
        <v>3.54</v>
      </c>
      <c r="L252" s="14">
        <f t="shared" si="82"/>
        <v>3.54</v>
      </c>
      <c r="M252" s="14">
        <f t="shared" si="82"/>
        <v>3.54</v>
      </c>
      <c r="N252" s="14">
        <f t="shared" si="82"/>
        <v>3.54</v>
      </c>
      <c r="O252" s="14">
        <f t="shared" si="82"/>
        <v>3.54</v>
      </c>
      <c r="P252" s="14">
        <f t="shared" si="82"/>
        <v>3.54</v>
      </c>
      <c r="Q252" s="14">
        <f t="shared" si="82"/>
        <v>3.54</v>
      </c>
      <c r="R252" s="14">
        <f t="shared" si="82"/>
        <v>3.54</v>
      </c>
      <c r="S252" s="14">
        <f t="shared" si="82"/>
        <v>3.54</v>
      </c>
      <c r="T252" s="14">
        <f t="shared" si="82"/>
        <v>3.54</v>
      </c>
      <c r="U252" s="14">
        <f t="shared" si="82"/>
        <v>3.54</v>
      </c>
      <c r="V252" s="14">
        <f t="shared" si="82"/>
        <v>3.54</v>
      </c>
      <c r="W252" s="14">
        <f t="shared" si="82"/>
        <v>3.54</v>
      </c>
      <c r="X252" s="14">
        <f t="shared" si="82"/>
        <v>3.54</v>
      </c>
      <c r="Y252" s="14">
        <f t="shared" si="82"/>
        <v>3.54</v>
      </c>
      <c r="Z252" s="14">
        <f t="shared" si="82"/>
        <v>3.54</v>
      </c>
      <c r="AA252" s="14">
        <f t="shared" si="82"/>
        <v>3.54</v>
      </c>
      <c r="AB252" s="14">
        <f t="shared" si="82"/>
        <v>3.54</v>
      </c>
      <c r="AC252" s="14">
        <f t="shared" si="82"/>
        <v>3.54</v>
      </c>
      <c r="AD252" s="14">
        <f t="shared" si="82"/>
        <v>3.54</v>
      </c>
      <c r="AE252" s="14">
        <f t="shared" si="82"/>
        <v>3.54</v>
      </c>
      <c r="AF252" s="14">
        <f t="shared" si="82"/>
        <v>3.54</v>
      </c>
      <c r="AG252" s="13">
        <f t="shared" si="82"/>
        <v>8.56</v>
      </c>
      <c r="AH252" s="12"/>
      <c r="AI252" s="11"/>
    </row>
    <row r="253" spans="1:37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25">
      <c r="A256" s="9" t="s">
        <v>9</v>
      </c>
      <c r="B256" s="8">
        <f>MAX(G99:N99)</f>
        <v>1608.1399999999999</v>
      </c>
      <c r="C256" s="7">
        <f>INDEX(G9:N9,1,MATCH(MAX(G99:N99),G99:N99,0))</f>
        <v>0.3125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25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2080/10/6)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25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25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25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25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25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25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25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25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25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25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25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25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25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25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3601" priority="89">
      <formula>$AH11=0</formula>
    </cfRule>
  </conditionalFormatting>
  <conditionalFormatting sqref="A132:A253">
    <cfRule type="expression" dxfId="3600" priority="90">
      <formula>$AH132=0</formula>
    </cfRule>
  </conditionalFormatting>
  <conditionalFormatting sqref="B8">
    <cfRule type="expression" dxfId="3599" priority="146">
      <formula>C$9&lt;8/24</formula>
    </cfRule>
    <cfRule type="expression" dxfId="3598" priority="145">
      <formula>AND(C$9&gt;=8/24,C$9&lt;14/24)</formula>
    </cfRule>
    <cfRule type="expression" dxfId="3597" priority="144">
      <formula>AND(C$9&gt;=14/24,C$9&lt;20/24)</formula>
    </cfRule>
    <cfRule type="expression" dxfId="3596" priority="147">
      <formula>C$9&gt;=20/24</formula>
    </cfRule>
  </conditionalFormatting>
  <conditionalFormatting sqref="B11:L52 M12:M52 N13:AF52 B59:D68 B69:AF74 B77:AF99 B9:AF10 B101:AF117 B119:AF137 B244:AF244 B246:B252">
    <cfRule type="expression" dxfId="3595" priority="41">
      <formula>B$9&gt;=20/24</formula>
    </cfRule>
  </conditionalFormatting>
  <conditionalFormatting sqref="B9:AF10 B11:L52 M12:M52 N13:AF52 B59:D68 B69:AF74 B77:AF99 B101:AF117 B119:AF137 B244:AF244 B246:B252">
    <cfRule type="expression" dxfId="3594" priority="42">
      <formula>AND(B$9&gt;=14/24,B$9&lt;20/24)</formula>
    </cfRule>
    <cfRule type="expression" dxfId="3593" priority="43">
      <formula>AND(B$9&gt;=8/24,B$9&lt;14/24)</formula>
    </cfRule>
    <cfRule type="expression" dxfId="3592" priority="44">
      <formula>B$9&lt;8/24</formula>
    </cfRule>
  </conditionalFormatting>
  <conditionalFormatting sqref="B53:AF57">
    <cfRule type="expression" dxfId="3591" priority="53">
      <formula>B$9&lt;8/24</formula>
    </cfRule>
  </conditionalFormatting>
  <conditionalFormatting sqref="D246:AF252">
    <cfRule type="expression" dxfId="3590" priority="130">
      <formula>AND(D$9&gt;=14/24,D$9&lt;20/24)</formula>
    </cfRule>
    <cfRule type="expression" dxfId="3589" priority="132">
      <formula>D$9&lt;8/24</formula>
    </cfRule>
    <cfRule type="expression" dxfId="3588" priority="131">
      <formula>AND(D$9&gt;=8/24,D$9&lt;14/24)</formula>
    </cfRule>
    <cfRule type="expression" dxfId="3587" priority="129">
      <formula>D$9&gt;=20/24</formula>
    </cfRule>
  </conditionalFormatting>
  <conditionalFormatting sqref="E63:I67 J64:J67 K67">
    <cfRule type="expression" dxfId="3586" priority="54">
      <formula>E$9&gt;=20/24</formula>
    </cfRule>
    <cfRule type="expression" dxfId="3585" priority="55">
      <formula>AND(E$9&gt;=14/24,E$9&lt;20/24)</formula>
    </cfRule>
    <cfRule type="expression" dxfId="3584" priority="56">
      <formula>AND(E$9&gt;=8/24,E$9&lt;14/24)</formula>
    </cfRule>
    <cfRule type="expression" dxfId="3583" priority="57">
      <formula>E$9&lt;8/24</formula>
    </cfRule>
  </conditionalFormatting>
  <conditionalFormatting sqref="E68:K68">
    <cfRule type="expression" dxfId="3582" priority="50">
      <formula>AND(E$9&gt;=14/24,E$9&lt;20/24)</formula>
    </cfRule>
    <cfRule type="expression" dxfId="3581" priority="52">
      <formula>E$9&lt;8/24</formula>
    </cfRule>
    <cfRule type="expression" dxfId="3580" priority="51">
      <formula>AND(E$9&gt;=8/24,E$9&lt;14/24)</formula>
    </cfRule>
    <cfRule type="expression" dxfId="3579" priority="49">
      <formula>E$9&gt;=20/24</formula>
    </cfRule>
  </conditionalFormatting>
  <conditionalFormatting sqref="E11:L55 M12:M55 N13:AB55 AC13:AF80 B17:C57 D20:D57 B11:D16 D17:D18 C19:D19 AB56:AB57 E57:U57 AA57 W57:Z61 V57:V80 AA58:AB61 B58:U80 AG62 W62:AB80 AG80">
    <cfRule type="expression" dxfId="3578" priority="40">
      <formula>B11&gt;$AG11</formula>
    </cfRule>
  </conditionalFormatting>
  <conditionalFormatting sqref="E56:AA56">
    <cfRule type="expression" dxfId="3577" priority="45">
      <formula>E56&gt;$AG56</formula>
    </cfRule>
  </conditionalFormatting>
  <conditionalFormatting sqref="E59:AF62">
    <cfRule type="expression" dxfId="3576" priority="70">
      <formula>E$9&lt;8/24</formula>
    </cfRule>
    <cfRule type="expression" dxfId="3575" priority="67">
      <formula>E$9&gt;=20/24</formula>
    </cfRule>
    <cfRule type="expression" dxfId="3574" priority="68">
      <formula>AND(E$9&gt;=14/24,E$9&lt;20/24)</formula>
    </cfRule>
    <cfRule type="expression" dxfId="3573" priority="69">
      <formula>AND(E$9&gt;=8/24,E$9&lt;14/24)</formula>
    </cfRule>
  </conditionalFormatting>
  <conditionalFormatting sqref="F63:L65">
    <cfRule type="expression" dxfId="3572" priority="81">
      <formula>F$9&gt;=20/24</formula>
    </cfRule>
    <cfRule type="expression" dxfId="3571" priority="82">
      <formula>AND(F$9&gt;=14/24,F$9&lt;20/24)</formula>
    </cfRule>
    <cfRule type="expression" dxfId="3570" priority="83">
      <formula>AND(F$9&gt;=8/24,F$9&lt;14/24)</formula>
    </cfRule>
    <cfRule type="expression" dxfId="3569" priority="84">
      <formula>F$9&lt;8/24</formula>
    </cfRule>
  </conditionalFormatting>
  <conditionalFormatting sqref="L68:Y68">
    <cfRule type="expression" dxfId="3568" priority="80">
      <formula>L$9&lt;8/24</formula>
    </cfRule>
    <cfRule type="expression" dxfId="3567" priority="77">
      <formula>L$9&gt;=20/24</formula>
    </cfRule>
    <cfRule type="expression" dxfId="3566" priority="78">
      <formula>AND(L$9&gt;=14/24,L$9&lt;20/24)</formula>
    </cfRule>
    <cfRule type="expression" dxfId="3565" priority="79">
      <formula>AND(L$9&gt;=8/24,L$9&lt;14/24)</formula>
    </cfRule>
  </conditionalFormatting>
  <conditionalFormatting sqref="M8 S8 AB8">
    <cfRule type="expression" dxfId="3564" priority="136">
      <formula>AND(N$9&gt;=14/24,N$9&lt;20/24)</formula>
    </cfRule>
    <cfRule type="expression" dxfId="3563" priority="137">
      <formula>AND(N$9&gt;=8/24,N$9&lt;14/24)</formula>
    </cfRule>
    <cfRule type="expression" dxfId="3562" priority="138">
      <formula>N$9&lt;8/24</formula>
    </cfRule>
  </conditionalFormatting>
  <conditionalFormatting sqref="M11:R11 S11:AF12 N12:R12">
    <cfRule type="expression" dxfId="3561" priority="60">
      <formula>AND(M$9&gt;=14/24,M$9&lt;20/24)</formula>
    </cfRule>
    <cfRule type="expression" dxfId="3560" priority="62">
      <formula>M$9&lt;8/24</formula>
    </cfRule>
    <cfRule type="expression" dxfId="3559" priority="61">
      <formula>AND(M$9&gt;=8/24,M$9&lt;14/24)</formula>
    </cfRule>
    <cfRule type="expression" dxfId="3558" priority="58">
      <formula>M11&gt;$AG11</formula>
    </cfRule>
    <cfRule type="expression" dxfId="3557" priority="59">
      <formula>M$9&gt;=20/24</formula>
    </cfRule>
  </conditionalFormatting>
  <conditionalFormatting sqref="M63:Y67">
    <cfRule type="expression" dxfId="3556" priority="85">
      <formula>M$9&gt;=20/24</formula>
    </cfRule>
    <cfRule type="expression" dxfId="3555" priority="86">
      <formula>AND(M$9&gt;=14/24,M$9&lt;20/24)</formula>
    </cfRule>
    <cfRule type="expression" dxfId="3554" priority="87">
      <formula>AND(M$9&gt;=8/24,M$9&lt;14/24)</formula>
    </cfRule>
    <cfRule type="expression" dxfId="3553" priority="88">
      <formula>M$9&lt;8/24</formula>
    </cfRule>
  </conditionalFormatting>
  <conditionalFormatting sqref="N55:R55 S55:AF57 E56:R57">
    <cfRule type="expression" dxfId="3552" priority="47">
      <formula>AND(E$9&gt;=14/24,E$9&lt;20/24)</formula>
    </cfRule>
    <cfRule type="expression" dxfId="3551" priority="48">
      <formula>AND(E$9&gt;=8/24,E$9&lt;14/24)</formula>
    </cfRule>
  </conditionalFormatting>
  <conditionalFormatting sqref="N53:AF54 E53:M55 B53:D57">
    <cfRule type="expression" dxfId="3550" priority="37">
      <formula>B$9&gt;=20/24</formula>
    </cfRule>
    <cfRule type="expression" dxfId="3549" priority="38">
      <formula>AND(B$9&gt;=14/24,B$9&lt;20/24)</formula>
    </cfRule>
    <cfRule type="expression" dxfId="3548" priority="39">
      <formula>AND(B$9&gt;=8/24,B$9&lt;14/24)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547" priority="135">
      <formula>N$9&gt;=20/24</formula>
    </cfRule>
  </conditionalFormatting>
  <conditionalFormatting sqref="S8">
    <cfRule type="expression" dxfId="3546" priority="123">
      <formula>AND(U$9&gt;=14/24,U$9&lt;20/24)</formula>
    </cfRule>
    <cfRule type="expression" dxfId="3545" priority="122">
      <formula>U$9&gt;=20/24</formula>
    </cfRule>
    <cfRule type="expression" dxfId="3544" priority="125">
      <formula>U$9&lt;8/24</formula>
    </cfRule>
    <cfRule type="expression" dxfId="3543" priority="124">
      <formula>AND(U$9&gt;=8/24,U$9&lt;14/24)</formula>
    </cfRule>
  </conditionalFormatting>
  <conditionalFormatting sqref="S55:AF57 E56:R57 N55:R55">
    <cfRule type="expression" dxfId="3542" priority="46">
      <formula>E$9&gt;=20/24</formula>
    </cfRule>
  </conditionalFormatting>
  <conditionalFormatting sqref="T63:AF68">
    <cfRule type="expression" dxfId="3541" priority="71">
      <formula>T$9&gt;=20/24</formula>
    </cfRule>
    <cfRule type="expression" dxfId="3540" priority="72">
      <formula>AND(T$9&gt;=14/24,T$9&lt;20/24)</formula>
    </cfRule>
    <cfRule type="expression" dxfId="3539" priority="73">
      <formula>AND(T$9&gt;=8/24,T$9&lt;14/24)</formula>
    </cfRule>
    <cfRule type="expression" dxfId="3538" priority="74">
      <formula>T$9&lt;8/24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3537" priority="121">
      <formula>AD$9&lt;8/24</formula>
    </cfRule>
    <cfRule type="expression" dxfId="3536" priority="119">
      <formula>AND(AD$9&gt;=14/24,AD$9&lt;20/24)</formula>
    </cfRule>
    <cfRule type="expression" dxfId="3535" priority="120">
      <formula>AND(AD$9&gt;=8/24,AD$9&lt;14/24)</formula>
    </cfRule>
    <cfRule type="expression" dxfId="3534" priority="118">
      <formula>AD$9&gt;=20/24</formula>
    </cfRule>
  </conditionalFormatting>
  <conditionalFormatting sqref="AG58">
    <cfRule type="expression" dxfId="3533" priority="113">
      <formula>AG58&gt;$AG58</formula>
    </cfRule>
  </conditionalFormatting>
  <conditionalFormatting sqref="AG62">
    <cfRule type="expression" dxfId="3532" priority="98">
      <formula>AND(AG$9&gt;=8/24,AG$9&lt;14/24)</formula>
    </cfRule>
    <cfRule type="expression" dxfId="3531" priority="99">
      <formula>AG$9&lt;8/24</formula>
    </cfRule>
    <cfRule type="expression" dxfId="3530" priority="96">
      <formula>AG$9&gt;=20/24</formula>
    </cfRule>
    <cfRule type="expression" dxfId="3529" priority="97">
      <formula>AND(AG$9&gt;=14/24,AG$9&lt;20/24)</formula>
    </cfRule>
  </conditionalFormatting>
  <conditionalFormatting sqref="AG75:AG76">
    <cfRule type="expression" dxfId="3528" priority="91">
      <formula>AG75&gt;$AG75</formula>
    </cfRule>
  </conditionalFormatting>
  <conditionalFormatting sqref="AG80">
    <cfRule type="expression" dxfId="3527" priority="94">
      <formula>AND(AG$9&gt;=8/24,AG$9&lt;14/24)</formula>
    </cfRule>
    <cfRule type="expression" dxfId="3526" priority="92">
      <formula>AG$9&gt;=20/24</formula>
    </cfRule>
    <cfRule type="expression" dxfId="3525" priority="93">
      <formula>AND(AG$9&gt;=14/24,AG$9&lt;20/24)</formula>
    </cfRule>
    <cfRule type="expression" dxfId="3524" priority="95">
      <formula>AG$9&lt;8/24</formula>
    </cfRule>
  </conditionalFormatting>
  <conditionalFormatting sqref="AG97">
    <cfRule type="expression" dxfId="3523" priority="117">
      <formula>AG$9&lt;8/24</formula>
    </cfRule>
    <cfRule type="expression" dxfId="3522" priority="116">
      <formula>AND(AG$9&gt;=8/24,AG$9&lt;14/24)</formula>
    </cfRule>
    <cfRule type="expression" dxfId="3521" priority="115">
      <formula>AND(AG$9&gt;=14/24,AG$9&lt;20/24)</formula>
    </cfRule>
    <cfRule type="expression" dxfId="3520" priority="114">
      <formula>AG$9&gt;=20/24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519" priority="139">
      <formula>AJ$9&gt;=20/24</formula>
    </cfRule>
    <cfRule type="expression" dxfId="3518" priority="140">
      <formula>AND(AJ$9&gt;=14/24,AJ$9&lt;20/24)</formula>
    </cfRule>
    <cfRule type="expression" dxfId="3517" priority="141">
      <formula>AND(AJ$9&gt;=8/24,AJ$9&lt;14/24)</formula>
    </cfRule>
    <cfRule type="expression" dxfId="3516" priority="142">
      <formula>AJ$9&lt;8/24</formula>
    </cfRule>
  </conditionalFormatting>
  <conditionalFormatting sqref="AL88:AN88 AL94:AN94">
    <cfRule type="expression" dxfId="3515" priority="107">
      <formula>AND(AL$9&gt;=14/24,AL$9&lt;20/24)</formula>
    </cfRule>
    <cfRule type="expression" dxfId="3514" priority="106">
      <formula>AL$9&gt;=20/24</formula>
    </cfRule>
    <cfRule type="expression" dxfId="3513" priority="108">
      <formula>AND(AL$9&gt;=8/24,AL$9&lt;14/24)</formula>
    </cfRule>
    <cfRule type="expression" dxfId="3512" priority="109">
      <formula>AL$9&lt;8/24</formula>
    </cfRule>
  </conditionalFormatting>
  <conditionalFormatting sqref="AM15:AM21 AN16:AR21">
    <cfRule type="expression" dxfId="3511" priority="16">
      <formula>AX$9&lt;8/24</formula>
    </cfRule>
    <cfRule type="expression" dxfId="3510" priority="15">
      <formula>AND(AX$9&gt;=8/24,AX$9&lt;14/24)</formula>
    </cfRule>
    <cfRule type="expression" dxfId="3509" priority="13">
      <formula>AX$9&gt;=20/24</formula>
    </cfRule>
    <cfRule type="expression" dxfId="3508" priority="14">
      <formula>AND(AX$9&gt;=14/24,AX$9&lt;20/24)</formula>
    </cfRule>
  </conditionalFormatting>
  <conditionalFormatting sqref="AN89:AN92">
    <cfRule type="expression" dxfId="3507" priority="102">
      <formula>AN$9&gt;=20/24</formula>
    </cfRule>
    <cfRule type="expression" dxfId="3506" priority="103">
      <formula>AND(AN$9&gt;=14/24,AN$9&lt;20/24)</formula>
    </cfRule>
    <cfRule type="expression" dxfId="3505" priority="104">
      <formula>AND(AN$9&gt;=8/24,AN$9&lt;14/24)</formula>
    </cfRule>
    <cfRule type="expression" dxfId="3504" priority="105">
      <formula>AN$9&lt;8/24</formula>
    </cfRule>
  </conditionalFormatting>
  <conditionalFormatting sqref="AN15:AR15">
    <cfRule type="expression" dxfId="3503" priority="2">
      <formula>AND(U$9&gt;=14/24,U$9&lt;20/24)</formula>
    </cfRule>
    <cfRule type="expression" dxfId="3502" priority="3">
      <formula>AND(U$9&gt;=8/24,U$9&lt;14/24)</formula>
    </cfRule>
    <cfRule type="expression" dxfId="3501" priority="4">
      <formula>U$9&lt;8/24</formula>
    </cfRule>
    <cfRule type="expression" dxfId="3500" priority="1">
      <formula>U$9&gt;=20/24</formula>
    </cfRule>
  </conditionalFormatting>
  <conditionalFormatting sqref="AS15">
    <cfRule type="expression" dxfId="3499" priority="10">
      <formula>AND(AA$9&gt;=14/24,AA$9&lt;20/24)</formula>
    </cfRule>
    <cfRule type="expression" dxfId="3498" priority="11">
      <formula>AND(AA$9&gt;=8/24,AA$9&lt;14/24)</formula>
    </cfRule>
    <cfRule type="expression" dxfId="3497" priority="12">
      <formula>AA$9&lt;8/24</formula>
    </cfRule>
    <cfRule type="expression" dxfId="3496" priority="9">
      <formula>AA$9&gt;=20/24</formula>
    </cfRule>
  </conditionalFormatting>
  <conditionalFormatting sqref="AS16:AS21">
    <cfRule type="expression" dxfId="3495" priority="20">
      <formula>BE$9&lt;8/24</formula>
    </cfRule>
    <cfRule type="expression" dxfId="3494" priority="19">
      <formula>AND(BE$9&gt;=8/24,BE$9&lt;14/24)</formula>
    </cfRule>
    <cfRule type="expression" dxfId="3493" priority="18">
      <formula>AND(BE$9&gt;=14/24,BE$9&lt;20/24)</formula>
    </cfRule>
    <cfRule type="expression" dxfId="3492" priority="17">
      <formula>BE$9&gt;=20/24</formula>
    </cfRule>
  </conditionalFormatting>
  <conditionalFormatting sqref="AT15 AX15:BJ15">
    <cfRule type="expression" dxfId="3491" priority="21">
      <formula>AC$9&gt;=20/24</formula>
    </cfRule>
    <cfRule type="expression" dxfId="3490" priority="24">
      <formula>AC$9&lt;8/24</formula>
    </cfRule>
    <cfRule type="expression" dxfId="3489" priority="23">
      <formula>AND(AC$9&gt;=8/24,AC$9&lt;14/24)</formula>
    </cfRule>
    <cfRule type="expression" dxfId="3488" priority="22">
      <formula>AND(AC$9&gt;=14/24,AC$9&lt;20/24)</formula>
    </cfRule>
  </conditionalFormatting>
  <conditionalFormatting sqref="AT16:AT21">
    <cfRule type="expression" dxfId="3487" priority="28">
      <formula>BG$9&lt;8/24</formula>
    </cfRule>
    <cfRule type="expression" dxfId="3486" priority="27">
      <formula>AND(BG$9&gt;=8/24,BG$9&lt;14/24)</formula>
    </cfRule>
    <cfRule type="expression" dxfId="3485" priority="26">
      <formula>AND(BG$9&gt;=14/24,BG$9&lt;20/24)</formula>
    </cfRule>
    <cfRule type="expression" dxfId="3484" priority="25">
      <formula>BG$9&gt;=20/24</formula>
    </cfRule>
  </conditionalFormatting>
  <conditionalFormatting sqref="AU15:AV15">
    <cfRule type="expression" dxfId="3483" priority="32">
      <formula>AE$9&lt;8/24</formula>
    </cfRule>
    <cfRule type="expression" dxfId="3482" priority="30">
      <formula>AND(AE$9&gt;=14/24,AE$9&lt;20/24)</formula>
    </cfRule>
    <cfRule type="expression" dxfId="3481" priority="29">
      <formula>AE$9&gt;=20/24</formula>
    </cfRule>
    <cfRule type="expression" dxfId="3480" priority="31">
      <formula>AND(AE$9&gt;=8/24,AE$9&lt;14/24)</formula>
    </cfRule>
  </conditionalFormatting>
  <conditionalFormatting sqref="AU16:BJ21">
    <cfRule type="expression" dxfId="3479" priority="34">
      <formula>AND(BI$9&gt;=14/24,BI$9&lt;20/24)</formula>
    </cfRule>
    <cfRule type="expression" dxfId="3478" priority="33">
      <formula>BI$9&gt;=20/24</formula>
    </cfRule>
    <cfRule type="expression" dxfId="3477" priority="36">
      <formula>BI$9&lt;8/24</formula>
    </cfRule>
    <cfRule type="expression" dxfId="3476" priority="35">
      <formula>AND(BI$9&gt;=8/24,BI$9&lt;14/24)</formula>
    </cfRule>
  </conditionalFormatting>
  <conditionalFormatting sqref="AW15">
    <cfRule type="expression" dxfId="3475" priority="5">
      <formula>B$9&gt;=20/24</formula>
    </cfRule>
    <cfRule type="expression" dxfId="3474" priority="8">
      <formula>B$9&lt;8/24</formula>
    </cfRule>
    <cfRule type="expression" dxfId="3473" priority="7">
      <formula>AND(B$9&gt;=8/24,B$9&lt;14/24)</formula>
    </cfRule>
    <cfRule type="expression" dxfId="3472" priority="6">
      <formula>AND(B$9&gt;=14/24,B$9&lt;20/24)</formula>
    </cfRule>
  </conditionalFormatting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75AB3-73DA-4B11-BE0C-5BB5F869C642}">
  <dimension ref="A1:CJ294"/>
  <sheetViews>
    <sheetView zoomScale="110" zoomScaleNormal="110" workbookViewId="0">
      <pane xSplit="1" ySplit="10" topLeftCell="F76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97" sqref="A97:AF10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20.25" hidden="1" x14ac:dyDescent="0.2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9.5" hidden="1" thickBot="1" x14ac:dyDescent="0.3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3">
      <c r="A4" s="162" t="s">
        <v>273</v>
      </c>
      <c r="B4" s="205" t="str">
        <f ca="1">"2080/"&amp;"10/"&amp;INT(MID(CELL("filename",D6),FIND("]",CELL("filename",D6))+1,200))</f>
        <v>2080/10/7</v>
      </c>
      <c r="C4" s="205"/>
      <c r="D4" s="205"/>
      <c r="E4" s="206" t="str">
        <f ca="1">"2080/"&amp;"10/"&amp;INT(MID(CELL("filename",G6),FIND("]",CELL("filename",G6))+1,200))</f>
        <v>2080/10/7</v>
      </c>
      <c r="F4" s="206"/>
      <c r="G4" s="206"/>
      <c r="H4" s="206" t="str">
        <f ca="1">TEXT(E4,"dddd")</f>
        <v>Monday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3">
      <c r="A5" s="158"/>
      <c r="B5" s="161">
        <f t="shared" ref="B5:AE5" si="0">C92</f>
        <v>69.099999999999994</v>
      </c>
      <c r="C5" s="161">
        <f t="shared" si="0"/>
        <v>69.5</v>
      </c>
      <c r="D5" s="161">
        <f t="shared" si="0"/>
        <v>55.4</v>
      </c>
      <c r="E5" s="161">
        <f t="shared" si="0"/>
        <v>58.800000000000004</v>
      </c>
      <c r="F5" s="161">
        <f t="shared" si="0"/>
        <v>55.1</v>
      </c>
      <c r="G5" s="161">
        <f t="shared" si="0"/>
        <v>55.5</v>
      </c>
      <c r="H5" s="161">
        <f t="shared" si="0"/>
        <v>67</v>
      </c>
      <c r="I5" s="161">
        <f t="shared" si="0"/>
        <v>537.4</v>
      </c>
      <c r="J5" s="161">
        <f t="shared" si="0"/>
        <v>615.30000000000007</v>
      </c>
      <c r="K5" s="161">
        <f t="shared" si="0"/>
        <v>751.69999999999993</v>
      </c>
      <c r="L5" s="161">
        <f t="shared" si="0"/>
        <v>767</v>
      </c>
      <c r="M5" s="161">
        <f t="shared" si="0"/>
        <v>804.79999999999984</v>
      </c>
      <c r="N5" s="161">
        <f t="shared" si="0"/>
        <v>862.4</v>
      </c>
      <c r="O5" s="161">
        <f t="shared" si="0"/>
        <v>835.80000000000007</v>
      </c>
      <c r="P5" s="161">
        <f t="shared" si="0"/>
        <v>864.7</v>
      </c>
      <c r="Q5" s="161">
        <f t="shared" si="0"/>
        <v>855.69999999999993</v>
      </c>
      <c r="R5" s="161">
        <f t="shared" si="0"/>
        <v>803.1</v>
      </c>
      <c r="S5" s="161">
        <f t="shared" si="0"/>
        <v>703.7</v>
      </c>
      <c r="T5" s="161">
        <f t="shared" si="0"/>
        <v>750.9</v>
      </c>
      <c r="U5" s="161">
        <f t="shared" si="0"/>
        <v>704.1</v>
      </c>
      <c r="V5" s="161">
        <f t="shared" si="0"/>
        <v>689.9</v>
      </c>
      <c r="W5" s="161">
        <f t="shared" si="0"/>
        <v>605.40000000000009</v>
      </c>
      <c r="X5" s="161">
        <f t="shared" si="0"/>
        <v>45.8</v>
      </c>
      <c r="Y5" s="161">
        <f t="shared" si="0"/>
        <v>43</v>
      </c>
      <c r="Z5" s="161">
        <f t="shared" si="0"/>
        <v>10.6</v>
      </c>
      <c r="AA5" s="161">
        <f t="shared" si="0"/>
        <v>14.9</v>
      </c>
      <c r="AB5" s="161">
        <f t="shared" si="0"/>
        <v>15.6</v>
      </c>
      <c r="AC5" s="161">
        <f t="shared" si="0"/>
        <v>13.7</v>
      </c>
      <c r="AD5" s="161">
        <f t="shared" si="0"/>
        <v>8.6</v>
      </c>
      <c r="AE5" s="161">
        <f t="shared" si="0"/>
        <v>40.6</v>
      </c>
      <c r="AF5" s="161">
        <f>B92</f>
        <v>62.699999999999996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3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1641MW at 9:00hr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5" thickBot="1" x14ac:dyDescent="0.3">
      <c r="A7" s="151" t="str">
        <f>"Base Load="&amp;ROUND(MIN($B$7:$AF$7),0)</f>
        <v>Base Load=1342</v>
      </c>
      <c r="B7" s="150">
        <f t="shared" ref="B7:AF7" si="1">B100</f>
        <v>1470.14</v>
      </c>
      <c r="C7" s="150">
        <f t="shared" si="1"/>
        <v>1403.4399999999998</v>
      </c>
      <c r="D7" s="150">
        <f t="shared" si="1"/>
        <v>1368.5399999999997</v>
      </c>
      <c r="E7" s="150">
        <f t="shared" si="1"/>
        <v>1363.74</v>
      </c>
      <c r="F7" s="150">
        <f t="shared" si="1"/>
        <v>1342.24</v>
      </c>
      <c r="G7" s="150">
        <f t="shared" si="1"/>
        <v>1384.6399999999999</v>
      </c>
      <c r="H7" s="150">
        <f t="shared" si="1"/>
        <v>1428.1399999999999</v>
      </c>
      <c r="I7" s="150">
        <f t="shared" si="1"/>
        <v>1478.9399999999998</v>
      </c>
      <c r="J7" s="150">
        <f t="shared" si="1"/>
        <v>1531.8399999999997</v>
      </c>
      <c r="K7" s="150">
        <f t="shared" si="1"/>
        <v>1565.94</v>
      </c>
      <c r="L7" s="150">
        <f t="shared" si="1"/>
        <v>1603.44</v>
      </c>
      <c r="M7" s="150">
        <f t="shared" si="1"/>
        <v>1626.29</v>
      </c>
      <c r="N7" s="150">
        <f t="shared" si="1"/>
        <v>1640.6399999999999</v>
      </c>
      <c r="O7" s="150">
        <f t="shared" si="1"/>
        <v>1720.04</v>
      </c>
      <c r="P7" s="150">
        <f t="shared" si="1"/>
        <v>1726.44</v>
      </c>
      <c r="Q7" s="150">
        <f t="shared" si="1"/>
        <v>1720.6399999999999</v>
      </c>
      <c r="R7" s="150">
        <f t="shared" si="1"/>
        <v>1696.4399999999996</v>
      </c>
      <c r="S7" s="150">
        <f t="shared" si="1"/>
        <v>1621.1399999999999</v>
      </c>
      <c r="T7" s="150">
        <f t="shared" si="1"/>
        <v>1549.2399999999998</v>
      </c>
      <c r="U7" s="150">
        <f t="shared" si="1"/>
        <v>1594.9399999999998</v>
      </c>
      <c r="V7" s="150">
        <f t="shared" si="1"/>
        <v>1545.1399999999999</v>
      </c>
      <c r="W7" s="150">
        <f t="shared" si="1"/>
        <v>1470.4399999999998</v>
      </c>
      <c r="X7" s="150">
        <f t="shared" si="1"/>
        <v>1539.44</v>
      </c>
      <c r="Y7" s="150">
        <f t="shared" si="1"/>
        <v>1615.3999999999999</v>
      </c>
      <c r="Z7" s="150">
        <f t="shared" si="1"/>
        <v>1797.2</v>
      </c>
      <c r="AA7" s="150">
        <f t="shared" si="1"/>
        <v>1764.84</v>
      </c>
      <c r="AB7" s="150">
        <f t="shared" si="1"/>
        <v>1730.8400000000001</v>
      </c>
      <c r="AC7" s="150">
        <f t="shared" si="1"/>
        <v>1713.2399999999998</v>
      </c>
      <c r="AD7" s="150">
        <f t="shared" si="1"/>
        <v>1674.5400000000002</v>
      </c>
      <c r="AE7" s="150">
        <f t="shared" si="1"/>
        <v>1594.8399999999997</v>
      </c>
      <c r="AF7" s="150">
        <f t="shared" si="1"/>
        <v>1541.8399999999997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7.25" thickTop="1" thickBot="1" x14ac:dyDescent="0.3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1797.2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2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1797.2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.75" thickBot="1" x14ac:dyDescent="0.3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25">
      <c r="A11" s="89" t="s">
        <v>264</v>
      </c>
      <c r="B11" s="102">
        <v>24.8</v>
      </c>
      <c r="C11" s="102">
        <v>24.8</v>
      </c>
      <c r="D11" s="102">
        <v>24.8</v>
      </c>
      <c r="E11" s="102">
        <v>24.8</v>
      </c>
      <c r="F11" s="102">
        <v>24.8</v>
      </c>
      <c r="G11" s="102">
        <v>24.8</v>
      </c>
      <c r="H11" s="102">
        <v>24.8</v>
      </c>
      <c r="I11" s="102">
        <v>24.8</v>
      </c>
      <c r="J11" s="102">
        <v>24.8</v>
      </c>
      <c r="K11" s="102">
        <v>24.8</v>
      </c>
      <c r="L11" s="102">
        <v>24.8</v>
      </c>
      <c r="M11" s="102">
        <v>24.8</v>
      </c>
      <c r="N11" s="102">
        <v>24.8</v>
      </c>
      <c r="O11" s="102">
        <v>24.8</v>
      </c>
      <c r="P11" s="102">
        <v>24.9</v>
      </c>
      <c r="Q11" s="102">
        <v>21.9</v>
      </c>
      <c r="R11" s="102">
        <v>21.9</v>
      </c>
      <c r="S11" s="102">
        <v>21.9</v>
      </c>
      <c r="T11" s="102">
        <v>21.9</v>
      </c>
      <c r="U11" s="102">
        <v>21.9</v>
      </c>
      <c r="V11" s="102">
        <v>21.9</v>
      </c>
      <c r="W11" s="102">
        <v>21.9</v>
      </c>
      <c r="X11" s="102">
        <v>21.9</v>
      </c>
      <c r="Y11" s="102">
        <v>21.9</v>
      </c>
      <c r="Z11" s="102">
        <v>24.9</v>
      </c>
      <c r="AA11" s="102">
        <v>24.9</v>
      </c>
      <c r="AB11" s="102">
        <v>24.5</v>
      </c>
      <c r="AC11" s="102">
        <v>23.8</v>
      </c>
      <c r="AD11" s="102">
        <v>27.6</v>
      </c>
      <c r="AE11" s="102">
        <v>24.1</v>
      </c>
      <c r="AF11" s="102">
        <v>24.7</v>
      </c>
      <c r="AG11" s="140">
        <v>86</v>
      </c>
      <c r="AH11" s="12">
        <f t="shared" ref="AH11:AH16" si="2">MAX(B11:AF11)</f>
        <v>27.6</v>
      </c>
      <c r="AI11" s="11">
        <f t="shared" ref="AI11:AI16" si="3">MIN(B11:AF11)</f>
        <v>21.9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25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>
        <v>11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>
        <v>11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07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25">
      <c r="A13" s="89" t="s">
        <v>262</v>
      </c>
      <c r="B13" s="102">
        <v>14</v>
      </c>
      <c r="C13" s="102">
        <v>14</v>
      </c>
      <c r="D13" s="102">
        <v>14</v>
      </c>
      <c r="E13" s="102">
        <v>14</v>
      </c>
      <c r="F13" s="102">
        <v>14</v>
      </c>
      <c r="G13" s="102">
        <v>14</v>
      </c>
      <c r="H13" s="102">
        <v>14</v>
      </c>
      <c r="I13" s="102">
        <v>14</v>
      </c>
      <c r="J13" s="102">
        <v>14</v>
      </c>
      <c r="K13" s="102">
        <v>14</v>
      </c>
      <c r="L13" s="102">
        <v>14</v>
      </c>
      <c r="M13" s="102">
        <v>14</v>
      </c>
      <c r="N13" s="102">
        <v>14</v>
      </c>
      <c r="O13" s="102">
        <v>14</v>
      </c>
      <c r="P13" s="102">
        <v>13.6</v>
      </c>
      <c r="Q13" s="102">
        <v>13.5</v>
      </c>
      <c r="R13" s="102">
        <v>13.5</v>
      </c>
      <c r="S13" s="102">
        <v>13.5</v>
      </c>
      <c r="T13" s="102">
        <v>13.5</v>
      </c>
      <c r="U13" s="102">
        <v>13.5</v>
      </c>
      <c r="V13" s="102">
        <v>13.5</v>
      </c>
      <c r="W13" s="102">
        <v>13.5</v>
      </c>
      <c r="X13" s="102">
        <v>13.5</v>
      </c>
      <c r="Y13" s="102">
        <v>13.5</v>
      </c>
      <c r="Z13" s="102">
        <v>24</v>
      </c>
      <c r="AA13" s="102">
        <v>24</v>
      </c>
      <c r="AB13" s="102">
        <v>25</v>
      </c>
      <c r="AC13" s="102">
        <v>25</v>
      </c>
      <c r="AD13" s="102">
        <v>25</v>
      </c>
      <c r="AE13" s="102">
        <v>25</v>
      </c>
      <c r="AF13" s="102">
        <v>22.4</v>
      </c>
      <c r="AG13" s="130">
        <v>54</v>
      </c>
      <c r="AH13" s="12">
        <f t="shared" si="2"/>
        <v>25</v>
      </c>
      <c r="AI13" s="11">
        <f t="shared" si="3"/>
        <v>13.5</v>
      </c>
      <c r="AK13" s="19"/>
      <c r="AL13" s="6" t="str">
        <f ca="1">"Daily Load Curve(Excluding of Export) of Nepal ("&amp;A4&amp;" "&amp;B4&amp;")"</f>
        <v>Daily Load Curve(Excluding of Export) of Nepal (Nepali Date: 2080/10/7)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.75" thickBot="1" x14ac:dyDescent="0.3">
      <c r="A14" s="89" t="s">
        <v>261</v>
      </c>
      <c r="B14" s="102">
        <v>13.2</v>
      </c>
      <c r="C14" s="102">
        <v>13.2</v>
      </c>
      <c r="D14" s="102">
        <v>13.2</v>
      </c>
      <c r="E14" s="102">
        <v>13.2</v>
      </c>
      <c r="F14" s="102">
        <v>13.2</v>
      </c>
      <c r="G14" s="102">
        <v>13.2</v>
      </c>
      <c r="H14" s="102">
        <v>13.2</v>
      </c>
      <c r="I14" s="102">
        <v>13.2</v>
      </c>
      <c r="J14" s="102">
        <v>13.2</v>
      </c>
      <c r="K14" s="102">
        <v>13.2</v>
      </c>
      <c r="L14" s="102">
        <v>13.2</v>
      </c>
      <c r="M14" s="102">
        <v>13.2</v>
      </c>
      <c r="N14" s="102">
        <v>13.2</v>
      </c>
      <c r="O14" s="102">
        <v>13.2</v>
      </c>
      <c r="P14" s="102">
        <v>14.4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14.4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.75" thickTop="1" x14ac:dyDescent="0.25">
      <c r="A15" s="89" t="s">
        <v>260</v>
      </c>
      <c r="B15" s="102">
        <v>49.6</v>
      </c>
      <c r="C15" s="102">
        <v>49.6</v>
      </c>
      <c r="D15" s="102">
        <v>49.6</v>
      </c>
      <c r="E15" s="102">
        <v>49.6</v>
      </c>
      <c r="F15" s="102">
        <v>49.6</v>
      </c>
      <c r="G15" s="102">
        <v>49.6</v>
      </c>
      <c r="H15" s="102">
        <v>49.6</v>
      </c>
      <c r="I15" s="102">
        <v>49.6</v>
      </c>
      <c r="J15" s="102">
        <v>49.6</v>
      </c>
      <c r="K15" s="102">
        <v>49.6</v>
      </c>
      <c r="L15" s="102">
        <v>49.6</v>
      </c>
      <c r="M15" s="102">
        <v>49.6</v>
      </c>
      <c r="N15" s="102">
        <v>49.6</v>
      </c>
      <c r="O15" s="102">
        <v>49.6</v>
      </c>
      <c r="P15" s="102">
        <v>50.2</v>
      </c>
      <c r="Q15" s="102">
        <v>49.8</v>
      </c>
      <c r="R15" s="102">
        <v>49.8</v>
      </c>
      <c r="S15" s="102">
        <v>49.8</v>
      </c>
      <c r="T15" s="102">
        <v>49.8</v>
      </c>
      <c r="U15" s="102">
        <v>49.8</v>
      </c>
      <c r="V15" s="102">
        <v>49.8</v>
      </c>
      <c r="W15" s="102">
        <v>49.8</v>
      </c>
      <c r="X15" s="102">
        <v>49.8</v>
      </c>
      <c r="Y15" s="102">
        <v>49.8</v>
      </c>
      <c r="Z15" s="123">
        <v>43.4</v>
      </c>
      <c r="AA15" s="123">
        <v>43.4</v>
      </c>
      <c r="AB15" s="123">
        <v>50</v>
      </c>
      <c r="AC15" s="123">
        <v>50</v>
      </c>
      <c r="AD15" s="123">
        <v>50</v>
      </c>
      <c r="AE15" s="123">
        <v>50.4</v>
      </c>
      <c r="AF15" s="123">
        <v>50.6</v>
      </c>
      <c r="AG15" s="130">
        <v>50</v>
      </c>
      <c r="AH15" s="12">
        <f t="shared" si="2"/>
        <v>50.6</v>
      </c>
      <c r="AI15" s="11">
        <f t="shared" si="3"/>
        <v>43.4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25">
      <c r="A16" s="89" t="s">
        <v>258</v>
      </c>
      <c r="B16" s="102">
        <v>15.1</v>
      </c>
      <c r="C16" s="102">
        <v>15.1</v>
      </c>
      <c r="D16" s="102">
        <v>15.1</v>
      </c>
      <c r="E16" s="102">
        <v>15.1</v>
      </c>
      <c r="F16" s="102">
        <v>15.1</v>
      </c>
      <c r="G16" s="102">
        <v>15.1</v>
      </c>
      <c r="H16" s="102">
        <v>15.1</v>
      </c>
      <c r="I16" s="102">
        <v>15.1</v>
      </c>
      <c r="J16" s="102">
        <v>15.1</v>
      </c>
      <c r="K16" s="102">
        <v>15.1</v>
      </c>
      <c r="L16" s="102">
        <v>15.1</v>
      </c>
      <c r="M16" s="102">
        <v>15.1</v>
      </c>
      <c r="N16" s="102">
        <v>15.1</v>
      </c>
      <c r="O16" s="102">
        <v>15.1</v>
      </c>
      <c r="P16" s="102">
        <v>15.1</v>
      </c>
      <c r="Q16" s="102">
        <v>15.1</v>
      </c>
      <c r="R16" s="102">
        <v>15.1</v>
      </c>
      <c r="S16" s="102">
        <v>15.1</v>
      </c>
      <c r="T16" s="102">
        <v>15.1</v>
      </c>
      <c r="U16" s="102">
        <v>15.1</v>
      </c>
      <c r="V16" s="102">
        <v>15.1</v>
      </c>
      <c r="W16" s="102">
        <v>15.1</v>
      </c>
      <c r="X16" s="102">
        <v>15.1</v>
      </c>
      <c r="Y16" s="102">
        <v>15.1</v>
      </c>
      <c r="Z16" s="102">
        <v>15.1</v>
      </c>
      <c r="AA16" s="102">
        <v>15.1</v>
      </c>
      <c r="AB16" s="102">
        <v>15.1</v>
      </c>
      <c r="AC16" s="102">
        <v>15.1</v>
      </c>
      <c r="AD16" s="102">
        <v>15.1</v>
      </c>
      <c r="AE16" s="102">
        <v>15.1</v>
      </c>
      <c r="AF16" s="102">
        <v>15.1</v>
      </c>
      <c r="AG16" s="130">
        <v>45</v>
      </c>
      <c r="AH16" s="12">
        <f t="shared" si="2"/>
        <v>15.1</v>
      </c>
      <c r="AI16" s="11">
        <f t="shared" si="3"/>
        <v>15.1</v>
      </c>
      <c r="AK16" s="19"/>
      <c r="AL16" s="135" t="s">
        <v>7</v>
      </c>
      <c r="AM16" s="134">
        <f t="shared" ref="AM16:AR16" si="4">B58</f>
        <v>543.09999999999991</v>
      </c>
      <c r="AN16" s="134">
        <f t="shared" si="4"/>
        <v>543.09999999999991</v>
      </c>
      <c r="AO16" s="134">
        <f t="shared" si="4"/>
        <v>543.09999999999991</v>
      </c>
      <c r="AP16" s="134">
        <f t="shared" si="4"/>
        <v>543.09999999999991</v>
      </c>
      <c r="AQ16" s="134">
        <f t="shared" si="4"/>
        <v>543.09999999999991</v>
      </c>
      <c r="AR16" s="134">
        <f t="shared" si="4"/>
        <v>543.09999999999991</v>
      </c>
      <c r="AS16" s="134">
        <f>I58</f>
        <v>543.09999999999991</v>
      </c>
      <c r="AT16" s="134">
        <f>K58</f>
        <v>543.09999999999991</v>
      </c>
      <c r="AU16" s="134">
        <f t="shared" ref="AU16:BD16" si="5">M58</f>
        <v>539.69999999999993</v>
      </c>
      <c r="AV16" s="134">
        <f t="shared" si="5"/>
        <v>539.19999999999993</v>
      </c>
      <c r="AW16" s="134">
        <f t="shared" si="5"/>
        <v>539.19999999999993</v>
      </c>
      <c r="AX16" s="134">
        <f t="shared" si="5"/>
        <v>538.5</v>
      </c>
      <c r="AY16" s="134">
        <f t="shared" si="5"/>
        <v>504.59999999999991</v>
      </c>
      <c r="AZ16" s="134">
        <f t="shared" si="5"/>
        <v>504.59999999999991</v>
      </c>
      <c r="BA16" s="134">
        <f t="shared" si="5"/>
        <v>498.99999999999989</v>
      </c>
      <c r="BB16" s="134">
        <f t="shared" si="5"/>
        <v>504.59999999999991</v>
      </c>
      <c r="BC16" s="134">
        <f t="shared" si="5"/>
        <v>504.59999999999991</v>
      </c>
      <c r="BD16" s="134">
        <f t="shared" si="5"/>
        <v>504.59999999999991</v>
      </c>
      <c r="BE16" s="133">
        <f>X58</f>
        <v>504.59999999999991</v>
      </c>
      <c r="BF16" s="133">
        <f>Z58</f>
        <v>532.09999999999991</v>
      </c>
      <c r="BG16" s="133">
        <f>AB58</f>
        <v>550.5</v>
      </c>
      <c r="BH16" s="133">
        <f>AD58</f>
        <v>553.70000000000005</v>
      </c>
      <c r="BI16" s="133">
        <f>AE58</f>
        <v>552.59999999999991</v>
      </c>
      <c r="BJ16" s="133">
        <f>AF58</f>
        <v>551.89999999999986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25">
      <c r="A17" s="89" t="s">
        <v>257</v>
      </c>
      <c r="B17" s="102">
        <v>21</v>
      </c>
      <c r="C17" s="102">
        <v>21</v>
      </c>
      <c r="D17" s="102">
        <v>21</v>
      </c>
      <c r="E17" s="102">
        <v>21</v>
      </c>
      <c r="F17" s="102">
        <v>21</v>
      </c>
      <c r="G17" s="102">
        <v>21</v>
      </c>
      <c r="H17" s="102">
        <v>21</v>
      </c>
      <c r="I17" s="102">
        <v>21</v>
      </c>
      <c r="J17" s="102">
        <v>21</v>
      </c>
      <c r="K17" s="102">
        <v>21</v>
      </c>
      <c r="L17" s="102">
        <v>21</v>
      </c>
      <c r="M17" s="102">
        <v>21</v>
      </c>
      <c r="N17" s="102">
        <v>21</v>
      </c>
      <c r="O17" s="102">
        <v>21</v>
      </c>
      <c r="P17" s="102">
        <v>21</v>
      </c>
      <c r="Q17" s="102">
        <v>21</v>
      </c>
      <c r="R17" s="102">
        <v>21</v>
      </c>
      <c r="S17" s="102">
        <v>21</v>
      </c>
      <c r="T17" s="102">
        <v>21</v>
      </c>
      <c r="U17" s="102">
        <v>21</v>
      </c>
      <c r="V17" s="102">
        <v>21</v>
      </c>
      <c r="W17" s="102">
        <v>21</v>
      </c>
      <c r="X17" s="102">
        <v>21</v>
      </c>
      <c r="Y17" s="102">
        <v>21</v>
      </c>
      <c r="Z17" s="102">
        <v>21</v>
      </c>
      <c r="AA17" s="102">
        <v>21</v>
      </c>
      <c r="AB17" s="102">
        <v>21</v>
      </c>
      <c r="AC17" s="102">
        <v>21</v>
      </c>
      <c r="AD17" s="102">
        <v>21</v>
      </c>
      <c r="AE17" s="102">
        <v>21</v>
      </c>
      <c r="AF17" s="102">
        <v>21</v>
      </c>
      <c r="AG17" s="130">
        <v>44</v>
      </c>
      <c r="AH17" s="12">
        <f>MAX(B17:AG17)</f>
        <v>44</v>
      </c>
      <c r="AI17" s="11">
        <f>MIN(B17:AG17)</f>
        <v>21</v>
      </c>
      <c r="AK17" s="19"/>
      <c r="AL17" s="135" t="s">
        <v>256</v>
      </c>
      <c r="AM17" s="134">
        <f t="shared" ref="AM17:AR17" si="6">B62</f>
        <v>191.6</v>
      </c>
      <c r="AN17" s="134">
        <f t="shared" si="6"/>
        <v>122.19999999999999</v>
      </c>
      <c r="AO17" s="134">
        <f t="shared" si="6"/>
        <v>91.9</v>
      </c>
      <c r="AP17" s="134">
        <f t="shared" si="6"/>
        <v>134.9</v>
      </c>
      <c r="AQ17" s="134">
        <f t="shared" si="6"/>
        <v>121.7</v>
      </c>
      <c r="AR17" s="134">
        <f t="shared" si="6"/>
        <v>202.60000000000002</v>
      </c>
      <c r="AS17" s="134">
        <f>I62</f>
        <v>348.3</v>
      </c>
      <c r="AT17" s="134">
        <f>K62</f>
        <v>41.1</v>
      </c>
      <c r="AU17" s="134">
        <f t="shared" ref="AU17:BD17" si="7">M62</f>
        <v>42.150000000000006</v>
      </c>
      <c r="AV17" s="134">
        <f t="shared" si="7"/>
        <v>42.3</v>
      </c>
      <c r="AW17" s="134">
        <f t="shared" si="7"/>
        <v>42.3</v>
      </c>
      <c r="AX17" s="134">
        <f t="shared" si="7"/>
        <v>42.400000000000006</v>
      </c>
      <c r="AY17" s="134">
        <f t="shared" si="7"/>
        <v>37.9</v>
      </c>
      <c r="AZ17" s="134">
        <f t="shared" si="7"/>
        <v>37.4</v>
      </c>
      <c r="BA17" s="134">
        <f t="shared" si="7"/>
        <v>37.4</v>
      </c>
      <c r="BB17" s="134">
        <f t="shared" si="7"/>
        <v>37.4</v>
      </c>
      <c r="BC17" s="134">
        <f t="shared" si="7"/>
        <v>37.4</v>
      </c>
      <c r="BD17" s="134">
        <f t="shared" si="7"/>
        <v>37.4</v>
      </c>
      <c r="BE17" s="133">
        <f>X62</f>
        <v>37.4</v>
      </c>
      <c r="BF17" s="133">
        <f>Z62</f>
        <v>494.5</v>
      </c>
      <c r="BG17" s="133">
        <f>AB62</f>
        <v>446.9</v>
      </c>
      <c r="BH17" s="133">
        <f>AD62</f>
        <v>383.4</v>
      </c>
      <c r="BI17" s="133">
        <f>AE62</f>
        <v>335.79999999999995</v>
      </c>
      <c r="BJ17" s="133">
        <f>AF62</f>
        <v>264.89999999999998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25">
      <c r="A18" s="89" t="s">
        <v>255</v>
      </c>
      <c r="B18" s="102">
        <v>11</v>
      </c>
      <c r="C18" s="102">
        <v>11</v>
      </c>
      <c r="D18" s="102">
        <v>11</v>
      </c>
      <c r="E18" s="102">
        <v>11</v>
      </c>
      <c r="F18" s="102">
        <v>11</v>
      </c>
      <c r="G18" s="102">
        <v>11</v>
      </c>
      <c r="H18" s="102">
        <v>11</v>
      </c>
      <c r="I18" s="102">
        <v>11</v>
      </c>
      <c r="J18" s="102">
        <v>11</v>
      </c>
      <c r="K18" s="102">
        <v>11</v>
      </c>
      <c r="L18" s="102">
        <v>11</v>
      </c>
      <c r="M18" s="102">
        <v>11</v>
      </c>
      <c r="N18" s="102">
        <v>11</v>
      </c>
      <c r="O18" s="102">
        <v>11</v>
      </c>
      <c r="P18" s="102">
        <v>10</v>
      </c>
      <c r="Q18" s="102">
        <v>9</v>
      </c>
      <c r="R18" s="102">
        <v>9</v>
      </c>
      <c r="S18" s="102">
        <v>9</v>
      </c>
      <c r="T18" s="102">
        <v>9</v>
      </c>
      <c r="U18" s="102">
        <v>9</v>
      </c>
      <c r="V18" s="102">
        <v>9</v>
      </c>
      <c r="W18" s="102">
        <v>9</v>
      </c>
      <c r="X18" s="102">
        <v>9</v>
      </c>
      <c r="Y18" s="102">
        <v>9</v>
      </c>
      <c r="Z18" s="102">
        <v>16.3</v>
      </c>
      <c r="AA18" s="102">
        <v>16.3</v>
      </c>
      <c r="AB18" s="102">
        <v>16.5</v>
      </c>
      <c r="AC18" s="102">
        <v>16.5</v>
      </c>
      <c r="AD18" s="102">
        <v>16.5</v>
      </c>
      <c r="AE18" s="102">
        <v>14.5</v>
      </c>
      <c r="AF18" s="102">
        <v>14</v>
      </c>
      <c r="AG18" s="130">
        <v>42</v>
      </c>
      <c r="AH18" s="12">
        <f t="shared" ref="AH18:AH81" si="8">MAX(B18:AF18)</f>
        <v>16.5</v>
      </c>
      <c r="AI18" s="11">
        <f t="shared" ref="AI18:AI81" si="9">MIN(B18:AF18)</f>
        <v>9</v>
      </c>
      <c r="AK18" s="19"/>
      <c r="AL18" s="135" t="s">
        <v>254</v>
      </c>
      <c r="AM18" s="134">
        <f t="shared" ref="AM18:AR18" si="10">B76</f>
        <v>310.44000000000005</v>
      </c>
      <c r="AN18" s="134">
        <f t="shared" si="10"/>
        <v>276.74000000000007</v>
      </c>
      <c r="AO18" s="134">
        <f t="shared" si="10"/>
        <v>271.73999999999995</v>
      </c>
      <c r="AP18" s="134">
        <f t="shared" si="10"/>
        <v>233.14</v>
      </c>
      <c r="AQ18" s="134">
        <f t="shared" si="10"/>
        <v>221.44</v>
      </c>
      <c r="AR18" s="134">
        <f t="shared" si="10"/>
        <v>232.64</v>
      </c>
      <c r="AS18" s="134">
        <f>I76</f>
        <v>239.64</v>
      </c>
      <c r="AT18" s="134">
        <f>K76</f>
        <v>304.14000000000004</v>
      </c>
      <c r="AU18" s="134">
        <f t="shared" ref="AU18:BD18" si="11">M76</f>
        <v>277.44000000000005</v>
      </c>
      <c r="AV18" s="134">
        <f t="shared" si="11"/>
        <v>254.34</v>
      </c>
      <c r="AW18" s="134">
        <f t="shared" si="11"/>
        <v>276.14000000000004</v>
      </c>
      <c r="AX18" s="134">
        <f t="shared" si="11"/>
        <v>294.04000000000002</v>
      </c>
      <c r="AY18" s="134">
        <f t="shared" si="11"/>
        <v>265.54000000000002</v>
      </c>
      <c r="AZ18" s="134">
        <f t="shared" si="11"/>
        <v>278.44</v>
      </c>
      <c r="BA18" s="134">
        <f t="shared" si="11"/>
        <v>245.54000000000002</v>
      </c>
      <c r="BB18" s="134">
        <f t="shared" si="11"/>
        <v>228.84</v>
      </c>
      <c r="BC18" s="134">
        <f t="shared" si="11"/>
        <v>222.34</v>
      </c>
      <c r="BD18" s="134">
        <f t="shared" si="11"/>
        <v>199.23999999999998</v>
      </c>
      <c r="BE18" s="133">
        <f>X76</f>
        <v>175.64</v>
      </c>
      <c r="BF18" s="133">
        <f>Z76</f>
        <v>379.7</v>
      </c>
      <c r="BG18" s="133">
        <f>AB76</f>
        <v>376.44</v>
      </c>
      <c r="BH18" s="133">
        <f>AD76</f>
        <v>377.94</v>
      </c>
      <c r="BI18" s="133">
        <f>AE76</f>
        <v>353.54</v>
      </c>
      <c r="BJ18" s="133">
        <f>AF76</f>
        <v>337.73999999999995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25">
      <c r="A19" s="89" t="s">
        <v>253</v>
      </c>
      <c r="B19" s="102">
        <v>19</v>
      </c>
      <c r="C19" s="102">
        <v>19</v>
      </c>
      <c r="D19" s="102">
        <v>19</v>
      </c>
      <c r="E19" s="102">
        <v>19</v>
      </c>
      <c r="F19" s="102">
        <v>19</v>
      </c>
      <c r="G19" s="102">
        <v>19</v>
      </c>
      <c r="H19" s="102">
        <v>19</v>
      </c>
      <c r="I19" s="102">
        <v>19</v>
      </c>
      <c r="J19" s="102">
        <v>19</v>
      </c>
      <c r="K19" s="102">
        <v>19</v>
      </c>
      <c r="L19" s="102">
        <v>19</v>
      </c>
      <c r="M19" s="102">
        <v>19</v>
      </c>
      <c r="N19" s="102">
        <v>19</v>
      </c>
      <c r="O19" s="102">
        <v>19</v>
      </c>
      <c r="P19" s="102">
        <v>18.8</v>
      </c>
      <c r="Q19" s="102">
        <v>18.600000000000001</v>
      </c>
      <c r="R19" s="102">
        <v>18.600000000000001</v>
      </c>
      <c r="S19" s="102">
        <v>18.600000000000001</v>
      </c>
      <c r="T19" s="102">
        <v>18.600000000000001</v>
      </c>
      <c r="U19" s="102">
        <v>18.600000000000001</v>
      </c>
      <c r="V19" s="102">
        <v>18.600000000000001</v>
      </c>
      <c r="W19" s="102">
        <v>18.600000000000001</v>
      </c>
      <c r="X19" s="102">
        <v>18.600000000000001</v>
      </c>
      <c r="Y19" s="102">
        <v>18.600000000000001</v>
      </c>
      <c r="Z19" s="102">
        <v>18.600000000000001</v>
      </c>
      <c r="AA19" s="102">
        <v>18.600000000000001</v>
      </c>
      <c r="AB19" s="102">
        <v>18.5</v>
      </c>
      <c r="AC19" s="102">
        <v>18.5</v>
      </c>
      <c r="AD19" s="102">
        <v>18.5</v>
      </c>
      <c r="AE19" s="102">
        <v>21.2</v>
      </c>
      <c r="AF19" s="102">
        <v>22.8</v>
      </c>
      <c r="AG19" s="130">
        <v>38.46</v>
      </c>
      <c r="AH19" s="12">
        <f t="shared" si="8"/>
        <v>22.8</v>
      </c>
      <c r="AI19" s="11">
        <f t="shared" si="9"/>
        <v>18.5</v>
      </c>
      <c r="AK19" s="19"/>
      <c r="AL19" s="135" t="s">
        <v>252</v>
      </c>
      <c r="AM19" s="134">
        <f t="shared" ref="AM19:AR19" si="12">B92</f>
        <v>62.699999999999996</v>
      </c>
      <c r="AN19" s="134">
        <f t="shared" si="12"/>
        <v>69.099999999999994</v>
      </c>
      <c r="AO19" s="134">
        <f t="shared" si="12"/>
        <v>69.5</v>
      </c>
      <c r="AP19" s="134">
        <f t="shared" si="12"/>
        <v>55.4</v>
      </c>
      <c r="AQ19" s="134">
        <f t="shared" si="12"/>
        <v>58.800000000000004</v>
      </c>
      <c r="AR19" s="134">
        <f t="shared" si="12"/>
        <v>55.1</v>
      </c>
      <c r="AS19" s="134">
        <f>I92</f>
        <v>67</v>
      </c>
      <c r="AT19" s="134">
        <f>K92</f>
        <v>615.30000000000007</v>
      </c>
      <c r="AU19" s="134">
        <f t="shared" ref="AU19:BD19" si="13">M92</f>
        <v>767</v>
      </c>
      <c r="AV19" s="134">
        <f t="shared" si="13"/>
        <v>804.79999999999984</v>
      </c>
      <c r="AW19" s="134">
        <f t="shared" si="13"/>
        <v>862.4</v>
      </c>
      <c r="AX19" s="134">
        <f t="shared" si="13"/>
        <v>835.80000000000007</v>
      </c>
      <c r="AY19" s="134">
        <f t="shared" si="13"/>
        <v>864.7</v>
      </c>
      <c r="AZ19" s="134">
        <f t="shared" si="13"/>
        <v>855.69999999999993</v>
      </c>
      <c r="BA19" s="134">
        <f t="shared" si="13"/>
        <v>803.1</v>
      </c>
      <c r="BB19" s="134">
        <f t="shared" si="13"/>
        <v>703.7</v>
      </c>
      <c r="BC19" s="134">
        <f t="shared" si="13"/>
        <v>750.9</v>
      </c>
      <c r="BD19" s="134">
        <f t="shared" si="13"/>
        <v>704.1</v>
      </c>
      <c r="BE19" s="133">
        <f>X92</f>
        <v>605.40000000000009</v>
      </c>
      <c r="BF19" s="133">
        <f>Z92</f>
        <v>43</v>
      </c>
      <c r="BG19" s="133">
        <f>AB92</f>
        <v>14.9</v>
      </c>
      <c r="BH19" s="133">
        <f>AD92</f>
        <v>13.7</v>
      </c>
      <c r="BI19" s="133">
        <f>AE92</f>
        <v>8.6</v>
      </c>
      <c r="BJ19" s="133">
        <f>AF92</f>
        <v>40.6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25">
      <c r="A20" s="89" t="s">
        <v>251</v>
      </c>
      <c r="B20" s="102">
        <v>9.6</v>
      </c>
      <c r="C20" s="102">
        <v>9.6</v>
      </c>
      <c r="D20" s="102">
        <v>9.6</v>
      </c>
      <c r="E20" s="102">
        <v>9.6</v>
      </c>
      <c r="F20" s="102">
        <v>9.6</v>
      </c>
      <c r="G20" s="102">
        <v>9.6</v>
      </c>
      <c r="H20" s="102">
        <v>9.6</v>
      </c>
      <c r="I20" s="102">
        <v>9.6</v>
      </c>
      <c r="J20" s="102">
        <v>9.6</v>
      </c>
      <c r="K20" s="102">
        <v>9.6</v>
      </c>
      <c r="L20" s="102">
        <v>9.6</v>
      </c>
      <c r="M20" s="102">
        <v>9.6</v>
      </c>
      <c r="N20" s="102">
        <v>9.6</v>
      </c>
      <c r="O20" s="102">
        <v>9.6</v>
      </c>
      <c r="P20" s="102">
        <v>9.6</v>
      </c>
      <c r="Q20" s="102">
        <v>9.6</v>
      </c>
      <c r="R20" s="102">
        <v>9.6</v>
      </c>
      <c r="S20" s="102">
        <v>9.6</v>
      </c>
      <c r="T20" s="102">
        <v>9.6</v>
      </c>
      <c r="U20" s="102">
        <v>9.6</v>
      </c>
      <c r="V20" s="102">
        <v>9.6</v>
      </c>
      <c r="W20" s="102">
        <v>9.6</v>
      </c>
      <c r="X20" s="102">
        <v>9.6</v>
      </c>
      <c r="Y20" s="102">
        <v>9.6</v>
      </c>
      <c r="Z20" s="102">
        <v>9.6</v>
      </c>
      <c r="AA20" s="102">
        <v>9.6</v>
      </c>
      <c r="AB20" s="102">
        <v>9.6</v>
      </c>
      <c r="AC20" s="102">
        <v>9.6</v>
      </c>
      <c r="AD20" s="102">
        <v>9.6</v>
      </c>
      <c r="AE20" s="102">
        <v>9.6</v>
      </c>
      <c r="AF20" s="102">
        <v>9.6</v>
      </c>
      <c r="AG20" s="130">
        <v>38.46</v>
      </c>
      <c r="AH20" s="12">
        <f t="shared" si="8"/>
        <v>9.6</v>
      </c>
      <c r="AI20" s="11">
        <f t="shared" si="9"/>
        <v>9.6</v>
      </c>
      <c r="AK20" s="19"/>
      <c r="AL20" s="135" t="s">
        <v>250</v>
      </c>
      <c r="AM20" s="134">
        <f t="shared" ref="AM20:AR20" si="14">B80</f>
        <v>92.3</v>
      </c>
      <c r="AN20" s="134">
        <f t="shared" si="14"/>
        <v>92.3</v>
      </c>
      <c r="AO20" s="134">
        <f t="shared" si="14"/>
        <v>92.3</v>
      </c>
      <c r="AP20" s="134">
        <f t="shared" si="14"/>
        <v>97.2</v>
      </c>
      <c r="AQ20" s="134">
        <f t="shared" si="14"/>
        <v>97.2</v>
      </c>
      <c r="AR20" s="134">
        <f t="shared" si="14"/>
        <v>71.2</v>
      </c>
      <c r="AS20" s="134">
        <f>I80</f>
        <v>60.9</v>
      </c>
      <c r="AT20" s="134">
        <f>K80</f>
        <v>32.300000000000004</v>
      </c>
      <c r="AU20" s="134">
        <f t="shared" ref="AU20:BD20" si="15">M80</f>
        <v>0</v>
      </c>
      <c r="AV20" s="134">
        <f t="shared" si="15"/>
        <v>0</v>
      </c>
      <c r="AW20" s="134">
        <f t="shared" si="15"/>
        <v>0</v>
      </c>
      <c r="AX20" s="134">
        <f t="shared" si="15"/>
        <v>15.7</v>
      </c>
      <c r="AY20" s="134">
        <f t="shared" si="15"/>
        <v>47.9</v>
      </c>
      <c r="AZ20" s="134">
        <f t="shared" si="15"/>
        <v>20.3</v>
      </c>
      <c r="BA20" s="134">
        <f t="shared" si="15"/>
        <v>36.099999999999994</v>
      </c>
      <c r="BB20" s="134">
        <f t="shared" si="15"/>
        <v>74.699999999999989</v>
      </c>
      <c r="BC20" s="134">
        <f t="shared" si="15"/>
        <v>79.699999999999989</v>
      </c>
      <c r="BD20" s="134">
        <f t="shared" si="15"/>
        <v>99.8</v>
      </c>
      <c r="BE20" s="133">
        <f>X80</f>
        <v>16.399999999999999</v>
      </c>
      <c r="BF20" s="133">
        <f>Z80</f>
        <v>97.899999999999991</v>
      </c>
      <c r="BG20" s="133">
        <f>AB80</f>
        <v>97.1</v>
      </c>
      <c r="BH20" s="133">
        <f>AD80</f>
        <v>95.8</v>
      </c>
      <c r="BI20" s="133">
        <f>AE80</f>
        <v>96.7</v>
      </c>
      <c r="BJ20" s="133">
        <f>AF80</f>
        <v>96.7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25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>
        <v>11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>
        <v>11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11</v>
      </c>
      <c r="AG21" s="130">
        <v>36</v>
      </c>
      <c r="AH21" s="12">
        <f t="shared" si="8"/>
        <v>11</v>
      </c>
      <c r="AI21" s="11">
        <f t="shared" si="9"/>
        <v>11</v>
      </c>
      <c r="AK21" s="19"/>
      <c r="AL21" s="135" t="s">
        <v>248</v>
      </c>
      <c r="AM21" s="134">
        <f t="shared" ref="AM21:AR21" si="16">B98</f>
        <v>270</v>
      </c>
      <c r="AN21" s="134">
        <f t="shared" si="16"/>
        <v>300</v>
      </c>
      <c r="AO21" s="134">
        <f t="shared" si="16"/>
        <v>300</v>
      </c>
      <c r="AP21" s="134">
        <f t="shared" si="16"/>
        <v>300</v>
      </c>
      <c r="AQ21" s="134">
        <f t="shared" si="16"/>
        <v>300</v>
      </c>
      <c r="AR21" s="134">
        <f t="shared" si="16"/>
        <v>280</v>
      </c>
      <c r="AS21" s="134">
        <f>I98</f>
        <v>220</v>
      </c>
      <c r="AT21" s="134">
        <f>K98</f>
        <v>30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200</v>
      </c>
      <c r="BF21" s="133">
        <f>Z98</f>
        <v>250</v>
      </c>
      <c r="BG21" s="133">
        <f>AB98</f>
        <v>250</v>
      </c>
      <c r="BH21" s="133">
        <f>AD98</f>
        <v>250</v>
      </c>
      <c r="BI21" s="133">
        <f>AE98</f>
        <v>250</v>
      </c>
      <c r="BJ21" s="133">
        <f>AF98</f>
        <v>250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25">
      <c r="A22" s="89" t="s">
        <v>247</v>
      </c>
      <c r="B22" s="102">
        <v>12.4</v>
      </c>
      <c r="C22" s="102">
        <v>12.4</v>
      </c>
      <c r="D22" s="102">
        <v>12.4</v>
      </c>
      <c r="E22" s="102">
        <v>12.4</v>
      </c>
      <c r="F22" s="102">
        <v>12.4</v>
      </c>
      <c r="G22" s="102">
        <v>12.4</v>
      </c>
      <c r="H22" s="102">
        <v>12.4</v>
      </c>
      <c r="I22" s="102">
        <v>12.4</v>
      </c>
      <c r="J22" s="102">
        <v>12.4</v>
      </c>
      <c r="K22" s="102">
        <v>12.4</v>
      </c>
      <c r="L22" s="102">
        <v>12.4</v>
      </c>
      <c r="M22" s="102">
        <v>11</v>
      </c>
      <c r="N22" s="102">
        <v>10.5</v>
      </c>
      <c r="O22" s="102">
        <v>10.5</v>
      </c>
      <c r="P22" s="102">
        <v>10.199999999999999</v>
      </c>
      <c r="Q22" s="102">
        <v>9.6</v>
      </c>
      <c r="R22" s="102">
        <v>9.6</v>
      </c>
      <c r="S22" s="102">
        <v>9.6</v>
      </c>
      <c r="T22" s="102">
        <v>9.6</v>
      </c>
      <c r="U22" s="102">
        <v>9.6</v>
      </c>
      <c r="V22" s="102">
        <v>9.6</v>
      </c>
      <c r="W22" s="102">
        <v>9.6</v>
      </c>
      <c r="X22" s="102">
        <v>9.6</v>
      </c>
      <c r="Y22" s="102">
        <v>9.6</v>
      </c>
      <c r="Z22" s="102">
        <v>15</v>
      </c>
      <c r="AA22" s="102">
        <v>15</v>
      </c>
      <c r="AB22" s="102">
        <v>15</v>
      </c>
      <c r="AC22" s="102">
        <v>15</v>
      </c>
      <c r="AD22" s="102">
        <v>15</v>
      </c>
      <c r="AE22" s="102">
        <v>16.5</v>
      </c>
      <c r="AF22" s="102">
        <v>16.5</v>
      </c>
      <c r="AG22" s="88">
        <v>30</v>
      </c>
      <c r="AH22" s="12">
        <f t="shared" si="8"/>
        <v>16.5</v>
      </c>
      <c r="AI22" s="11">
        <f t="shared" si="9"/>
        <v>9.6</v>
      </c>
      <c r="AK22" s="19"/>
      <c r="AL22" s="132" t="s">
        <v>246</v>
      </c>
      <c r="AM22" s="131">
        <f t="shared" ref="AM22:BJ22" si="18">SUM(AM16:AM21)</f>
        <v>1470.1399999999999</v>
      </c>
      <c r="AN22" s="131">
        <f t="shared" si="18"/>
        <v>1403.44</v>
      </c>
      <c r="AO22" s="131">
        <f t="shared" si="18"/>
        <v>1368.5399999999997</v>
      </c>
      <c r="AP22" s="131">
        <f t="shared" si="18"/>
        <v>1363.7399999999998</v>
      </c>
      <c r="AQ22" s="131">
        <f t="shared" si="18"/>
        <v>1342.24</v>
      </c>
      <c r="AR22" s="131">
        <f t="shared" si="18"/>
        <v>1384.6399999999999</v>
      </c>
      <c r="AS22" s="131">
        <f t="shared" si="18"/>
        <v>1478.94</v>
      </c>
      <c r="AT22" s="131">
        <f t="shared" si="18"/>
        <v>1565.9399999999998</v>
      </c>
      <c r="AU22" s="131">
        <f t="shared" si="18"/>
        <v>1626.29</v>
      </c>
      <c r="AV22" s="131">
        <f t="shared" si="18"/>
        <v>1640.6399999999999</v>
      </c>
      <c r="AW22" s="131">
        <f t="shared" si="18"/>
        <v>1720.04</v>
      </c>
      <c r="AX22" s="131">
        <f t="shared" si="18"/>
        <v>1726.4400000000003</v>
      </c>
      <c r="AY22" s="131">
        <f t="shared" si="18"/>
        <v>1720.64</v>
      </c>
      <c r="AZ22" s="131">
        <f t="shared" si="18"/>
        <v>1696.4399999999998</v>
      </c>
      <c r="BA22" s="131">
        <f t="shared" si="18"/>
        <v>1621.1399999999999</v>
      </c>
      <c r="BB22" s="131">
        <f t="shared" si="18"/>
        <v>1549.24</v>
      </c>
      <c r="BC22" s="131">
        <f t="shared" si="18"/>
        <v>1594.9399999999998</v>
      </c>
      <c r="BD22" s="131">
        <f t="shared" si="18"/>
        <v>1545.1399999999999</v>
      </c>
      <c r="BE22" s="131">
        <f t="shared" si="18"/>
        <v>1539.44</v>
      </c>
      <c r="BF22" s="131">
        <f t="shared" si="18"/>
        <v>1797.2</v>
      </c>
      <c r="BG22" s="131">
        <f t="shared" si="18"/>
        <v>1735.84</v>
      </c>
      <c r="BH22" s="131">
        <f t="shared" si="18"/>
        <v>1674.54</v>
      </c>
      <c r="BI22" s="131">
        <f t="shared" si="18"/>
        <v>1597.2399999999998</v>
      </c>
      <c r="BJ22" s="131">
        <f t="shared" si="18"/>
        <v>1541.8399999999997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25">
      <c r="A23" s="89" t="s">
        <v>245</v>
      </c>
      <c r="B23" s="102">
        <v>9.4</v>
      </c>
      <c r="C23" s="102">
        <v>9.4</v>
      </c>
      <c r="D23" s="102">
        <v>9.4</v>
      </c>
      <c r="E23" s="102">
        <v>9.4</v>
      </c>
      <c r="F23" s="102">
        <v>9.4</v>
      </c>
      <c r="G23" s="102">
        <v>9.4</v>
      </c>
      <c r="H23" s="102">
        <v>9.4</v>
      </c>
      <c r="I23" s="102">
        <v>9.4</v>
      </c>
      <c r="J23" s="102">
        <v>9.4</v>
      </c>
      <c r="K23" s="102">
        <v>9.4</v>
      </c>
      <c r="L23" s="102">
        <v>9.4</v>
      </c>
      <c r="M23" s="102">
        <v>9.4</v>
      </c>
      <c r="N23" s="102">
        <v>9.4</v>
      </c>
      <c r="O23" s="102">
        <v>9.4</v>
      </c>
      <c r="P23" s="102">
        <v>9.4</v>
      </c>
      <c r="Q23" s="102">
        <v>6.1</v>
      </c>
      <c r="R23" s="102">
        <v>6.1</v>
      </c>
      <c r="S23" s="102">
        <v>6.1</v>
      </c>
      <c r="T23" s="102">
        <v>6.1</v>
      </c>
      <c r="U23" s="102">
        <v>6.1</v>
      </c>
      <c r="V23" s="102">
        <v>6.1</v>
      </c>
      <c r="W23" s="102">
        <v>6.1</v>
      </c>
      <c r="X23" s="102">
        <v>6.1</v>
      </c>
      <c r="Y23" s="102">
        <v>6.1</v>
      </c>
      <c r="Z23" s="102">
        <v>6.1</v>
      </c>
      <c r="AA23" s="102">
        <v>6.1</v>
      </c>
      <c r="AB23" s="102">
        <v>6.1</v>
      </c>
      <c r="AC23" s="102">
        <v>6.1</v>
      </c>
      <c r="AD23" s="102">
        <v>6.1</v>
      </c>
      <c r="AE23" s="102">
        <v>6.1</v>
      </c>
      <c r="AF23" s="102">
        <v>6.1</v>
      </c>
      <c r="AG23" s="130">
        <v>24.2</v>
      </c>
      <c r="AH23" s="12">
        <f t="shared" si="8"/>
        <v>9.4</v>
      </c>
      <c r="AI23" s="11">
        <f t="shared" si="9"/>
        <v>6.1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-5</v>
      </c>
      <c r="BH23" s="131">
        <f>AD107*-1</f>
        <v>0</v>
      </c>
      <c r="BI23" s="131">
        <f>AE107*-1</f>
        <v>-2.4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25">
      <c r="A24" s="89" t="s">
        <v>244</v>
      </c>
      <c r="B24" s="102">
        <v>8.1</v>
      </c>
      <c r="C24" s="102">
        <v>8.1</v>
      </c>
      <c r="D24" s="102">
        <v>8.1</v>
      </c>
      <c r="E24" s="102">
        <v>8.1</v>
      </c>
      <c r="F24" s="102">
        <v>8.1</v>
      </c>
      <c r="G24" s="102">
        <v>8.1</v>
      </c>
      <c r="H24" s="102">
        <v>8.1</v>
      </c>
      <c r="I24" s="102">
        <v>8.1</v>
      </c>
      <c r="J24" s="102">
        <v>8.1</v>
      </c>
      <c r="K24" s="102">
        <v>8.1</v>
      </c>
      <c r="L24" s="102">
        <v>8.1</v>
      </c>
      <c r="M24" s="102">
        <v>8.1</v>
      </c>
      <c r="N24" s="102">
        <v>8.1</v>
      </c>
      <c r="O24" s="102">
        <v>8.1</v>
      </c>
      <c r="P24" s="102">
        <v>8.1</v>
      </c>
      <c r="Q24" s="102">
        <v>5.6</v>
      </c>
      <c r="R24" s="102">
        <v>5.6</v>
      </c>
      <c r="S24" s="102">
        <v>0</v>
      </c>
      <c r="T24" s="102">
        <v>5.6</v>
      </c>
      <c r="U24" s="102">
        <v>5.6</v>
      </c>
      <c r="V24" s="102">
        <v>5.6</v>
      </c>
      <c r="W24" s="102">
        <v>5.6</v>
      </c>
      <c r="X24" s="102">
        <v>5.6</v>
      </c>
      <c r="Y24" s="102">
        <v>5.6</v>
      </c>
      <c r="Z24" s="102">
        <v>5.6</v>
      </c>
      <c r="AA24" s="102">
        <v>5.6</v>
      </c>
      <c r="AB24" s="102">
        <v>6.6</v>
      </c>
      <c r="AC24" s="102">
        <v>6.6</v>
      </c>
      <c r="AD24" s="102">
        <v>6.6</v>
      </c>
      <c r="AE24" s="102">
        <v>6.6</v>
      </c>
      <c r="AF24" s="102">
        <v>6.6</v>
      </c>
      <c r="AG24" s="130">
        <v>28</v>
      </c>
      <c r="AH24" s="12">
        <f t="shared" si="8"/>
        <v>8.1</v>
      </c>
      <c r="AI24" s="11">
        <f t="shared" si="9"/>
        <v>0</v>
      </c>
      <c r="AK24" s="19"/>
      <c r="AL24" s="132" t="s">
        <v>243</v>
      </c>
      <c r="AM24" s="131">
        <f t="shared" ref="AM24:BJ24" si="21">AM22+AM23</f>
        <v>1470.1399999999999</v>
      </c>
      <c r="AN24" s="131">
        <f t="shared" si="21"/>
        <v>1403.44</v>
      </c>
      <c r="AO24" s="131">
        <f t="shared" si="21"/>
        <v>1368.5399999999997</v>
      </c>
      <c r="AP24" s="131">
        <f t="shared" si="21"/>
        <v>1363.7399999999998</v>
      </c>
      <c r="AQ24" s="131">
        <f t="shared" si="21"/>
        <v>1342.24</v>
      </c>
      <c r="AR24" s="131">
        <f t="shared" si="21"/>
        <v>1384.6399999999999</v>
      </c>
      <c r="AS24" s="131">
        <f t="shared" si="21"/>
        <v>1478.94</v>
      </c>
      <c r="AT24" s="131">
        <f t="shared" si="21"/>
        <v>1565.9399999999998</v>
      </c>
      <c r="AU24" s="131">
        <f t="shared" si="21"/>
        <v>1626.29</v>
      </c>
      <c r="AV24" s="131">
        <f t="shared" si="21"/>
        <v>1640.6399999999999</v>
      </c>
      <c r="AW24" s="131">
        <f t="shared" si="21"/>
        <v>1720.04</v>
      </c>
      <c r="AX24" s="131">
        <f t="shared" si="21"/>
        <v>1726.4400000000003</v>
      </c>
      <c r="AY24" s="131">
        <f t="shared" si="21"/>
        <v>1720.64</v>
      </c>
      <c r="AZ24" s="131">
        <f t="shared" si="21"/>
        <v>1696.4399999999998</v>
      </c>
      <c r="BA24" s="131">
        <f t="shared" si="21"/>
        <v>1621.1399999999999</v>
      </c>
      <c r="BB24" s="131">
        <f t="shared" si="21"/>
        <v>1549.24</v>
      </c>
      <c r="BC24" s="131">
        <f t="shared" si="21"/>
        <v>1594.9399999999998</v>
      </c>
      <c r="BD24" s="131">
        <f t="shared" si="21"/>
        <v>1545.1399999999999</v>
      </c>
      <c r="BE24" s="131">
        <f t="shared" si="21"/>
        <v>1539.44</v>
      </c>
      <c r="BF24" s="131">
        <f t="shared" si="21"/>
        <v>1797.2</v>
      </c>
      <c r="BG24" s="131">
        <f t="shared" si="21"/>
        <v>1730.84</v>
      </c>
      <c r="BH24" s="131">
        <f t="shared" si="21"/>
        <v>1674.54</v>
      </c>
      <c r="BI24" s="131">
        <f t="shared" si="21"/>
        <v>1594.8399999999997</v>
      </c>
      <c r="BJ24" s="131">
        <f t="shared" si="21"/>
        <v>1541.8399999999997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25">
      <c r="A25" s="89" t="s">
        <v>242</v>
      </c>
      <c r="B25" s="102">
        <v>9</v>
      </c>
      <c r="C25" s="102">
        <v>9</v>
      </c>
      <c r="D25" s="102">
        <v>9</v>
      </c>
      <c r="E25" s="102">
        <v>9</v>
      </c>
      <c r="F25" s="102">
        <v>9</v>
      </c>
      <c r="G25" s="102">
        <v>9</v>
      </c>
      <c r="H25" s="102">
        <v>9</v>
      </c>
      <c r="I25" s="102">
        <v>9</v>
      </c>
      <c r="J25" s="102">
        <v>9</v>
      </c>
      <c r="K25" s="102">
        <v>9</v>
      </c>
      <c r="L25" s="102">
        <v>9</v>
      </c>
      <c r="M25" s="102">
        <v>7</v>
      </c>
      <c r="N25" s="102">
        <v>7</v>
      </c>
      <c r="O25" s="102">
        <v>7</v>
      </c>
      <c r="P25" s="102">
        <v>6.3</v>
      </c>
      <c r="Q25" s="102">
        <v>7.4</v>
      </c>
      <c r="R25" s="102">
        <v>7.4</v>
      </c>
      <c r="S25" s="102">
        <v>7.4</v>
      </c>
      <c r="T25" s="102">
        <v>7.4</v>
      </c>
      <c r="U25" s="102">
        <v>7.4</v>
      </c>
      <c r="V25" s="102">
        <v>7.4</v>
      </c>
      <c r="W25" s="102">
        <v>7.4</v>
      </c>
      <c r="X25" s="102">
        <v>7.4</v>
      </c>
      <c r="Y25" s="102">
        <v>7.4</v>
      </c>
      <c r="Z25" s="102">
        <v>9</v>
      </c>
      <c r="AA25" s="102">
        <v>9</v>
      </c>
      <c r="AB25" s="102">
        <v>9</v>
      </c>
      <c r="AC25" s="102">
        <v>9</v>
      </c>
      <c r="AD25" s="102">
        <v>9</v>
      </c>
      <c r="AE25" s="102">
        <v>9</v>
      </c>
      <c r="AF25" s="102">
        <v>9</v>
      </c>
      <c r="AG25" s="88">
        <v>30</v>
      </c>
      <c r="AH25" s="12">
        <f t="shared" si="8"/>
        <v>9</v>
      </c>
      <c r="AI25" s="11">
        <f t="shared" si="9"/>
        <v>6.3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25">
      <c r="A26" s="89" t="s">
        <v>241</v>
      </c>
      <c r="B26" s="102">
        <v>13.4</v>
      </c>
      <c r="C26" s="102">
        <v>13.4</v>
      </c>
      <c r="D26" s="102">
        <v>13.4</v>
      </c>
      <c r="E26" s="102">
        <v>13.4</v>
      </c>
      <c r="F26" s="102">
        <v>13.4</v>
      </c>
      <c r="G26" s="102">
        <v>13.4</v>
      </c>
      <c r="H26" s="102">
        <v>13.4</v>
      </c>
      <c r="I26" s="102">
        <v>13.4</v>
      </c>
      <c r="J26" s="102">
        <v>13.4</v>
      </c>
      <c r="K26" s="102">
        <v>13.4</v>
      </c>
      <c r="L26" s="102">
        <v>13.4</v>
      </c>
      <c r="M26" s="102">
        <v>13.4</v>
      </c>
      <c r="N26" s="102">
        <v>13.4</v>
      </c>
      <c r="O26" s="102">
        <v>13.4</v>
      </c>
      <c r="P26" s="102">
        <v>13.4</v>
      </c>
      <c r="Q26" s="102">
        <v>11.8</v>
      </c>
      <c r="R26" s="102">
        <v>11.8</v>
      </c>
      <c r="S26" s="102">
        <v>11.8</v>
      </c>
      <c r="T26" s="102">
        <v>11.8</v>
      </c>
      <c r="U26" s="102">
        <v>11.8</v>
      </c>
      <c r="V26" s="102">
        <v>11.8</v>
      </c>
      <c r="W26" s="102">
        <v>11.8</v>
      </c>
      <c r="X26" s="102">
        <v>11.8</v>
      </c>
      <c r="Y26" s="102">
        <v>11.8</v>
      </c>
      <c r="Z26" s="102">
        <v>13.5</v>
      </c>
      <c r="AA26" s="102">
        <v>13.5</v>
      </c>
      <c r="AB26" s="102">
        <v>13.5</v>
      </c>
      <c r="AC26" s="102">
        <v>13.5</v>
      </c>
      <c r="AD26" s="102">
        <v>13.5</v>
      </c>
      <c r="AE26" s="102">
        <v>13.5</v>
      </c>
      <c r="AF26" s="102">
        <v>13.5</v>
      </c>
      <c r="AG26" s="130">
        <v>25</v>
      </c>
      <c r="AH26" s="12">
        <f t="shared" si="8"/>
        <v>13.5</v>
      </c>
      <c r="AI26" s="11">
        <f t="shared" si="9"/>
        <v>11.8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25">
      <c r="A27" s="89" t="s">
        <v>240</v>
      </c>
      <c r="B27" s="102">
        <v>0</v>
      </c>
      <c r="C27" s="102">
        <v>0</v>
      </c>
      <c r="D27" s="102">
        <v>0</v>
      </c>
      <c r="E27" s="102">
        <v>0</v>
      </c>
      <c r="F27" s="102">
        <v>0</v>
      </c>
      <c r="G27" s="102">
        <v>0</v>
      </c>
      <c r="H27" s="102">
        <v>0</v>
      </c>
      <c r="I27" s="102">
        <v>0</v>
      </c>
      <c r="J27" s="102">
        <v>0</v>
      </c>
      <c r="K27" s="102">
        <v>0</v>
      </c>
      <c r="L27" s="102">
        <v>0</v>
      </c>
      <c r="M27" s="102">
        <v>0</v>
      </c>
      <c r="N27" s="102">
        <v>0</v>
      </c>
      <c r="O27" s="102">
        <v>0</v>
      </c>
      <c r="P27" s="102">
        <v>0</v>
      </c>
      <c r="Q27" s="102">
        <v>0</v>
      </c>
      <c r="R27" s="102">
        <v>0</v>
      </c>
      <c r="S27" s="102">
        <v>0</v>
      </c>
      <c r="T27" s="102">
        <v>0</v>
      </c>
      <c r="U27" s="102">
        <v>0</v>
      </c>
      <c r="V27" s="102">
        <v>0</v>
      </c>
      <c r="W27" s="102">
        <v>0</v>
      </c>
      <c r="X27" s="102">
        <v>0</v>
      </c>
      <c r="Y27" s="102">
        <v>0</v>
      </c>
      <c r="Z27" s="102">
        <v>0</v>
      </c>
      <c r="AA27" s="102">
        <v>0</v>
      </c>
      <c r="AB27" s="102">
        <v>0</v>
      </c>
      <c r="AC27" s="102">
        <v>0</v>
      </c>
      <c r="AD27" s="102">
        <v>0</v>
      </c>
      <c r="AE27" s="102">
        <v>0</v>
      </c>
      <c r="AF27" s="102">
        <v>0</v>
      </c>
      <c r="AG27" s="130">
        <v>25</v>
      </c>
      <c r="AH27" s="12">
        <f t="shared" si="8"/>
        <v>0</v>
      </c>
      <c r="AI27" s="11">
        <f t="shared" si="9"/>
        <v>0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25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25">
      <c r="A29" s="89" t="s">
        <v>238</v>
      </c>
      <c r="B29" s="102">
        <v>12.4</v>
      </c>
      <c r="C29" s="102">
        <v>12.4</v>
      </c>
      <c r="D29" s="102">
        <v>12.4</v>
      </c>
      <c r="E29" s="102">
        <v>12.4</v>
      </c>
      <c r="F29" s="102">
        <v>12.4</v>
      </c>
      <c r="G29" s="102">
        <v>12.4</v>
      </c>
      <c r="H29" s="102">
        <v>12.4</v>
      </c>
      <c r="I29" s="102">
        <v>12.4</v>
      </c>
      <c r="J29" s="102">
        <v>12.4</v>
      </c>
      <c r="K29" s="102">
        <v>12.4</v>
      </c>
      <c r="L29" s="102">
        <v>12.4</v>
      </c>
      <c r="M29" s="102">
        <v>12.4</v>
      </c>
      <c r="N29" s="102">
        <v>12.4</v>
      </c>
      <c r="O29" s="102">
        <v>12.4</v>
      </c>
      <c r="P29" s="102">
        <v>12.4</v>
      </c>
      <c r="Q29" s="102">
        <v>8.6</v>
      </c>
      <c r="R29" s="102">
        <v>8.6</v>
      </c>
      <c r="S29" s="102">
        <v>8.6</v>
      </c>
      <c r="T29" s="102">
        <v>8.6</v>
      </c>
      <c r="U29" s="102">
        <v>8.6</v>
      </c>
      <c r="V29" s="102">
        <v>8.6</v>
      </c>
      <c r="W29" s="102">
        <v>8.6</v>
      </c>
      <c r="X29" s="102">
        <v>8.6</v>
      </c>
      <c r="Y29" s="102">
        <v>8.6</v>
      </c>
      <c r="Z29" s="102">
        <v>13</v>
      </c>
      <c r="AA29" s="102">
        <v>13</v>
      </c>
      <c r="AB29" s="102">
        <v>13.6</v>
      </c>
      <c r="AC29" s="102">
        <v>13.6</v>
      </c>
      <c r="AD29" s="102">
        <v>13.6</v>
      </c>
      <c r="AE29" s="102">
        <v>13.4</v>
      </c>
      <c r="AF29" s="102">
        <v>13.4</v>
      </c>
      <c r="AG29" s="130">
        <v>25</v>
      </c>
      <c r="AH29" s="12">
        <f t="shared" si="8"/>
        <v>13.6</v>
      </c>
      <c r="AI29" s="11">
        <f t="shared" si="9"/>
        <v>8.6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25">
      <c r="A30" s="89" t="s">
        <v>237</v>
      </c>
      <c r="B30" s="102">
        <v>7</v>
      </c>
      <c r="C30" s="102">
        <v>7</v>
      </c>
      <c r="D30" s="102">
        <v>7</v>
      </c>
      <c r="E30" s="102">
        <v>7</v>
      </c>
      <c r="F30" s="102">
        <v>7</v>
      </c>
      <c r="G30" s="102">
        <v>7</v>
      </c>
      <c r="H30" s="102">
        <v>7</v>
      </c>
      <c r="I30" s="102">
        <v>7</v>
      </c>
      <c r="J30" s="102">
        <v>7</v>
      </c>
      <c r="K30" s="102">
        <v>7</v>
      </c>
      <c r="L30" s="102">
        <v>7</v>
      </c>
      <c r="M30" s="102">
        <v>7</v>
      </c>
      <c r="N30" s="102">
        <v>7</v>
      </c>
      <c r="O30" s="102">
        <v>7</v>
      </c>
      <c r="P30" s="102">
        <v>7</v>
      </c>
      <c r="Q30" s="102">
        <v>5.2</v>
      </c>
      <c r="R30" s="102">
        <v>5.2</v>
      </c>
      <c r="S30" s="102">
        <v>5.2</v>
      </c>
      <c r="T30" s="102">
        <v>5.2</v>
      </c>
      <c r="U30" s="102">
        <v>5.2</v>
      </c>
      <c r="V30" s="102">
        <v>5.2</v>
      </c>
      <c r="W30" s="102">
        <v>5.2</v>
      </c>
      <c r="X30" s="102">
        <v>5.2</v>
      </c>
      <c r="Y30" s="102">
        <v>5.2</v>
      </c>
      <c r="Z30" s="102">
        <v>5.2</v>
      </c>
      <c r="AA30" s="102">
        <v>5.2</v>
      </c>
      <c r="AB30" s="102">
        <v>6.1</v>
      </c>
      <c r="AC30" s="102">
        <v>6.2</v>
      </c>
      <c r="AD30" s="102">
        <v>6.2</v>
      </c>
      <c r="AE30" s="102">
        <v>6.2</v>
      </c>
      <c r="AF30" s="102">
        <v>6.2</v>
      </c>
      <c r="AG30" s="130">
        <v>23.5</v>
      </c>
      <c r="AH30" s="12">
        <f t="shared" si="8"/>
        <v>7</v>
      </c>
      <c r="AI30" s="11">
        <f t="shared" si="9"/>
        <v>5.2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25">
      <c r="A31" s="89" t="s">
        <v>236</v>
      </c>
      <c r="B31" s="102">
        <v>9</v>
      </c>
      <c r="C31" s="102">
        <v>9</v>
      </c>
      <c r="D31" s="102">
        <v>9</v>
      </c>
      <c r="E31" s="102">
        <v>9</v>
      </c>
      <c r="F31" s="102">
        <v>9</v>
      </c>
      <c r="G31" s="102">
        <v>9</v>
      </c>
      <c r="H31" s="102">
        <v>9</v>
      </c>
      <c r="I31" s="102">
        <v>9</v>
      </c>
      <c r="J31" s="102">
        <v>9</v>
      </c>
      <c r="K31" s="102">
        <v>9</v>
      </c>
      <c r="L31" s="102">
        <v>9</v>
      </c>
      <c r="M31" s="102">
        <v>9</v>
      </c>
      <c r="N31" s="102">
        <v>9</v>
      </c>
      <c r="O31" s="102">
        <v>9</v>
      </c>
      <c r="P31" s="102">
        <v>9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9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25">
      <c r="A32" s="89" t="s">
        <v>235</v>
      </c>
      <c r="B32" s="102">
        <v>5.5</v>
      </c>
      <c r="C32" s="102">
        <v>5.5</v>
      </c>
      <c r="D32" s="102">
        <v>5.5</v>
      </c>
      <c r="E32" s="102">
        <v>5.5</v>
      </c>
      <c r="F32" s="102">
        <v>5.5</v>
      </c>
      <c r="G32" s="102">
        <v>5.5</v>
      </c>
      <c r="H32" s="102">
        <v>5.5</v>
      </c>
      <c r="I32" s="102">
        <v>5.5</v>
      </c>
      <c r="J32" s="102">
        <v>5.5</v>
      </c>
      <c r="K32" s="102">
        <v>5.5</v>
      </c>
      <c r="L32" s="102">
        <v>5.5</v>
      </c>
      <c r="M32" s="102">
        <v>5.5</v>
      </c>
      <c r="N32" s="102">
        <v>5.5</v>
      </c>
      <c r="O32" s="102">
        <v>5.5</v>
      </c>
      <c r="P32" s="102">
        <v>5.5</v>
      </c>
      <c r="Q32" s="102">
        <v>5.5</v>
      </c>
      <c r="R32" s="102">
        <v>5.5</v>
      </c>
      <c r="S32" s="102">
        <v>5.5</v>
      </c>
      <c r="T32" s="102">
        <v>5.5</v>
      </c>
      <c r="U32" s="102">
        <v>5.5</v>
      </c>
      <c r="V32" s="102">
        <v>5.5</v>
      </c>
      <c r="W32" s="102">
        <v>5.5</v>
      </c>
      <c r="X32" s="102">
        <v>5.5</v>
      </c>
      <c r="Y32" s="102">
        <v>5.5</v>
      </c>
      <c r="Z32" s="102">
        <v>5.5</v>
      </c>
      <c r="AA32" s="102">
        <v>5.5</v>
      </c>
      <c r="AB32" s="102">
        <v>5.5</v>
      </c>
      <c r="AC32" s="102">
        <v>5.5</v>
      </c>
      <c r="AD32" s="102">
        <v>5.5</v>
      </c>
      <c r="AE32" s="102">
        <v>5.5</v>
      </c>
      <c r="AF32" s="102">
        <v>5.5</v>
      </c>
      <c r="AG32" s="130">
        <v>22.1</v>
      </c>
      <c r="AH32" s="12">
        <f t="shared" si="8"/>
        <v>5.5</v>
      </c>
      <c r="AI32" s="11">
        <f t="shared" si="9"/>
        <v>5.5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25">
      <c r="A33" s="89" t="s">
        <v>234</v>
      </c>
      <c r="B33" s="102">
        <v>8</v>
      </c>
      <c r="C33" s="102">
        <v>8</v>
      </c>
      <c r="D33" s="102">
        <v>8</v>
      </c>
      <c r="E33" s="102">
        <v>8</v>
      </c>
      <c r="F33" s="102">
        <v>8</v>
      </c>
      <c r="G33" s="102">
        <v>8</v>
      </c>
      <c r="H33" s="102">
        <v>8</v>
      </c>
      <c r="I33" s="102">
        <v>8</v>
      </c>
      <c r="J33" s="102">
        <v>8</v>
      </c>
      <c r="K33" s="102">
        <v>8</v>
      </c>
      <c r="L33" s="102">
        <v>8</v>
      </c>
      <c r="M33" s="102">
        <v>8</v>
      </c>
      <c r="N33" s="102">
        <v>8</v>
      </c>
      <c r="O33" s="102">
        <v>8</v>
      </c>
      <c r="P33" s="102">
        <v>8</v>
      </c>
      <c r="Q33" s="102">
        <v>8</v>
      </c>
      <c r="R33" s="102">
        <v>8</v>
      </c>
      <c r="S33" s="102">
        <v>8</v>
      </c>
      <c r="T33" s="102">
        <v>8</v>
      </c>
      <c r="U33" s="102">
        <v>8</v>
      </c>
      <c r="V33" s="102">
        <v>8</v>
      </c>
      <c r="W33" s="102">
        <v>8</v>
      </c>
      <c r="X33" s="102">
        <v>8</v>
      </c>
      <c r="Y33" s="102">
        <v>8</v>
      </c>
      <c r="Z33" s="102">
        <v>8</v>
      </c>
      <c r="AA33" s="102">
        <v>8</v>
      </c>
      <c r="AB33" s="102">
        <v>8</v>
      </c>
      <c r="AC33" s="102">
        <v>8</v>
      </c>
      <c r="AD33" s="102">
        <v>8</v>
      </c>
      <c r="AE33" s="102">
        <v>8</v>
      </c>
      <c r="AF33" s="102">
        <v>8</v>
      </c>
      <c r="AG33" s="130">
        <v>22</v>
      </c>
      <c r="AH33" s="12">
        <f t="shared" si="8"/>
        <v>8</v>
      </c>
      <c r="AI33" s="11">
        <f t="shared" si="9"/>
        <v>8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25">
      <c r="A34" s="89" t="s">
        <v>233</v>
      </c>
      <c r="B34" s="102">
        <v>6.6</v>
      </c>
      <c r="C34" s="102">
        <v>6.6</v>
      </c>
      <c r="D34" s="102">
        <v>6.6</v>
      </c>
      <c r="E34" s="102">
        <v>6.6</v>
      </c>
      <c r="F34" s="102">
        <v>6.6</v>
      </c>
      <c r="G34" s="102">
        <v>6.6</v>
      </c>
      <c r="H34" s="102">
        <v>6.6</v>
      </c>
      <c r="I34" s="102">
        <v>6.6</v>
      </c>
      <c r="J34" s="102">
        <v>6.6</v>
      </c>
      <c r="K34" s="102">
        <v>6.6</v>
      </c>
      <c r="L34" s="102">
        <v>6.6</v>
      </c>
      <c r="M34" s="102">
        <v>6.6</v>
      </c>
      <c r="N34" s="102">
        <v>6.6</v>
      </c>
      <c r="O34" s="102">
        <v>6.6</v>
      </c>
      <c r="P34" s="102">
        <v>6.6</v>
      </c>
      <c r="Q34" s="102">
        <v>6.3</v>
      </c>
      <c r="R34" s="102">
        <v>6.3</v>
      </c>
      <c r="S34" s="102">
        <v>6.3</v>
      </c>
      <c r="T34" s="102">
        <v>6.3</v>
      </c>
      <c r="U34" s="102">
        <v>6.3</v>
      </c>
      <c r="V34" s="102">
        <v>6.3</v>
      </c>
      <c r="W34" s="102">
        <v>6.3</v>
      </c>
      <c r="X34" s="102">
        <v>6.3</v>
      </c>
      <c r="Y34" s="102">
        <v>6.3</v>
      </c>
      <c r="Z34" s="102">
        <v>6.3</v>
      </c>
      <c r="AA34" s="102">
        <v>6.3</v>
      </c>
      <c r="AB34" s="102">
        <v>9.8000000000000007</v>
      </c>
      <c r="AC34" s="102">
        <v>9.8000000000000007</v>
      </c>
      <c r="AD34" s="102">
        <v>9.8000000000000007</v>
      </c>
      <c r="AE34" s="102">
        <v>9.8000000000000007</v>
      </c>
      <c r="AF34" s="102">
        <v>9.8000000000000007</v>
      </c>
      <c r="AG34" s="130">
        <v>22</v>
      </c>
      <c r="AH34" s="12">
        <f t="shared" si="8"/>
        <v>9.8000000000000007</v>
      </c>
      <c r="AI34" s="11">
        <f t="shared" si="9"/>
        <v>6.3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25">
      <c r="A35" s="89" t="s">
        <v>232</v>
      </c>
      <c r="B35" s="102">
        <v>6</v>
      </c>
      <c r="C35" s="102">
        <v>6</v>
      </c>
      <c r="D35" s="102">
        <v>6</v>
      </c>
      <c r="E35" s="102">
        <v>6</v>
      </c>
      <c r="F35" s="102">
        <v>6</v>
      </c>
      <c r="G35" s="102">
        <v>6</v>
      </c>
      <c r="H35" s="102">
        <v>6</v>
      </c>
      <c r="I35" s="102">
        <v>6</v>
      </c>
      <c r="J35" s="102">
        <v>6</v>
      </c>
      <c r="K35" s="102">
        <v>6</v>
      </c>
      <c r="L35" s="102">
        <v>6</v>
      </c>
      <c r="M35" s="102">
        <v>6</v>
      </c>
      <c r="N35" s="102">
        <v>6</v>
      </c>
      <c r="O35" s="102">
        <v>6</v>
      </c>
      <c r="P35" s="102">
        <v>6</v>
      </c>
      <c r="Q35" s="102">
        <v>6</v>
      </c>
      <c r="R35" s="102">
        <v>6</v>
      </c>
      <c r="S35" s="102">
        <v>6</v>
      </c>
      <c r="T35" s="102">
        <v>6</v>
      </c>
      <c r="U35" s="102">
        <v>6</v>
      </c>
      <c r="V35" s="102">
        <v>6</v>
      </c>
      <c r="W35" s="102">
        <v>6</v>
      </c>
      <c r="X35" s="102">
        <v>6</v>
      </c>
      <c r="Y35" s="102">
        <v>6</v>
      </c>
      <c r="Z35" s="102">
        <v>6</v>
      </c>
      <c r="AA35" s="102">
        <v>6</v>
      </c>
      <c r="AB35" s="102">
        <v>11.1</v>
      </c>
      <c r="AC35" s="102">
        <v>11.1</v>
      </c>
      <c r="AD35" s="102">
        <v>11.1</v>
      </c>
      <c r="AE35" s="102">
        <v>11.1</v>
      </c>
      <c r="AF35" s="102">
        <v>11.1</v>
      </c>
      <c r="AG35" s="130">
        <v>20</v>
      </c>
      <c r="AH35" s="12">
        <f t="shared" si="8"/>
        <v>11.1</v>
      </c>
      <c r="AI35" s="11">
        <f t="shared" si="9"/>
        <v>6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25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25">
      <c r="A37" s="89" t="s">
        <v>230</v>
      </c>
      <c r="B37" s="102">
        <v>5.7</v>
      </c>
      <c r="C37" s="102">
        <v>5.7</v>
      </c>
      <c r="D37" s="102">
        <v>5.7</v>
      </c>
      <c r="E37" s="102">
        <v>5.7</v>
      </c>
      <c r="F37" s="102">
        <v>5.7</v>
      </c>
      <c r="G37" s="102">
        <v>5.7</v>
      </c>
      <c r="H37" s="102">
        <v>5.7</v>
      </c>
      <c r="I37" s="102">
        <v>5.7</v>
      </c>
      <c r="J37" s="102">
        <v>5.7</v>
      </c>
      <c r="K37" s="102">
        <v>5.7</v>
      </c>
      <c r="L37" s="102">
        <v>5.7</v>
      </c>
      <c r="M37" s="102">
        <v>5.7</v>
      </c>
      <c r="N37" s="102">
        <v>5.7</v>
      </c>
      <c r="O37" s="102">
        <v>5.7</v>
      </c>
      <c r="P37" s="102">
        <v>5.7</v>
      </c>
      <c r="Q37" s="102">
        <v>5.7</v>
      </c>
      <c r="R37" s="102">
        <v>5.7</v>
      </c>
      <c r="S37" s="102">
        <v>5.7</v>
      </c>
      <c r="T37" s="102">
        <v>5.7</v>
      </c>
      <c r="U37" s="102">
        <v>5.7</v>
      </c>
      <c r="V37" s="102">
        <v>5.7</v>
      </c>
      <c r="W37" s="102">
        <v>5.7</v>
      </c>
      <c r="X37" s="102">
        <v>5.7</v>
      </c>
      <c r="Y37" s="102">
        <v>5.7</v>
      </c>
      <c r="Z37" s="102">
        <v>5.7</v>
      </c>
      <c r="AA37" s="102">
        <v>5.7</v>
      </c>
      <c r="AB37" s="102">
        <v>5.7</v>
      </c>
      <c r="AC37" s="102">
        <v>5.7</v>
      </c>
      <c r="AD37" s="102">
        <v>5.7</v>
      </c>
      <c r="AE37" s="102">
        <v>5.7</v>
      </c>
      <c r="AF37" s="102">
        <v>5.7</v>
      </c>
      <c r="AG37" s="130">
        <v>18</v>
      </c>
      <c r="AH37" s="12">
        <f t="shared" si="8"/>
        <v>5.7</v>
      </c>
      <c r="AI37" s="11">
        <f t="shared" si="9"/>
        <v>5.7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25">
      <c r="A38" s="89" t="s">
        <v>229</v>
      </c>
      <c r="B38" s="102">
        <v>4.9000000000000004</v>
      </c>
      <c r="C38" s="102">
        <v>4.9000000000000004</v>
      </c>
      <c r="D38" s="102">
        <v>4.9000000000000004</v>
      </c>
      <c r="E38" s="102">
        <v>4.9000000000000004</v>
      </c>
      <c r="F38" s="102">
        <v>4.9000000000000004</v>
      </c>
      <c r="G38" s="102">
        <v>4.9000000000000004</v>
      </c>
      <c r="H38" s="102">
        <v>4.9000000000000004</v>
      </c>
      <c r="I38" s="102">
        <v>4.9000000000000004</v>
      </c>
      <c r="J38" s="102">
        <v>4.9000000000000004</v>
      </c>
      <c r="K38" s="102">
        <v>4.9000000000000004</v>
      </c>
      <c r="L38" s="102">
        <v>4.9000000000000004</v>
      </c>
      <c r="M38" s="102">
        <v>4.9000000000000004</v>
      </c>
      <c r="N38" s="102">
        <v>4.9000000000000004</v>
      </c>
      <c r="O38" s="102">
        <v>4.9000000000000004</v>
      </c>
      <c r="P38" s="102">
        <v>4.9000000000000004</v>
      </c>
      <c r="Q38" s="102">
        <v>4.9000000000000004</v>
      </c>
      <c r="R38" s="102">
        <v>4.9000000000000004</v>
      </c>
      <c r="S38" s="102">
        <v>4.9000000000000004</v>
      </c>
      <c r="T38" s="102">
        <v>4.9000000000000004</v>
      </c>
      <c r="U38" s="102">
        <v>4.9000000000000004</v>
      </c>
      <c r="V38" s="102">
        <v>4.9000000000000004</v>
      </c>
      <c r="W38" s="102">
        <v>4.9000000000000004</v>
      </c>
      <c r="X38" s="102">
        <v>4.9000000000000004</v>
      </c>
      <c r="Y38" s="102">
        <v>4.9000000000000004</v>
      </c>
      <c r="Z38" s="102">
        <v>4.9000000000000004</v>
      </c>
      <c r="AA38" s="102">
        <v>4.9000000000000004</v>
      </c>
      <c r="AB38" s="102">
        <v>4.9000000000000004</v>
      </c>
      <c r="AC38" s="102">
        <v>4.9000000000000004</v>
      </c>
      <c r="AD38" s="102">
        <v>4.9000000000000004</v>
      </c>
      <c r="AE38" s="102">
        <v>4.9000000000000004</v>
      </c>
      <c r="AF38" s="102">
        <v>4.9000000000000004</v>
      </c>
      <c r="AG38" s="130">
        <v>14.9</v>
      </c>
      <c r="AH38" s="12">
        <f t="shared" si="8"/>
        <v>4.9000000000000004</v>
      </c>
      <c r="AI38" s="11">
        <f t="shared" si="9"/>
        <v>4.9000000000000004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25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25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25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25">
      <c r="A42" s="89" t="s">
        <v>225</v>
      </c>
      <c r="B42" s="102">
        <v>1.8</v>
      </c>
      <c r="C42" s="102">
        <v>1.8</v>
      </c>
      <c r="D42" s="102">
        <v>1.8</v>
      </c>
      <c r="E42" s="102">
        <v>1.8</v>
      </c>
      <c r="F42" s="102">
        <v>1.8</v>
      </c>
      <c r="G42" s="102">
        <v>1.8</v>
      </c>
      <c r="H42" s="102">
        <v>1.8</v>
      </c>
      <c r="I42" s="102">
        <v>1.8</v>
      </c>
      <c r="J42" s="102">
        <v>1.8</v>
      </c>
      <c r="K42" s="102">
        <v>1.8</v>
      </c>
      <c r="L42" s="102">
        <v>1.8</v>
      </c>
      <c r="M42" s="102">
        <v>1.8</v>
      </c>
      <c r="N42" s="102">
        <v>1.8</v>
      </c>
      <c r="O42" s="102">
        <v>1.8</v>
      </c>
      <c r="P42" s="102">
        <v>1.8</v>
      </c>
      <c r="Q42" s="102">
        <v>1.8</v>
      </c>
      <c r="R42" s="102">
        <v>1.8</v>
      </c>
      <c r="S42" s="102">
        <v>1.8</v>
      </c>
      <c r="T42" s="102">
        <v>1.8</v>
      </c>
      <c r="U42" s="102">
        <v>1.8</v>
      </c>
      <c r="V42" s="102">
        <v>1.8</v>
      </c>
      <c r="W42" s="102">
        <v>1.8</v>
      </c>
      <c r="X42" s="102">
        <v>1.8</v>
      </c>
      <c r="Y42" s="102">
        <v>1.8</v>
      </c>
      <c r="Z42" s="102">
        <v>1.8</v>
      </c>
      <c r="AA42" s="102">
        <v>1.8</v>
      </c>
      <c r="AB42" s="102">
        <v>1.8</v>
      </c>
      <c r="AC42" s="102">
        <v>1.8</v>
      </c>
      <c r="AD42" s="102">
        <v>1.8</v>
      </c>
      <c r="AE42" s="102">
        <v>1.8</v>
      </c>
      <c r="AF42" s="102">
        <v>1.8</v>
      </c>
      <c r="AG42" s="130">
        <v>13.6</v>
      </c>
      <c r="AH42" s="12">
        <f t="shared" si="8"/>
        <v>1.8</v>
      </c>
      <c r="AI42" s="11">
        <f t="shared" si="9"/>
        <v>1.8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25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25">
      <c r="A44" s="89" t="s">
        <v>223</v>
      </c>
      <c r="B44" s="102">
        <v>6.4</v>
      </c>
      <c r="C44" s="102">
        <v>6.4</v>
      </c>
      <c r="D44" s="102">
        <v>6.4</v>
      </c>
      <c r="E44" s="102">
        <v>6.4</v>
      </c>
      <c r="F44" s="102">
        <v>6.4</v>
      </c>
      <c r="G44" s="102">
        <v>6.4</v>
      </c>
      <c r="H44" s="102">
        <v>6.4</v>
      </c>
      <c r="I44" s="102">
        <v>6.4</v>
      </c>
      <c r="J44" s="102">
        <v>6.4</v>
      </c>
      <c r="K44" s="102">
        <v>6.4</v>
      </c>
      <c r="L44" s="102">
        <v>6.4</v>
      </c>
      <c r="M44" s="102">
        <v>6.4</v>
      </c>
      <c r="N44" s="102">
        <v>6.4</v>
      </c>
      <c r="O44" s="102">
        <v>6.4</v>
      </c>
      <c r="P44" s="102">
        <v>6.4</v>
      </c>
      <c r="Q44" s="102">
        <v>6.4</v>
      </c>
      <c r="R44" s="102">
        <v>6.4</v>
      </c>
      <c r="S44" s="102">
        <v>6.4</v>
      </c>
      <c r="T44" s="102">
        <v>6.4</v>
      </c>
      <c r="U44" s="102">
        <v>6.4</v>
      </c>
      <c r="V44" s="102">
        <v>6.4</v>
      </c>
      <c r="W44" s="102">
        <v>6.4</v>
      </c>
      <c r="X44" s="102">
        <v>6.4</v>
      </c>
      <c r="Y44" s="102">
        <v>6.4</v>
      </c>
      <c r="Z44" s="102">
        <v>6.4</v>
      </c>
      <c r="AA44" s="102">
        <v>6.4</v>
      </c>
      <c r="AB44" s="102">
        <v>6.4</v>
      </c>
      <c r="AC44" s="102">
        <v>6.4</v>
      </c>
      <c r="AD44" s="102">
        <v>6.4</v>
      </c>
      <c r="AE44" s="102">
        <v>6.4</v>
      </c>
      <c r="AF44" s="102">
        <v>6.4</v>
      </c>
      <c r="AG44" s="130">
        <v>12</v>
      </c>
      <c r="AH44" s="12">
        <f t="shared" si="8"/>
        <v>6.4</v>
      </c>
      <c r="AI44" s="11">
        <f t="shared" si="9"/>
        <v>6.4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25">
      <c r="A45" s="89" t="s">
        <v>222</v>
      </c>
      <c r="B45" s="102">
        <v>9</v>
      </c>
      <c r="C45" s="102">
        <v>9</v>
      </c>
      <c r="D45" s="102">
        <v>9</v>
      </c>
      <c r="E45" s="102">
        <v>9</v>
      </c>
      <c r="F45" s="102">
        <v>9</v>
      </c>
      <c r="G45" s="102">
        <v>9</v>
      </c>
      <c r="H45" s="102">
        <v>9</v>
      </c>
      <c r="I45" s="102">
        <v>9</v>
      </c>
      <c r="J45" s="102">
        <v>9</v>
      </c>
      <c r="K45" s="102">
        <v>9</v>
      </c>
      <c r="L45" s="102">
        <v>9</v>
      </c>
      <c r="M45" s="102">
        <v>9</v>
      </c>
      <c r="N45" s="102">
        <v>9</v>
      </c>
      <c r="O45" s="102">
        <v>9</v>
      </c>
      <c r="P45" s="102">
        <v>9</v>
      </c>
      <c r="Q45" s="102">
        <v>9</v>
      </c>
      <c r="R45" s="102">
        <v>9</v>
      </c>
      <c r="S45" s="102">
        <v>9</v>
      </c>
      <c r="T45" s="102">
        <v>9</v>
      </c>
      <c r="U45" s="102">
        <v>9</v>
      </c>
      <c r="V45" s="102">
        <v>9</v>
      </c>
      <c r="W45" s="102">
        <v>9</v>
      </c>
      <c r="X45" s="102">
        <v>9</v>
      </c>
      <c r="Y45" s="102">
        <v>9</v>
      </c>
      <c r="Z45" s="102">
        <v>9</v>
      </c>
      <c r="AA45" s="102">
        <v>9</v>
      </c>
      <c r="AB45" s="102">
        <v>9</v>
      </c>
      <c r="AC45" s="102">
        <v>9</v>
      </c>
      <c r="AD45" s="102">
        <v>9</v>
      </c>
      <c r="AE45" s="102">
        <v>9</v>
      </c>
      <c r="AF45" s="102">
        <v>9</v>
      </c>
      <c r="AG45" s="130">
        <v>12</v>
      </c>
      <c r="AH45" s="12">
        <f t="shared" si="8"/>
        <v>9</v>
      </c>
      <c r="AI45" s="11">
        <f t="shared" si="9"/>
        <v>9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25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25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25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25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25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25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25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25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25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25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25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.75" thickBot="1" x14ac:dyDescent="0.3">
      <c r="A57" s="124" t="s">
        <v>210</v>
      </c>
      <c r="B57" s="122">
        <v>51.2</v>
      </c>
      <c r="C57" s="122">
        <v>51.2</v>
      </c>
      <c r="D57" s="122">
        <v>52.9</v>
      </c>
      <c r="E57" s="122">
        <f>19.8+30.6</f>
        <v>50.400000000000006</v>
      </c>
      <c r="F57" s="122">
        <f>20.4+32.2</f>
        <v>52.6</v>
      </c>
      <c r="G57" s="122">
        <f>20.8+31.9</f>
        <v>52.7</v>
      </c>
      <c r="H57" s="122">
        <f>20+30.2</f>
        <v>50.2</v>
      </c>
      <c r="I57" s="122">
        <f>20.1+29.9</f>
        <v>50</v>
      </c>
      <c r="J57" s="122">
        <f>20.1+29.9</f>
        <v>50</v>
      </c>
      <c r="K57" s="123">
        <f>19.2+28.8</f>
        <v>48</v>
      </c>
      <c r="L57" s="123">
        <f>19.5+29.2</f>
        <v>48.7</v>
      </c>
      <c r="M57" s="123">
        <f>19.5+29.2</f>
        <v>48.7</v>
      </c>
      <c r="N57" s="123">
        <f>19.5+29.2</f>
        <v>48.7</v>
      </c>
      <c r="O57" s="123">
        <f>19.5+29.2</f>
        <v>48.7</v>
      </c>
      <c r="P57" s="123">
        <f>19.6+29.6</f>
        <v>49.2</v>
      </c>
      <c r="Q57" s="123">
        <v>46.6</v>
      </c>
      <c r="R57" s="123">
        <v>46.6</v>
      </c>
      <c r="S57" s="123">
        <v>46.6</v>
      </c>
      <c r="T57" s="123">
        <v>46.6</v>
      </c>
      <c r="U57" s="123">
        <v>46.6</v>
      </c>
      <c r="V57" s="123">
        <v>45</v>
      </c>
      <c r="W57" s="123">
        <v>45</v>
      </c>
      <c r="X57" s="123">
        <v>45</v>
      </c>
      <c r="Y57" s="123">
        <v>45.8</v>
      </c>
      <c r="Z57" s="122">
        <v>45.8</v>
      </c>
      <c r="AA57" s="122">
        <v>45.8</v>
      </c>
      <c r="AB57" s="122">
        <f>18.7+26.5</f>
        <v>45.2</v>
      </c>
      <c r="AC57" s="122">
        <f>18.5+26.1</f>
        <v>44.6</v>
      </c>
      <c r="AD57" s="122">
        <f>27+19.1</f>
        <v>46.1</v>
      </c>
      <c r="AE57" s="122">
        <f>21+28.6</f>
        <v>49.6</v>
      </c>
      <c r="AF57" s="122">
        <f>21.2+29.2</f>
        <v>50.4</v>
      </c>
      <c r="AG57" s="86">
        <v>240</v>
      </c>
      <c r="AH57" s="12">
        <f t="shared" si="8"/>
        <v>52.9</v>
      </c>
      <c r="AI57" s="11">
        <f t="shared" si="9"/>
        <v>44.6</v>
      </c>
      <c r="AK57" s="19"/>
    </row>
    <row r="58" spans="1:88" ht="15.75" thickBot="1" x14ac:dyDescent="0.3">
      <c r="A58" s="121" t="s">
        <v>209</v>
      </c>
      <c r="B58" s="76">
        <f t="shared" ref="B58:C58" si="22">SUM(B11:B56)</f>
        <v>543.09999999999991</v>
      </c>
      <c r="C58" s="76">
        <f t="shared" si="22"/>
        <v>543.09999999999991</v>
      </c>
      <c r="D58" s="76">
        <f t="shared" ref="D58" si="23">SUM(D11:D56)</f>
        <v>543.09999999999991</v>
      </c>
      <c r="E58" s="76">
        <f t="shared" ref="E58:AD58" si="24">SUM(E11:E56)</f>
        <v>543.09999999999991</v>
      </c>
      <c r="F58" s="76">
        <f t="shared" si="24"/>
        <v>543.09999999999991</v>
      </c>
      <c r="G58" s="76">
        <f t="shared" si="24"/>
        <v>543.09999999999991</v>
      </c>
      <c r="H58" s="76">
        <f t="shared" si="24"/>
        <v>543.09999999999991</v>
      </c>
      <c r="I58" s="76">
        <f t="shared" si="24"/>
        <v>543.09999999999991</v>
      </c>
      <c r="J58" s="76">
        <f t="shared" si="24"/>
        <v>543.09999999999991</v>
      </c>
      <c r="K58" s="76">
        <f t="shared" si="24"/>
        <v>543.09999999999991</v>
      </c>
      <c r="L58" s="76">
        <f t="shared" si="24"/>
        <v>543.09999999999991</v>
      </c>
      <c r="M58" s="76">
        <f t="shared" si="24"/>
        <v>539.69999999999993</v>
      </c>
      <c r="N58" s="76">
        <f t="shared" si="24"/>
        <v>539.19999999999993</v>
      </c>
      <c r="O58" s="76">
        <f t="shared" si="24"/>
        <v>539.19999999999993</v>
      </c>
      <c r="P58" s="76">
        <f t="shared" si="24"/>
        <v>538.5</v>
      </c>
      <c r="Q58" s="76">
        <f t="shared" si="24"/>
        <v>504.59999999999991</v>
      </c>
      <c r="R58" s="76">
        <f t="shared" si="24"/>
        <v>504.59999999999991</v>
      </c>
      <c r="S58" s="76">
        <f t="shared" si="24"/>
        <v>498.99999999999989</v>
      </c>
      <c r="T58" s="76">
        <f t="shared" si="24"/>
        <v>504.59999999999991</v>
      </c>
      <c r="U58" s="76">
        <f t="shared" si="24"/>
        <v>504.59999999999991</v>
      </c>
      <c r="V58" s="76">
        <f t="shared" si="24"/>
        <v>504.59999999999991</v>
      </c>
      <c r="W58" s="76">
        <f t="shared" si="24"/>
        <v>504.59999999999991</v>
      </c>
      <c r="X58" s="76">
        <f t="shared" si="24"/>
        <v>504.59999999999991</v>
      </c>
      <c r="Y58" s="76">
        <f t="shared" si="24"/>
        <v>504.59999999999991</v>
      </c>
      <c r="Z58" s="76">
        <f t="shared" si="24"/>
        <v>532.09999999999991</v>
      </c>
      <c r="AA58" s="76">
        <f t="shared" si="24"/>
        <v>532.09999999999991</v>
      </c>
      <c r="AB58" s="76">
        <f t="shared" ref="AB58:AC58" si="25">SUM(AB11:AB56)</f>
        <v>550.5</v>
      </c>
      <c r="AC58" s="76">
        <f t="shared" si="25"/>
        <v>549.89999999999986</v>
      </c>
      <c r="AD58" s="76">
        <f t="shared" si="24"/>
        <v>553.70000000000005</v>
      </c>
      <c r="AE58" s="76">
        <f t="shared" ref="AE58:AF58" si="26">SUM(AE11:AE56)</f>
        <v>552.59999999999991</v>
      </c>
      <c r="AF58" s="76">
        <f t="shared" si="26"/>
        <v>551.89999999999986</v>
      </c>
      <c r="AG58" s="93">
        <f>SUM(AG14:AG56)</f>
        <v>1042.4000000000001</v>
      </c>
      <c r="AH58" s="12">
        <f t="shared" si="8"/>
        <v>553.70000000000005</v>
      </c>
      <c r="AI58" s="11">
        <f t="shared" si="9"/>
        <v>498.99999999999989</v>
      </c>
      <c r="AK58" s="19"/>
    </row>
    <row r="59" spans="1:88" x14ac:dyDescent="0.25">
      <c r="A59" s="120" t="s">
        <v>208</v>
      </c>
      <c r="B59" s="102">
        <v>150</v>
      </c>
      <c r="C59" s="102">
        <v>80.599999999999994</v>
      </c>
      <c r="D59" s="102">
        <v>50.3</v>
      </c>
      <c r="E59" s="102">
        <v>90.5</v>
      </c>
      <c r="F59" s="102">
        <v>80.400000000000006</v>
      </c>
      <c r="G59" s="102">
        <v>160</v>
      </c>
      <c r="H59" s="102">
        <v>190</v>
      </c>
      <c r="I59" s="102">
        <v>307</v>
      </c>
      <c r="J59" s="102">
        <v>0</v>
      </c>
      <c r="K59" s="102">
        <v>0</v>
      </c>
      <c r="L59" s="102">
        <v>0</v>
      </c>
      <c r="M59" s="102">
        <v>0</v>
      </c>
      <c r="N59" s="119">
        <v>0</v>
      </c>
      <c r="O59" s="119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19">
        <v>0</v>
      </c>
      <c r="X59" s="119">
        <v>0</v>
      </c>
      <c r="Y59" s="102">
        <v>350</v>
      </c>
      <c r="Z59" s="102">
        <v>450</v>
      </c>
      <c r="AA59" s="102">
        <v>450</v>
      </c>
      <c r="AB59" s="102">
        <v>403.9</v>
      </c>
      <c r="AC59" s="102">
        <v>370</v>
      </c>
      <c r="AD59" s="102">
        <v>337</v>
      </c>
      <c r="AE59" s="102">
        <v>290</v>
      </c>
      <c r="AF59" s="102">
        <v>220</v>
      </c>
      <c r="AG59" s="88">
        <v>456</v>
      </c>
      <c r="AH59" s="12">
        <f t="shared" si="8"/>
        <v>450</v>
      </c>
      <c r="AI59" s="11">
        <f t="shared" si="9"/>
        <v>0</v>
      </c>
      <c r="AK59" s="19"/>
    </row>
    <row r="60" spans="1:88" x14ac:dyDescent="0.25">
      <c r="A60" s="118" t="s">
        <v>207</v>
      </c>
      <c r="B60" s="70">
        <v>22.7</v>
      </c>
      <c r="C60" s="70">
        <v>22.7</v>
      </c>
      <c r="D60" s="70">
        <v>22.7</v>
      </c>
      <c r="E60" s="70">
        <v>23.8</v>
      </c>
      <c r="F60" s="70">
        <v>23</v>
      </c>
      <c r="G60" s="70">
        <v>24.3</v>
      </c>
      <c r="H60" s="70">
        <v>23.5</v>
      </c>
      <c r="I60" s="70">
        <v>23</v>
      </c>
      <c r="J60" s="70">
        <v>22.8</v>
      </c>
      <c r="K60" s="70">
        <v>22.8</v>
      </c>
      <c r="L60" s="70">
        <v>22.9</v>
      </c>
      <c r="M60" s="70">
        <v>23.85</v>
      </c>
      <c r="N60" s="70">
        <v>22.7</v>
      </c>
      <c r="O60" s="70">
        <v>22.7</v>
      </c>
      <c r="P60" s="70">
        <v>22.8</v>
      </c>
      <c r="Q60" s="70">
        <v>22.8</v>
      </c>
      <c r="R60" s="70">
        <v>22.3</v>
      </c>
      <c r="S60" s="70">
        <v>22.3</v>
      </c>
      <c r="T60" s="70">
        <v>22.3</v>
      </c>
      <c r="U60" s="70">
        <v>22.3</v>
      </c>
      <c r="V60" s="70">
        <v>22.3</v>
      </c>
      <c r="W60" s="70">
        <v>22.3</v>
      </c>
      <c r="X60" s="70">
        <v>22.3</v>
      </c>
      <c r="Y60" s="70">
        <v>22.3</v>
      </c>
      <c r="Z60" s="70">
        <v>22.3</v>
      </c>
      <c r="AA60" s="70">
        <v>22.3</v>
      </c>
      <c r="AB60" s="70">
        <v>20.6</v>
      </c>
      <c r="AC60" s="70">
        <v>21</v>
      </c>
      <c r="AD60" s="70">
        <v>24</v>
      </c>
      <c r="AE60" s="70">
        <v>23.4</v>
      </c>
      <c r="AF60" s="70">
        <v>22.5</v>
      </c>
      <c r="AG60" s="86">
        <v>60</v>
      </c>
      <c r="AH60" s="12">
        <f t="shared" si="8"/>
        <v>24.3</v>
      </c>
      <c r="AI60" s="11">
        <f t="shared" si="9"/>
        <v>20.6</v>
      </c>
      <c r="AK60" s="19"/>
    </row>
    <row r="61" spans="1:88" ht="15.75" thickBot="1" x14ac:dyDescent="0.3">
      <c r="A61" s="117" t="s">
        <v>206</v>
      </c>
      <c r="B61" s="110">
        <v>18.899999999999999</v>
      </c>
      <c r="C61" s="110">
        <v>18.899999999999999</v>
      </c>
      <c r="D61" s="110">
        <v>18.899999999999999</v>
      </c>
      <c r="E61" s="110">
        <v>20.6</v>
      </c>
      <c r="F61" s="110">
        <v>18.3</v>
      </c>
      <c r="G61" s="110">
        <v>18.3</v>
      </c>
      <c r="H61" s="110">
        <v>18.3</v>
      </c>
      <c r="I61" s="110">
        <v>18.3</v>
      </c>
      <c r="J61" s="110">
        <v>18.3</v>
      </c>
      <c r="K61" s="110">
        <v>18.3</v>
      </c>
      <c r="L61" s="110">
        <v>18.3</v>
      </c>
      <c r="M61" s="110">
        <v>18.3</v>
      </c>
      <c r="N61" s="110">
        <v>19.600000000000001</v>
      </c>
      <c r="O61" s="110">
        <v>19.600000000000001</v>
      </c>
      <c r="P61" s="110">
        <v>19.600000000000001</v>
      </c>
      <c r="Q61" s="110">
        <v>15.1</v>
      </c>
      <c r="R61" s="110">
        <v>15.1</v>
      </c>
      <c r="S61" s="110">
        <v>15.1</v>
      </c>
      <c r="T61" s="110">
        <v>15.1</v>
      </c>
      <c r="U61" s="110">
        <v>15.1</v>
      </c>
      <c r="V61" s="110">
        <v>15.1</v>
      </c>
      <c r="W61" s="110">
        <v>15.1</v>
      </c>
      <c r="X61" s="110">
        <v>15.1</v>
      </c>
      <c r="Y61" s="110">
        <v>22.2</v>
      </c>
      <c r="Z61" s="110">
        <v>22.2</v>
      </c>
      <c r="AA61" s="110">
        <v>22.2</v>
      </c>
      <c r="AB61" s="110">
        <v>22.4</v>
      </c>
      <c r="AC61" s="110">
        <v>22.4</v>
      </c>
      <c r="AD61" s="110">
        <v>22.4</v>
      </c>
      <c r="AE61" s="110">
        <v>22.4</v>
      </c>
      <c r="AF61" s="110">
        <v>22.4</v>
      </c>
      <c r="AG61" s="109">
        <v>22.1</v>
      </c>
      <c r="AH61" s="12">
        <f t="shared" si="8"/>
        <v>22.4</v>
      </c>
      <c r="AI61" s="11">
        <f t="shared" si="9"/>
        <v>15.1</v>
      </c>
      <c r="AK61" s="19"/>
    </row>
    <row r="62" spans="1:88" ht="15.75" thickBot="1" x14ac:dyDescent="0.3">
      <c r="A62" s="116" t="s">
        <v>205</v>
      </c>
      <c r="B62" s="76">
        <f t="shared" ref="B62:D62" si="27">SUM(B59:B61)</f>
        <v>191.6</v>
      </c>
      <c r="C62" s="76">
        <f t="shared" si="27"/>
        <v>122.19999999999999</v>
      </c>
      <c r="D62" s="76">
        <f t="shared" si="27"/>
        <v>91.9</v>
      </c>
      <c r="E62" s="76">
        <f t="shared" ref="E62:AG62" si="28">SUM(E59:E61)</f>
        <v>134.9</v>
      </c>
      <c r="F62" s="76">
        <f t="shared" si="28"/>
        <v>121.7</v>
      </c>
      <c r="G62" s="76">
        <f t="shared" si="28"/>
        <v>202.60000000000002</v>
      </c>
      <c r="H62" s="76">
        <f t="shared" si="28"/>
        <v>231.8</v>
      </c>
      <c r="I62" s="76">
        <f t="shared" si="28"/>
        <v>348.3</v>
      </c>
      <c r="J62" s="76">
        <f t="shared" si="28"/>
        <v>41.1</v>
      </c>
      <c r="K62" s="76">
        <f t="shared" si="28"/>
        <v>41.1</v>
      </c>
      <c r="L62" s="76">
        <f t="shared" si="28"/>
        <v>41.2</v>
      </c>
      <c r="M62" s="76">
        <f t="shared" si="28"/>
        <v>42.150000000000006</v>
      </c>
      <c r="N62" s="76">
        <f t="shared" si="28"/>
        <v>42.3</v>
      </c>
      <c r="O62" s="76">
        <f t="shared" si="28"/>
        <v>42.3</v>
      </c>
      <c r="P62" s="76">
        <f>SUM(P59:P61)</f>
        <v>42.400000000000006</v>
      </c>
      <c r="Q62" s="76">
        <f t="shared" si="28"/>
        <v>37.9</v>
      </c>
      <c r="R62" s="76">
        <f t="shared" si="28"/>
        <v>37.4</v>
      </c>
      <c r="S62" s="76">
        <f t="shared" si="28"/>
        <v>37.4</v>
      </c>
      <c r="T62" s="76">
        <f t="shared" si="28"/>
        <v>37.4</v>
      </c>
      <c r="U62" s="76">
        <f t="shared" si="28"/>
        <v>37.4</v>
      </c>
      <c r="V62" s="76">
        <f t="shared" si="28"/>
        <v>37.4</v>
      </c>
      <c r="W62" s="76">
        <f t="shared" si="28"/>
        <v>37.4</v>
      </c>
      <c r="X62" s="76">
        <f t="shared" si="28"/>
        <v>37.4</v>
      </c>
      <c r="Y62" s="76">
        <f t="shared" si="28"/>
        <v>394.5</v>
      </c>
      <c r="Z62" s="76">
        <f t="shared" si="28"/>
        <v>494.5</v>
      </c>
      <c r="AA62" s="76">
        <f t="shared" si="28"/>
        <v>494.5</v>
      </c>
      <c r="AB62" s="76">
        <f t="shared" si="28"/>
        <v>446.9</v>
      </c>
      <c r="AC62" s="76">
        <f t="shared" si="28"/>
        <v>413.4</v>
      </c>
      <c r="AD62" s="76">
        <f t="shared" si="28"/>
        <v>383.4</v>
      </c>
      <c r="AE62" s="76">
        <f t="shared" si="28"/>
        <v>335.79999999999995</v>
      </c>
      <c r="AF62" s="76">
        <f t="shared" si="28"/>
        <v>264.89999999999998</v>
      </c>
      <c r="AG62" s="93">
        <f t="shared" si="28"/>
        <v>538.1</v>
      </c>
      <c r="AH62" s="12">
        <f t="shared" si="8"/>
        <v>494.5</v>
      </c>
      <c r="AI62" s="11">
        <f t="shared" si="9"/>
        <v>37.4</v>
      </c>
      <c r="AK62" s="19"/>
    </row>
    <row r="63" spans="1:88" x14ac:dyDescent="0.25">
      <c r="A63" s="89" t="s">
        <v>204</v>
      </c>
      <c r="B63" s="102">
        <v>100.1</v>
      </c>
      <c r="C63" s="102">
        <v>81.400000000000006</v>
      </c>
      <c r="D63" s="102">
        <v>81.099999999999994</v>
      </c>
      <c r="E63" s="102">
        <v>40.9</v>
      </c>
      <c r="F63" s="102">
        <v>30.1</v>
      </c>
      <c r="G63" s="102">
        <v>31.1</v>
      </c>
      <c r="H63" s="102">
        <v>30</v>
      </c>
      <c r="I63" s="102">
        <v>30.8</v>
      </c>
      <c r="J63" s="102">
        <v>87.5</v>
      </c>
      <c r="K63" s="102">
        <v>92</v>
      </c>
      <c r="L63" s="102">
        <v>70</v>
      </c>
      <c r="M63" s="102">
        <v>71.3</v>
      </c>
      <c r="N63" s="102">
        <v>61.9</v>
      </c>
      <c r="O63" s="102">
        <v>71.7</v>
      </c>
      <c r="P63" s="102">
        <v>71.099999999999994</v>
      </c>
      <c r="Q63" s="102">
        <v>60.4</v>
      </c>
      <c r="R63" s="102">
        <v>61.4</v>
      </c>
      <c r="S63" s="102">
        <v>61.4</v>
      </c>
      <c r="T63" s="102">
        <v>61.4</v>
      </c>
      <c r="U63" s="102">
        <v>61.4</v>
      </c>
      <c r="V63" s="102">
        <v>61.4</v>
      </c>
      <c r="W63" s="102">
        <v>61.4</v>
      </c>
      <c r="X63" s="102">
        <v>61.4</v>
      </c>
      <c r="Y63" s="102">
        <v>135.30000000000001</v>
      </c>
      <c r="Z63" s="102">
        <v>141</v>
      </c>
      <c r="AA63" s="102">
        <v>141</v>
      </c>
      <c r="AB63" s="102">
        <v>141.69999999999999</v>
      </c>
      <c r="AC63" s="102">
        <v>141.19999999999999</v>
      </c>
      <c r="AD63" s="102">
        <v>131.4</v>
      </c>
      <c r="AE63" s="102">
        <v>102</v>
      </c>
      <c r="AF63" s="102">
        <v>81.099999999999994</v>
      </c>
      <c r="AG63" s="88">
        <v>144</v>
      </c>
      <c r="AH63" s="12">
        <f t="shared" si="8"/>
        <v>141.69999999999999</v>
      </c>
      <c r="AI63" s="11">
        <f t="shared" si="9"/>
        <v>30</v>
      </c>
      <c r="AK63" s="19"/>
    </row>
    <row r="64" spans="1:88" x14ac:dyDescent="0.25">
      <c r="A64" s="87" t="s">
        <v>203</v>
      </c>
      <c r="B64" s="70">
        <v>59.7</v>
      </c>
      <c r="C64" s="70">
        <v>66.2</v>
      </c>
      <c r="D64" s="70">
        <v>50.8</v>
      </c>
      <c r="E64" s="70">
        <v>45.5</v>
      </c>
      <c r="F64" s="70">
        <v>44.5</v>
      </c>
      <c r="G64" s="70">
        <v>25.1</v>
      </c>
      <c r="H64" s="70">
        <v>25.2</v>
      </c>
      <c r="I64" s="70">
        <v>25.1</v>
      </c>
      <c r="J64" s="70">
        <v>45.9</v>
      </c>
      <c r="K64" s="70">
        <v>44.7</v>
      </c>
      <c r="L64" s="70">
        <v>24.6</v>
      </c>
      <c r="M64" s="70">
        <v>24</v>
      </c>
      <c r="N64" s="70">
        <v>23.3</v>
      </c>
      <c r="O64" s="70">
        <v>29.3</v>
      </c>
      <c r="P64" s="70">
        <v>29.9</v>
      </c>
      <c r="Q64" s="70">
        <v>35.1</v>
      </c>
      <c r="R64" s="70">
        <v>47</v>
      </c>
      <c r="S64" s="70">
        <v>47</v>
      </c>
      <c r="T64" s="70">
        <v>47</v>
      </c>
      <c r="U64" s="70">
        <v>47</v>
      </c>
      <c r="V64" s="70">
        <v>47</v>
      </c>
      <c r="W64" s="70">
        <v>25.3</v>
      </c>
      <c r="X64" s="70">
        <v>25.3</v>
      </c>
      <c r="Y64" s="70">
        <v>48.5</v>
      </c>
      <c r="Z64" s="102">
        <v>59</v>
      </c>
      <c r="AA64" s="102">
        <v>59</v>
      </c>
      <c r="AB64" s="102">
        <v>55.2</v>
      </c>
      <c r="AC64" s="102">
        <v>55.6</v>
      </c>
      <c r="AD64" s="102">
        <v>55.9</v>
      </c>
      <c r="AE64" s="102">
        <v>59.3</v>
      </c>
      <c r="AF64" s="102">
        <v>69.3</v>
      </c>
      <c r="AG64" s="86">
        <v>70</v>
      </c>
      <c r="AH64" s="12">
        <f t="shared" si="8"/>
        <v>69.3</v>
      </c>
      <c r="AI64" s="11">
        <f t="shared" si="9"/>
        <v>23.3</v>
      </c>
      <c r="AK64" s="19"/>
    </row>
    <row r="65" spans="1:75" x14ac:dyDescent="0.25">
      <c r="A65" s="87" t="s">
        <v>202</v>
      </c>
      <c r="B65" s="70">
        <v>39.5</v>
      </c>
      <c r="C65" s="70">
        <v>32.6</v>
      </c>
      <c r="D65" s="70">
        <v>39.5</v>
      </c>
      <c r="E65" s="70">
        <v>45.4</v>
      </c>
      <c r="F65" s="70">
        <v>45.5</v>
      </c>
      <c r="G65" s="70">
        <v>46</v>
      </c>
      <c r="H65" s="70">
        <v>53.5</v>
      </c>
      <c r="I65" s="70">
        <v>53.7</v>
      </c>
      <c r="J65" s="70">
        <v>49</v>
      </c>
      <c r="K65" s="70">
        <v>53.8</v>
      </c>
      <c r="L65" s="70">
        <v>52.4</v>
      </c>
      <c r="M65" s="70">
        <v>67.2</v>
      </c>
      <c r="N65" s="70">
        <v>52</v>
      </c>
      <c r="O65" s="70">
        <v>52</v>
      </c>
      <c r="P65" s="70">
        <v>68.7</v>
      </c>
      <c r="Q65" s="70">
        <v>45.1</v>
      </c>
      <c r="R65" s="70">
        <v>45.1</v>
      </c>
      <c r="S65" s="70">
        <v>16</v>
      </c>
      <c r="T65" s="70">
        <v>16</v>
      </c>
      <c r="U65" s="70">
        <v>16</v>
      </c>
      <c r="V65" s="70">
        <v>0</v>
      </c>
      <c r="W65" s="70">
        <v>0</v>
      </c>
      <c r="X65" s="70">
        <v>0</v>
      </c>
      <c r="Y65" s="70">
        <v>66.099999999999994</v>
      </c>
      <c r="Z65" s="102">
        <v>57</v>
      </c>
      <c r="AA65" s="102">
        <v>57</v>
      </c>
      <c r="AB65" s="102">
        <v>57</v>
      </c>
      <c r="AC65" s="102">
        <v>69.900000000000006</v>
      </c>
      <c r="AD65" s="102">
        <v>69.099999999999994</v>
      </c>
      <c r="AE65" s="102">
        <v>66.5</v>
      </c>
      <c r="AF65" s="102">
        <v>69.5</v>
      </c>
      <c r="AG65" s="86">
        <v>69</v>
      </c>
      <c r="AH65" s="12">
        <f t="shared" si="8"/>
        <v>69.900000000000006</v>
      </c>
      <c r="AI65" s="11">
        <f t="shared" si="9"/>
        <v>0</v>
      </c>
      <c r="AK65" s="19"/>
    </row>
    <row r="66" spans="1:75" x14ac:dyDescent="0.25">
      <c r="A66" s="87" t="s">
        <v>201</v>
      </c>
      <c r="B66" s="70">
        <v>52.4</v>
      </c>
      <c r="C66" s="70">
        <v>52.4</v>
      </c>
      <c r="D66" s="70">
        <v>56.2</v>
      </c>
      <c r="E66" s="70">
        <v>57.2</v>
      </c>
      <c r="F66" s="70">
        <v>57.2</v>
      </c>
      <c r="G66" s="70">
        <v>57.4</v>
      </c>
      <c r="H66" s="70">
        <v>57.4</v>
      </c>
      <c r="I66" s="70">
        <v>57.2</v>
      </c>
      <c r="J66" s="70">
        <v>57.2</v>
      </c>
      <c r="K66" s="122">
        <v>57</v>
      </c>
      <c r="L66" s="122">
        <v>57</v>
      </c>
      <c r="M66" s="70">
        <v>54.9</v>
      </c>
      <c r="N66" s="70">
        <v>54.9</v>
      </c>
      <c r="O66" s="70">
        <v>53.4</v>
      </c>
      <c r="P66" s="70">
        <v>53.4</v>
      </c>
      <c r="Q66" s="70">
        <v>53.4</v>
      </c>
      <c r="R66" s="70">
        <v>53.4</v>
      </c>
      <c r="S66" s="70">
        <v>53.4</v>
      </c>
      <c r="T66" s="70">
        <v>53.4</v>
      </c>
      <c r="U66" s="70">
        <v>50.4</v>
      </c>
      <c r="V66" s="70">
        <v>46.3</v>
      </c>
      <c r="W66" s="70">
        <v>46.3</v>
      </c>
      <c r="X66" s="70">
        <v>46.3</v>
      </c>
      <c r="Y66" s="70">
        <v>50.2</v>
      </c>
      <c r="Z66" s="102">
        <v>50.2</v>
      </c>
      <c r="AA66" s="102">
        <v>50.2</v>
      </c>
      <c r="AB66" s="102">
        <v>52.4</v>
      </c>
      <c r="AC66" s="102">
        <v>52.4</v>
      </c>
      <c r="AD66" s="102">
        <v>51.4</v>
      </c>
      <c r="AE66" s="102">
        <v>55.4</v>
      </c>
      <c r="AF66" s="102">
        <v>60.2</v>
      </c>
      <c r="AG66" s="86">
        <v>60</v>
      </c>
      <c r="AH66" s="12">
        <f t="shared" si="8"/>
        <v>60.2</v>
      </c>
      <c r="AI66" s="11">
        <f t="shared" si="9"/>
        <v>46.3</v>
      </c>
      <c r="AK66" s="19"/>
    </row>
    <row r="67" spans="1:75" x14ac:dyDescent="0.25">
      <c r="A67" s="87" t="s">
        <v>200</v>
      </c>
      <c r="B67" s="102">
        <v>14.6</v>
      </c>
      <c r="C67" s="102">
        <v>0</v>
      </c>
      <c r="D67" s="102">
        <v>0</v>
      </c>
      <c r="E67" s="70">
        <v>0</v>
      </c>
      <c r="F67" s="70">
        <v>0</v>
      </c>
      <c r="G67" s="70">
        <v>28.9</v>
      </c>
      <c r="H67" s="70">
        <v>28.7</v>
      </c>
      <c r="I67" s="70">
        <v>28.5</v>
      </c>
      <c r="J67" s="70">
        <v>10.199999999999999</v>
      </c>
      <c r="K67" s="70">
        <v>10.7</v>
      </c>
      <c r="L67" s="122">
        <v>10.6</v>
      </c>
      <c r="M67" s="70">
        <v>10.5</v>
      </c>
      <c r="N67" s="70">
        <v>10.3</v>
      </c>
      <c r="O67" s="70">
        <v>14.9</v>
      </c>
      <c r="P67" s="70">
        <v>14.9</v>
      </c>
      <c r="Q67" s="70">
        <v>14.8</v>
      </c>
      <c r="R67" s="70">
        <v>14.8</v>
      </c>
      <c r="S67" s="70">
        <v>14.8</v>
      </c>
      <c r="T67" s="70">
        <v>0</v>
      </c>
      <c r="U67" s="70">
        <v>0</v>
      </c>
      <c r="V67" s="70">
        <v>0</v>
      </c>
      <c r="W67" s="70">
        <v>0</v>
      </c>
      <c r="X67" s="70">
        <v>0</v>
      </c>
      <c r="Y67" s="70">
        <v>29.8</v>
      </c>
      <c r="Z67" s="102">
        <v>29.8</v>
      </c>
      <c r="AA67" s="102">
        <v>29.8</v>
      </c>
      <c r="AB67" s="102">
        <v>23</v>
      </c>
      <c r="AC67" s="102">
        <v>22.7</v>
      </c>
      <c r="AD67" s="102">
        <v>22.5</v>
      </c>
      <c r="AE67" s="102">
        <v>22.6</v>
      </c>
      <c r="AF67" s="102">
        <v>10</v>
      </c>
      <c r="AG67" s="86">
        <v>30</v>
      </c>
      <c r="AH67" s="12">
        <f t="shared" si="8"/>
        <v>29.8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25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0.2</v>
      </c>
      <c r="J68" s="102">
        <v>1.1000000000000001</v>
      </c>
      <c r="K68" s="102">
        <v>1.8</v>
      </c>
      <c r="L68" s="70">
        <v>3</v>
      </c>
      <c r="M68" s="70">
        <v>5.4</v>
      </c>
      <c r="N68" s="70">
        <v>9.5</v>
      </c>
      <c r="O68" s="70">
        <v>12.4</v>
      </c>
      <c r="P68" s="70">
        <v>13.6</v>
      </c>
      <c r="Q68" s="70">
        <v>14.3</v>
      </c>
      <c r="R68" s="70">
        <v>14.3</v>
      </c>
      <c r="S68" s="70">
        <v>10.5</v>
      </c>
      <c r="T68" s="70">
        <v>8.6</v>
      </c>
      <c r="U68" s="70">
        <v>5.0999999999999996</v>
      </c>
      <c r="V68" s="70">
        <v>2.1</v>
      </c>
      <c r="W68" s="70">
        <v>1.1000000000000001</v>
      </c>
      <c r="X68" s="70">
        <v>0.2</v>
      </c>
      <c r="Y68" s="70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14.3</v>
      </c>
      <c r="AI68" s="11">
        <f t="shared" si="9"/>
        <v>0</v>
      </c>
      <c r="AK68" s="19"/>
      <c r="AY68" s="1" t="s">
        <v>198</v>
      </c>
      <c r="AZ68" s="78">
        <f>ROUND(C81,0)</f>
        <v>20</v>
      </c>
      <c r="BA68" s="83">
        <f t="shared" ref="BA68:BD72" si="29">D81</f>
        <v>17.3</v>
      </c>
      <c r="BB68" s="83">
        <f t="shared" si="29"/>
        <v>15</v>
      </c>
      <c r="BC68" s="83">
        <f t="shared" si="29"/>
        <v>13.2</v>
      </c>
      <c r="BD68" s="83">
        <f t="shared" si="29"/>
        <v>14.9</v>
      </c>
      <c r="BE68" s="78">
        <f>I81</f>
        <v>19.600000000000001</v>
      </c>
      <c r="BF68" s="78">
        <f>K81</f>
        <v>61.7</v>
      </c>
      <c r="BG68" s="78">
        <f t="shared" ref="BG68:BP72" si="30">M81</f>
        <v>64.2</v>
      </c>
      <c r="BH68" s="78">
        <f t="shared" si="30"/>
        <v>55.3</v>
      </c>
      <c r="BI68" s="78">
        <f t="shared" si="30"/>
        <v>77</v>
      </c>
      <c r="BJ68" s="78">
        <f t="shared" si="30"/>
        <v>73.2</v>
      </c>
      <c r="BK68" s="78">
        <f t="shared" si="30"/>
        <v>73.400000000000006</v>
      </c>
      <c r="BL68" s="78">
        <f t="shared" si="30"/>
        <v>50.8</v>
      </c>
      <c r="BM68" s="78">
        <f t="shared" si="30"/>
        <v>54</v>
      </c>
      <c r="BN68" s="78">
        <f t="shared" si="30"/>
        <v>58.7</v>
      </c>
      <c r="BO68" s="78">
        <f t="shared" si="30"/>
        <v>62.4</v>
      </c>
      <c r="BP68" s="78">
        <f t="shared" si="30"/>
        <v>58.5</v>
      </c>
      <c r="BQ68" s="78">
        <f>X81</f>
        <v>63.7</v>
      </c>
      <c r="BR68" s="78">
        <f>Z81</f>
        <v>31.3</v>
      </c>
      <c r="BS68" s="83">
        <f>AB81</f>
        <v>14.9</v>
      </c>
      <c r="BT68" s="83">
        <f t="shared" ref="BT68:BV72" si="31">AD81</f>
        <v>13.2</v>
      </c>
      <c r="BU68" s="83">
        <f t="shared" si="31"/>
        <v>8.6</v>
      </c>
      <c r="BV68" s="83">
        <f t="shared" si="31"/>
        <v>5.4</v>
      </c>
      <c r="BW68" s="83">
        <f>B81</f>
        <v>7.3</v>
      </c>
    </row>
    <row r="69" spans="1:75" x14ac:dyDescent="0.25">
      <c r="A69" s="87" t="s">
        <v>197</v>
      </c>
      <c r="B69" s="70">
        <v>15</v>
      </c>
      <c r="C69" s="70">
        <v>15</v>
      </c>
      <c r="D69" s="70">
        <v>15</v>
      </c>
      <c r="E69" s="70">
        <v>15</v>
      </c>
      <c r="F69" s="70">
        <v>15</v>
      </c>
      <c r="G69" s="70">
        <v>15</v>
      </c>
      <c r="H69" s="70">
        <v>15</v>
      </c>
      <c r="I69" s="70">
        <v>15</v>
      </c>
      <c r="J69" s="70">
        <v>15</v>
      </c>
      <c r="K69" s="70">
        <v>15</v>
      </c>
      <c r="L69" s="70">
        <v>15</v>
      </c>
      <c r="M69" s="70">
        <v>15</v>
      </c>
      <c r="N69" s="70">
        <v>15</v>
      </c>
      <c r="O69" s="70">
        <v>15</v>
      </c>
      <c r="P69" s="70">
        <v>15</v>
      </c>
      <c r="Q69" s="70">
        <v>15</v>
      </c>
      <c r="R69" s="70">
        <v>15</v>
      </c>
      <c r="S69" s="70">
        <v>15</v>
      </c>
      <c r="T69" s="70">
        <v>15</v>
      </c>
      <c r="U69" s="70">
        <v>15</v>
      </c>
      <c r="V69" s="70">
        <v>15</v>
      </c>
      <c r="W69" s="70">
        <v>15</v>
      </c>
      <c r="X69" s="70">
        <v>15</v>
      </c>
      <c r="Y69" s="70">
        <v>15</v>
      </c>
      <c r="Z69" s="70">
        <v>15</v>
      </c>
      <c r="AA69" s="70">
        <v>15</v>
      </c>
      <c r="AB69" s="70">
        <v>15</v>
      </c>
      <c r="AC69" s="70">
        <v>15</v>
      </c>
      <c r="AD69" s="70">
        <v>15</v>
      </c>
      <c r="AE69" s="70">
        <v>15</v>
      </c>
      <c r="AF69" s="70">
        <v>15</v>
      </c>
      <c r="AG69" s="86">
        <v>24</v>
      </c>
      <c r="AH69" s="12">
        <f t="shared" si="8"/>
        <v>15</v>
      </c>
      <c r="AI69" s="11">
        <f t="shared" si="9"/>
        <v>15</v>
      </c>
      <c r="AK69" s="19"/>
      <c r="AY69" s="1" t="s">
        <v>196</v>
      </c>
      <c r="AZ69" s="78">
        <f>ROUND(C82,0)</f>
        <v>0</v>
      </c>
      <c r="BA69" s="83">
        <f t="shared" si="29"/>
        <v>0</v>
      </c>
      <c r="BB69" s="83">
        <f t="shared" si="29"/>
        <v>0</v>
      </c>
      <c r="BC69" s="83">
        <f t="shared" si="29"/>
        <v>0</v>
      </c>
      <c r="BD69" s="83">
        <f t="shared" si="29"/>
        <v>0</v>
      </c>
      <c r="BE69" s="78">
        <f>I82</f>
        <v>0</v>
      </c>
      <c r="BF69" s="78">
        <f>K82</f>
        <v>0</v>
      </c>
      <c r="BG69" s="78">
        <f t="shared" si="30"/>
        <v>0</v>
      </c>
      <c r="BH69" s="78">
        <f t="shared" si="30"/>
        <v>0</v>
      </c>
      <c r="BI69" s="78">
        <f t="shared" si="30"/>
        <v>0</v>
      </c>
      <c r="BJ69" s="78">
        <f t="shared" si="30"/>
        <v>0</v>
      </c>
      <c r="BK69" s="78">
        <f t="shared" si="30"/>
        <v>0</v>
      </c>
      <c r="BL69" s="78">
        <f t="shared" si="30"/>
        <v>0</v>
      </c>
      <c r="BM69" s="78">
        <f t="shared" si="30"/>
        <v>0</v>
      </c>
      <c r="BN69" s="78">
        <f t="shared" si="30"/>
        <v>0</v>
      </c>
      <c r="BO69" s="78">
        <f t="shared" si="30"/>
        <v>0</v>
      </c>
      <c r="BP69" s="78">
        <f t="shared" si="30"/>
        <v>0</v>
      </c>
      <c r="BQ69" s="78">
        <f>X82</f>
        <v>0</v>
      </c>
      <c r="BR69" s="78">
        <f>Z82</f>
        <v>0</v>
      </c>
      <c r="BS69" s="83">
        <f>AB82</f>
        <v>0</v>
      </c>
      <c r="BT69" s="83">
        <f t="shared" si="31"/>
        <v>0</v>
      </c>
      <c r="BU69" s="83">
        <f t="shared" si="31"/>
        <v>0</v>
      </c>
      <c r="BV69" s="83">
        <f t="shared" si="31"/>
        <v>0</v>
      </c>
      <c r="BW69" s="83">
        <f>B82</f>
        <v>0</v>
      </c>
    </row>
    <row r="70" spans="1:75" x14ac:dyDescent="0.25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4</v>
      </c>
      <c r="BA70" s="83">
        <f t="shared" si="29"/>
        <v>10</v>
      </c>
      <c r="BB70" s="83">
        <f t="shared" si="29"/>
        <v>0</v>
      </c>
      <c r="BC70" s="83">
        <f t="shared" si="29"/>
        <v>5.4</v>
      </c>
      <c r="BD70" s="83">
        <f t="shared" si="29"/>
        <v>0.2</v>
      </c>
      <c r="BE70" s="78">
        <f>I83</f>
        <v>9.3000000000000007</v>
      </c>
      <c r="BF70" s="78">
        <f>K83</f>
        <v>473</v>
      </c>
      <c r="BG70" s="78">
        <f t="shared" si="30"/>
        <v>510.7</v>
      </c>
      <c r="BH70" s="78">
        <f t="shared" si="30"/>
        <v>532.5</v>
      </c>
      <c r="BI70" s="78">
        <f t="shared" si="30"/>
        <v>571.70000000000005</v>
      </c>
      <c r="BJ70" s="78">
        <f t="shared" si="30"/>
        <v>534.6</v>
      </c>
      <c r="BK70" s="78">
        <f t="shared" si="30"/>
        <v>558</v>
      </c>
      <c r="BL70" s="78">
        <f t="shared" si="30"/>
        <v>572.79999999999995</v>
      </c>
      <c r="BM70" s="78">
        <f t="shared" si="30"/>
        <v>557</v>
      </c>
      <c r="BN70" s="78">
        <f t="shared" si="30"/>
        <v>495</v>
      </c>
      <c r="BO70" s="78">
        <f t="shared" si="30"/>
        <v>521.9</v>
      </c>
      <c r="BP70" s="78">
        <f t="shared" si="30"/>
        <v>472</v>
      </c>
      <c r="BQ70" s="78">
        <f>X83</f>
        <v>461</v>
      </c>
      <c r="BR70" s="78">
        <f>Z83</f>
        <v>11.7</v>
      </c>
      <c r="BS70" s="83">
        <f>AB83</f>
        <v>-5</v>
      </c>
      <c r="BT70" s="83">
        <f t="shared" si="31"/>
        <v>0.5</v>
      </c>
      <c r="BU70" s="83">
        <f t="shared" si="31"/>
        <v>-2.4</v>
      </c>
      <c r="BV70" s="83">
        <f t="shared" si="31"/>
        <v>0</v>
      </c>
      <c r="BW70" s="83">
        <f>B83</f>
        <v>9.1</v>
      </c>
    </row>
    <row r="71" spans="1:75" s="115" customFormat="1" x14ac:dyDescent="0.25">
      <c r="A71" s="87" t="s">
        <v>193</v>
      </c>
      <c r="B71" s="70">
        <v>12.6</v>
      </c>
      <c r="C71" s="70">
        <v>12.6</v>
      </c>
      <c r="D71" s="70">
        <v>12.6</v>
      </c>
      <c r="E71" s="70">
        <v>12.6</v>
      </c>
      <c r="F71" s="70">
        <v>12.6</v>
      </c>
      <c r="G71" s="70">
        <v>12.6</v>
      </c>
      <c r="H71" s="70">
        <v>12.6</v>
      </c>
      <c r="I71" s="70">
        <v>12.6</v>
      </c>
      <c r="J71" s="70">
        <v>12.6</v>
      </c>
      <c r="K71" s="70">
        <v>12.6</v>
      </c>
      <c r="L71" s="70">
        <v>12.6</v>
      </c>
      <c r="M71" s="70">
        <v>12.6</v>
      </c>
      <c r="N71" s="70">
        <v>11</v>
      </c>
      <c r="O71" s="70">
        <v>11</v>
      </c>
      <c r="P71" s="70">
        <v>11</v>
      </c>
      <c r="Q71" s="70">
        <v>11</v>
      </c>
      <c r="R71" s="70">
        <v>11</v>
      </c>
      <c r="S71" s="70">
        <v>11</v>
      </c>
      <c r="T71" s="70">
        <v>11</v>
      </c>
      <c r="U71" s="70">
        <v>11</v>
      </c>
      <c r="V71" s="70">
        <v>11</v>
      </c>
      <c r="W71" s="70">
        <v>11</v>
      </c>
      <c r="X71" s="70">
        <v>11</v>
      </c>
      <c r="Y71" s="70">
        <v>11</v>
      </c>
      <c r="Z71" s="70">
        <v>11</v>
      </c>
      <c r="AA71" s="70">
        <v>11</v>
      </c>
      <c r="AB71" s="70">
        <v>12.5</v>
      </c>
      <c r="AC71" s="70">
        <v>13</v>
      </c>
      <c r="AD71" s="70">
        <v>13</v>
      </c>
      <c r="AE71" s="70">
        <v>13</v>
      </c>
      <c r="AF71" s="70">
        <v>12.9</v>
      </c>
      <c r="AG71" s="86">
        <v>14.1</v>
      </c>
      <c r="AH71" s="12">
        <f t="shared" si="8"/>
        <v>13</v>
      </c>
      <c r="AI71" s="11">
        <f t="shared" si="9"/>
        <v>11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29"/>
        <v>0</v>
      </c>
      <c r="BB71" s="83">
        <f t="shared" si="29"/>
        <v>0</v>
      </c>
      <c r="BC71" s="83">
        <f t="shared" si="29"/>
        <v>0</v>
      </c>
      <c r="BD71" s="83">
        <f t="shared" si="29"/>
        <v>0</v>
      </c>
      <c r="BE71" s="78">
        <f>I84</f>
        <v>0</v>
      </c>
      <c r="BF71" s="78">
        <f>K84</f>
        <v>35</v>
      </c>
      <c r="BG71" s="78">
        <f t="shared" si="30"/>
        <v>39.200000000000003</v>
      </c>
      <c r="BH71" s="78">
        <f t="shared" si="30"/>
        <v>40.799999999999997</v>
      </c>
      <c r="BI71" s="78">
        <f t="shared" si="30"/>
        <v>41.3</v>
      </c>
      <c r="BJ71" s="78">
        <f t="shared" si="30"/>
        <v>38.9</v>
      </c>
      <c r="BK71" s="78">
        <f t="shared" si="30"/>
        <v>38.200000000000003</v>
      </c>
      <c r="BL71" s="78">
        <f t="shared" si="30"/>
        <v>53.3</v>
      </c>
      <c r="BM71" s="78">
        <f t="shared" si="30"/>
        <v>54.1</v>
      </c>
      <c r="BN71" s="78">
        <f t="shared" si="30"/>
        <v>21</v>
      </c>
      <c r="BO71" s="78">
        <f t="shared" si="30"/>
        <v>45.5</v>
      </c>
      <c r="BP71" s="78">
        <f t="shared" si="30"/>
        <v>50.5</v>
      </c>
      <c r="BQ71" s="78">
        <f>X84</f>
        <v>16.100000000000001</v>
      </c>
      <c r="BR71" s="78">
        <f>Z84</f>
        <v>0</v>
      </c>
      <c r="BS71" s="83">
        <f>AB84</f>
        <v>0</v>
      </c>
      <c r="BT71" s="83">
        <f t="shared" si="31"/>
        <v>0</v>
      </c>
      <c r="BU71" s="83">
        <f t="shared" si="31"/>
        <v>0</v>
      </c>
      <c r="BV71" s="83">
        <f t="shared" si="31"/>
        <v>0</v>
      </c>
      <c r="BW71" s="83">
        <f>B84</f>
        <v>0</v>
      </c>
    </row>
    <row r="72" spans="1:75" x14ac:dyDescent="0.25">
      <c r="A72" s="111" t="s">
        <v>191</v>
      </c>
      <c r="B72" s="70">
        <v>7</v>
      </c>
      <c r="C72" s="70">
        <v>7</v>
      </c>
      <c r="D72" s="70">
        <v>7</v>
      </c>
      <c r="E72" s="70">
        <v>7</v>
      </c>
      <c r="F72" s="70">
        <v>7</v>
      </c>
      <c r="G72" s="70">
        <v>7</v>
      </c>
      <c r="H72" s="70">
        <v>7</v>
      </c>
      <c r="I72" s="70">
        <v>7</v>
      </c>
      <c r="J72" s="70">
        <v>7</v>
      </c>
      <c r="K72" s="70">
        <v>7</v>
      </c>
      <c r="L72" s="70">
        <v>7</v>
      </c>
      <c r="M72" s="70">
        <v>7</v>
      </c>
      <c r="N72" s="70">
        <v>6.9</v>
      </c>
      <c r="O72" s="70">
        <v>6.9</v>
      </c>
      <c r="P72" s="70">
        <v>6.9</v>
      </c>
      <c r="Q72" s="70">
        <v>6.9</v>
      </c>
      <c r="R72" s="70">
        <v>6.9</v>
      </c>
      <c r="S72" s="70">
        <v>6.9</v>
      </c>
      <c r="T72" s="70">
        <v>6.9</v>
      </c>
      <c r="U72" s="70">
        <v>6.9</v>
      </c>
      <c r="V72" s="70">
        <v>6.9</v>
      </c>
      <c r="W72" s="70">
        <v>6.9</v>
      </c>
      <c r="X72" s="70">
        <v>6.9</v>
      </c>
      <c r="Y72" s="70">
        <v>7.2</v>
      </c>
      <c r="Z72" s="70">
        <v>7.2</v>
      </c>
      <c r="AA72" s="70">
        <v>7.2</v>
      </c>
      <c r="AB72" s="70">
        <v>10.1</v>
      </c>
      <c r="AC72" s="70">
        <v>10.1</v>
      </c>
      <c r="AD72" s="70">
        <v>10.1</v>
      </c>
      <c r="AE72" s="70">
        <v>10.199999999999999</v>
      </c>
      <c r="AF72" s="70">
        <v>10.199999999999999</v>
      </c>
      <c r="AG72" s="86">
        <v>14</v>
      </c>
      <c r="AH72" s="12">
        <f t="shared" si="8"/>
        <v>10.199999999999999</v>
      </c>
      <c r="AI72" s="11">
        <f t="shared" si="9"/>
        <v>6.9</v>
      </c>
      <c r="AK72" s="19"/>
      <c r="AY72" s="1" t="s">
        <v>190</v>
      </c>
      <c r="AZ72" s="78">
        <f>ROUND(C85,0)</f>
        <v>0</v>
      </c>
      <c r="BA72" s="83">
        <f t="shared" si="29"/>
        <v>0</v>
      </c>
      <c r="BB72" s="83">
        <f t="shared" si="29"/>
        <v>0</v>
      </c>
      <c r="BC72" s="83">
        <f t="shared" si="29"/>
        <v>0</v>
      </c>
      <c r="BD72" s="83">
        <f t="shared" si="29"/>
        <v>0</v>
      </c>
      <c r="BE72" s="78">
        <f>I85</f>
        <v>0</v>
      </c>
      <c r="BF72" s="78">
        <f>K85</f>
        <v>0</v>
      </c>
      <c r="BG72" s="78">
        <f t="shared" si="30"/>
        <v>105.3</v>
      </c>
      <c r="BH72" s="78">
        <f t="shared" si="30"/>
        <v>126.3</v>
      </c>
      <c r="BI72" s="78">
        <f t="shared" si="30"/>
        <v>125.9</v>
      </c>
      <c r="BJ72" s="78">
        <f t="shared" si="30"/>
        <v>137.1</v>
      </c>
      <c r="BK72" s="78">
        <f t="shared" si="30"/>
        <v>144.80000000000001</v>
      </c>
      <c r="BL72" s="78">
        <f t="shared" si="30"/>
        <v>132.69999999999999</v>
      </c>
      <c r="BM72" s="78">
        <f t="shared" si="30"/>
        <v>138</v>
      </c>
      <c r="BN72" s="78">
        <f t="shared" si="30"/>
        <v>129</v>
      </c>
      <c r="BO72" s="78">
        <f t="shared" si="30"/>
        <v>121.1</v>
      </c>
      <c r="BP72" s="78">
        <f t="shared" si="30"/>
        <v>123.1</v>
      </c>
      <c r="BQ72" s="78">
        <f>X85</f>
        <v>64.599999999999994</v>
      </c>
      <c r="BR72" s="78">
        <f>Z85</f>
        <v>0</v>
      </c>
      <c r="BS72" s="83">
        <f>AB85</f>
        <v>0</v>
      </c>
      <c r="BT72" s="83">
        <f t="shared" si="31"/>
        <v>0</v>
      </c>
      <c r="BU72" s="83">
        <f t="shared" si="31"/>
        <v>0</v>
      </c>
      <c r="BV72" s="83">
        <f t="shared" si="31"/>
        <v>0</v>
      </c>
      <c r="BW72" s="83">
        <f>B85</f>
        <v>0</v>
      </c>
    </row>
    <row r="73" spans="1:75" x14ac:dyDescent="0.25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8"/>
        <v>4</v>
      </c>
      <c r="AI73" s="11">
        <f t="shared" si="9"/>
        <v>4</v>
      </c>
      <c r="AK73" s="19"/>
      <c r="AY73" s="1" t="s">
        <v>188</v>
      </c>
      <c r="AZ73" s="78">
        <f>ROUND(C91,0)</f>
        <v>45</v>
      </c>
      <c r="BA73" s="78">
        <f>D91</f>
        <v>42.2</v>
      </c>
      <c r="BB73" s="78">
        <f>E91</f>
        <v>40.4</v>
      </c>
      <c r="BC73" s="78">
        <f>F91</f>
        <v>40.200000000000003</v>
      </c>
      <c r="BD73" s="78">
        <f>G91</f>
        <v>40</v>
      </c>
      <c r="BE73" s="78">
        <f>I91</f>
        <v>38.1</v>
      </c>
      <c r="BF73" s="78">
        <f>K91</f>
        <v>45.6</v>
      </c>
      <c r="BG73" s="78">
        <f t="shared" ref="BG73:BP73" si="32">M91</f>
        <v>47.6</v>
      </c>
      <c r="BH73" s="78">
        <f t="shared" si="32"/>
        <v>49.9</v>
      </c>
      <c r="BI73" s="78">
        <f t="shared" si="32"/>
        <v>46.5</v>
      </c>
      <c r="BJ73" s="78">
        <f t="shared" si="32"/>
        <v>52</v>
      </c>
      <c r="BK73" s="78">
        <f t="shared" si="32"/>
        <v>50.3</v>
      </c>
      <c r="BL73" s="78">
        <f t="shared" si="32"/>
        <v>46.1</v>
      </c>
      <c r="BM73" s="78">
        <f t="shared" si="32"/>
        <v>0</v>
      </c>
      <c r="BN73" s="78">
        <f t="shared" si="32"/>
        <v>0</v>
      </c>
      <c r="BO73" s="78">
        <f t="shared" si="32"/>
        <v>0</v>
      </c>
      <c r="BP73" s="78">
        <f t="shared" si="32"/>
        <v>0</v>
      </c>
      <c r="BQ73" s="78">
        <f>X91</f>
        <v>0</v>
      </c>
      <c r="BR73" s="78">
        <f>Z91</f>
        <v>0</v>
      </c>
      <c r="BS73" s="78">
        <f>AB91</f>
        <v>0</v>
      </c>
      <c r="BT73" s="78">
        <f>AD91</f>
        <v>0</v>
      </c>
      <c r="BU73" s="78">
        <f>AE91</f>
        <v>0</v>
      </c>
      <c r="BV73" s="78">
        <f>AF91</f>
        <v>35.200000000000003</v>
      </c>
      <c r="BW73" s="78">
        <f>B91</f>
        <v>46.3</v>
      </c>
    </row>
    <row r="74" spans="1:75" x14ac:dyDescent="0.25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.75" thickBot="1" x14ac:dyDescent="0.3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3.5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</v>
      </c>
      <c r="AK75" s="19"/>
      <c r="AZ75" s="78">
        <f t="shared" ref="AZ75:BW80" si="33">VALUE(AZ68)</f>
        <v>20</v>
      </c>
      <c r="BA75" s="78">
        <f t="shared" si="33"/>
        <v>17.3</v>
      </c>
      <c r="BB75" s="78">
        <f t="shared" si="33"/>
        <v>15</v>
      </c>
      <c r="BC75" s="78">
        <f t="shared" si="33"/>
        <v>13.2</v>
      </c>
      <c r="BD75" s="78">
        <f t="shared" si="33"/>
        <v>14.9</v>
      </c>
      <c r="BE75" s="78">
        <f t="shared" si="33"/>
        <v>19.600000000000001</v>
      </c>
      <c r="BF75" s="78">
        <f t="shared" si="33"/>
        <v>61.7</v>
      </c>
      <c r="BG75" s="78">
        <f t="shared" si="33"/>
        <v>64.2</v>
      </c>
      <c r="BH75" s="78">
        <f t="shared" si="33"/>
        <v>55.3</v>
      </c>
      <c r="BI75" s="78">
        <f t="shared" si="33"/>
        <v>77</v>
      </c>
      <c r="BJ75" s="78">
        <f t="shared" si="33"/>
        <v>73.2</v>
      </c>
      <c r="BK75" s="78">
        <f t="shared" si="33"/>
        <v>73.400000000000006</v>
      </c>
      <c r="BL75" s="78">
        <f t="shared" si="33"/>
        <v>50.8</v>
      </c>
      <c r="BM75" s="78">
        <f t="shared" si="33"/>
        <v>54</v>
      </c>
      <c r="BN75" s="78">
        <f t="shared" si="33"/>
        <v>58.7</v>
      </c>
      <c r="BO75" s="78">
        <f t="shared" si="33"/>
        <v>62.4</v>
      </c>
      <c r="BP75" s="78">
        <f t="shared" si="33"/>
        <v>58.5</v>
      </c>
      <c r="BQ75" s="78">
        <f t="shared" si="33"/>
        <v>63.7</v>
      </c>
      <c r="BR75" s="78">
        <f t="shared" si="33"/>
        <v>31.3</v>
      </c>
      <c r="BS75" s="78">
        <f t="shared" si="33"/>
        <v>14.9</v>
      </c>
      <c r="BT75" s="78">
        <f t="shared" si="33"/>
        <v>13.2</v>
      </c>
      <c r="BU75" s="78">
        <f t="shared" si="33"/>
        <v>8.6</v>
      </c>
      <c r="BV75" s="78">
        <f t="shared" si="33"/>
        <v>5.4</v>
      </c>
      <c r="BW75" s="78">
        <f t="shared" si="33"/>
        <v>7.3</v>
      </c>
    </row>
    <row r="76" spans="1:75" ht="15.75" thickBot="1" x14ac:dyDescent="0.3">
      <c r="A76" s="77" t="s">
        <v>186</v>
      </c>
      <c r="B76" s="76">
        <f t="shared" ref="B76:D76" si="34">SUM(B63:B75)</f>
        <v>310.44000000000005</v>
      </c>
      <c r="C76" s="76">
        <f t="shared" si="34"/>
        <v>276.74000000000007</v>
      </c>
      <c r="D76" s="76">
        <f t="shared" si="34"/>
        <v>271.73999999999995</v>
      </c>
      <c r="E76" s="76">
        <f t="shared" ref="E76:AG76" si="35">SUM(E63:E75)</f>
        <v>233.14</v>
      </c>
      <c r="F76" s="76">
        <f t="shared" si="35"/>
        <v>221.44</v>
      </c>
      <c r="G76" s="76">
        <f t="shared" si="35"/>
        <v>232.64</v>
      </c>
      <c r="H76" s="76">
        <f t="shared" si="35"/>
        <v>238.93999999999997</v>
      </c>
      <c r="I76" s="76">
        <f t="shared" si="35"/>
        <v>239.64</v>
      </c>
      <c r="J76" s="76">
        <f t="shared" si="35"/>
        <v>295.04000000000002</v>
      </c>
      <c r="K76" s="76">
        <f t="shared" si="35"/>
        <v>304.14000000000004</v>
      </c>
      <c r="L76" s="76">
        <f t="shared" si="35"/>
        <v>261.74</v>
      </c>
      <c r="M76" s="76">
        <f t="shared" si="35"/>
        <v>277.44000000000005</v>
      </c>
      <c r="N76" s="76">
        <f t="shared" si="35"/>
        <v>254.34</v>
      </c>
      <c r="O76" s="76">
        <f t="shared" si="35"/>
        <v>276.14000000000004</v>
      </c>
      <c r="P76" s="76">
        <f t="shared" si="35"/>
        <v>294.04000000000002</v>
      </c>
      <c r="Q76" s="76">
        <f t="shared" si="35"/>
        <v>265.54000000000002</v>
      </c>
      <c r="R76" s="76">
        <f t="shared" si="35"/>
        <v>278.44</v>
      </c>
      <c r="S76" s="76">
        <f t="shared" si="35"/>
        <v>245.54000000000002</v>
      </c>
      <c r="T76" s="76">
        <f t="shared" si="35"/>
        <v>228.84</v>
      </c>
      <c r="U76" s="76">
        <f t="shared" si="35"/>
        <v>222.34</v>
      </c>
      <c r="V76" s="76">
        <f t="shared" si="35"/>
        <v>199.23999999999998</v>
      </c>
      <c r="W76" s="76">
        <f t="shared" si="35"/>
        <v>176.54</v>
      </c>
      <c r="X76" s="76">
        <f t="shared" si="35"/>
        <v>175.64</v>
      </c>
      <c r="Y76" s="76">
        <f t="shared" si="35"/>
        <v>372.6</v>
      </c>
      <c r="Z76" s="76">
        <f t="shared" si="35"/>
        <v>379.7</v>
      </c>
      <c r="AA76" s="76">
        <f t="shared" si="35"/>
        <v>379.74</v>
      </c>
      <c r="AB76" s="76">
        <f t="shared" si="35"/>
        <v>376.44</v>
      </c>
      <c r="AC76" s="76">
        <f t="shared" si="35"/>
        <v>389.44</v>
      </c>
      <c r="AD76" s="76">
        <f t="shared" si="35"/>
        <v>377.94</v>
      </c>
      <c r="AE76" s="76">
        <f t="shared" si="35"/>
        <v>353.54</v>
      </c>
      <c r="AF76" s="76">
        <f t="shared" si="35"/>
        <v>337.73999999999995</v>
      </c>
      <c r="AG76" s="93">
        <f t="shared" si="35"/>
        <v>489.91</v>
      </c>
      <c r="AH76" s="12">
        <f t="shared" si="8"/>
        <v>389.44</v>
      </c>
      <c r="AI76" s="11">
        <f t="shared" si="9"/>
        <v>175.64</v>
      </c>
      <c r="AK76" s="19"/>
      <c r="AZ76" s="78">
        <f t="shared" si="33"/>
        <v>0</v>
      </c>
      <c r="BA76" s="78">
        <f t="shared" si="33"/>
        <v>0</v>
      </c>
      <c r="BB76" s="78">
        <f t="shared" si="33"/>
        <v>0</v>
      </c>
      <c r="BC76" s="78">
        <f t="shared" si="33"/>
        <v>0</v>
      </c>
      <c r="BD76" s="78">
        <f t="shared" si="33"/>
        <v>0</v>
      </c>
      <c r="BE76" s="78">
        <f t="shared" si="33"/>
        <v>0</v>
      </c>
      <c r="BF76" s="78">
        <f t="shared" si="33"/>
        <v>0</v>
      </c>
      <c r="BG76" s="78">
        <f t="shared" si="33"/>
        <v>0</v>
      </c>
      <c r="BH76" s="78">
        <f t="shared" si="33"/>
        <v>0</v>
      </c>
      <c r="BI76" s="78">
        <f t="shared" si="33"/>
        <v>0</v>
      </c>
      <c r="BJ76" s="78">
        <f t="shared" si="33"/>
        <v>0</v>
      </c>
      <c r="BK76" s="78">
        <f t="shared" si="33"/>
        <v>0</v>
      </c>
      <c r="BL76" s="78">
        <f t="shared" si="33"/>
        <v>0</v>
      </c>
      <c r="BM76" s="78">
        <f t="shared" si="33"/>
        <v>0</v>
      </c>
      <c r="BN76" s="78">
        <f t="shared" si="33"/>
        <v>0</v>
      </c>
      <c r="BO76" s="78">
        <f t="shared" si="33"/>
        <v>0</v>
      </c>
      <c r="BP76" s="78">
        <f t="shared" si="33"/>
        <v>0</v>
      </c>
      <c r="BQ76" s="78">
        <f t="shared" si="33"/>
        <v>0</v>
      </c>
      <c r="BR76" s="78">
        <f t="shared" si="33"/>
        <v>0</v>
      </c>
      <c r="BS76" s="78">
        <f t="shared" si="33"/>
        <v>0</v>
      </c>
      <c r="BT76" s="78">
        <f t="shared" si="33"/>
        <v>0</v>
      </c>
      <c r="BU76" s="78">
        <f t="shared" si="33"/>
        <v>0</v>
      </c>
      <c r="BV76" s="78">
        <f t="shared" si="33"/>
        <v>0</v>
      </c>
      <c r="BW76" s="78">
        <f t="shared" si="33"/>
        <v>0</v>
      </c>
    </row>
    <row r="77" spans="1:75" x14ac:dyDescent="0.25">
      <c r="A77" s="89" t="s">
        <v>185</v>
      </c>
      <c r="B77" s="102">
        <v>59.7</v>
      </c>
      <c r="C77" s="102">
        <v>59.7</v>
      </c>
      <c r="D77" s="102">
        <v>59.7</v>
      </c>
      <c r="E77" s="102">
        <v>59.7</v>
      </c>
      <c r="F77" s="102">
        <v>59.7</v>
      </c>
      <c r="G77" s="102">
        <v>49.8</v>
      </c>
      <c r="H77" s="102">
        <v>50</v>
      </c>
      <c r="I77" s="102">
        <v>38.9</v>
      </c>
      <c r="J77" s="102">
        <v>44.3</v>
      </c>
      <c r="K77" s="102">
        <v>19.3</v>
      </c>
      <c r="L77" s="102">
        <v>0</v>
      </c>
      <c r="M77" s="102">
        <v>0</v>
      </c>
      <c r="N77" s="102">
        <v>0</v>
      </c>
      <c r="O77" s="102">
        <v>0</v>
      </c>
      <c r="P77" s="102">
        <v>11.7</v>
      </c>
      <c r="Q77" s="102">
        <v>29.2</v>
      </c>
      <c r="R77" s="102">
        <v>13.9</v>
      </c>
      <c r="S77" s="102">
        <v>29.5</v>
      </c>
      <c r="T77" s="102">
        <v>50.1</v>
      </c>
      <c r="U77" s="102">
        <v>49.4</v>
      </c>
      <c r="V77" s="102">
        <v>60.2</v>
      </c>
      <c r="W77" s="102">
        <v>39.799999999999997</v>
      </c>
      <c r="X77" s="102">
        <v>10</v>
      </c>
      <c r="Y77" s="102">
        <v>59.8</v>
      </c>
      <c r="Z77" s="102">
        <v>59.8</v>
      </c>
      <c r="AA77" s="102">
        <v>59.8</v>
      </c>
      <c r="AB77" s="102">
        <v>59.2</v>
      </c>
      <c r="AC77" s="102">
        <v>59.3</v>
      </c>
      <c r="AD77" s="102">
        <v>59.2</v>
      </c>
      <c r="AE77" s="102">
        <v>59.2</v>
      </c>
      <c r="AF77" s="102">
        <v>59.2</v>
      </c>
      <c r="AG77" s="88">
        <v>60</v>
      </c>
      <c r="AH77" s="12">
        <f t="shared" si="8"/>
        <v>60.2</v>
      </c>
      <c r="AI77" s="11">
        <f t="shared" si="9"/>
        <v>0</v>
      </c>
      <c r="AK77" s="19"/>
      <c r="AZ77" s="78">
        <f t="shared" si="33"/>
        <v>4</v>
      </c>
      <c r="BA77" s="78">
        <f t="shared" si="33"/>
        <v>10</v>
      </c>
      <c r="BB77" s="78">
        <f t="shared" si="33"/>
        <v>0</v>
      </c>
      <c r="BC77" s="78">
        <f t="shared" si="33"/>
        <v>5.4</v>
      </c>
      <c r="BD77" s="78">
        <f t="shared" si="33"/>
        <v>0.2</v>
      </c>
      <c r="BE77" s="78">
        <f t="shared" si="33"/>
        <v>9.3000000000000007</v>
      </c>
      <c r="BF77" s="78">
        <f t="shared" si="33"/>
        <v>473</v>
      </c>
      <c r="BG77" s="78">
        <f t="shared" si="33"/>
        <v>510.7</v>
      </c>
      <c r="BH77" s="78">
        <f t="shared" si="33"/>
        <v>532.5</v>
      </c>
      <c r="BI77" s="78">
        <f t="shared" si="33"/>
        <v>571.70000000000005</v>
      </c>
      <c r="BJ77" s="78">
        <f t="shared" si="33"/>
        <v>534.6</v>
      </c>
      <c r="BK77" s="78">
        <f t="shared" si="33"/>
        <v>558</v>
      </c>
      <c r="BL77" s="78">
        <f t="shared" si="33"/>
        <v>572.79999999999995</v>
      </c>
      <c r="BM77" s="78">
        <f t="shared" si="33"/>
        <v>557</v>
      </c>
      <c r="BN77" s="78">
        <f t="shared" si="33"/>
        <v>495</v>
      </c>
      <c r="BO77" s="78">
        <f t="shared" si="33"/>
        <v>521.9</v>
      </c>
      <c r="BP77" s="78">
        <f t="shared" si="33"/>
        <v>472</v>
      </c>
      <c r="BQ77" s="78">
        <f t="shared" si="33"/>
        <v>461</v>
      </c>
      <c r="BR77" s="78">
        <f t="shared" si="33"/>
        <v>11.7</v>
      </c>
      <c r="BS77" s="78">
        <f t="shared" si="33"/>
        <v>-5</v>
      </c>
      <c r="BT77" s="78">
        <f t="shared" si="33"/>
        <v>0.5</v>
      </c>
      <c r="BU77" s="78">
        <f t="shared" si="33"/>
        <v>-2.4</v>
      </c>
      <c r="BV77" s="78">
        <f t="shared" si="33"/>
        <v>0</v>
      </c>
      <c r="BW77" s="78">
        <f t="shared" si="33"/>
        <v>9.1</v>
      </c>
    </row>
    <row r="78" spans="1:75" x14ac:dyDescent="0.25">
      <c r="A78" s="87" t="s">
        <v>184</v>
      </c>
      <c r="B78" s="70">
        <v>23.9</v>
      </c>
      <c r="C78" s="70">
        <v>23.9</v>
      </c>
      <c r="D78" s="70">
        <v>23.9</v>
      </c>
      <c r="E78" s="70">
        <v>27.5</v>
      </c>
      <c r="F78" s="70">
        <v>27.5</v>
      </c>
      <c r="G78" s="70">
        <v>15.7</v>
      </c>
      <c r="H78" s="70">
        <v>21.1</v>
      </c>
      <c r="I78" s="70">
        <v>16.100000000000001</v>
      </c>
      <c r="J78" s="70">
        <v>15.3</v>
      </c>
      <c r="K78" s="70">
        <v>8.9</v>
      </c>
      <c r="L78" s="70">
        <v>4.2</v>
      </c>
      <c r="M78" s="70">
        <v>0</v>
      </c>
      <c r="N78" s="70">
        <v>0</v>
      </c>
      <c r="O78" s="70">
        <v>0</v>
      </c>
      <c r="P78" s="70">
        <v>2.9</v>
      </c>
      <c r="Q78" s="70">
        <v>13.7</v>
      </c>
      <c r="R78" s="70">
        <v>4.7</v>
      </c>
      <c r="S78" s="70">
        <v>4.8</v>
      </c>
      <c r="T78" s="70">
        <v>18</v>
      </c>
      <c r="U78" s="70">
        <v>22.2</v>
      </c>
      <c r="V78" s="70">
        <v>29</v>
      </c>
      <c r="W78" s="70">
        <v>16.3</v>
      </c>
      <c r="X78" s="70">
        <v>4.7</v>
      </c>
      <c r="Y78" s="70">
        <v>27.9</v>
      </c>
      <c r="Z78" s="70">
        <v>27.9</v>
      </c>
      <c r="AA78" s="70">
        <v>27.9</v>
      </c>
      <c r="AB78" s="70">
        <v>27.8</v>
      </c>
      <c r="AC78" s="70">
        <v>27.7</v>
      </c>
      <c r="AD78" s="70">
        <v>26.8</v>
      </c>
      <c r="AE78" s="70">
        <v>27.5</v>
      </c>
      <c r="AF78" s="70">
        <v>27.5</v>
      </c>
      <c r="AG78" s="86">
        <v>32</v>
      </c>
      <c r="AH78" s="12">
        <f t="shared" si="8"/>
        <v>29</v>
      </c>
      <c r="AI78" s="11">
        <f t="shared" si="9"/>
        <v>0</v>
      </c>
      <c r="AK78" s="19"/>
      <c r="AZ78" s="78">
        <f t="shared" si="33"/>
        <v>0</v>
      </c>
      <c r="BA78" s="78">
        <f t="shared" si="33"/>
        <v>0</v>
      </c>
      <c r="BB78" s="78">
        <f t="shared" si="33"/>
        <v>0</v>
      </c>
      <c r="BC78" s="78">
        <f t="shared" si="33"/>
        <v>0</v>
      </c>
      <c r="BD78" s="78">
        <f t="shared" si="33"/>
        <v>0</v>
      </c>
      <c r="BE78" s="78">
        <f t="shared" si="33"/>
        <v>0</v>
      </c>
      <c r="BF78" s="78">
        <f t="shared" si="33"/>
        <v>35</v>
      </c>
      <c r="BG78" s="78">
        <f t="shared" si="33"/>
        <v>39.200000000000003</v>
      </c>
      <c r="BH78" s="78">
        <f t="shared" si="33"/>
        <v>40.799999999999997</v>
      </c>
      <c r="BI78" s="78">
        <f t="shared" si="33"/>
        <v>41.3</v>
      </c>
      <c r="BJ78" s="78">
        <f t="shared" si="33"/>
        <v>38.9</v>
      </c>
      <c r="BK78" s="78">
        <f t="shared" si="33"/>
        <v>38.200000000000003</v>
      </c>
      <c r="BL78" s="78">
        <f t="shared" si="33"/>
        <v>53.3</v>
      </c>
      <c r="BM78" s="78">
        <f t="shared" si="33"/>
        <v>54.1</v>
      </c>
      <c r="BN78" s="78">
        <f t="shared" si="33"/>
        <v>21</v>
      </c>
      <c r="BO78" s="78">
        <f t="shared" si="33"/>
        <v>45.5</v>
      </c>
      <c r="BP78" s="78">
        <f t="shared" si="33"/>
        <v>50.5</v>
      </c>
      <c r="BQ78" s="78">
        <f t="shared" si="33"/>
        <v>16.100000000000001</v>
      </c>
      <c r="BR78" s="78">
        <f t="shared" si="33"/>
        <v>0</v>
      </c>
      <c r="BS78" s="78">
        <f t="shared" si="33"/>
        <v>0</v>
      </c>
      <c r="BT78" s="78">
        <f t="shared" si="33"/>
        <v>0</v>
      </c>
      <c r="BU78" s="78">
        <f t="shared" si="33"/>
        <v>0</v>
      </c>
      <c r="BV78" s="78">
        <f t="shared" si="33"/>
        <v>0</v>
      </c>
      <c r="BW78" s="78">
        <f t="shared" si="33"/>
        <v>0</v>
      </c>
    </row>
    <row r="79" spans="1:75" ht="15.75" thickBot="1" x14ac:dyDescent="0.3">
      <c r="A79" s="111" t="s">
        <v>183</v>
      </c>
      <c r="B79" s="110">
        <v>8.6999999999999993</v>
      </c>
      <c r="C79" s="110">
        <v>8.6999999999999993</v>
      </c>
      <c r="D79" s="110">
        <v>8.6999999999999993</v>
      </c>
      <c r="E79" s="110">
        <v>10</v>
      </c>
      <c r="F79" s="110">
        <v>10</v>
      </c>
      <c r="G79" s="110">
        <v>5.7</v>
      </c>
      <c r="H79" s="110">
        <v>7.7</v>
      </c>
      <c r="I79" s="110">
        <v>5.9</v>
      </c>
      <c r="J79" s="110">
        <v>5.6</v>
      </c>
      <c r="K79" s="110">
        <v>4.0999999999999996</v>
      </c>
      <c r="L79" s="110">
        <v>1.5</v>
      </c>
      <c r="M79" s="110">
        <v>0</v>
      </c>
      <c r="N79" s="110">
        <v>0</v>
      </c>
      <c r="O79" s="110">
        <v>0</v>
      </c>
      <c r="P79" s="110">
        <v>1.1000000000000001</v>
      </c>
      <c r="Q79" s="110">
        <v>5</v>
      </c>
      <c r="R79" s="110">
        <v>1.7</v>
      </c>
      <c r="S79" s="110">
        <v>1.8</v>
      </c>
      <c r="T79" s="110">
        <v>6.6</v>
      </c>
      <c r="U79" s="110">
        <v>8.1</v>
      </c>
      <c r="V79" s="110">
        <v>10.6</v>
      </c>
      <c r="W79" s="110">
        <v>5.9</v>
      </c>
      <c r="X79" s="110">
        <v>1.7</v>
      </c>
      <c r="Y79" s="110">
        <v>10.199999999999999</v>
      </c>
      <c r="Z79" s="110">
        <v>10.199999999999999</v>
      </c>
      <c r="AA79" s="110">
        <v>10.199999999999999</v>
      </c>
      <c r="AB79" s="110">
        <v>10.1</v>
      </c>
      <c r="AC79" s="110">
        <v>10.1</v>
      </c>
      <c r="AD79" s="110">
        <v>9.8000000000000007</v>
      </c>
      <c r="AE79" s="110">
        <v>10</v>
      </c>
      <c r="AF79" s="110">
        <v>10</v>
      </c>
      <c r="AG79" s="109">
        <v>14</v>
      </c>
      <c r="AH79" s="12">
        <f t="shared" si="8"/>
        <v>10.6</v>
      </c>
      <c r="AI79" s="11">
        <f t="shared" si="9"/>
        <v>0</v>
      </c>
      <c r="AK79" s="19"/>
      <c r="AZ79" s="78">
        <f t="shared" si="33"/>
        <v>0</v>
      </c>
      <c r="BA79" s="78">
        <f t="shared" si="33"/>
        <v>0</v>
      </c>
      <c r="BB79" s="78">
        <f t="shared" si="33"/>
        <v>0</v>
      </c>
      <c r="BC79" s="78">
        <f t="shared" si="33"/>
        <v>0</v>
      </c>
      <c r="BD79" s="78">
        <f t="shared" si="33"/>
        <v>0</v>
      </c>
      <c r="BE79" s="78">
        <f t="shared" si="33"/>
        <v>0</v>
      </c>
      <c r="BF79" s="78">
        <f t="shared" si="33"/>
        <v>0</v>
      </c>
      <c r="BG79" s="78">
        <f t="shared" si="33"/>
        <v>105.3</v>
      </c>
      <c r="BH79" s="78">
        <f t="shared" si="33"/>
        <v>126.3</v>
      </c>
      <c r="BI79" s="78">
        <f t="shared" si="33"/>
        <v>125.9</v>
      </c>
      <c r="BJ79" s="78">
        <f t="shared" si="33"/>
        <v>137.1</v>
      </c>
      <c r="BK79" s="78">
        <f t="shared" si="33"/>
        <v>144.80000000000001</v>
      </c>
      <c r="BL79" s="78">
        <f t="shared" si="33"/>
        <v>132.69999999999999</v>
      </c>
      <c r="BM79" s="78">
        <f t="shared" si="33"/>
        <v>138</v>
      </c>
      <c r="BN79" s="78">
        <f t="shared" si="33"/>
        <v>129</v>
      </c>
      <c r="BO79" s="78">
        <f t="shared" si="33"/>
        <v>121.1</v>
      </c>
      <c r="BP79" s="78">
        <f t="shared" si="33"/>
        <v>123.1</v>
      </c>
      <c r="BQ79" s="78">
        <f t="shared" si="33"/>
        <v>64.599999999999994</v>
      </c>
      <c r="BR79" s="78">
        <f t="shared" si="33"/>
        <v>0</v>
      </c>
      <c r="BS79" s="78">
        <f t="shared" si="33"/>
        <v>0</v>
      </c>
      <c r="BT79" s="78">
        <f t="shared" si="33"/>
        <v>0</v>
      </c>
      <c r="BU79" s="78">
        <f t="shared" si="33"/>
        <v>0</v>
      </c>
      <c r="BV79" s="78">
        <f t="shared" si="33"/>
        <v>0</v>
      </c>
      <c r="BW79" s="78">
        <f t="shared" si="33"/>
        <v>0</v>
      </c>
    </row>
    <row r="80" spans="1:75" ht="15.75" thickBot="1" x14ac:dyDescent="0.3">
      <c r="A80" s="77" t="s">
        <v>182</v>
      </c>
      <c r="B80" s="76">
        <f t="shared" ref="B80:D80" si="36">B77+B78+B79</f>
        <v>92.3</v>
      </c>
      <c r="C80" s="76">
        <f t="shared" si="36"/>
        <v>92.3</v>
      </c>
      <c r="D80" s="76">
        <f t="shared" si="36"/>
        <v>92.3</v>
      </c>
      <c r="E80" s="76">
        <f t="shared" ref="E80:AF80" si="37">E77+E78+E79</f>
        <v>97.2</v>
      </c>
      <c r="F80" s="76">
        <f t="shared" si="37"/>
        <v>97.2</v>
      </c>
      <c r="G80" s="76">
        <f t="shared" si="37"/>
        <v>71.2</v>
      </c>
      <c r="H80" s="76">
        <f t="shared" si="37"/>
        <v>78.8</v>
      </c>
      <c r="I80" s="76">
        <f t="shared" si="37"/>
        <v>60.9</v>
      </c>
      <c r="J80" s="76">
        <f t="shared" si="37"/>
        <v>65.199999999999989</v>
      </c>
      <c r="K80" s="76">
        <f t="shared" si="37"/>
        <v>32.300000000000004</v>
      </c>
      <c r="L80" s="76">
        <f t="shared" si="37"/>
        <v>5.7</v>
      </c>
      <c r="M80" s="76">
        <f t="shared" si="37"/>
        <v>0</v>
      </c>
      <c r="N80" s="76">
        <f t="shared" si="37"/>
        <v>0</v>
      </c>
      <c r="O80" s="76">
        <f t="shared" si="37"/>
        <v>0</v>
      </c>
      <c r="P80" s="76">
        <f t="shared" si="37"/>
        <v>15.7</v>
      </c>
      <c r="Q80" s="76">
        <f t="shared" si="37"/>
        <v>47.9</v>
      </c>
      <c r="R80" s="76">
        <f t="shared" si="37"/>
        <v>20.3</v>
      </c>
      <c r="S80" s="76">
        <f t="shared" si="37"/>
        <v>36.099999999999994</v>
      </c>
      <c r="T80" s="76">
        <f t="shared" si="37"/>
        <v>74.699999999999989</v>
      </c>
      <c r="U80" s="76">
        <f t="shared" si="37"/>
        <v>79.699999999999989</v>
      </c>
      <c r="V80" s="76">
        <f t="shared" si="37"/>
        <v>99.8</v>
      </c>
      <c r="W80" s="76">
        <f t="shared" si="37"/>
        <v>61.999999999999993</v>
      </c>
      <c r="X80" s="76">
        <f t="shared" si="37"/>
        <v>16.399999999999999</v>
      </c>
      <c r="Y80" s="76">
        <f t="shared" si="37"/>
        <v>97.899999999999991</v>
      </c>
      <c r="Z80" s="76">
        <f t="shared" si="37"/>
        <v>97.899999999999991</v>
      </c>
      <c r="AA80" s="76">
        <f t="shared" si="37"/>
        <v>97.899999999999991</v>
      </c>
      <c r="AB80" s="76">
        <f t="shared" si="37"/>
        <v>97.1</v>
      </c>
      <c r="AC80" s="76">
        <f t="shared" si="37"/>
        <v>97.1</v>
      </c>
      <c r="AD80" s="76">
        <f t="shared" si="37"/>
        <v>95.8</v>
      </c>
      <c r="AE80" s="76">
        <f t="shared" si="37"/>
        <v>96.7</v>
      </c>
      <c r="AF80" s="76">
        <f t="shared" si="37"/>
        <v>96.7</v>
      </c>
      <c r="AG80" s="93">
        <f>SUM(AG77:AG79)</f>
        <v>106</v>
      </c>
      <c r="AH80" s="12">
        <f t="shared" si="8"/>
        <v>99.8</v>
      </c>
      <c r="AI80" s="11">
        <f t="shared" si="9"/>
        <v>0</v>
      </c>
      <c r="AK80" s="19"/>
      <c r="AZ80" s="78">
        <f t="shared" si="33"/>
        <v>45</v>
      </c>
      <c r="BA80" s="78">
        <f t="shared" si="33"/>
        <v>42.2</v>
      </c>
      <c r="BB80" s="78">
        <f t="shared" si="33"/>
        <v>40.4</v>
      </c>
      <c r="BC80" s="78">
        <f t="shared" si="33"/>
        <v>40.200000000000003</v>
      </c>
      <c r="BD80" s="78">
        <f t="shared" si="33"/>
        <v>40</v>
      </c>
      <c r="BE80" s="78">
        <f t="shared" si="33"/>
        <v>38.1</v>
      </c>
      <c r="BF80" s="78">
        <f t="shared" si="33"/>
        <v>45.6</v>
      </c>
      <c r="BG80" s="78">
        <f t="shared" si="33"/>
        <v>47.6</v>
      </c>
      <c r="BH80" s="78">
        <f t="shared" si="33"/>
        <v>49.9</v>
      </c>
      <c r="BI80" s="78">
        <f t="shared" si="33"/>
        <v>46.5</v>
      </c>
      <c r="BJ80" s="78">
        <f t="shared" si="33"/>
        <v>52</v>
      </c>
      <c r="BK80" s="78">
        <f t="shared" si="33"/>
        <v>50.3</v>
      </c>
      <c r="BL80" s="78">
        <f t="shared" si="33"/>
        <v>46.1</v>
      </c>
      <c r="BM80" s="78">
        <f t="shared" si="33"/>
        <v>0</v>
      </c>
      <c r="BN80" s="78">
        <f t="shared" si="33"/>
        <v>0</v>
      </c>
      <c r="BO80" s="78">
        <f t="shared" si="33"/>
        <v>0</v>
      </c>
      <c r="BP80" s="78">
        <f t="shared" si="33"/>
        <v>0</v>
      </c>
      <c r="BQ80" s="78">
        <f t="shared" si="33"/>
        <v>0</v>
      </c>
      <c r="BR80" s="78">
        <f t="shared" si="33"/>
        <v>0</v>
      </c>
      <c r="BS80" s="78">
        <f t="shared" si="33"/>
        <v>0</v>
      </c>
      <c r="BT80" s="78">
        <f t="shared" si="33"/>
        <v>0</v>
      </c>
      <c r="BU80" s="78">
        <f t="shared" si="33"/>
        <v>0</v>
      </c>
      <c r="BV80" s="78">
        <f t="shared" si="33"/>
        <v>35.200000000000003</v>
      </c>
      <c r="BW80" s="78">
        <f t="shared" si="33"/>
        <v>46.3</v>
      </c>
    </row>
    <row r="81" spans="1:64" x14ac:dyDescent="0.25">
      <c r="A81" s="89" t="s">
        <v>157</v>
      </c>
      <c r="B81" s="102">
        <v>7.3</v>
      </c>
      <c r="C81" s="102">
        <v>19.8</v>
      </c>
      <c r="D81" s="102">
        <v>17.3</v>
      </c>
      <c r="E81" s="102">
        <v>15</v>
      </c>
      <c r="F81" s="102">
        <v>13.2</v>
      </c>
      <c r="G81" s="102">
        <v>14.9</v>
      </c>
      <c r="H81" s="102">
        <v>16.2</v>
      </c>
      <c r="I81" s="102">
        <v>19.600000000000001</v>
      </c>
      <c r="J81" s="102">
        <v>58.5</v>
      </c>
      <c r="K81" s="102">
        <v>61.7</v>
      </c>
      <c r="L81" s="102">
        <v>62.3</v>
      </c>
      <c r="M81" s="102">
        <v>64.2</v>
      </c>
      <c r="N81" s="102">
        <v>55.3</v>
      </c>
      <c r="O81" s="102">
        <v>77</v>
      </c>
      <c r="P81" s="102">
        <v>73.2</v>
      </c>
      <c r="Q81" s="102">
        <v>73.400000000000006</v>
      </c>
      <c r="R81" s="102">
        <v>50.8</v>
      </c>
      <c r="S81" s="102">
        <v>54</v>
      </c>
      <c r="T81" s="102">
        <v>58.7</v>
      </c>
      <c r="U81" s="102">
        <v>62.4</v>
      </c>
      <c r="V81" s="102">
        <v>58.5</v>
      </c>
      <c r="W81" s="102">
        <v>63.5</v>
      </c>
      <c r="X81" s="102">
        <v>63.7</v>
      </c>
      <c r="Y81" s="102">
        <v>42.5</v>
      </c>
      <c r="Z81" s="102">
        <v>31.3</v>
      </c>
      <c r="AA81" s="102">
        <v>10.6</v>
      </c>
      <c r="AB81" s="102">
        <v>14.9</v>
      </c>
      <c r="AC81" s="102">
        <v>15.6</v>
      </c>
      <c r="AD81" s="102">
        <v>13.2</v>
      </c>
      <c r="AE81" s="102">
        <v>8.6</v>
      </c>
      <c r="AF81" s="102">
        <v>5.4</v>
      </c>
      <c r="AG81" s="88"/>
      <c r="AH81" s="12">
        <f t="shared" si="8"/>
        <v>77</v>
      </c>
      <c r="AI81" s="11">
        <f t="shared" si="9"/>
        <v>5.4</v>
      </c>
      <c r="AK81" s="19"/>
      <c r="AY81" s="78"/>
    </row>
    <row r="82" spans="1:64" x14ac:dyDescent="0.25">
      <c r="A82" s="87" t="s">
        <v>160</v>
      </c>
      <c r="B82" s="70">
        <v>0</v>
      </c>
      <c r="C82" s="70">
        <v>0</v>
      </c>
      <c r="D82" s="70">
        <v>0</v>
      </c>
      <c r="E82" s="70">
        <v>0</v>
      </c>
      <c r="F82" s="70">
        <v>0</v>
      </c>
      <c r="G82" s="70">
        <v>0</v>
      </c>
      <c r="H82" s="70">
        <v>0</v>
      </c>
      <c r="I82" s="70">
        <v>0</v>
      </c>
      <c r="J82" s="70">
        <v>0</v>
      </c>
      <c r="K82" s="70">
        <v>0</v>
      </c>
      <c r="L82" s="70">
        <v>0</v>
      </c>
      <c r="M82" s="70">
        <v>0</v>
      </c>
      <c r="N82" s="70">
        <v>0</v>
      </c>
      <c r="O82" s="70">
        <v>0</v>
      </c>
      <c r="P82" s="70">
        <v>0</v>
      </c>
      <c r="Q82" s="70">
        <v>0</v>
      </c>
      <c r="R82" s="70">
        <v>0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12">
        <f t="shared" ref="AH82:AH125" si="38">MAX(B82:AF82)</f>
        <v>0</v>
      </c>
      <c r="AI82" s="11">
        <f t="shared" ref="AI82:AI125" si="39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25">
      <c r="A83" s="87" t="s">
        <v>181</v>
      </c>
      <c r="B83" s="70">
        <v>9.1</v>
      </c>
      <c r="C83" s="70">
        <v>4.4000000000000004</v>
      </c>
      <c r="D83" s="70">
        <v>10</v>
      </c>
      <c r="E83" s="70">
        <v>0</v>
      </c>
      <c r="F83" s="70">
        <v>5.4</v>
      </c>
      <c r="G83" s="70">
        <v>0.2</v>
      </c>
      <c r="H83" s="70">
        <v>0</v>
      </c>
      <c r="I83" s="70">
        <v>9.3000000000000007</v>
      </c>
      <c r="J83" s="70">
        <v>438</v>
      </c>
      <c r="K83" s="70">
        <v>473</v>
      </c>
      <c r="L83" s="70">
        <v>486.6</v>
      </c>
      <c r="M83" s="70">
        <v>510.7</v>
      </c>
      <c r="N83" s="70">
        <v>532.5</v>
      </c>
      <c r="O83" s="70">
        <v>571.70000000000005</v>
      </c>
      <c r="P83" s="70">
        <v>534.6</v>
      </c>
      <c r="Q83" s="70">
        <v>558</v>
      </c>
      <c r="R83" s="70">
        <v>572.79999999999995</v>
      </c>
      <c r="S83" s="70">
        <v>557</v>
      </c>
      <c r="T83" s="70">
        <v>495</v>
      </c>
      <c r="U83" s="70">
        <v>521.9</v>
      </c>
      <c r="V83" s="70">
        <v>472</v>
      </c>
      <c r="W83" s="70">
        <v>478</v>
      </c>
      <c r="X83" s="70">
        <v>461</v>
      </c>
      <c r="Y83" s="70">
        <v>3.3</v>
      </c>
      <c r="Z83" s="70">
        <v>11.7</v>
      </c>
      <c r="AA83" s="70">
        <v>0</v>
      </c>
      <c r="AB83" s="70">
        <v>-5</v>
      </c>
      <c r="AC83" s="70">
        <v>-2.2000000000000002</v>
      </c>
      <c r="AD83" s="70">
        <v>0.5</v>
      </c>
      <c r="AE83" s="70">
        <v>-2.4</v>
      </c>
      <c r="AF83" s="70">
        <v>0</v>
      </c>
      <c r="AG83" s="96"/>
      <c r="AH83" s="12">
        <f t="shared" si="38"/>
        <v>572.79999999999995</v>
      </c>
      <c r="AI83" s="11">
        <f t="shared" si="39"/>
        <v>-5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25">
      <c r="A84" s="87" t="s">
        <v>161</v>
      </c>
      <c r="B84" s="70">
        <v>0</v>
      </c>
      <c r="C84" s="70">
        <v>0</v>
      </c>
      <c r="D84" s="70">
        <v>0</v>
      </c>
      <c r="E84" s="85">
        <v>0</v>
      </c>
      <c r="F84" s="85">
        <v>0</v>
      </c>
      <c r="G84" s="85">
        <v>0</v>
      </c>
      <c r="H84" s="85">
        <v>0</v>
      </c>
      <c r="I84" s="85">
        <v>0</v>
      </c>
      <c r="J84" s="85">
        <v>0</v>
      </c>
      <c r="K84" s="85">
        <v>35</v>
      </c>
      <c r="L84" s="85">
        <v>43</v>
      </c>
      <c r="M84" s="85">
        <v>39.200000000000003</v>
      </c>
      <c r="N84" s="85">
        <v>40.799999999999997</v>
      </c>
      <c r="O84" s="85">
        <v>41.3</v>
      </c>
      <c r="P84" s="85">
        <v>38.9</v>
      </c>
      <c r="Q84" s="85">
        <v>38.200000000000003</v>
      </c>
      <c r="R84" s="85">
        <v>53.3</v>
      </c>
      <c r="S84" s="85">
        <v>54.1</v>
      </c>
      <c r="T84" s="85">
        <v>21</v>
      </c>
      <c r="U84" s="85">
        <v>45.5</v>
      </c>
      <c r="V84" s="85">
        <v>50.5</v>
      </c>
      <c r="W84" s="85">
        <v>36.4</v>
      </c>
      <c r="X84" s="85">
        <v>16.100000000000001</v>
      </c>
      <c r="Y84" s="85">
        <v>0</v>
      </c>
      <c r="Z84" s="85"/>
      <c r="AA84" s="85"/>
      <c r="AB84" s="85"/>
      <c r="AC84" s="85"/>
      <c r="AD84" s="85">
        <v>0</v>
      </c>
      <c r="AE84" s="85"/>
      <c r="AF84" s="85"/>
      <c r="AG84" s="96"/>
      <c r="AH84" s="12">
        <f t="shared" si="38"/>
        <v>54.1</v>
      </c>
      <c r="AI84" s="11">
        <f t="shared" si="39"/>
        <v>0</v>
      </c>
      <c r="AK84" s="19"/>
      <c r="AY84" s="78"/>
      <c r="BF84" s="83"/>
      <c r="BG84" s="78">
        <f t="array" ref="BG84:BL107">TRANSPOSE(AZ68:BW73)</f>
        <v>20</v>
      </c>
      <c r="BH84" s="78">
        <v>0</v>
      </c>
      <c r="BI84" s="78">
        <v>4</v>
      </c>
      <c r="BJ84" s="78">
        <v>0</v>
      </c>
      <c r="BK84" s="78">
        <v>0</v>
      </c>
      <c r="BL84" s="78">
        <v>45</v>
      </c>
    </row>
    <row r="85" spans="1:64" x14ac:dyDescent="0.25">
      <c r="A85" s="87" t="s">
        <v>180</v>
      </c>
      <c r="B85" s="102">
        <v>0</v>
      </c>
      <c r="C85" s="102">
        <v>0</v>
      </c>
      <c r="D85" s="102">
        <v>0</v>
      </c>
      <c r="E85" s="102">
        <v>0</v>
      </c>
      <c r="F85" s="102">
        <v>0</v>
      </c>
      <c r="G85" s="102">
        <v>0</v>
      </c>
      <c r="H85" s="102">
        <v>0</v>
      </c>
      <c r="I85" s="102">
        <v>0</v>
      </c>
      <c r="J85" s="102">
        <v>0</v>
      </c>
      <c r="K85" s="102">
        <v>0</v>
      </c>
      <c r="L85" s="102">
        <v>113</v>
      </c>
      <c r="M85" s="102">
        <v>105.3</v>
      </c>
      <c r="N85" s="102">
        <v>126.3</v>
      </c>
      <c r="O85" s="102">
        <v>125.9</v>
      </c>
      <c r="P85" s="102">
        <v>137.1</v>
      </c>
      <c r="Q85" s="102">
        <v>144.80000000000001</v>
      </c>
      <c r="R85" s="102">
        <v>132.69999999999999</v>
      </c>
      <c r="S85" s="102">
        <v>138</v>
      </c>
      <c r="T85" s="102">
        <v>129</v>
      </c>
      <c r="U85" s="102">
        <v>121.1</v>
      </c>
      <c r="V85" s="102">
        <v>123.1</v>
      </c>
      <c r="W85" s="102">
        <v>112</v>
      </c>
      <c r="X85" s="102">
        <v>64.599999999999994</v>
      </c>
      <c r="Y85" s="102">
        <v>0</v>
      </c>
      <c r="Z85" s="102"/>
      <c r="AA85" s="102"/>
      <c r="AB85" s="102"/>
      <c r="AC85" s="102"/>
      <c r="AD85" s="102">
        <v>0</v>
      </c>
      <c r="AE85" s="102"/>
      <c r="AF85" s="102"/>
      <c r="AG85" s="96"/>
      <c r="AH85" s="12">
        <f t="shared" si="38"/>
        <v>144.80000000000001</v>
      </c>
      <c r="AI85" s="11">
        <f t="shared" si="39"/>
        <v>0</v>
      </c>
      <c r="AK85" s="19"/>
      <c r="AY85" s="78"/>
      <c r="BF85" s="83"/>
      <c r="BG85" s="78">
        <v>17.3</v>
      </c>
      <c r="BH85" s="78">
        <v>0</v>
      </c>
      <c r="BI85" s="78">
        <v>10</v>
      </c>
      <c r="BJ85" s="78">
        <v>0</v>
      </c>
      <c r="BK85" s="78">
        <v>0</v>
      </c>
      <c r="BL85" s="78">
        <v>42.2</v>
      </c>
    </row>
    <row r="86" spans="1:64" x14ac:dyDescent="0.25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38"/>
        <v>0</v>
      </c>
      <c r="AI86" s="11">
        <f t="shared" si="39"/>
        <v>0</v>
      </c>
      <c r="AK86" s="19"/>
      <c r="AY86" s="78"/>
      <c r="BF86" s="83"/>
      <c r="BG86" s="78">
        <v>15</v>
      </c>
      <c r="BH86" s="78">
        <v>0</v>
      </c>
      <c r="BI86" s="78">
        <v>0</v>
      </c>
      <c r="BJ86" s="78">
        <v>0</v>
      </c>
      <c r="BK86" s="78">
        <v>0</v>
      </c>
      <c r="BL86" s="78">
        <v>40.4</v>
      </c>
    </row>
    <row r="87" spans="1:64" ht="15.75" thickBot="1" x14ac:dyDescent="0.3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38"/>
        <v>0</v>
      </c>
      <c r="AI87" s="11">
        <f t="shared" si="39"/>
        <v>0</v>
      </c>
      <c r="AK87" s="19"/>
      <c r="AL87" s="108" t="s">
        <v>177</v>
      </c>
      <c r="AM87" s="108"/>
      <c r="AY87" s="78"/>
      <c r="BF87" s="78"/>
      <c r="BG87" s="78">
        <v>13.2</v>
      </c>
      <c r="BH87" s="78">
        <v>0</v>
      </c>
      <c r="BI87" s="78">
        <v>5.4</v>
      </c>
      <c r="BJ87" s="78">
        <v>0</v>
      </c>
      <c r="BK87" s="78">
        <v>0</v>
      </c>
      <c r="BL87" s="78">
        <v>40.200000000000003</v>
      </c>
    </row>
    <row r="88" spans="1:64" x14ac:dyDescent="0.25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38"/>
        <v>0</v>
      </c>
      <c r="AI88" s="11">
        <f t="shared" si="39"/>
        <v>0</v>
      </c>
      <c r="AK88" s="107"/>
      <c r="AL88" s="106"/>
      <c r="AM88" s="106"/>
      <c r="AN88" s="105"/>
      <c r="AY88" s="78"/>
      <c r="BF88" s="78"/>
      <c r="BG88" s="78">
        <v>14.9</v>
      </c>
      <c r="BH88" s="78">
        <v>0</v>
      </c>
      <c r="BI88" s="78">
        <v>0.2</v>
      </c>
      <c r="BJ88" s="78">
        <v>0</v>
      </c>
      <c r="BK88" s="78">
        <v>0</v>
      </c>
      <c r="BL88" s="78">
        <v>40</v>
      </c>
    </row>
    <row r="89" spans="1:64" x14ac:dyDescent="0.25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38"/>
        <v>0</v>
      </c>
      <c r="AI89" s="11">
        <f t="shared" si="39"/>
        <v>0</v>
      </c>
      <c r="AK89" s="104" t="s">
        <v>174</v>
      </c>
      <c r="AL89" s="70"/>
      <c r="AM89" s="85"/>
      <c r="AN89" s="103"/>
      <c r="AY89" s="78"/>
      <c r="BF89" s="78"/>
      <c r="BG89" s="78">
        <v>19.600000000000001</v>
      </c>
      <c r="BH89" s="78">
        <v>0</v>
      </c>
      <c r="BI89" s="78">
        <v>9.3000000000000007</v>
      </c>
      <c r="BJ89" s="78">
        <v>0</v>
      </c>
      <c r="BK89" s="78">
        <v>0</v>
      </c>
      <c r="BL89" s="78">
        <v>38.1</v>
      </c>
    </row>
    <row r="90" spans="1:64" x14ac:dyDescent="0.25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38"/>
        <v>0</v>
      </c>
      <c r="AI90" s="11">
        <f t="shared" si="39"/>
        <v>0</v>
      </c>
      <c r="AK90" s="104" t="s">
        <v>172</v>
      </c>
      <c r="AL90" s="85"/>
      <c r="AM90" s="85"/>
      <c r="AN90" s="103"/>
      <c r="AY90" s="78"/>
      <c r="BF90" s="78"/>
      <c r="BG90" s="78">
        <v>61.7</v>
      </c>
      <c r="BH90" s="78">
        <v>0</v>
      </c>
      <c r="BI90" s="78">
        <v>473</v>
      </c>
      <c r="BJ90" s="78">
        <v>35</v>
      </c>
      <c r="BK90" s="78">
        <v>0</v>
      </c>
      <c r="BL90" s="78">
        <v>45.6</v>
      </c>
    </row>
    <row r="91" spans="1:64" ht="15.75" thickBot="1" x14ac:dyDescent="0.3">
      <c r="A91" s="82" t="s">
        <v>171</v>
      </c>
      <c r="B91" s="97">
        <v>46.3</v>
      </c>
      <c r="C91" s="97">
        <v>44.9</v>
      </c>
      <c r="D91" s="97">
        <v>42.2</v>
      </c>
      <c r="E91" s="97">
        <v>40.4</v>
      </c>
      <c r="F91" s="97">
        <v>40.200000000000003</v>
      </c>
      <c r="G91" s="97">
        <v>40</v>
      </c>
      <c r="H91" s="97">
        <v>39.299999999999997</v>
      </c>
      <c r="I91" s="97">
        <v>38.1</v>
      </c>
      <c r="J91" s="97">
        <v>40.9</v>
      </c>
      <c r="K91" s="97">
        <v>45.6</v>
      </c>
      <c r="L91" s="97">
        <v>46.8</v>
      </c>
      <c r="M91" s="97">
        <v>47.6</v>
      </c>
      <c r="N91" s="97">
        <v>49.9</v>
      </c>
      <c r="O91" s="97">
        <v>46.5</v>
      </c>
      <c r="P91" s="97">
        <v>52</v>
      </c>
      <c r="Q91" s="97">
        <v>50.3</v>
      </c>
      <c r="R91" s="97">
        <v>46.1</v>
      </c>
      <c r="S91" s="97">
        <v>0</v>
      </c>
      <c r="T91" s="97">
        <v>0</v>
      </c>
      <c r="U91" s="97">
        <v>0</v>
      </c>
      <c r="V91" s="97">
        <v>0</v>
      </c>
      <c r="W91" s="97">
        <v>0</v>
      </c>
      <c r="X91" s="97">
        <v>0</v>
      </c>
      <c r="Y91" s="97">
        <v>0</v>
      </c>
      <c r="Z91" s="97"/>
      <c r="AA91" s="97"/>
      <c r="AB91" s="97"/>
      <c r="AC91" s="97"/>
      <c r="AD91" s="97"/>
      <c r="AE91" s="97"/>
      <c r="AF91" s="97">
        <v>35.200000000000003</v>
      </c>
      <c r="AG91" s="80"/>
      <c r="AH91" s="12">
        <f t="shared" si="38"/>
        <v>52</v>
      </c>
      <c r="AI91" s="11">
        <f t="shared" si="39"/>
        <v>0</v>
      </c>
      <c r="AK91" s="98"/>
      <c r="AL91" s="102"/>
      <c r="AM91" s="102"/>
      <c r="AN91" s="101"/>
      <c r="AY91" s="78"/>
      <c r="BF91" s="78"/>
      <c r="BG91" s="78">
        <v>64.2</v>
      </c>
      <c r="BH91" s="78">
        <v>0</v>
      </c>
      <c r="BI91" s="78">
        <v>510.7</v>
      </c>
      <c r="BJ91" s="78">
        <v>39.200000000000003</v>
      </c>
      <c r="BK91" s="78">
        <v>105.3</v>
      </c>
      <c r="BL91" s="78">
        <v>47.6</v>
      </c>
    </row>
    <row r="92" spans="1:64" ht="15.75" thickBot="1" x14ac:dyDescent="0.3">
      <c r="A92" s="77" t="s">
        <v>170</v>
      </c>
      <c r="B92" s="76">
        <f t="shared" ref="B92:D92" si="40">SUMIF(B81:B91,"&gt;0")</f>
        <v>62.699999999999996</v>
      </c>
      <c r="C92" s="76">
        <f t="shared" si="40"/>
        <v>69.099999999999994</v>
      </c>
      <c r="D92" s="76">
        <f t="shared" si="40"/>
        <v>69.5</v>
      </c>
      <c r="E92" s="76">
        <f t="shared" ref="E92:AF92" si="41">SUMIF(E81:E91,"&gt;0")</f>
        <v>55.4</v>
      </c>
      <c r="F92" s="76">
        <f t="shared" si="41"/>
        <v>58.800000000000004</v>
      </c>
      <c r="G92" s="76">
        <f t="shared" si="41"/>
        <v>55.1</v>
      </c>
      <c r="H92" s="76">
        <f t="shared" si="41"/>
        <v>55.5</v>
      </c>
      <c r="I92" s="76">
        <f t="shared" si="41"/>
        <v>67</v>
      </c>
      <c r="J92" s="76">
        <f t="shared" si="41"/>
        <v>537.4</v>
      </c>
      <c r="K92" s="76">
        <f t="shared" si="41"/>
        <v>615.30000000000007</v>
      </c>
      <c r="L92" s="76">
        <f t="shared" si="41"/>
        <v>751.69999999999993</v>
      </c>
      <c r="M92" s="76">
        <f t="shared" si="41"/>
        <v>767</v>
      </c>
      <c r="N92" s="76">
        <f t="shared" si="41"/>
        <v>804.79999999999984</v>
      </c>
      <c r="O92" s="76">
        <f t="shared" si="41"/>
        <v>862.4</v>
      </c>
      <c r="P92" s="76">
        <f t="shared" si="41"/>
        <v>835.80000000000007</v>
      </c>
      <c r="Q92" s="76">
        <f t="shared" si="41"/>
        <v>864.7</v>
      </c>
      <c r="R92" s="76">
        <f t="shared" si="41"/>
        <v>855.69999999999993</v>
      </c>
      <c r="S92" s="76">
        <f t="shared" si="41"/>
        <v>803.1</v>
      </c>
      <c r="T92" s="76">
        <f t="shared" si="41"/>
        <v>703.7</v>
      </c>
      <c r="U92" s="76">
        <f t="shared" si="41"/>
        <v>750.9</v>
      </c>
      <c r="V92" s="76">
        <f t="shared" si="41"/>
        <v>704.1</v>
      </c>
      <c r="W92" s="76">
        <f t="shared" si="41"/>
        <v>689.9</v>
      </c>
      <c r="X92" s="76">
        <f t="shared" si="41"/>
        <v>605.40000000000009</v>
      </c>
      <c r="Y92" s="76">
        <f t="shared" si="41"/>
        <v>45.8</v>
      </c>
      <c r="Z92" s="76">
        <f t="shared" si="41"/>
        <v>43</v>
      </c>
      <c r="AA92" s="76">
        <f t="shared" si="41"/>
        <v>10.6</v>
      </c>
      <c r="AB92" s="76">
        <f t="shared" si="41"/>
        <v>14.9</v>
      </c>
      <c r="AC92" s="76">
        <f t="shared" si="41"/>
        <v>15.6</v>
      </c>
      <c r="AD92" s="76">
        <f t="shared" si="41"/>
        <v>13.7</v>
      </c>
      <c r="AE92" s="76">
        <f t="shared" si="41"/>
        <v>8.6</v>
      </c>
      <c r="AF92" s="76">
        <f t="shared" si="41"/>
        <v>40.6</v>
      </c>
      <c r="AG92" s="75">
        <f>SUM(AG81:AG91)</f>
        <v>0</v>
      </c>
      <c r="AH92" s="12">
        <f t="shared" si="38"/>
        <v>864.7</v>
      </c>
      <c r="AI92" s="11">
        <f t="shared" si="39"/>
        <v>8.6</v>
      </c>
      <c r="AK92" s="98"/>
      <c r="AL92" s="97"/>
      <c r="AM92" s="100"/>
      <c r="AN92" s="220"/>
      <c r="AY92" s="78"/>
      <c r="BF92" s="78"/>
      <c r="BG92" s="78">
        <v>55.3</v>
      </c>
      <c r="BH92" s="78">
        <v>0</v>
      </c>
      <c r="BI92" s="78">
        <v>532.5</v>
      </c>
      <c r="BJ92" s="78">
        <v>40.799999999999997</v>
      </c>
      <c r="BK92" s="78">
        <v>126.3</v>
      </c>
      <c r="BL92" s="78">
        <v>49.9</v>
      </c>
    </row>
    <row r="93" spans="1:64" x14ac:dyDescent="0.25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38"/>
        <v>0</v>
      </c>
      <c r="AI93" s="11">
        <f t="shared" si="39"/>
        <v>0</v>
      </c>
      <c r="AK93" s="98"/>
      <c r="AL93" s="97"/>
      <c r="AM93" s="97"/>
      <c r="AN93" s="221"/>
      <c r="BF93" s="78"/>
      <c r="BG93" s="78">
        <v>77</v>
      </c>
      <c r="BH93" s="78">
        <v>0</v>
      </c>
      <c r="BI93" s="78">
        <v>571.70000000000005</v>
      </c>
      <c r="BJ93" s="78">
        <v>41.3</v>
      </c>
      <c r="BK93" s="78">
        <v>125.9</v>
      </c>
      <c r="BL93" s="78">
        <v>46.5</v>
      </c>
    </row>
    <row r="94" spans="1:64" ht="15.75" thickBot="1" x14ac:dyDescent="0.3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38"/>
        <v>0</v>
      </c>
      <c r="AI94" s="11">
        <f t="shared" si="39"/>
        <v>0</v>
      </c>
      <c r="AK94" s="95"/>
      <c r="AL94" s="67"/>
      <c r="AM94" s="67"/>
      <c r="AN94" s="94"/>
      <c r="BF94" s="78"/>
      <c r="BG94" s="78">
        <v>73.2</v>
      </c>
      <c r="BH94" s="78">
        <v>0</v>
      </c>
      <c r="BI94" s="78">
        <v>534.6</v>
      </c>
      <c r="BJ94" s="78">
        <v>38.9</v>
      </c>
      <c r="BK94" s="78">
        <v>137.1</v>
      </c>
      <c r="BL94" s="78">
        <v>52</v>
      </c>
    </row>
    <row r="95" spans="1:64" ht="15.75" thickBot="1" x14ac:dyDescent="0.3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38"/>
        <v>0</v>
      </c>
      <c r="AI95" s="11">
        <f t="shared" si="39"/>
        <v>0</v>
      </c>
      <c r="BF95" s="78"/>
      <c r="BG95" s="78">
        <v>73.400000000000006</v>
      </c>
      <c r="BH95" s="78">
        <v>0</v>
      </c>
      <c r="BI95" s="78">
        <v>558</v>
      </c>
      <c r="BJ95" s="78">
        <v>38.200000000000003</v>
      </c>
      <c r="BK95" s="78">
        <v>144.80000000000001</v>
      </c>
      <c r="BL95" s="78">
        <v>50.3</v>
      </c>
    </row>
    <row r="96" spans="1:64" ht="15.75" thickBot="1" x14ac:dyDescent="0.3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>
        <v>0</v>
      </c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38"/>
        <v>0</v>
      </c>
      <c r="AI96" s="11">
        <f t="shared" si="39"/>
        <v>0</v>
      </c>
      <c r="BF96" s="78"/>
      <c r="BG96" s="78">
        <v>50.8</v>
      </c>
      <c r="BH96" s="78">
        <v>0</v>
      </c>
      <c r="BI96" s="78">
        <v>572.79999999999995</v>
      </c>
      <c r="BJ96" s="78">
        <v>53.3</v>
      </c>
      <c r="BK96" s="78">
        <v>132.69999999999999</v>
      </c>
      <c r="BL96" s="78">
        <v>46.1</v>
      </c>
    </row>
    <row r="97" spans="1:64" ht="15.75" thickBot="1" x14ac:dyDescent="0.3">
      <c r="A97" s="77" t="s">
        <v>165</v>
      </c>
      <c r="B97" s="90">
        <f t="shared" ref="B97:D97" si="42">B58+B62+B80+B76+B92+B96</f>
        <v>1200.1400000000001</v>
      </c>
      <c r="C97" s="90">
        <f t="shared" si="42"/>
        <v>1103.4399999999998</v>
      </c>
      <c r="D97" s="90">
        <f t="shared" si="42"/>
        <v>1068.5399999999997</v>
      </c>
      <c r="E97" s="90">
        <f t="shared" ref="E97:AG97" si="43">E58+E62+E80+E76+E92+E96</f>
        <v>1063.74</v>
      </c>
      <c r="F97" s="90">
        <f t="shared" si="43"/>
        <v>1042.24</v>
      </c>
      <c r="G97" s="90">
        <f t="shared" si="43"/>
        <v>1104.6399999999999</v>
      </c>
      <c r="H97" s="90">
        <f t="shared" si="43"/>
        <v>1148.1399999999999</v>
      </c>
      <c r="I97" s="90">
        <f t="shared" si="43"/>
        <v>1258.9399999999998</v>
      </c>
      <c r="J97" s="90">
        <f t="shared" si="43"/>
        <v>1481.8399999999997</v>
      </c>
      <c r="K97" s="90">
        <f t="shared" si="43"/>
        <v>1535.94</v>
      </c>
      <c r="L97" s="90">
        <f t="shared" si="43"/>
        <v>1603.44</v>
      </c>
      <c r="M97" s="90">
        <f t="shared" si="43"/>
        <v>1626.29</v>
      </c>
      <c r="N97" s="90">
        <f t="shared" si="43"/>
        <v>1640.6399999999999</v>
      </c>
      <c r="O97" s="90">
        <f t="shared" si="43"/>
        <v>1720.04</v>
      </c>
      <c r="P97" s="90">
        <f t="shared" si="43"/>
        <v>1726.44</v>
      </c>
      <c r="Q97" s="90">
        <f t="shared" si="43"/>
        <v>1720.6399999999999</v>
      </c>
      <c r="R97" s="90">
        <f t="shared" si="43"/>
        <v>1696.4399999999996</v>
      </c>
      <c r="S97" s="90">
        <f t="shared" si="43"/>
        <v>1621.1399999999999</v>
      </c>
      <c r="T97" s="90">
        <f t="shared" si="43"/>
        <v>1549.2399999999998</v>
      </c>
      <c r="U97" s="90">
        <f t="shared" si="43"/>
        <v>1594.9399999999998</v>
      </c>
      <c r="V97" s="90">
        <f t="shared" si="43"/>
        <v>1545.1399999999999</v>
      </c>
      <c r="W97" s="90">
        <f t="shared" si="43"/>
        <v>1470.4399999999998</v>
      </c>
      <c r="X97" s="90">
        <f t="shared" si="43"/>
        <v>1339.44</v>
      </c>
      <c r="Y97" s="90">
        <f t="shared" si="43"/>
        <v>1415.3999999999999</v>
      </c>
      <c r="Z97" s="90">
        <f t="shared" si="43"/>
        <v>1547.2</v>
      </c>
      <c r="AA97" s="90">
        <f t="shared" si="43"/>
        <v>1514.84</v>
      </c>
      <c r="AB97" s="90">
        <f t="shared" si="43"/>
        <v>1485.8400000000001</v>
      </c>
      <c r="AC97" s="90">
        <f t="shared" si="43"/>
        <v>1465.4399999999998</v>
      </c>
      <c r="AD97" s="90">
        <f t="shared" si="43"/>
        <v>1424.5400000000002</v>
      </c>
      <c r="AE97" s="90">
        <f t="shared" si="43"/>
        <v>1347.2399999999998</v>
      </c>
      <c r="AF97" s="90">
        <f t="shared" si="43"/>
        <v>1291.8399999999997</v>
      </c>
      <c r="AG97" s="93">
        <f t="shared" si="43"/>
        <v>2231.81</v>
      </c>
      <c r="AH97" s="12">
        <f t="shared" si="38"/>
        <v>1726.44</v>
      </c>
      <c r="AI97" s="11">
        <f t="shared" si="39"/>
        <v>1042.24</v>
      </c>
      <c r="BF97" s="78"/>
      <c r="BG97" s="78">
        <v>54</v>
      </c>
      <c r="BH97" s="78">
        <v>0</v>
      </c>
      <c r="BI97" s="78">
        <v>557</v>
      </c>
      <c r="BJ97" s="78">
        <v>54.1</v>
      </c>
      <c r="BK97" s="78">
        <v>138</v>
      </c>
      <c r="BL97" s="78">
        <v>0</v>
      </c>
    </row>
    <row r="98" spans="1:64" ht="15.75" thickBot="1" x14ac:dyDescent="0.3">
      <c r="A98" s="92" t="s">
        <v>164</v>
      </c>
      <c r="B98" s="91">
        <v>270</v>
      </c>
      <c r="C98" s="91">
        <v>300</v>
      </c>
      <c r="D98" s="91">
        <v>300</v>
      </c>
      <c r="E98" s="91">
        <v>300</v>
      </c>
      <c r="F98" s="91">
        <v>300</v>
      </c>
      <c r="G98" s="91">
        <v>280</v>
      </c>
      <c r="H98" s="91">
        <v>280</v>
      </c>
      <c r="I98" s="91">
        <v>220</v>
      </c>
      <c r="J98" s="91">
        <v>50</v>
      </c>
      <c r="K98" s="91">
        <v>30</v>
      </c>
      <c r="L98" s="91">
        <v>0</v>
      </c>
      <c r="M98" s="91">
        <v>0</v>
      </c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>
        <v>200</v>
      </c>
      <c r="Y98" s="91">
        <v>200</v>
      </c>
      <c r="Z98" s="91">
        <v>250</v>
      </c>
      <c r="AA98" s="91">
        <v>250</v>
      </c>
      <c r="AB98" s="91">
        <v>250</v>
      </c>
      <c r="AC98" s="91">
        <v>250</v>
      </c>
      <c r="AD98" s="91">
        <v>250</v>
      </c>
      <c r="AE98" s="91">
        <v>250</v>
      </c>
      <c r="AF98" s="91">
        <v>250</v>
      </c>
      <c r="AG98" s="75"/>
      <c r="AH98" s="12">
        <f t="shared" si="38"/>
        <v>300</v>
      </c>
      <c r="AI98" s="11">
        <f t="shared" si="39"/>
        <v>0</v>
      </c>
      <c r="BF98" s="78"/>
      <c r="BG98" s="78">
        <v>58.7</v>
      </c>
      <c r="BH98" s="78">
        <v>0</v>
      </c>
      <c r="BI98" s="78">
        <v>495</v>
      </c>
      <c r="BJ98" s="78">
        <v>21</v>
      </c>
      <c r="BK98" s="78">
        <v>129</v>
      </c>
      <c r="BL98" s="78">
        <v>0</v>
      </c>
    </row>
    <row r="99" spans="1:64" ht="15.75" thickBot="1" x14ac:dyDescent="0.3">
      <c r="A99" s="77" t="s">
        <v>163</v>
      </c>
      <c r="B99" s="90">
        <f t="shared" ref="B99:D99" si="44">B97+B98</f>
        <v>1470.14</v>
      </c>
      <c r="C99" s="90">
        <f t="shared" si="44"/>
        <v>1403.4399999999998</v>
      </c>
      <c r="D99" s="90">
        <f t="shared" si="44"/>
        <v>1368.5399999999997</v>
      </c>
      <c r="E99" s="90">
        <f t="shared" ref="E99:AF99" si="45">E97+E98</f>
        <v>1363.74</v>
      </c>
      <c r="F99" s="90">
        <f t="shared" si="45"/>
        <v>1342.24</v>
      </c>
      <c r="G99" s="90">
        <f t="shared" si="45"/>
        <v>1384.6399999999999</v>
      </c>
      <c r="H99" s="90">
        <f t="shared" si="45"/>
        <v>1428.1399999999999</v>
      </c>
      <c r="I99" s="90">
        <f t="shared" si="45"/>
        <v>1478.9399999999998</v>
      </c>
      <c r="J99" s="90">
        <f t="shared" si="45"/>
        <v>1531.8399999999997</v>
      </c>
      <c r="K99" s="90">
        <f t="shared" si="45"/>
        <v>1565.94</v>
      </c>
      <c r="L99" s="90">
        <f t="shared" si="45"/>
        <v>1603.44</v>
      </c>
      <c r="M99" s="90">
        <f t="shared" si="45"/>
        <v>1626.29</v>
      </c>
      <c r="N99" s="90">
        <f t="shared" si="45"/>
        <v>1640.6399999999999</v>
      </c>
      <c r="O99" s="90">
        <f t="shared" si="45"/>
        <v>1720.04</v>
      </c>
      <c r="P99" s="90">
        <f t="shared" si="45"/>
        <v>1726.44</v>
      </c>
      <c r="Q99" s="90">
        <f t="shared" si="45"/>
        <v>1720.6399999999999</v>
      </c>
      <c r="R99" s="90">
        <f t="shared" si="45"/>
        <v>1696.4399999999996</v>
      </c>
      <c r="S99" s="90">
        <f t="shared" si="45"/>
        <v>1621.1399999999999</v>
      </c>
      <c r="T99" s="90">
        <f t="shared" si="45"/>
        <v>1549.2399999999998</v>
      </c>
      <c r="U99" s="90">
        <f t="shared" si="45"/>
        <v>1594.9399999999998</v>
      </c>
      <c r="V99" s="90">
        <f t="shared" si="45"/>
        <v>1545.1399999999999</v>
      </c>
      <c r="W99" s="90">
        <f t="shared" si="45"/>
        <v>1470.4399999999998</v>
      </c>
      <c r="X99" s="90">
        <f t="shared" si="45"/>
        <v>1539.44</v>
      </c>
      <c r="Y99" s="90">
        <f t="shared" si="45"/>
        <v>1615.3999999999999</v>
      </c>
      <c r="Z99" s="90">
        <f t="shared" si="45"/>
        <v>1797.2</v>
      </c>
      <c r="AA99" s="90">
        <f t="shared" si="45"/>
        <v>1764.84</v>
      </c>
      <c r="AB99" s="90">
        <f t="shared" si="45"/>
        <v>1735.8400000000001</v>
      </c>
      <c r="AC99" s="90">
        <f t="shared" si="45"/>
        <v>1715.4399999999998</v>
      </c>
      <c r="AD99" s="90">
        <f t="shared" si="45"/>
        <v>1674.5400000000002</v>
      </c>
      <c r="AE99" s="90">
        <f t="shared" si="45"/>
        <v>1597.2399999999998</v>
      </c>
      <c r="AF99" s="90">
        <f t="shared" si="45"/>
        <v>1541.8399999999997</v>
      </c>
      <c r="AG99" s="75">
        <f>AG96+AG92+AG80+AG76+AG58+AG98</f>
        <v>1693.71</v>
      </c>
      <c r="AH99" s="12">
        <f t="shared" si="38"/>
        <v>1797.2</v>
      </c>
      <c r="AI99" s="11">
        <f t="shared" si="39"/>
        <v>1342.24</v>
      </c>
      <c r="BF99" s="78"/>
      <c r="BG99" s="78">
        <v>62.4</v>
      </c>
      <c r="BH99" s="78">
        <v>0</v>
      </c>
      <c r="BI99" s="78">
        <v>521.9</v>
      </c>
      <c r="BJ99" s="78">
        <v>45.5</v>
      </c>
      <c r="BK99" s="78">
        <v>121.1</v>
      </c>
      <c r="BL99" s="78">
        <v>0</v>
      </c>
    </row>
    <row r="100" spans="1:64" ht="15.75" thickBot="1" x14ac:dyDescent="0.3">
      <c r="A100" s="77" t="s">
        <v>162</v>
      </c>
      <c r="B100" s="90">
        <f t="shared" ref="B100:D100" si="46">B99-(B107)</f>
        <v>1470.14</v>
      </c>
      <c r="C100" s="90">
        <f t="shared" si="46"/>
        <v>1403.4399999999998</v>
      </c>
      <c r="D100" s="90">
        <f t="shared" si="46"/>
        <v>1368.5399999999997</v>
      </c>
      <c r="E100" s="90">
        <f t="shared" ref="E100:AF100" si="47">E99-(E107)</f>
        <v>1363.74</v>
      </c>
      <c r="F100" s="90">
        <f t="shared" si="47"/>
        <v>1342.24</v>
      </c>
      <c r="G100" s="90">
        <f t="shared" si="47"/>
        <v>1384.6399999999999</v>
      </c>
      <c r="H100" s="90">
        <f t="shared" si="47"/>
        <v>1428.1399999999999</v>
      </c>
      <c r="I100" s="90">
        <f t="shared" si="47"/>
        <v>1478.9399999999998</v>
      </c>
      <c r="J100" s="90">
        <f t="shared" si="47"/>
        <v>1531.8399999999997</v>
      </c>
      <c r="K100" s="90">
        <f t="shared" si="47"/>
        <v>1565.94</v>
      </c>
      <c r="L100" s="90">
        <f t="shared" si="47"/>
        <v>1603.44</v>
      </c>
      <c r="M100" s="90">
        <f t="shared" si="47"/>
        <v>1626.29</v>
      </c>
      <c r="N100" s="90">
        <f t="shared" si="47"/>
        <v>1640.6399999999999</v>
      </c>
      <c r="O100" s="90">
        <f t="shared" si="47"/>
        <v>1720.04</v>
      </c>
      <c r="P100" s="90">
        <f t="shared" si="47"/>
        <v>1726.44</v>
      </c>
      <c r="Q100" s="90">
        <f t="shared" si="47"/>
        <v>1720.6399999999999</v>
      </c>
      <c r="R100" s="90">
        <f t="shared" si="47"/>
        <v>1696.4399999999996</v>
      </c>
      <c r="S100" s="90">
        <f t="shared" si="47"/>
        <v>1621.1399999999999</v>
      </c>
      <c r="T100" s="90">
        <f t="shared" si="47"/>
        <v>1549.2399999999998</v>
      </c>
      <c r="U100" s="90">
        <f t="shared" si="47"/>
        <v>1594.9399999999998</v>
      </c>
      <c r="V100" s="90">
        <f t="shared" si="47"/>
        <v>1545.1399999999999</v>
      </c>
      <c r="W100" s="90">
        <f t="shared" si="47"/>
        <v>1470.4399999999998</v>
      </c>
      <c r="X100" s="90">
        <f t="shared" si="47"/>
        <v>1539.44</v>
      </c>
      <c r="Y100" s="90">
        <f t="shared" si="47"/>
        <v>1615.3999999999999</v>
      </c>
      <c r="Z100" s="90">
        <f t="shared" si="47"/>
        <v>1797.2</v>
      </c>
      <c r="AA100" s="90">
        <f t="shared" si="47"/>
        <v>1764.84</v>
      </c>
      <c r="AB100" s="90">
        <f t="shared" si="47"/>
        <v>1730.8400000000001</v>
      </c>
      <c r="AC100" s="90">
        <f t="shared" si="47"/>
        <v>1713.2399999999998</v>
      </c>
      <c r="AD100" s="90">
        <f t="shared" si="47"/>
        <v>1674.5400000000002</v>
      </c>
      <c r="AE100" s="90">
        <f t="shared" si="47"/>
        <v>1594.8399999999997</v>
      </c>
      <c r="AF100" s="90">
        <f t="shared" si="47"/>
        <v>1541.8399999999997</v>
      </c>
      <c r="AG100" s="75"/>
      <c r="AH100" s="12">
        <f t="shared" si="38"/>
        <v>1797.2</v>
      </c>
      <c r="AI100" s="11">
        <f t="shared" si="39"/>
        <v>1342.24</v>
      </c>
      <c r="BF100" s="78"/>
      <c r="BG100" s="78">
        <v>58.5</v>
      </c>
      <c r="BH100" s="78">
        <v>0</v>
      </c>
      <c r="BI100" s="78">
        <v>472</v>
      </c>
      <c r="BJ100" s="78">
        <v>50.5</v>
      </c>
      <c r="BK100" s="78">
        <v>123.1</v>
      </c>
      <c r="BL100" s="78">
        <v>0</v>
      </c>
    </row>
    <row r="101" spans="1:64" x14ac:dyDescent="0.25">
      <c r="A101" s="89" t="s">
        <v>161</v>
      </c>
      <c r="B101" s="85">
        <f t="shared" ref="B101:C101" si="48">IF(B84&lt;0,B84*-1,0)</f>
        <v>0</v>
      </c>
      <c r="C101" s="85">
        <f t="shared" si="48"/>
        <v>0</v>
      </c>
      <c r="D101" s="85">
        <f t="shared" ref="D101" si="49">IF(D84&lt;0,D84*-1,0)</f>
        <v>0</v>
      </c>
      <c r="E101" s="85">
        <f t="shared" ref="E101:AF101" si="50">IF(E84&lt;0,E84*-1,0)</f>
        <v>0</v>
      </c>
      <c r="F101" s="85">
        <f t="shared" si="50"/>
        <v>0</v>
      </c>
      <c r="G101" s="85">
        <f t="shared" si="50"/>
        <v>0</v>
      </c>
      <c r="H101" s="85">
        <f t="shared" si="50"/>
        <v>0</v>
      </c>
      <c r="I101" s="85">
        <f t="shared" si="50"/>
        <v>0</v>
      </c>
      <c r="J101" s="85">
        <f t="shared" si="50"/>
        <v>0</v>
      </c>
      <c r="K101" s="85">
        <f t="shared" si="50"/>
        <v>0</v>
      </c>
      <c r="L101" s="85">
        <f t="shared" si="50"/>
        <v>0</v>
      </c>
      <c r="M101" s="85">
        <f t="shared" si="50"/>
        <v>0</v>
      </c>
      <c r="N101" s="85">
        <f t="shared" si="50"/>
        <v>0</v>
      </c>
      <c r="O101" s="85">
        <f t="shared" si="50"/>
        <v>0</v>
      </c>
      <c r="P101" s="85">
        <f t="shared" si="50"/>
        <v>0</v>
      </c>
      <c r="Q101" s="85">
        <f t="shared" si="50"/>
        <v>0</v>
      </c>
      <c r="R101" s="85">
        <f t="shared" si="50"/>
        <v>0</v>
      </c>
      <c r="S101" s="85">
        <f t="shared" si="50"/>
        <v>0</v>
      </c>
      <c r="T101" s="85">
        <f t="shared" si="50"/>
        <v>0</v>
      </c>
      <c r="U101" s="85">
        <f t="shared" si="50"/>
        <v>0</v>
      </c>
      <c r="V101" s="85">
        <f t="shared" si="50"/>
        <v>0</v>
      </c>
      <c r="W101" s="85">
        <f t="shared" si="50"/>
        <v>0</v>
      </c>
      <c r="X101" s="85">
        <f t="shared" si="50"/>
        <v>0</v>
      </c>
      <c r="Y101" s="85">
        <f t="shared" si="50"/>
        <v>0</v>
      </c>
      <c r="Z101" s="85">
        <f t="shared" si="50"/>
        <v>0</v>
      </c>
      <c r="AA101" s="85">
        <f t="shared" si="50"/>
        <v>0</v>
      </c>
      <c r="AB101" s="85">
        <f t="shared" si="50"/>
        <v>0</v>
      </c>
      <c r="AC101" s="85">
        <f t="shared" si="50"/>
        <v>0</v>
      </c>
      <c r="AD101" s="85">
        <f t="shared" si="50"/>
        <v>0</v>
      </c>
      <c r="AE101" s="85">
        <f t="shared" si="50"/>
        <v>0</v>
      </c>
      <c r="AF101" s="85">
        <f t="shared" si="50"/>
        <v>0</v>
      </c>
      <c r="AG101" s="88"/>
      <c r="AH101" s="12">
        <f t="shared" si="38"/>
        <v>0</v>
      </c>
      <c r="AI101" s="11">
        <f t="shared" si="39"/>
        <v>0</v>
      </c>
      <c r="BF101" s="83"/>
      <c r="BG101" s="78">
        <v>63.7</v>
      </c>
      <c r="BH101" s="78">
        <v>0</v>
      </c>
      <c r="BI101" s="78">
        <v>461</v>
      </c>
      <c r="BJ101" s="78">
        <v>16.100000000000001</v>
      </c>
      <c r="BK101" s="78">
        <v>64.599999999999994</v>
      </c>
      <c r="BL101" s="78">
        <v>0</v>
      </c>
    </row>
    <row r="102" spans="1:64" x14ac:dyDescent="0.25">
      <c r="A102" s="87" t="s">
        <v>160</v>
      </c>
      <c r="B102" s="85">
        <f t="shared" ref="B102:C102" si="51">IF(B82&lt;0,B82*-1,0)</f>
        <v>0</v>
      </c>
      <c r="C102" s="85">
        <f t="shared" si="51"/>
        <v>0</v>
      </c>
      <c r="D102" s="85">
        <f t="shared" ref="D102" si="52">IF(D82&lt;0,D82*-1,0)</f>
        <v>0</v>
      </c>
      <c r="E102" s="85">
        <f t="shared" ref="E102:AF102" si="53">IF(E82&lt;0,E82*-1,0)</f>
        <v>0</v>
      </c>
      <c r="F102" s="85">
        <f t="shared" si="53"/>
        <v>0</v>
      </c>
      <c r="G102" s="85">
        <f t="shared" si="53"/>
        <v>0</v>
      </c>
      <c r="H102" s="85">
        <f t="shared" si="53"/>
        <v>0</v>
      </c>
      <c r="I102" s="85">
        <f t="shared" si="53"/>
        <v>0</v>
      </c>
      <c r="J102" s="85">
        <f t="shared" si="53"/>
        <v>0</v>
      </c>
      <c r="K102" s="85">
        <f t="shared" si="53"/>
        <v>0</v>
      </c>
      <c r="L102" s="85">
        <f t="shared" si="53"/>
        <v>0</v>
      </c>
      <c r="M102" s="85">
        <f t="shared" si="53"/>
        <v>0</v>
      </c>
      <c r="N102" s="85">
        <f t="shared" si="53"/>
        <v>0</v>
      </c>
      <c r="O102" s="85">
        <f t="shared" si="53"/>
        <v>0</v>
      </c>
      <c r="P102" s="85">
        <f t="shared" si="53"/>
        <v>0</v>
      </c>
      <c r="Q102" s="85">
        <f t="shared" si="53"/>
        <v>0</v>
      </c>
      <c r="R102" s="85">
        <f t="shared" si="53"/>
        <v>0</v>
      </c>
      <c r="S102" s="85">
        <f t="shared" si="53"/>
        <v>0</v>
      </c>
      <c r="T102" s="85">
        <f t="shared" si="53"/>
        <v>0</v>
      </c>
      <c r="U102" s="85">
        <f t="shared" si="53"/>
        <v>0</v>
      </c>
      <c r="V102" s="85">
        <f t="shared" si="53"/>
        <v>0</v>
      </c>
      <c r="W102" s="85">
        <f t="shared" si="53"/>
        <v>0</v>
      </c>
      <c r="X102" s="85">
        <f t="shared" si="53"/>
        <v>0</v>
      </c>
      <c r="Y102" s="85">
        <f t="shared" si="53"/>
        <v>0</v>
      </c>
      <c r="Z102" s="85">
        <f t="shared" si="53"/>
        <v>0</v>
      </c>
      <c r="AA102" s="85">
        <f t="shared" si="53"/>
        <v>0</v>
      </c>
      <c r="AB102" s="85">
        <f t="shared" si="53"/>
        <v>0</v>
      </c>
      <c r="AC102" s="85">
        <f t="shared" si="53"/>
        <v>0</v>
      </c>
      <c r="AD102" s="85">
        <f t="shared" si="53"/>
        <v>0</v>
      </c>
      <c r="AE102" s="85">
        <f t="shared" si="53"/>
        <v>0</v>
      </c>
      <c r="AF102" s="85">
        <f t="shared" si="53"/>
        <v>0</v>
      </c>
      <c r="AG102" s="86"/>
      <c r="AH102" s="12">
        <f t="shared" si="38"/>
        <v>0</v>
      </c>
      <c r="AI102" s="11">
        <f t="shared" si="39"/>
        <v>0</v>
      </c>
      <c r="BF102" s="83"/>
      <c r="BG102" s="78">
        <v>31.3</v>
      </c>
      <c r="BH102" s="78">
        <v>0</v>
      </c>
      <c r="BI102" s="78">
        <v>11.7</v>
      </c>
      <c r="BJ102" s="78">
        <v>0</v>
      </c>
      <c r="BK102" s="78">
        <v>0</v>
      </c>
      <c r="BL102" s="78">
        <v>0</v>
      </c>
    </row>
    <row r="103" spans="1:64" x14ac:dyDescent="0.25">
      <c r="A103" s="82" t="s">
        <v>159</v>
      </c>
      <c r="B103" s="85">
        <f t="shared" ref="B103:C103" si="54">IF(B85&lt;0,B85*-1,0)</f>
        <v>0</v>
      </c>
      <c r="C103" s="85">
        <f t="shared" si="54"/>
        <v>0</v>
      </c>
      <c r="D103" s="85">
        <f t="shared" ref="D103" si="55">IF(D85&lt;0,D85*-1,0)</f>
        <v>0</v>
      </c>
      <c r="E103" s="85">
        <f t="shared" ref="E103:AF103" si="56">IF(E85&lt;0,E85*-1,0)</f>
        <v>0</v>
      </c>
      <c r="F103" s="85">
        <f t="shared" si="56"/>
        <v>0</v>
      </c>
      <c r="G103" s="85">
        <f t="shared" si="56"/>
        <v>0</v>
      </c>
      <c r="H103" s="85">
        <f t="shared" si="56"/>
        <v>0</v>
      </c>
      <c r="I103" s="85">
        <f t="shared" si="56"/>
        <v>0</v>
      </c>
      <c r="J103" s="85">
        <f t="shared" si="56"/>
        <v>0</v>
      </c>
      <c r="K103" s="85">
        <f t="shared" si="56"/>
        <v>0</v>
      </c>
      <c r="L103" s="85">
        <f t="shared" si="56"/>
        <v>0</v>
      </c>
      <c r="M103" s="85">
        <f t="shared" si="56"/>
        <v>0</v>
      </c>
      <c r="N103" s="85">
        <f t="shared" si="56"/>
        <v>0</v>
      </c>
      <c r="O103" s="85">
        <f t="shared" si="56"/>
        <v>0</v>
      </c>
      <c r="P103" s="85">
        <f t="shared" si="56"/>
        <v>0</v>
      </c>
      <c r="Q103" s="85">
        <f t="shared" si="56"/>
        <v>0</v>
      </c>
      <c r="R103" s="85">
        <f t="shared" si="56"/>
        <v>0</v>
      </c>
      <c r="S103" s="85">
        <f t="shared" si="56"/>
        <v>0</v>
      </c>
      <c r="T103" s="85">
        <f t="shared" si="56"/>
        <v>0</v>
      </c>
      <c r="U103" s="85">
        <f t="shared" si="56"/>
        <v>0</v>
      </c>
      <c r="V103" s="85">
        <f t="shared" si="56"/>
        <v>0</v>
      </c>
      <c r="W103" s="85">
        <f t="shared" si="56"/>
        <v>0</v>
      </c>
      <c r="X103" s="85">
        <f t="shared" si="56"/>
        <v>0</v>
      </c>
      <c r="Y103" s="85">
        <f t="shared" si="56"/>
        <v>0</v>
      </c>
      <c r="Z103" s="85">
        <f t="shared" si="56"/>
        <v>0</v>
      </c>
      <c r="AA103" s="85">
        <f t="shared" si="56"/>
        <v>0</v>
      </c>
      <c r="AB103" s="85">
        <f t="shared" si="56"/>
        <v>0</v>
      </c>
      <c r="AC103" s="85">
        <f t="shared" si="56"/>
        <v>0</v>
      </c>
      <c r="AD103" s="85">
        <f t="shared" si="56"/>
        <v>0</v>
      </c>
      <c r="AE103" s="85">
        <f t="shared" si="56"/>
        <v>0</v>
      </c>
      <c r="AF103" s="85">
        <f t="shared" si="56"/>
        <v>0</v>
      </c>
      <c r="AG103" s="84"/>
      <c r="AH103" s="12">
        <f t="shared" si="38"/>
        <v>0</v>
      </c>
      <c r="AI103" s="11">
        <f t="shared" si="39"/>
        <v>0</v>
      </c>
      <c r="BF103" s="83"/>
      <c r="BG103" s="78">
        <v>14.9</v>
      </c>
      <c r="BH103" s="78">
        <v>0</v>
      </c>
      <c r="BI103" s="78">
        <v>-5</v>
      </c>
      <c r="BJ103" s="78">
        <v>0</v>
      </c>
      <c r="BK103" s="78">
        <v>0</v>
      </c>
      <c r="BL103" s="78">
        <v>0</v>
      </c>
    </row>
    <row r="104" spans="1:64" x14ac:dyDescent="0.25">
      <c r="A104" s="82" t="s">
        <v>158</v>
      </c>
      <c r="B104" s="85">
        <f t="shared" ref="B104:C104" si="57">IF(B83&lt;0,B83*-1,0)</f>
        <v>0</v>
      </c>
      <c r="C104" s="85">
        <f t="shared" si="57"/>
        <v>0</v>
      </c>
      <c r="D104" s="85">
        <f t="shared" ref="D104" si="58">IF(D83&lt;0,D83*-1,0)</f>
        <v>0</v>
      </c>
      <c r="E104" s="85">
        <f t="shared" ref="E104:AF104" si="59">IF(E83&lt;0,E83*-1,0)</f>
        <v>0</v>
      </c>
      <c r="F104" s="85">
        <f t="shared" si="59"/>
        <v>0</v>
      </c>
      <c r="G104" s="85">
        <f t="shared" si="59"/>
        <v>0</v>
      </c>
      <c r="H104" s="85">
        <f t="shared" si="59"/>
        <v>0</v>
      </c>
      <c r="I104" s="85">
        <f t="shared" si="59"/>
        <v>0</v>
      </c>
      <c r="J104" s="85">
        <f t="shared" si="59"/>
        <v>0</v>
      </c>
      <c r="K104" s="85">
        <f t="shared" si="59"/>
        <v>0</v>
      </c>
      <c r="L104" s="85">
        <f t="shared" si="59"/>
        <v>0</v>
      </c>
      <c r="M104" s="85">
        <f t="shared" si="59"/>
        <v>0</v>
      </c>
      <c r="N104" s="85">
        <f t="shared" si="59"/>
        <v>0</v>
      </c>
      <c r="O104" s="85">
        <f t="shared" si="59"/>
        <v>0</v>
      </c>
      <c r="P104" s="85">
        <f t="shared" si="59"/>
        <v>0</v>
      </c>
      <c r="Q104" s="85">
        <f t="shared" si="59"/>
        <v>0</v>
      </c>
      <c r="R104" s="85">
        <f t="shared" si="59"/>
        <v>0</v>
      </c>
      <c r="S104" s="85">
        <f t="shared" si="59"/>
        <v>0</v>
      </c>
      <c r="T104" s="85">
        <f t="shared" si="59"/>
        <v>0</v>
      </c>
      <c r="U104" s="85">
        <f t="shared" si="59"/>
        <v>0</v>
      </c>
      <c r="V104" s="85">
        <f t="shared" si="59"/>
        <v>0</v>
      </c>
      <c r="W104" s="85">
        <f t="shared" si="59"/>
        <v>0</v>
      </c>
      <c r="X104" s="85">
        <f t="shared" si="59"/>
        <v>0</v>
      </c>
      <c r="Y104" s="85">
        <f t="shared" si="59"/>
        <v>0</v>
      </c>
      <c r="Z104" s="85">
        <f t="shared" si="59"/>
        <v>0</v>
      </c>
      <c r="AA104" s="85">
        <f t="shared" si="59"/>
        <v>0</v>
      </c>
      <c r="AB104" s="85">
        <f t="shared" si="59"/>
        <v>5</v>
      </c>
      <c r="AC104" s="85">
        <f t="shared" si="59"/>
        <v>2.2000000000000002</v>
      </c>
      <c r="AD104" s="85">
        <f t="shared" si="59"/>
        <v>0</v>
      </c>
      <c r="AE104" s="85">
        <f t="shared" si="59"/>
        <v>2.4</v>
      </c>
      <c r="AF104" s="85">
        <f t="shared" si="59"/>
        <v>0</v>
      </c>
      <c r="AG104" s="84"/>
      <c r="AH104" s="12">
        <f t="shared" si="38"/>
        <v>5</v>
      </c>
      <c r="AI104" s="11">
        <f t="shared" si="39"/>
        <v>0</v>
      </c>
      <c r="BF104" s="83"/>
      <c r="BG104" s="78">
        <v>13.2</v>
      </c>
      <c r="BH104" s="78">
        <v>0</v>
      </c>
      <c r="BI104" s="78">
        <v>0.5</v>
      </c>
      <c r="BJ104" s="78">
        <v>0</v>
      </c>
      <c r="BK104" s="78">
        <v>0</v>
      </c>
      <c r="BL104" s="78">
        <v>0</v>
      </c>
    </row>
    <row r="105" spans="1:64" x14ac:dyDescent="0.25">
      <c r="A105" s="82" t="s">
        <v>157</v>
      </c>
      <c r="B105" s="85">
        <f t="shared" ref="B105:C105" si="60">IF(B81&lt;0,B81*-1,0)</f>
        <v>0</v>
      </c>
      <c r="C105" s="85">
        <f t="shared" si="60"/>
        <v>0</v>
      </c>
      <c r="D105" s="85">
        <f t="shared" ref="D105" si="61">IF(D81&lt;0,D81*-1,0)</f>
        <v>0</v>
      </c>
      <c r="E105" s="85">
        <f t="shared" ref="E105:AF105" si="62">IF(E81&lt;0,E81*-1,0)</f>
        <v>0</v>
      </c>
      <c r="F105" s="85">
        <f t="shared" si="62"/>
        <v>0</v>
      </c>
      <c r="G105" s="85">
        <f t="shared" si="62"/>
        <v>0</v>
      </c>
      <c r="H105" s="85">
        <f t="shared" si="62"/>
        <v>0</v>
      </c>
      <c r="I105" s="85">
        <f t="shared" si="62"/>
        <v>0</v>
      </c>
      <c r="J105" s="85">
        <f t="shared" si="62"/>
        <v>0</v>
      </c>
      <c r="K105" s="85">
        <f t="shared" si="62"/>
        <v>0</v>
      </c>
      <c r="L105" s="85">
        <f t="shared" si="62"/>
        <v>0</v>
      </c>
      <c r="M105" s="85">
        <f t="shared" si="62"/>
        <v>0</v>
      </c>
      <c r="N105" s="85">
        <f t="shared" si="62"/>
        <v>0</v>
      </c>
      <c r="O105" s="85">
        <f t="shared" si="62"/>
        <v>0</v>
      </c>
      <c r="P105" s="85">
        <f t="shared" si="62"/>
        <v>0</v>
      </c>
      <c r="Q105" s="85">
        <f t="shared" si="62"/>
        <v>0</v>
      </c>
      <c r="R105" s="85">
        <f t="shared" si="62"/>
        <v>0</v>
      </c>
      <c r="S105" s="85">
        <f t="shared" si="62"/>
        <v>0</v>
      </c>
      <c r="T105" s="85">
        <f t="shared" si="62"/>
        <v>0</v>
      </c>
      <c r="U105" s="85">
        <f t="shared" si="62"/>
        <v>0</v>
      </c>
      <c r="V105" s="85">
        <f t="shared" si="62"/>
        <v>0</v>
      </c>
      <c r="W105" s="85">
        <f t="shared" si="62"/>
        <v>0</v>
      </c>
      <c r="X105" s="85">
        <f t="shared" si="62"/>
        <v>0</v>
      </c>
      <c r="Y105" s="85">
        <f t="shared" si="62"/>
        <v>0</v>
      </c>
      <c r="Z105" s="85">
        <f t="shared" si="62"/>
        <v>0</v>
      </c>
      <c r="AA105" s="85">
        <f t="shared" si="62"/>
        <v>0</v>
      </c>
      <c r="AB105" s="85">
        <f t="shared" si="62"/>
        <v>0</v>
      </c>
      <c r="AC105" s="85">
        <f t="shared" si="62"/>
        <v>0</v>
      </c>
      <c r="AD105" s="85">
        <f t="shared" si="62"/>
        <v>0</v>
      </c>
      <c r="AE105" s="85">
        <f t="shared" si="62"/>
        <v>0</v>
      </c>
      <c r="AF105" s="85">
        <f t="shared" si="62"/>
        <v>0</v>
      </c>
      <c r="AG105" s="84"/>
      <c r="AH105" s="12">
        <f t="shared" si="38"/>
        <v>0</v>
      </c>
      <c r="AI105" s="11">
        <f t="shared" si="39"/>
        <v>0</v>
      </c>
      <c r="BF105" s="83"/>
      <c r="BG105" s="78">
        <v>8.6</v>
      </c>
      <c r="BH105" s="78">
        <v>0</v>
      </c>
      <c r="BI105" s="78">
        <v>-2.4</v>
      </c>
      <c r="BJ105" s="78">
        <v>0</v>
      </c>
      <c r="BK105" s="78">
        <v>0</v>
      </c>
      <c r="BL105" s="78">
        <v>0</v>
      </c>
    </row>
    <row r="106" spans="1:64" ht="15.75" thickBot="1" x14ac:dyDescent="0.3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38"/>
        <v>0</v>
      </c>
      <c r="AI106" s="11">
        <f t="shared" si="39"/>
        <v>0</v>
      </c>
      <c r="BG106" s="78">
        <v>5.4</v>
      </c>
      <c r="BH106" s="78">
        <v>0</v>
      </c>
      <c r="BI106" s="78">
        <v>0</v>
      </c>
      <c r="BJ106" s="78">
        <v>0</v>
      </c>
      <c r="BK106" s="78">
        <v>0</v>
      </c>
      <c r="BL106" s="78">
        <v>35.200000000000003</v>
      </c>
    </row>
    <row r="107" spans="1:64" ht="15.75" thickBot="1" x14ac:dyDescent="0.3">
      <c r="A107" s="79" t="s">
        <v>155</v>
      </c>
      <c r="B107" s="76">
        <f t="shared" ref="B107:D107" si="63">SUM(B101:B106)</f>
        <v>0</v>
      </c>
      <c r="C107" s="76">
        <f t="shared" si="63"/>
        <v>0</v>
      </c>
      <c r="D107" s="76">
        <f t="shared" si="63"/>
        <v>0</v>
      </c>
      <c r="E107" s="76">
        <f t="shared" ref="E107:AF107" si="64">SUM(E101:E106)</f>
        <v>0</v>
      </c>
      <c r="F107" s="76">
        <f t="shared" si="64"/>
        <v>0</v>
      </c>
      <c r="G107" s="76">
        <f t="shared" si="64"/>
        <v>0</v>
      </c>
      <c r="H107" s="76">
        <f t="shared" si="64"/>
        <v>0</v>
      </c>
      <c r="I107" s="76">
        <f t="shared" si="64"/>
        <v>0</v>
      </c>
      <c r="J107" s="76">
        <f t="shared" si="64"/>
        <v>0</v>
      </c>
      <c r="K107" s="76">
        <f t="shared" si="64"/>
        <v>0</v>
      </c>
      <c r="L107" s="76">
        <f t="shared" si="64"/>
        <v>0</v>
      </c>
      <c r="M107" s="76">
        <f t="shared" si="64"/>
        <v>0</v>
      </c>
      <c r="N107" s="76">
        <f t="shared" si="64"/>
        <v>0</v>
      </c>
      <c r="O107" s="76">
        <f t="shared" si="64"/>
        <v>0</v>
      </c>
      <c r="P107" s="76">
        <f t="shared" si="64"/>
        <v>0</v>
      </c>
      <c r="Q107" s="76">
        <f t="shared" si="64"/>
        <v>0</v>
      </c>
      <c r="R107" s="76">
        <f t="shared" si="64"/>
        <v>0</v>
      </c>
      <c r="S107" s="76">
        <f t="shared" si="64"/>
        <v>0</v>
      </c>
      <c r="T107" s="76">
        <f t="shared" si="64"/>
        <v>0</v>
      </c>
      <c r="U107" s="76">
        <f t="shared" si="64"/>
        <v>0</v>
      </c>
      <c r="V107" s="76">
        <f t="shared" si="64"/>
        <v>0</v>
      </c>
      <c r="W107" s="76">
        <f t="shared" si="64"/>
        <v>0</v>
      </c>
      <c r="X107" s="76">
        <f t="shared" si="64"/>
        <v>0</v>
      </c>
      <c r="Y107" s="76">
        <f t="shared" si="64"/>
        <v>0</v>
      </c>
      <c r="Z107" s="76">
        <f t="shared" si="64"/>
        <v>0</v>
      </c>
      <c r="AA107" s="76">
        <f t="shared" si="64"/>
        <v>0</v>
      </c>
      <c r="AB107" s="76">
        <f t="shared" si="64"/>
        <v>5</v>
      </c>
      <c r="AC107" s="76">
        <f t="shared" si="64"/>
        <v>2.2000000000000002</v>
      </c>
      <c r="AD107" s="76">
        <f t="shared" si="64"/>
        <v>0</v>
      </c>
      <c r="AE107" s="76">
        <f t="shared" si="64"/>
        <v>2.4</v>
      </c>
      <c r="AF107" s="76">
        <f t="shared" si="64"/>
        <v>0</v>
      </c>
      <c r="AG107" s="75"/>
      <c r="AH107" s="12">
        <f t="shared" si="38"/>
        <v>5</v>
      </c>
      <c r="AI107" s="11">
        <f t="shared" si="39"/>
        <v>0</v>
      </c>
      <c r="AK107" s="19"/>
      <c r="BG107" s="78">
        <v>7.3</v>
      </c>
      <c r="BH107" s="78">
        <v>0</v>
      </c>
      <c r="BI107" s="78">
        <v>9.1</v>
      </c>
      <c r="BJ107" s="78">
        <v>0</v>
      </c>
      <c r="BK107" s="78">
        <v>0</v>
      </c>
      <c r="BL107" s="78">
        <v>46.3</v>
      </c>
    </row>
    <row r="108" spans="1:64" ht="15.75" thickBot="1" x14ac:dyDescent="0.3">
      <c r="A108" s="77" t="s">
        <v>154</v>
      </c>
      <c r="B108" s="76">
        <f t="shared" ref="B108:D108" si="65">B92-B107</f>
        <v>62.699999999999996</v>
      </c>
      <c r="C108" s="76">
        <f t="shared" si="65"/>
        <v>69.099999999999994</v>
      </c>
      <c r="D108" s="76">
        <f t="shared" si="65"/>
        <v>69.5</v>
      </c>
      <c r="E108" s="76">
        <f t="shared" ref="E108:AF108" si="66">E92-E107</f>
        <v>55.4</v>
      </c>
      <c r="F108" s="76">
        <f t="shared" si="66"/>
        <v>58.800000000000004</v>
      </c>
      <c r="G108" s="76">
        <f t="shared" si="66"/>
        <v>55.1</v>
      </c>
      <c r="H108" s="76">
        <f t="shared" si="66"/>
        <v>55.5</v>
      </c>
      <c r="I108" s="76">
        <f t="shared" si="66"/>
        <v>67</v>
      </c>
      <c r="J108" s="76">
        <f t="shared" si="66"/>
        <v>537.4</v>
      </c>
      <c r="K108" s="76">
        <f t="shared" si="66"/>
        <v>615.30000000000007</v>
      </c>
      <c r="L108" s="76">
        <f t="shared" si="66"/>
        <v>751.69999999999993</v>
      </c>
      <c r="M108" s="76">
        <f t="shared" si="66"/>
        <v>767</v>
      </c>
      <c r="N108" s="76">
        <f t="shared" si="66"/>
        <v>804.79999999999984</v>
      </c>
      <c r="O108" s="76">
        <f t="shared" si="66"/>
        <v>862.4</v>
      </c>
      <c r="P108" s="76">
        <f t="shared" si="66"/>
        <v>835.80000000000007</v>
      </c>
      <c r="Q108" s="76">
        <f t="shared" si="66"/>
        <v>864.7</v>
      </c>
      <c r="R108" s="76">
        <f t="shared" si="66"/>
        <v>855.69999999999993</v>
      </c>
      <c r="S108" s="76">
        <f t="shared" si="66"/>
        <v>803.1</v>
      </c>
      <c r="T108" s="76">
        <f t="shared" si="66"/>
        <v>703.7</v>
      </c>
      <c r="U108" s="76">
        <f t="shared" si="66"/>
        <v>750.9</v>
      </c>
      <c r="V108" s="76">
        <f t="shared" si="66"/>
        <v>704.1</v>
      </c>
      <c r="W108" s="76">
        <f t="shared" si="66"/>
        <v>689.9</v>
      </c>
      <c r="X108" s="76">
        <f t="shared" si="66"/>
        <v>605.40000000000009</v>
      </c>
      <c r="Y108" s="76">
        <f t="shared" si="66"/>
        <v>45.8</v>
      </c>
      <c r="Z108" s="76">
        <f t="shared" si="66"/>
        <v>43</v>
      </c>
      <c r="AA108" s="76">
        <f t="shared" si="66"/>
        <v>10.6</v>
      </c>
      <c r="AB108" s="76">
        <f t="shared" si="66"/>
        <v>9.9</v>
      </c>
      <c r="AC108" s="76">
        <f t="shared" si="66"/>
        <v>13.399999999999999</v>
      </c>
      <c r="AD108" s="76">
        <f t="shared" si="66"/>
        <v>13.7</v>
      </c>
      <c r="AE108" s="76">
        <f t="shared" si="66"/>
        <v>6.1999999999999993</v>
      </c>
      <c r="AF108" s="76">
        <f t="shared" si="66"/>
        <v>40.6</v>
      </c>
      <c r="AG108" s="75"/>
      <c r="AH108" s="12">
        <f t="shared" si="38"/>
        <v>864.7</v>
      </c>
      <c r="AI108" s="11">
        <f t="shared" si="39"/>
        <v>6.1999999999999993</v>
      </c>
    </row>
    <row r="109" spans="1:64" x14ac:dyDescent="0.25">
      <c r="A109" s="25" t="s">
        <v>153</v>
      </c>
      <c r="B109" s="74">
        <v>50.05</v>
      </c>
      <c r="C109" s="74">
        <v>50.09</v>
      </c>
      <c r="D109" s="74">
        <v>50</v>
      </c>
      <c r="E109" s="74">
        <v>50.002000000000002</v>
      </c>
      <c r="F109" s="74">
        <v>50.012</v>
      </c>
      <c r="G109" s="74">
        <v>67.099999999999994</v>
      </c>
      <c r="H109" s="74">
        <v>49.99</v>
      </c>
      <c r="I109" s="74">
        <v>49.968000000000004</v>
      </c>
      <c r="J109" s="74">
        <v>50.024000000000001</v>
      </c>
      <c r="K109" s="74">
        <v>50.084000000000003</v>
      </c>
      <c r="L109" s="74">
        <v>50.084000000000003</v>
      </c>
      <c r="M109" s="74">
        <v>50.087000000000003</v>
      </c>
      <c r="N109" s="74">
        <v>50.134999999999998</v>
      </c>
      <c r="O109" s="74">
        <v>50.066000000000003</v>
      </c>
      <c r="P109" s="74">
        <v>50.02</v>
      </c>
      <c r="Q109" s="74">
        <v>49.970999999999997</v>
      </c>
      <c r="R109" s="74">
        <v>50.249000000000002</v>
      </c>
      <c r="S109" s="74">
        <v>49.975999999999999</v>
      </c>
      <c r="T109" s="74">
        <v>49.976999999999997</v>
      </c>
      <c r="U109" s="74">
        <v>50.003999999999998</v>
      </c>
      <c r="V109" s="74">
        <v>49.996000000000002</v>
      </c>
      <c r="W109" s="74">
        <v>49.902999999999999</v>
      </c>
      <c r="X109" s="74">
        <v>49.988999999999997</v>
      </c>
      <c r="Y109" s="74">
        <v>49.953000000000003</v>
      </c>
      <c r="Z109" s="74">
        <v>50.05</v>
      </c>
      <c r="AA109" s="74">
        <v>49.886000000000003</v>
      </c>
      <c r="AB109" s="74">
        <v>49.99</v>
      </c>
      <c r="AC109" s="74">
        <v>49.96</v>
      </c>
      <c r="AD109" s="74">
        <v>49.911999999999999</v>
      </c>
      <c r="AE109" s="74">
        <v>50.08</v>
      </c>
      <c r="AF109" s="74">
        <v>50</v>
      </c>
      <c r="AG109" s="73"/>
      <c r="AH109" s="12">
        <f t="shared" si="38"/>
        <v>67.099999999999994</v>
      </c>
      <c r="AI109" s="11">
        <f t="shared" si="39"/>
        <v>49.886000000000003</v>
      </c>
    </row>
    <row r="110" spans="1:64" x14ac:dyDescent="0.25">
      <c r="A110" s="22" t="s">
        <v>152</v>
      </c>
      <c r="B110" s="70">
        <v>130.4</v>
      </c>
      <c r="C110" s="70">
        <v>130.4</v>
      </c>
      <c r="D110" s="70">
        <v>130.4</v>
      </c>
      <c r="E110" s="70">
        <v>131.4</v>
      </c>
      <c r="F110" s="70">
        <v>131.6</v>
      </c>
      <c r="G110" s="70">
        <v>130.69999999999999</v>
      </c>
      <c r="H110" s="70">
        <v>130.30000000000001</v>
      </c>
      <c r="I110" s="70">
        <v>126.5</v>
      </c>
      <c r="J110" s="70">
        <v>122.2</v>
      </c>
      <c r="K110" s="70">
        <v>121.7</v>
      </c>
      <c r="L110" s="70">
        <v>125.8</v>
      </c>
      <c r="M110" s="70">
        <v>124.7</v>
      </c>
      <c r="N110" s="70">
        <v>123.6</v>
      </c>
      <c r="O110" s="70">
        <v>121.7</v>
      </c>
      <c r="P110" s="70">
        <v>124.2</v>
      </c>
      <c r="Q110" s="70">
        <v>124.2</v>
      </c>
      <c r="R110" s="70">
        <v>124.7</v>
      </c>
      <c r="S110" s="70">
        <v>124.6</v>
      </c>
      <c r="T110" s="70">
        <v>126.6</v>
      </c>
      <c r="U110" s="70">
        <v>127.2</v>
      </c>
      <c r="V110" s="70">
        <v>128.9</v>
      </c>
      <c r="W110" s="70">
        <v>128.30000000000001</v>
      </c>
      <c r="X110" s="70">
        <v>129.30000000000001</v>
      </c>
      <c r="Y110" s="70">
        <v>130</v>
      </c>
      <c r="Z110" s="70">
        <v>129.5</v>
      </c>
      <c r="AA110" s="70">
        <v>128.5</v>
      </c>
      <c r="AB110" s="70">
        <v>129.4</v>
      </c>
      <c r="AC110" s="70">
        <v>129</v>
      </c>
      <c r="AD110" s="70">
        <v>128.9</v>
      </c>
      <c r="AE110" s="70">
        <v>129.30000000000001</v>
      </c>
      <c r="AF110" s="70">
        <v>128.69999999999999</v>
      </c>
      <c r="AG110" s="69"/>
      <c r="AH110" s="12">
        <f t="shared" si="38"/>
        <v>131.6</v>
      </c>
      <c r="AI110" s="11">
        <f t="shared" si="39"/>
        <v>121.7</v>
      </c>
    </row>
    <row r="111" spans="1:64" x14ac:dyDescent="0.25">
      <c r="A111" s="22" t="s">
        <v>151</v>
      </c>
      <c r="B111" s="70">
        <v>134.30000000000001</v>
      </c>
      <c r="C111" s="70">
        <v>134.30000000000001</v>
      </c>
      <c r="D111" s="70">
        <v>134.30000000000001</v>
      </c>
      <c r="E111" s="70">
        <v>134.80000000000001</v>
      </c>
      <c r="F111" s="70">
        <v>134.9</v>
      </c>
      <c r="G111" s="70">
        <v>134.4</v>
      </c>
      <c r="H111" s="70">
        <v>133.9</v>
      </c>
      <c r="I111" s="70">
        <v>130.9</v>
      </c>
      <c r="J111" s="70">
        <v>128.19999999999999</v>
      </c>
      <c r="K111" s="70">
        <v>127.3</v>
      </c>
      <c r="L111" s="70">
        <v>129.30000000000001</v>
      </c>
      <c r="M111" s="70">
        <v>128.5</v>
      </c>
      <c r="N111" s="70">
        <v>127.7</v>
      </c>
      <c r="O111" s="70">
        <v>126.5</v>
      </c>
      <c r="P111" s="70">
        <v>128.1</v>
      </c>
      <c r="Q111" s="70">
        <v>128.1</v>
      </c>
      <c r="R111" s="70">
        <v>129</v>
      </c>
      <c r="S111" s="70">
        <v>128</v>
      </c>
      <c r="T111" s="70">
        <v>130.30000000000001</v>
      </c>
      <c r="U111" s="70">
        <v>130.69999999999999</v>
      </c>
      <c r="V111" s="70">
        <v>132.1</v>
      </c>
      <c r="W111" s="70">
        <v>131.4</v>
      </c>
      <c r="X111" s="70">
        <v>132.30000000000001</v>
      </c>
      <c r="Y111" s="70">
        <v>133.6</v>
      </c>
      <c r="Z111" s="70">
        <v>132.9</v>
      </c>
      <c r="AA111" s="70">
        <v>131.80000000000001</v>
      </c>
      <c r="AB111" s="70">
        <v>132.80000000000001</v>
      </c>
      <c r="AC111" s="70">
        <v>132.6</v>
      </c>
      <c r="AD111" s="70">
        <v>132.80000000000001</v>
      </c>
      <c r="AE111" s="70">
        <v>133.5</v>
      </c>
      <c r="AF111" s="70">
        <v>133</v>
      </c>
      <c r="AG111" s="69"/>
      <c r="AH111" s="12">
        <f t="shared" si="38"/>
        <v>134.9</v>
      </c>
      <c r="AI111" s="11">
        <f t="shared" si="39"/>
        <v>126.5</v>
      </c>
    </row>
    <row r="112" spans="1:64" x14ac:dyDescent="0.25">
      <c r="A112" s="22" t="s">
        <v>150</v>
      </c>
      <c r="B112" s="70">
        <v>133.1</v>
      </c>
      <c r="C112" s="70">
        <v>133.1</v>
      </c>
      <c r="D112" s="70">
        <v>133.1</v>
      </c>
      <c r="E112" s="70">
        <v>133.80000000000001</v>
      </c>
      <c r="F112" s="70">
        <v>135.69999999999999</v>
      </c>
      <c r="G112" s="70">
        <v>132.4</v>
      </c>
      <c r="H112" s="70">
        <v>130.30000000000001</v>
      </c>
      <c r="I112" s="70">
        <v>129.5</v>
      </c>
      <c r="J112" s="70">
        <v>125.5</v>
      </c>
      <c r="K112" s="70">
        <v>127.2</v>
      </c>
      <c r="L112" s="70">
        <v>124.6</v>
      </c>
      <c r="M112" s="70">
        <v>126.5</v>
      </c>
      <c r="N112" s="70">
        <v>126.5</v>
      </c>
      <c r="O112" s="70">
        <v>122</v>
      </c>
      <c r="P112" s="70">
        <v>126.6</v>
      </c>
      <c r="Q112" s="70">
        <v>126.6</v>
      </c>
      <c r="R112" s="70">
        <v>124.9</v>
      </c>
      <c r="S112" s="70">
        <v>124.1</v>
      </c>
      <c r="T112" s="70">
        <v>130</v>
      </c>
      <c r="U112" s="70">
        <v>123.9</v>
      </c>
      <c r="V112" s="70">
        <v>127.3</v>
      </c>
      <c r="W112" s="70">
        <v>127.6</v>
      </c>
      <c r="X112" s="70">
        <v>130.9</v>
      </c>
      <c r="Y112" s="70">
        <v>127.4</v>
      </c>
      <c r="Z112" s="70">
        <v>131.6</v>
      </c>
      <c r="AA112" s="70">
        <v>129</v>
      </c>
      <c r="AB112" s="70">
        <v>130</v>
      </c>
      <c r="AC112" s="70">
        <v>130.4</v>
      </c>
      <c r="AD112" s="70">
        <v>130.80000000000001</v>
      </c>
      <c r="AE112" s="70">
        <v>130.6</v>
      </c>
      <c r="AF112" s="70">
        <v>131.1</v>
      </c>
      <c r="AG112" s="69"/>
      <c r="AH112" s="12">
        <f t="shared" si="38"/>
        <v>135.69999999999999</v>
      </c>
      <c r="AI112" s="11">
        <f t="shared" si="39"/>
        <v>122</v>
      </c>
    </row>
    <row r="113" spans="1:35" x14ac:dyDescent="0.25">
      <c r="A113" s="72" t="s">
        <v>149</v>
      </c>
      <c r="B113" s="70">
        <v>133.6</v>
      </c>
      <c r="C113" s="70">
        <v>133.6</v>
      </c>
      <c r="D113" s="70">
        <v>133.6</v>
      </c>
      <c r="E113" s="70">
        <v>134</v>
      </c>
      <c r="F113" s="70">
        <v>134.5</v>
      </c>
      <c r="G113" s="70">
        <v>130.1</v>
      </c>
      <c r="H113" s="70">
        <v>127.8</v>
      </c>
      <c r="I113" s="70">
        <v>129.69999999999999</v>
      </c>
      <c r="J113" s="70">
        <v>126.6</v>
      </c>
      <c r="K113" s="70">
        <v>128.30000000000001</v>
      </c>
      <c r="L113" s="70">
        <v>125.8</v>
      </c>
      <c r="M113" s="70">
        <v>126.8</v>
      </c>
      <c r="N113" s="70">
        <v>125.9</v>
      </c>
      <c r="O113" s="70">
        <v>121</v>
      </c>
      <c r="P113" s="70">
        <v>128.6</v>
      </c>
      <c r="Q113" s="70">
        <v>128.6</v>
      </c>
      <c r="R113" s="70">
        <v>127.1</v>
      </c>
      <c r="S113" s="70">
        <v>125.3</v>
      </c>
      <c r="T113" s="70">
        <v>132.30000000000001</v>
      </c>
      <c r="U113" s="70">
        <v>122.5</v>
      </c>
      <c r="V113" s="70">
        <v>126.6</v>
      </c>
      <c r="W113" s="70">
        <v>125.6</v>
      </c>
      <c r="X113" s="70">
        <v>129.4</v>
      </c>
      <c r="Y113" s="70">
        <v>126.2</v>
      </c>
      <c r="Z113" s="70">
        <v>129.5</v>
      </c>
      <c r="AA113" s="70">
        <v>128.19999999999999</v>
      </c>
      <c r="AB113" s="70">
        <v>130</v>
      </c>
      <c r="AC113" s="70">
        <v>131.1</v>
      </c>
      <c r="AD113" s="70">
        <v>131.5</v>
      </c>
      <c r="AE113" s="70">
        <v>132.4</v>
      </c>
      <c r="AF113" s="70">
        <v>132.80000000000001</v>
      </c>
      <c r="AG113" s="69"/>
      <c r="AH113" s="12">
        <f t="shared" si="38"/>
        <v>134.5</v>
      </c>
      <c r="AI113" s="11">
        <f t="shared" si="39"/>
        <v>121</v>
      </c>
    </row>
    <row r="114" spans="1:35" x14ac:dyDescent="0.25">
      <c r="A114" s="72" t="s">
        <v>148</v>
      </c>
      <c r="B114" s="56">
        <v>135.9</v>
      </c>
      <c r="C114" s="56">
        <v>135.9</v>
      </c>
      <c r="D114" s="56">
        <v>135.9</v>
      </c>
      <c r="E114" s="56">
        <v>135</v>
      </c>
      <c r="F114" s="56">
        <v>134.5</v>
      </c>
      <c r="G114" s="56">
        <v>136.4</v>
      </c>
      <c r="H114" s="56">
        <v>135.5</v>
      </c>
      <c r="I114" s="56">
        <v>133.30000000000001</v>
      </c>
      <c r="J114" s="56">
        <v>133.5</v>
      </c>
      <c r="K114" s="56">
        <v>131.69999999999999</v>
      </c>
      <c r="L114" s="56">
        <v>132</v>
      </c>
      <c r="M114" s="56">
        <v>133.5</v>
      </c>
      <c r="N114" s="56">
        <v>130.19999999999999</v>
      </c>
      <c r="O114" s="56">
        <v>130.4</v>
      </c>
      <c r="P114" s="56">
        <v>133.6</v>
      </c>
      <c r="Q114" s="56">
        <v>133.6</v>
      </c>
      <c r="R114" s="56">
        <v>133.30000000000001</v>
      </c>
      <c r="S114" s="56">
        <v>130.80000000000001</v>
      </c>
      <c r="T114" s="56">
        <v>135.19999999999999</v>
      </c>
      <c r="U114" s="56">
        <v>134.30000000000001</v>
      </c>
      <c r="V114" s="56">
        <v>135.80000000000001</v>
      </c>
      <c r="W114" s="56">
        <v>134.19999999999999</v>
      </c>
      <c r="X114" s="56">
        <v>134.5</v>
      </c>
      <c r="Y114" s="56">
        <v>136.30000000000001</v>
      </c>
      <c r="Z114" s="56">
        <v>133.30000000000001</v>
      </c>
      <c r="AA114" s="56">
        <v>131.6</v>
      </c>
      <c r="AB114" s="56">
        <v>132.80000000000001</v>
      </c>
      <c r="AC114" s="56">
        <v>133.4</v>
      </c>
      <c r="AD114" s="56">
        <v>134.1</v>
      </c>
      <c r="AE114" s="56">
        <v>134.4</v>
      </c>
      <c r="AF114" s="56">
        <v>135.5</v>
      </c>
      <c r="AG114" s="71"/>
      <c r="AH114" s="12">
        <f t="shared" si="38"/>
        <v>136.4</v>
      </c>
      <c r="AI114" s="11">
        <f t="shared" si="39"/>
        <v>130.19999999999999</v>
      </c>
    </row>
    <row r="115" spans="1:35" x14ac:dyDescent="0.25">
      <c r="A115" s="22" t="s">
        <v>147</v>
      </c>
      <c r="B115" s="70">
        <v>133</v>
      </c>
      <c r="C115" s="70">
        <v>133</v>
      </c>
      <c r="D115" s="70">
        <v>133</v>
      </c>
      <c r="E115" s="70">
        <v>136.80000000000001</v>
      </c>
      <c r="F115" s="70">
        <v>136.19999999999999</v>
      </c>
      <c r="G115" s="70">
        <v>129.4</v>
      </c>
      <c r="H115" s="70">
        <v>128.5</v>
      </c>
      <c r="I115" s="70">
        <v>125.1</v>
      </c>
      <c r="J115" s="70">
        <v>127.5</v>
      </c>
      <c r="K115" s="70">
        <v>128.30000000000001</v>
      </c>
      <c r="L115" s="70">
        <v>128.30000000000001</v>
      </c>
      <c r="M115" s="70">
        <v>127</v>
      </c>
      <c r="N115" s="70">
        <v>128.80000000000001</v>
      </c>
      <c r="O115" s="70">
        <v>130.80000000000001</v>
      </c>
      <c r="P115" s="70">
        <v>128</v>
      </c>
      <c r="Q115" s="70">
        <v>128</v>
      </c>
      <c r="R115" s="70">
        <v>133.9</v>
      </c>
      <c r="S115" s="70">
        <v>129.69999999999999</v>
      </c>
      <c r="T115" s="70">
        <v>132.80000000000001</v>
      </c>
      <c r="U115" s="70">
        <v>131.19999999999999</v>
      </c>
      <c r="V115" s="70">
        <v>130.69999999999999</v>
      </c>
      <c r="W115" s="70">
        <v>127.6</v>
      </c>
      <c r="X115" s="70">
        <v>124.6</v>
      </c>
      <c r="Y115" s="70">
        <v>122.5</v>
      </c>
      <c r="Z115" s="70">
        <v>126.1</v>
      </c>
      <c r="AA115" s="70">
        <v>133.6</v>
      </c>
      <c r="AB115" s="70">
        <v>130.69999999999999</v>
      </c>
      <c r="AC115" s="70">
        <v>131.5</v>
      </c>
      <c r="AD115" s="70">
        <v>132.9</v>
      </c>
      <c r="AE115" s="70">
        <v>133</v>
      </c>
      <c r="AF115" s="70">
        <v>132.69999999999999</v>
      </c>
      <c r="AG115" s="69"/>
      <c r="AH115" s="12">
        <f t="shared" si="38"/>
        <v>136.80000000000001</v>
      </c>
      <c r="AI115" s="11">
        <f t="shared" si="39"/>
        <v>122.5</v>
      </c>
    </row>
    <row r="116" spans="1:35" ht="15.75" thickBot="1" x14ac:dyDescent="0.3">
      <c r="A116" s="22" t="s">
        <v>146</v>
      </c>
      <c r="B116" s="67">
        <v>66.7</v>
      </c>
      <c r="C116" s="67">
        <v>66.7</v>
      </c>
      <c r="D116" s="67">
        <v>66.7</v>
      </c>
      <c r="E116" s="67">
        <v>67.400000000000006</v>
      </c>
      <c r="F116" s="67">
        <v>67.2</v>
      </c>
      <c r="G116" s="67">
        <v>67.099999999999994</v>
      </c>
      <c r="H116" s="67">
        <v>66.7</v>
      </c>
      <c r="I116" s="67">
        <v>65.400000000000006</v>
      </c>
      <c r="J116" s="67">
        <v>64</v>
      </c>
      <c r="K116" s="67">
        <v>63.5</v>
      </c>
      <c r="L116" s="67">
        <v>64.2</v>
      </c>
      <c r="M116" s="67">
        <v>63.8</v>
      </c>
      <c r="N116" s="67">
        <v>63.4</v>
      </c>
      <c r="O116" s="67">
        <v>62.8</v>
      </c>
      <c r="P116" s="67">
        <v>63.6</v>
      </c>
      <c r="Q116" s="67">
        <v>64</v>
      </c>
      <c r="R116" s="67">
        <v>63.9</v>
      </c>
      <c r="S116" s="67">
        <v>63.8</v>
      </c>
      <c r="T116" s="67">
        <v>64.7</v>
      </c>
      <c r="U116" s="67">
        <v>65.2</v>
      </c>
      <c r="V116" s="67">
        <v>65.8</v>
      </c>
      <c r="W116" s="67">
        <v>65.8</v>
      </c>
      <c r="X116" s="67">
        <v>66.099999999999994</v>
      </c>
      <c r="Y116" s="67">
        <v>66.7</v>
      </c>
      <c r="Z116" s="67">
        <v>66.400000000000006</v>
      </c>
      <c r="AA116" s="67">
        <v>66</v>
      </c>
      <c r="AB116" s="67">
        <v>66.599999999999994</v>
      </c>
      <c r="AC116" s="67">
        <v>66.599999999999994</v>
      </c>
      <c r="AD116" s="67">
        <v>66.7</v>
      </c>
      <c r="AE116" s="67">
        <v>67</v>
      </c>
      <c r="AF116" s="67">
        <v>66.7</v>
      </c>
      <c r="AG116" s="66"/>
      <c r="AH116" s="12">
        <f t="shared" si="38"/>
        <v>67.400000000000006</v>
      </c>
      <c r="AI116" s="11">
        <f t="shared" si="39"/>
        <v>62.8</v>
      </c>
    </row>
    <row r="117" spans="1:35" ht="15.75" thickBot="1" x14ac:dyDescent="0.3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38"/>
        <v>0</v>
      </c>
      <c r="AI117" s="11">
        <f t="shared" si="39"/>
        <v>0</v>
      </c>
    </row>
    <row r="118" spans="1:35" ht="15.75" thickBot="1" x14ac:dyDescent="0.3">
      <c r="A118" s="65" t="s">
        <v>144</v>
      </c>
      <c r="B118" s="64">
        <f t="shared" ref="B118:C118" si="67">SUM(B22,B28,B31:B32,B66,B68:B69,B71,B73,B119:B123,B155,B161,B167,B176,B178,B190,B197,B200:B201,B208,B210,B212,B216:B218,B220:B222,B227,B233:B234,B236:B238,B246,B251)</f>
        <v>133.74</v>
      </c>
      <c r="C118" s="64">
        <f t="shared" si="67"/>
        <v>122.14</v>
      </c>
      <c r="D118" s="64">
        <f t="shared" ref="D118:O118" si="68">SUM(D22,D28,D31:D32,D66,D68:D69,D71,D73,D119:D123,D155,D161,D167,D176,D178,D190,D197,D200:D201,D208,D210,D212,D216:D218,D220:D222,D227,D233:D234,D236:D238,D246,D251)</f>
        <v>122.13999999999999</v>
      </c>
      <c r="E118" s="64">
        <f t="shared" si="68"/>
        <v>113.43999999999997</v>
      </c>
      <c r="F118" s="64">
        <f t="shared" si="68"/>
        <v>121.54</v>
      </c>
      <c r="G118" s="64">
        <f t="shared" si="68"/>
        <v>137.24</v>
      </c>
      <c r="H118" s="64">
        <f t="shared" si="68"/>
        <v>165.34</v>
      </c>
      <c r="I118" s="64">
        <f t="shared" si="68"/>
        <v>208.03999999999996</v>
      </c>
      <c r="J118" s="64">
        <f t="shared" si="68"/>
        <v>250.23999999999995</v>
      </c>
      <c r="K118" s="64">
        <f t="shared" si="68"/>
        <v>270.44</v>
      </c>
      <c r="L118" s="64">
        <f t="shared" si="68"/>
        <v>291.94</v>
      </c>
      <c r="M118" s="64">
        <f t="shared" si="68"/>
        <v>305.64</v>
      </c>
      <c r="N118" s="64">
        <f t="shared" si="68"/>
        <v>293.94</v>
      </c>
      <c r="O118" s="64">
        <f t="shared" si="68"/>
        <v>304.44</v>
      </c>
      <c r="P118" s="64">
        <v>42</v>
      </c>
      <c r="Q118" s="64">
        <f t="shared" ref="Q118:X118" si="69">SUM(Q22,Q28,Q31:Q32,Q66,Q68:Q69,Q71,Q73,Q119:Q123,Q155,Q161,Q167,Q176,Q178,Q190,Q197,Q200:Q201,Q208,Q210,Q212,Q216:Q218,Q220:Q222,Q227,Q233:Q234,Q236:Q238,Q246,Q251)</f>
        <v>283.04000000000002</v>
      </c>
      <c r="R118" s="64">
        <f t="shared" si="69"/>
        <v>267.64</v>
      </c>
      <c r="S118" s="64">
        <f t="shared" si="69"/>
        <v>283.14</v>
      </c>
      <c r="T118" s="64">
        <f t="shared" si="69"/>
        <v>284.64</v>
      </c>
      <c r="U118" s="64">
        <f t="shared" si="69"/>
        <v>286.64</v>
      </c>
      <c r="V118" s="64">
        <f t="shared" si="69"/>
        <v>276.73999999999995</v>
      </c>
      <c r="W118" s="64">
        <f t="shared" si="69"/>
        <v>276.53999999999996</v>
      </c>
      <c r="X118" s="64">
        <f t="shared" si="69"/>
        <v>276.83999999999997</v>
      </c>
      <c r="Y118" s="64">
        <f>SUM(Y20,Y26,Y37:Y38,Y66,Y68:Y69,Y71,Y73,Y119:Y123,Y148,Y154,Y160,Y169,Y171,Y183,Y190,Y193:Y194,Y201,Y203,Y205,Y209:Y211,Y213:Y215,Y220,Y226:Y227,Y229:Y231,Y239,Y244)</f>
        <v>315.5</v>
      </c>
      <c r="Z118" s="64">
        <f>SUM(Z20,Z26,Z37:Z38,Z66,Z68:Z69,Z71,Z73,Z119:Z123,Z148,Z154,Z160,Z169,Z171,Z183,Z190,Z193:Z194,Z201,Z203,Z205,Z209:Z211,Z213:Z215,Z220,Z226:Z227,Z229:Z231,Z239,Z244)</f>
        <v>353.90000000000003</v>
      </c>
      <c r="AA118" s="64">
        <f t="shared" ref="AA118:AF118" si="70">SUM(AA22,AA28,AA31:AA32,AA66,AA68:AA69,AA71,AA73,AA119:AA123,AA155,AA161,AA167,AA176,AA178,AA190,AA197,AA200:AA201,AA208,AA210,AA212,AA216:AA218,AA220:AA222,AA227,AA233:AA234,AA236:AA238,AA246,AA251)</f>
        <v>335.74</v>
      </c>
      <c r="AB118" s="64">
        <f t="shared" si="70"/>
        <v>300.33999999999997</v>
      </c>
      <c r="AC118" s="64">
        <f t="shared" si="70"/>
        <v>284.74</v>
      </c>
      <c r="AD118" s="64">
        <f t="shared" si="70"/>
        <v>257.24000000000007</v>
      </c>
      <c r="AE118" s="64">
        <f t="shared" si="70"/>
        <v>187.24</v>
      </c>
      <c r="AF118" s="64">
        <f t="shared" si="70"/>
        <v>146.84</v>
      </c>
      <c r="AG118" s="63"/>
      <c r="AH118" s="12">
        <f t="shared" si="38"/>
        <v>353.90000000000003</v>
      </c>
      <c r="AI118" s="11">
        <f t="shared" si="39"/>
        <v>42</v>
      </c>
    </row>
    <row r="119" spans="1:35" x14ac:dyDescent="0.25">
      <c r="A119" s="59" t="s">
        <v>143</v>
      </c>
      <c r="B119" s="62">
        <v>39.6</v>
      </c>
      <c r="C119" s="62">
        <v>43.2</v>
      </c>
      <c r="D119" s="62">
        <v>50.8</v>
      </c>
      <c r="E119" s="62">
        <v>28.5</v>
      </c>
      <c r="F119" s="62">
        <v>32.299999999999997</v>
      </c>
      <c r="G119" s="62">
        <v>29.8</v>
      </c>
      <c r="H119" s="62">
        <v>29.2</v>
      </c>
      <c r="I119" s="62">
        <v>22.9</v>
      </c>
      <c r="J119" s="62">
        <v>34.299999999999997</v>
      </c>
      <c r="K119" s="62">
        <v>37.1</v>
      </c>
      <c r="L119" s="62">
        <v>24.8</v>
      </c>
      <c r="M119" s="62">
        <v>30.7</v>
      </c>
      <c r="N119" s="62">
        <v>20.8</v>
      </c>
      <c r="O119" s="62">
        <v>21</v>
      </c>
      <c r="P119" s="62">
        <v>29.8</v>
      </c>
      <c r="Q119" s="62">
        <v>21.6</v>
      </c>
      <c r="R119" s="62">
        <v>19.8</v>
      </c>
      <c r="S119" s="62">
        <v>21</v>
      </c>
      <c r="T119" s="62">
        <v>11.2</v>
      </c>
      <c r="U119" s="62">
        <v>13.5</v>
      </c>
      <c r="V119" s="62">
        <v>15.5</v>
      </c>
      <c r="W119" s="62">
        <v>14.6</v>
      </c>
      <c r="X119" s="62">
        <v>16.7</v>
      </c>
      <c r="Y119" s="62">
        <v>45.3</v>
      </c>
      <c r="Z119" s="62">
        <v>32.9</v>
      </c>
      <c r="AA119" s="62">
        <v>37.1</v>
      </c>
      <c r="AB119" s="62">
        <v>46.9</v>
      </c>
      <c r="AC119" s="62">
        <v>54.5</v>
      </c>
      <c r="AD119" s="62">
        <v>53.2</v>
      </c>
      <c r="AE119" s="62">
        <v>41.9</v>
      </c>
      <c r="AF119" s="62">
        <v>50.9</v>
      </c>
      <c r="AG119" s="55">
        <v>75</v>
      </c>
      <c r="AH119" s="12">
        <f t="shared" si="38"/>
        <v>54.5</v>
      </c>
      <c r="AI119" s="11">
        <f t="shared" si="39"/>
        <v>11.2</v>
      </c>
    </row>
    <row r="120" spans="1:35" x14ac:dyDescent="0.25">
      <c r="A120" s="57" t="s">
        <v>142</v>
      </c>
      <c r="B120" s="61">
        <v>63.6</v>
      </c>
      <c r="C120" s="61">
        <v>74.400000000000006</v>
      </c>
      <c r="D120" s="61">
        <v>77.5</v>
      </c>
      <c r="E120" s="61">
        <v>48.2</v>
      </c>
      <c r="F120" s="61">
        <v>52.9</v>
      </c>
      <c r="G120" s="61">
        <v>47.8</v>
      </c>
      <c r="H120" s="61">
        <v>45.7</v>
      </c>
      <c r="I120" s="61">
        <v>35.299999999999997</v>
      </c>
      <c r="J120" s="61">
        <v>43.2</v>
      </c>
      <c r="K120" s="61">
        <v>48.7</v>
      </c>
      <c r="L120" s="61">
        <v>29.7</v>
      </c>
      <c r="M120" s="61">
        <v>35.9</v>
      </c>
      <c r="N120" s="61">
        <v>23.3</v>
      </c>
      <c r="O120" s="61">
        <v>23.9</v>
      </c>
      <c r="P120" s="61">
        <v>35.1</v>
      </c>
      <c r="Q120" s="61">
        <v>24.1</v>
      </c>
      <c r="R120" s="61">
        <v>24.5</v>
      </c>
      <c r="S120" s="61">
        <v>26</v>
      </c>
      <c r="T120" s="61">
        <v>12.8</v>
      </c>
      <c r="U120" s="61">
        <v>17</v>
      </c>
      <c r="V120" s="61">
        <v>21.1</v>
      </c>
      <c r="W120" s="61">
        <v>20</v>
      </c>
      <c r="X120" s="61">
        <v>30.6</v>
      </c>
      <c r="Y120" s="61">
        <v>69</v>
      </c>
      <c r="Z120" s="61">
        <v>53.1</v>
      </c>
      <c r="AA120" s="61">
        <v>59</v>
      </c>
      <c r="AB120" s="61">
        <v>72.2</v>
      </c>
      <c r="AC120" s="61">
        <v>83</v>
      </c>
      <c r="AD120" s="61">
        <v>80.400000000000006</v>
      </c>
      <c r="AE120" s="61">
        <v>67</v>
      </c>
      <c r="AF120" s="61">
        <v>78.599999999999994</v>
      </c>
      <c r="AG120" s="55">
        <v>240</v>
      </c>
      <c r="AH120" s="12">
        <f t="shared" si="38"/>
        <v>83</v>
      </c>
      <c r="AI120" s="11">
        <f t="shared" si="39"/>
        <v>12.8</v>
      </c>
    </row>
    <row r="121" spans="1:35" x14ac:dyDescent="0.25">
      <c r="A121" s="57" t="s">
        <v>141</v>
      </c>
      <c r="B121" s="61">
        <v>-111.1</v>
      </c>
      <c r="C121" s="61">
        <v>-111.6</v>
      </c>
      <c r="D121" s="61">
        <v>-118.9</v>
      </c>
      <c r="E121" s="61">
        <f>-39.8-50.6</f>
        <v>-90.4</v>
      </c>
      <c r="F121" s="61">
        <f>-40.7-52.1</f>
        <v>-92.800000000000011</v>
      </c>
      <c r="G121" s="61">
        <f>-40-48</f>
        <v>-88</v>
      </c>
      <c r="H121" s="61">
        <f>-33.1-42.9</f>
        <v>-76</v>
      </c>
      <c r="I121" s="61">
        <f>-24.5-31.5</f>
        <v>-56</v>
      </c>
      <c r="J121" s="61">
        <f>-23.3-28.8</f>
        <v>-52.1</v>
      </c>
      <c r="K121" s="61">
        <f>-20-23.8</f>
        <v>-43.8</v>
      </c>
      <c r="L121" s="61">
        <f>-0.5-1.5</f>
        <v>-2</v>
      </c>
      <c r="M121" s="61">
        <v>-4.5</v>
      </c>
      <c r="N121" s="61">
        <v>2.5</v>
      </c>
      <c r="O121" s="61">
        <v>6.9</v>
      </c>
      <c r="P121" s="61">
        <v>-9</v>
      </c>
      <c r="Q121" s="61">
        <v>-12.4</v>
      </c>
      <c r="R121" s="61">
        <v>-5.0999999999999996</v>
      </c>
      <c r="S121" s="61">
        <v>-0.5</v>
      </c>
      <c r="T121" s="61">
        <v>13</v>
      </c>
      <c r="U121" s="61">
        <v>21</v>
      </c>
      <c r="V121" s="61">
        <v>11.1</v>
      </c>
      <c r="W121" s="61">
        <v>13</v>
      </c>
      <c r="X121" s="61">
        <v>7</v>
      </c>
      <c r="Y121" s="61">
        <v>-65</v>
      </c>
      <c r="Z121" s="61">
        <v>-34</v>
      </c>
      <c r="AA121" s="61">
        <v>-52</v>
      </c>
      <c r="AB121" s="61">
        <f>-35.5-46.4</f>
        <v>-81.900000000000006</v>
      </c>
      <c r="AC121" s="61">
        <f>-44.5-55.6</f>
        <v>-100.1</v>
      </c>
      <c r="AD121" s="61">
        <f>-46-58</f>
        <v>-104</v>
      </c>
      <c r="AE121" s="61">
        <f>-47.8-58.6</f>
        <v>-106.4</v>
      </c>
      <c r="AF121" s="61">
        <f>-56.4-69.1</f>
        <v>-125.5</v>
      </c>
      <c r="AG121" s="55">
        <v>240</v>
      </c>
      <c r="AH121" s="12">
        <f t="shared" si="38"/>
        <v>21</v>
      </c>
      <c r="AI121" s="11">
        <f t="shared" si="39"/>
        <v>-125.5</v>
      </c>
    </row>
    <row r="122" spans="1:35" ht="15.75" thickBot="1" x14ac:dyDescent="0.3">
      <c r="A122" s="57" t="s">
        <v>140</v>
      </c>
      <c r="B122" s="61">
        <v>20.3</v>
      </c>
      <c r="C122" s="61">
        <v>25.5</v>
      </c>
      <c r="D122" s="61">
        <v>25.1</v>
      </c>
      <c r="E122" s="61">
        <v>25</v>
      </c>
      <c r="F122" s="61">
        <v>25.3</v>
      </c>
      <c r="G122" s="61">
        <v>19</v>
      </c>
      <c r="H122" s="61">
        <v>22.5</v>
      </c>
      <c r="I122" s="61">
        <v>12.6</v>
      </c>
      <c r="J122" s="61">
        <v>11.5</v>
      </c>
      <c r="K122" s="61">
        <v>1.8</v>
      </c>
      <c r="L122" s="61">
        <v>-3.4</v>
      </c>
      <c r="M122" s="61">
        <v>-4.3</v>
      </c>
      <c r="N122" s="61">
        <v>-2.2999999999999998</v>
      </c>
      <c r="O122" s="61">
        <v>-6.7</v>
      </c>
      <c r="P122" s="61">
        <v>1.2</v>
      </c>
      <c r="Q122" s="61">
        <v>11.3</v>
      </c>
      <c r="R122" s="61">
        <v>-1.1000000000000001</v>
      </c>
      <c r="S122" s="61">
        <v>8.1</v>
      </c>
      <c r="T122" s="61">
        <v>24</v>
      </c>
      <c r="U122" s="61">
        <v>28.3</v>
      </c>
      <c r="V122" s="61">
        <v>29.7</v>
      </c>
      <c r="W122" s="61">
        <v>29.7</v>
      </c>
      <c r="X122" s="61">
        <v>17</v>
      </c>
      <c r="Y122" s="61">
        <v>32</v>
      </c>
      <c r="Z122" s="61">
        <v>36.700000000000003</v>
      </c>
      <c r="AA122" s="61">
        <v>36</v>
      </c>
      <c r="AB122" s="61">
        <v>29.5</v>
      </c>
      <c r="AC122" s="61">
        <v>27.4</v>
      </c>
      <c r="AD122" s="61">
        <v>26.3</v>
      </c>
      <c r="AE122" s="61">
        <v>23.6</v>
      </c>
      <c r="AF122" s="61">
        <v>23.2</v>
      </c>
      <c r="AG122" s="55">
        <v>60</v>
      </c>
      <c r="AH122" s="12">
        <f t="shared" si="38"/>
        <v>36.700000000000003</v>
      </c>
      <c r="AI122" s="11">
        <f t="shared" si="39"/>
        <v>-6.7</v>
      </c>
    </row>
    <row r="123" spans="1:35" x14ac:dyDescent="0.25">
      <c r="A123" s="59" t="s">
        <v>139</v>
      </c>
      <c r="B123" s="58">
        <v>3.5</v>
      </c>
      <c r="C123" s="58">
        <v>-27.2</v>
      </c>
      <c r="D123" s="58">
        <v>-34</v>
      </c>
      <c r="E123" s="58">
        <v>-20.5</v>
      </c>
      <c r="F123" s="58">
        <v>-18.8</v>
      </c>
      <c r="G123" s="58">
        <v>5.8</v>
      </c>
      <c r="H123" s="58">
        <v>21.1</v>
      </c>
      <c r="I123" s="58">
        <v>70.400000000000006</v>
      </c>
      <c r="J123" s="58">
        <v>89.6</v>
      </c>
      <c r="K123" s="58">
        <v>102.4</v>
      </c>
      <c r="L123" s="58">
        <v>117.4</v>
      </c>
      <c r="M123" s="58">
        <v>123.5</v>
      </c>
      <c r="N123" s="58">
        <v>123.3</v>
      </c>
      <c r="O123" s="58">
        <v>131.6</v>
      </c>
      <c r="P123" s="58">
        <v>117.3</v>
      </c>
      <c r="Q123" s="58">
        <v>111.7</v>
      </c>
      <c r="R123" s="58">
        <v>102.8</v>
      </c>
      <c r="S123" s="58">
        <v>105.6</v>
      </c>
      <c r="T123" s="58">
        <v>102.6</v>
      </c>
      <c r="U123" s="58">
        <v>92.3</v>
      </c>
      <c r="V123" s="58">
        <v>91.9</v>
      </c>
      <c r="W123" s="58">
        <v>92.8</v>
      </c>
      <c r="X123" s="58">
        <v>100</v>
      </c>
      <c r="Y123" s="58">
        <v>122</v>
      </c>
      <c r="Z123" s="58">
        <v>151.30000000000001</v>
      </c>
      <c r="AA123" s="58">
        <v>141</v>
      </c>
      <c r="AB123" s="58">
        <v>115.3</v>
      </c>
      <c r="AC123" s="58">
        <v>101.1</v>
      </c>
      <c r="AD123" s="58">
        <v>83.5</v>
      </c>
      <c r="AE123" s="58">
        <v>37.799999999999997</v>
      </c>
      <c r="AF123" s="58">
        <v>-8.4</v>
      </c>
      <c r="AG123" s="60">
        <v>120</v>
      </c>
      <c r="AH123" s="12">
        <f t="shared" si="38"/>
        <v>151.30000000000001</v>
      </c>
      <c r="AI123" s="11">
        <f t="shared" si="39"/>
        <v>-34</v>
      </c>
    </row>
    <row r="124" spans="1:35" x14ac:dyDescent="0.25">
      <c r="A124" s="57" t="s">
        <v>138</v>
      </c>
      <c r="B124" s="58">
        <v>24</v>
      </c>
      <c r="C124" s="58">
        <v>8.5</v>
      </c>
      <c r="D124" s="58">
        <v>5</v>
      </c>
      <c r="E124" s="58">
        <v>12.6</v>
      </c>
      <c r="F124" s="58">
        <v>13.3</v>
      </c>
      <c r="G124" s="58">
        <v>26.5</v>
      </c>
      <c r="H124" s="58">
        <v>33.9</v>
      </c>
      <c r="I124" s="58">
        <v>58.7</v>
      </c>
      <c r="J124" s="58">
        <v>68.5</v>
      </c>
      <c r="K124" s="58">
        <v>74.400000000000006</v>
      </c>
      <c r="L124" s="58">
        <v>81.099999999999994</v>
      </c>
      <c r="M124" s="58">
        <v>84.1</v>
      </c>
      <c r="N124" s="58">
        <v>84</v>
      </c>
      <c r="O124" s="58">
        <v>87.3</v>
      </c>
      <c r="P124" s="58">
        <v>80.8</v>
      </c>
      <c r="Q124" s="58">
        <v>77.900000000000006</v>
      </c>
      <c r="R124" s="58">
        <v>73.5</v>
      </c>
      <c r="S124" s="58">
        <v>74.099999999999994</v>
      </c>
      <c r="T124" s="58">
        <v>73.099999999999994</v>
      </c>
      <c r="U124" s="58">
        <v>67.5</v>
      </c>
      <c r="V124" s="58">
        <v>68.3</v>
      </c>
      <c r="W124" s="58">
        <v>69.2</v>
      </c>
      <c r="X124" s="58">
        <v>73</v>
      </c>
      <c r="Y124" s="58">
        <v>84</v>
      </c>
      <c r="Z124" s="58">
        <v>97.5</v>
      </c>
      <c r="AA124" s="58">
        <v>93.3</v>
      </c>
      <c r="AB124" s="58">
        <v>82</v>
      </c>
      <c r="AC124" s="58">
        <v>75.5</v>
      </c>
      <c r="AD124" s="58">
        <v>67.400000000000006</v>
      </c>
      <c r="AE124" s="58">
        <v>46.2</v>
      </c>
      <c r="AF124" s="58">
        <v>22.4</v>
      </c>
      <c r="AG124" s="60"/>
      <c r="AH124" s="12">
        <f t="shared" si="38"/>
        <v>97.5</v>
      </c>
      <c r="AI124" s="11">
        <f t="shared" si="39"/>
        <v>5</v>
      </c>
    </row>
    <row r="125" spans="1:35" x14ac:dyDescent="0.25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/>
      <c r="I125" s="58"/>
      <c r="J125" s="58"/>
      <c r="K125" s="58"/>
      <c r="L125" s="58"/>
      <c r="M125" s="58"/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25</v>
      </c>
      <c r="T125" s="58">
        <v>24.6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38"/>
        <v>25</v>
      </c>
      <c r="AI125" s="11">
        <f t="shared" si="39"/>
        <v>0</v>
      </c>
    </row>
    <row r="126" spans="1:35" ht="15.75" thickBot="1" x14ac:dyDescent="0.3">
      <c r="A126" s="57" t="s">
        <v>136</v>
      </c>
      <c r="B126" s="58">
        <v>1.1000000000000001</v>
      </c>
      <c r="C126" s="58">
        <v>-6.1</v>
      </c>
      <c r="D126" s="58">
        <v>10.6</v>
      </c>
      <c r="E126" s="58">
        <v>0</v>
      </c>
      <c r="F126" s="58">
        <v>3.1</v>
      </c>
      <c r="G126" s="58">
        <v>20.2</v>
      </c>
      <c r="H126" s="58">
        <v>28</v>
      </c>
      <c r="I126" s="58">
        <v>61.6</v>
      </c>
      <c r="J126" s="58">
        <v>95.2</v>
      </c>
      <c r="K126" s="58">
        <v>100.2</v>
      </c>
      <c r="L126" s="58">
        <v>83.2</v>
      </c>
      <c r="M126" s="58">
        <v>94.5</v>
      </c>
      <c r="N126" s="58">
        <v>100</v>
      </c>
      <c r="O126" s="58">
        <v>108</v>
      </c>
      <c r="P126" s="58">
        <v>100.3</v>
      </c>
      <c r="Q126" s="58">
        <v>95.8</v>
      </c>
      <c r="R126" s="58">
        <v>89.3</v>
      </c>
      <c r="S126" s="58">
        <v>89</v>
      </c>
      <c r="T126" s="58">
        <v>87.5</v>
      </c>
      <c r="U126" s="58">
        <v>68.5</v>
      </c>
      <c r="V126" s="58">
        <v>63.3</v>
      </c>
      <c r="W126" s="58">
        <v>73</v>
      </c>
      <c r="X126" s="58">
        <v>70</v>
      </c>
      <c r="Y126" s="58">
        <v>2</v>
      </c>
      <c r="Z126" s="58">
        <v>36.6</v>
      </c>
      <c r="AA126" s="58">
        <v>42.1</v>
      </c>
      <c r="AB126" s="58">
        <v>19.5</v>
      </c>
      <c r="AC126" s="58">
        <v>13</v>
      </c>
      <c r="AD126" s="58">
        <v>13.9</v>
      </c>
      <c r="AE126" s="58">
        <v>8.8000000000000007</v>
      </c>
      <c r="AF126" s="58">
        <v>5</v>
      </c>
      <c r="AG126" s="55"/>
      <c r="AH126" s="12">
        <f>MAX(B126:AF126)</f>
        <v>108</v>
      </c>
      <c r="AI126" s="11">
        <f>MIN(B126:AF126)</f>
        <v>-6.1</v>
      </c>
    </row>
    <row r="127" spans="1:35" x14ac:dyDescent="0.25">
      <c r="A127" s="59" t="s">
        <v>135</v>
      </c>
      <c r="B127" s="58">
        <v>-108.6</v>
      </c>
      <c r="C127" s="58">
        <v>-90</v>
      </c>
      <c r="D127" s="58">
        <v>-80.5</v>
      </c>
      <c r="E127" s="58">
        <v>-92.1</v>
      </c>
      <c r="F127" s="58">
        <v>-85.7</v>
      </c>
      <c r="G127" s="58">
        <v>-111.8</v>
      </c>
      <c r="H127" s="58">
        <v>-104.9</v>
      </c>
      <c r="I127" s="58">
        <v>-151.1</v>
      </c>
      <c r="J127" s="58">
        <v>7.9</v>
      </c>
      <c r="K127" s="58">
        <v>16.399999999999999</v>
      </c>
      <c r="L127" s="58">
        <v>23.8</v>
      </c>
      <c r="M127" s="58">
        <v>27.3</v>
      </c>
      <c r="N127" s="58">
        <v>27.3</v>
      </c>
      <c r="O127" s="58">
        <v>30.9</v>
      </c>
      <c r="P127" s="58">
        <v>25.2</v>
      </c>
      <c r="Q127" s="58">
        <v>32.799999999999997</v>
      </c>
      <c r="R127" s="58">
        <v>29.6</v>
      </c>
      <c r="S127" s="58">
        <v>31</v>
      </c>
      <c r="T127" s="58">
        <v>26</v>
      </c>
      <c r="U127" s="58">
        <v>19</v>
      </c>
      <c r="V127" s="58">
        <v>20</v>
      </c>
      <c r="W127" s="58">
        <v>21</v>
      </c>
      <c r="X127" s="58">
        <v>24</v>
      </c>
      <c r="Y127" s="58">
        <v>-137</v>
      </c>
      <c r="Z127" s="58">
        <v>-169</v>
      </c>
      <c r="AA127" s="58">
        <v>-178</v>
      </c>
      <c r="AB127" s="58">
        <v>-167.8</v>
      </c>
      <c r="AC127" s="58">
        <v>-155.6</v>
      </c>
      <c r="AD127" s="58">
        <v>-153.6</v>
      </c>
      <c r="AE127" s="58">
        <v>-150.30000000000001</v>
      </c>
      <c r="AF127" s="58">
        <v>-133</v>
      </c>
      <c r="AG127" s="55"/>
      <c r="AH127" s="12">
        <f>MAX(B127:AF127)</f>
        <v>32.799999999999997</v>
      </c>
      <c r="AI127" s="11">
        <f>MIN(B127:AF127)</f>
        <v>-178</v>
      </c>
    </row>
    <row r="128" spans="1:35" x14ac:dyDescent="0.25">
      <c r="A128" s="57" t="s">
        <v>134</v>
      </c>
      <c r="B128" s="56">
        <v>-15.5</v>
      </c>
      <c r="C128" s="56">
        <v>-14.6</v>
      </c>
      <c r="D128" s="56">
        <v>-9.1</v>
      </c>
      <c r="E128" s="56">
        <v>-6.3</v>
      </c>
      <c r="F128" s="56">
        <v>-5.4</v>
      </c>
      <c r="G128" s="56">
        <v>-2.7</v>
      </c>
      <c r="H128" s="56">
        <v>-7.1</v>
      </c>
      <c r="I128" s="56">
        <v>-12.7</v>
      </c>
      <c r="J128" s="56">
        <v>-24.4</v>
      </c>
      <c r="K128" s="56">
        <v>-20.8</v>
      </c>
      <c r="L128" s="56">
        <v>-21.9</v>
      </c>
      <c r="M128" s="56">
        <v>-23.9</v>
      </c>
      <c r="N128" s="56">
        <v>-25.3</v>
      </c>
      <c r="O128" s="56">
        <v>-17.399999999999999</v>
      </c>
      <c r="P128" s="56">
        <v>-25.3</v>
      </c>
      <c r="Q128" s="56">
        <v>-25.2</v>
      </c>
      <c r="R128" s="56">
        <v>-16.399999999999999</v>
      </c>
      <c r="S128" s="56">
        <v>-22.3</v>
      </c>
      <c r="T128" s="56">
        <v>-2.8</v>
      </c>
      <c r="U128" s="56">
        <v>-28.1</v>
      </c>
      <c r="V128" s="56">
        <v>-33</v>
      </c>
      <c r="W128" s="56">
        <v>-40</v>
      </c>
      <c r="X128" s="56">
        <v>-42</v>
      </c>
      <c r="Y128" s="56">
        <v>-48</v>
      </c>
      <c r="Z128" s="56">
        <v>-51.4</v>
      </c>
      <c r="AA128" s="56">
        <v>-45</v>
      </c>
      <c r="AB128" s="56">
        <v>-40.4</v>
      </c>
      <c r="AC128" s="56">
        <v>-37.700000000000003</v>
      </c>
      <c r="AD128" s="56">
        <v>-36.700000000000003</v>
      </c>
      <c r="AE128" s="56">
        <v>-24.5</v>
      </c>
      <c r="AF128" s="56">
        <v>-20.100000000000001</v>
      </c>
      <c r="AG128" s="55"/>
      <c r="AH128" s="12">
        <f>MAX(B128:AF128)</f>
        <v>-2.7</v>
      </c>
      <c r="AI128" s="11">
        <f>MIN(B128:AF128)</f>
        <v>-51.4</v>
      </c>
    </row>
    <row r="129" spans="1:37" x14ac:dyDescent="0.25">
      <c r="A129" s="57" t="s">
        <v>133</v>
      </c>
      <c r="B129" s="56">
        <v>76.2</v>
      </c>
      <c r="C129" s="56">
        <v>63.1</v>
      </c>
      <c r="D129" s="56">
        <v>58.5</v>
      </c>
      <c r="E129" s="56">
        <v>53.5</v>
      </c>
      <c r="F129" s="56">
        <v>51.3</v>
      </c>
      <c r="G129" s="56">
        <v>57.9</v>
      </c>
      <c r="H129" s="56">
        <v>54.4</v>
      </c>
      <c r="I129" s="56">
        <v>64.599999999999994</v>
      </c>
      <c r="J129" s="56">
        <v>100.9</v>
      </c>
      <c r="K129" s="56">
        <v>105.9</v>
      </c>
      <c r="L129" s="56">
        <v>110.3</v>
      </c>
      <c r="M129" s="56">
        <v>122</v>
      </c>
      <c r="N129" s="56">
        <v>116.9</v>
      </c>
      <c r="O129" s="56">
        <v>118</v>
      </c>
      <c r="P129" s="56">
        <v>120.1</v>
      </c>
      <c r="Q129" s="56">
        <v>124.3</v>
      </c>
      <c r="R129" s="56">
        <v>127.8</v>
      </c>
      <c r="S129" s="56">
        <v>128.1</v>
      </c>
      <c r="T129" s="56">
        <v>98</v>
      </c>
      <c r="U129" s="56">
        <v>123</v>
      </c>
      <c r="V129" s="56">
        <v>127.1</v>
      </c>
      <c r="W129" s="56">
        <v>119</v>
      </c>
      <c r="X129" s="56">
        <v>100</v>
      </c>
      <c r="Y129" s="56">
        <v>114</v>
      </c>
      <c r="Z129" s="56">
        <v>103.9</v>
      </c>
      <c r="AA129" s="56">
        <v>100</v>
      </c>
      <c r="AB129" s="56">
        <v>100.1</v>
      </c>
      <c r="AC129" s="56">
        <v>102.7</v>
      </c>
      <c r="AD129" s="56">
        <v>99.8</v>
      </c>
      <c r="AE129" s="56">
        <v>99.6</v>
      </c>
      <c r="AF129" s="56">
        <v>90.9</v>
      </c>
      <c r="AG129" s="55"/>
      <c r="AH129" s="12">
        <f>MAX(B129:AF129)</f>
        <v>128.1</v>
      </c>
      <c r="AI129" s="11">
        <f>MIN(B129:AF129)</f>
        <v>51.3</v>
      </c>
    </row>
    <row r="130" spans="1:37" ht="15.75" thickBot="1" x14ac:dyDescent="0.3">
      <c r="A130" s="57" t="s">
        <v>132</v>
      </c>
      <c r="B130" s="56">
        <v>87.2</v>
      </c>
      <c r="C130" s="56">
        <v>77.099999999999994</v>
      </c>
      <c r="D130" s="56">
        <v>72.8</v>
      </c>
      <c r="E130" s="56">
        <v>67.599999999999994</v>
      </c>
      <c r="F130" s="56">
        <v>65.900000000000006</v>
      </c>
      <c r="G130" s="56">
        <v>70.900000000000006</v>
      </c>
      <c r="H130" s="56">
        <v>67.8</v>
      </c>
      <c r="I130" s="56">
        <v>71.8</v>
      </c>
      <c r="J130" s="56">
        <v>102</v>
      </c>
      <c r="K130" s="56">
        <v>108.6</v>
      </c>
      <c r="L130" s="56">
        <v>111.9</v>
      </c>
      <c r="M130" s="56">
        <v>122.6</v>
      </c>
      <c r="N130" s="56">
        <v>119</v>
      </c>
      <c r="O130" s="56">
        <v>122</v>
      </c>
      <c r="P130" s="56">
        <v>121.3</v>
      </c>
      <c r="Q130" s="56">
        <v>128.9</v>
      </c>
      <c r="R130" s="56">
        <v>130</v>
      </c>
      <c r="S130" s="56">
        <v>131</v>
      </c>
      <c r="T130" s="56">
        <v>102.2</v>
      </c>
      <c r="U130" s="56">
        <v>123</v>
      </c>
      <c r="V130" s="56">
        <v>127</v>
      </c>
      <c r="W130" s="56">
        <v>122</v>
      </c>
      <c r="X130" s="56">
        <v>107</v>
      </c>
      <c r="Y130" s="56">
        <v>124.2</v>
      </c>
      <c r="Z130" s="56">
        <v>113.3</v>
      </c>
      <c r="AA130" s="56">
        <v>111</v>
      </c>
      <c r="AB130" s="56">
        <v>110.9</v>
      </c>
      <c r="AC130" s="56">
        <v>112.2</v>
      </c>
      <c r="AD130" s="56">
        <v>109.8</v>
      </c>
      <c r="AE130" s="56">
        <v>109.3</v>
      </c>
      <c r="AF130" s="56">
        <v>101.7</v>
      </c>
      <c r="AG130" s="55"/>
      <c r="AH130" s="12">
        <f>MAX(B130:AF130)</f>
        <v>131</v>
      </c>
      <c r="AI130" s="11">
        <f>MIN(B130:AF130)</f>
        <v>65.900000000000006</v>
      </c>
    </row>
    <row r="131" spans="1:37" x14ac:dyDescent="0.25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25">
      <c r="A132" s="47" t="s">
        <v>130</v>
      </c>
      <c r="B132" s="51">
        <v>1983.24</v>
      </c>
      <c r="C132" s="51">
        <v>1983.23</v>
      </c>
      <c r="D132" s="51">
        <v>1983.43</v>
      </c>
      <c r="E132" s="51">
        <v>1983.56</v>
      </c>
      <c r="F132" s="51">
        <v>1983.62</v>
      </c>
      <c r="G132" s="51">
        <v>1983.56</v>
      </c>
      <c r="H132" s="51" t="s">
        <v>123</v>
      </c>
      <c r="I132" s="51">
        <v>1983.22</v>
      </c>
      <c r="J132" s="51"/>
      <c r="K132" s="51">
        <v>1983.32</v>
      </c>
      <c r="L132" s="51"/>
      <c r="M132" s="51">
        <v>1983.62</v>
      </c>
      <c r="N132" s="51">
        <v>1984</v>
      </c>
      <c r="O132" s="51">
        <v>1984.3</v>
      </c>
      <c r="P132" s="51"/>
      <c r="Q132" s="51">
        <v>1984.85</v>
      </c>
      <c r="R132" s="51">
        <v>1985.11</v>
      </c>
      <c r="S132" s="51">
        <v>1985.35</v>
      </c>
      <c r="T132" s="51">
        <v>1985.62</v>
      </c>
      <c r="U132" s="51">
        <v>1985.82</v>
      </c>
      <c r="V132" s="51">
        <v>1986.1</v>
      </c>
      <c r="W132" s="51"/>
      <c r="X132" s="51">
        <v>1986.35</v>
      </c>
      <c r="Y132" s="51"/>
      <c r="Z132" s="51">
        <v>1986</v>
      </c>
      <c r="AA132" s="51"/>
      <c r="AB132" s="51">
        <v>1985.08</v>
      </c>
      <c r="AC132" s="51"/>
      <c r="AD132" s="51">
        <v>1984.33</v>
      </c>
      <c r="AE132" s="51">
        <v>1983.73</v>
      </c>
      <c r="AF132" s="50">
        <v>1983.32</v>
      </c>
      <c r="AG132" s="44"/>
      <c r="AH132" s="12"/>
      <c r="AI132" s="11"/>
    </row>
    <row r="133" spans="1:37" x14ac:dyDescent="0.25">
      <c r="A133" s="47" t="s">
        <v>129</v>
      </c>
      <c r="B133" s="49">
        <v>521.33000000000004</v>
      </c>
      <c r="C133" s="49">
        <v>521.16999999999996</v>
      </c>
      <c r="D133" s="49">
        <v>521.1</v>
      </c>
      <c r="E133" s="49">
        <v>521.13</v>
      </c>
      <c r="F133" s="49">
        <v>521.37</v>
      </c>
      <c r="G133" s="49">
        <v>521.62</v>
      </c>
      <c r="H133" s="49"/>
      <c r="I133" s="49">
        <v>521.91999999999996</v>
      </c>
      <c r="J133" s="49"/>
      <c r="K133" s="49">
        <v>521.92999999999995</v>
      </c>
      <c r="L133" s="49"/>
      <c r="M133" s="49">
        <v>521.9</v>
      </c>
      <c r="N133" s="49">
        <v>522.01</v>
      </c>
      <c r="O133" s="49">
        <v>522.11</v>
      </c>
      <c r="P133" s="49"/>
      <c r="Q133" s="49">
        <v>522.29</v>
      </c>
      <c r="R133" s="49">
        <v>522.42999999999995</v>
      </c>
      <c r="S133" s="49">
        <v>522.54</v>
      </c>
      <c r="T133" s="49">
        <v>522.63</v>
      </c>
      <c r="U133" s="49">
        <v>522.73</v>
      </c>
      <c r="V133" s="49">
        <v>522.82000000000005</v>
      </c>
      <c r="W133" s="49"/>
      <c r="X133" s="49">
        <v>522.9</v>
      </c>
      <c r="Y133" s="49"/>
      <c r="Z133" s="49">
        <v>522.74</v>
      </c>
      <c r="AA133" s="49"/>
      <c r="AB133" s="49">
        <v>522.29999999999995</v>
      </c>
      <c r="AC133" s="49"/>
      <c r="AD133" s="49">
        <v>521.91</v>
      </c>
      <c r="AE133" s="49">
        <v>521.58000000000004</v>
      </c>
      <c r="AF133" s="48">
        <v>521.4</v>
      </c>
      <c r="AG133" s="44"/>
      <c r="AH133" s="12"/>
      <c r="AI133" s="11"/>
    </row>
    <row r="134" spans="1:37" x14ac:dyDescent="0.25">
      <c r="A134" s="47" t="s">
        <v>128</v>
      </c>
      <c r="B134" s="49">
        <v>623.9</v>
      </c>
      <c r="C134" s="49">
        <v>623.66</v>
      </c>
      <c r="D134" s="49">
        <v>623.34</v>
      </c>
      <c r="E134" s="49">
        <v>623.28</v>
      </c>
      <c r="F134" s="49">
        <v>623.27</v>
      </c>
      <c r="G134" s="49">
        <v>623.54999999999995</v>
      </c>
      <c r="H134" s="49"/>
      <c r="I134" s="49">
        <v>623.89</v>
      </c>
      <c r="J134" s="49"/>
      <c r="K134" s="49">
        <v>623.83000000000004</v>
      </c>
      <c r="L134" s="49"/>
      <c r="M134" s="49">
        <v>624.12</v>
      </c>
      <c r="N134" s="49">
        <v>624.35</v>
      </c>
      <c r="O134" s="49">
        <v>624.6</v>
      </c>
      <c r="P134" s="49">
        <v>624.86</v>
      </c>
      <c r="Q134" s="49">
        <v>625.02</v>
      </c>
      <c r="R134" s="49">
        <v>625.01</v>
      </c>
      <c r="S134" s="49">
        <v>624.96</v>
      </c>
      <c r="T134" s="49">
        <v>624.9</v>
      </c>
      <c r="U134" s="49">
        <v>624.87</v>
      </c>
      <c r="V134" s="49">
        <v>624.79999999999995</v>
      </c>
      <c r="W134" s="49"/>
      <c r="X134" s="49">
        <v>625.03</v>
      </c>
      <c r="Y134" s="49"/>
      <c r="Z134" s="49">
        <v>624.91</v>
      </c>
      <c r="AA134" s="49"/>
      <c r="AB134" s="49">
        <v>624.69000000000005</v>
      </c>
      <c r="AC134" s="49"/>
      <c r="AD134" s="49">
        <v>624.53</v>
      </c>
      <c r="AE134" s="49">
        <v>624.36</v>
      </c>
      <c r="AF134" s="48">
        <v>624.19000000000005</v>
      </c>
      <c r="AG134" s="44"/>
      <c r="AH134" s="12"/>
      <c r="AI134" s="11"/>
    </row>
    <row r="135" spans="1:37" x14ac:dyDescent="0.25">
      <c r="A135" s="47" t="s">
        <v>127</v>
      </c>
      <c r="B135" s="49">
        <v>336.08</v>
      </c>
      <c r="C135" s="49">
        <v>336.24</v>
      </c>
      <c r="D135" s="49">
        <v>336.4</v>
      </c>
      <c r="E135" s="49">
        <v>336.52</v>
      </c>
      <c r="F135" s="49">
        <v>336.62</v>
      </c>
      <c r="G135" s="49">
        <v>336.79</v>
      </c>
      <c r="H135" s="49"/>
      <c r="I135" s="49">
        <v>336.85</v>
      </c>
      <c r="J135" s="49"/>
      <c r="K135" s="49">
        <v>336.81</v>
      </c>
      <c r="L135" s="49"/>
      <c r="M135" s="49">
        <v>336.75</v>
      </c>
      <c r="N135" s="49">
        <v>336.61</v>
      </c>
      <c r="O135" s="49">
        <v>336.53</v>
      </c>
      <c r="P135" s="49"/>
      <c r="Q135" s="49">
        <v>336.03</v>
      </c>
      <c r="R135" s="49">
        <v>336.1</v>
      </c>
      <c r="S135" s="49">
        <v>336.1</v>
      </c>
      <c r="T135" s="49">
        <v>336.17</v>
      </c>
      <c r="U135" s="49">
        <v>336.26</v>
      </c>
      <c r="V135" s="49">
        <v>336.49</v>
      </c>
      <c r="W135" s="49"/>
      <c r="X135" s="49">
        <v>336.79</v>
      </c>
      <c r="Y135" s="49"/>
      <c r="Z135" s="49">
        <v>336.89</v>
      </c>
      <c r="AA135" s="49"/>
      <c r="AB135" s="49">
        <v>336.82</v>
      </c>
      <c r="AC135" s="49"/>
      <c r="AD135" s="49">
        <v>336.69</v>
      </c>
      <c r="AE135" s="49">
        <v>336.44</v>
      </c>
      <c r="AF135" s="48">
        <v>336.19</v>
      </c>
      <c r="AG135" s="44"/>
      <c r="AH135" s="12"/>
      <c r="AI135" s="11"/>
    </row>
    <row r="136" spans="1:37" x14ac:dyDescent="0.25">
      <c r="A136" s="47" t="s">
        <v>126</v>
      </c>
      <c r="B136" s="49">
        <v>884.9</v>
      </c>
      <c r="C136" s="49">
        <v>885</v>
      </c>
      <c r="D136" s="49">
        <v>885.7</v>
      </c>
      <c r="E136" s="49">
        <v>886.5</v>
      </c>
      <c r="F136" s="49">
        <v>887.3</v>
      </c>
      <c r="G136" s="49">
        <v>886.9</v>
      </c>
      <c r="H136" s="49"/>
      <c r="I136" s="49">
        <v>885.9</v>
      </c>
      <c r="J136" s="49"/>
      <c r="K136" s="49">
        <v>885.6</v>
      </c>
      <c r="L136" s="49"/>
      <c r="M136" s="49">
        <v>885.8</v>
      </c>
      <c r="N136" s="49">
        <v>886</v>
      </c>
      <c r="O136" s="49">
        <v>886</v>
      </c>
      <c r="P136" s="49"/>
      <c r="Q136" s="49">
        <v>885.8</v>
      </c>
      <c r="R136" s="49">
        <v>885.9</v>
      </c>
      <c r="S136" s="49">
        <v>885.9</v>
      </c>
      <c r="T136" s="49">
        <v>886.4</v>
      </c>
      <c r="U136" s="49">
        <v>887</v>
      </c>
      <c r="V136" s="49">
        <v>887.5</v>
      </c>
      <c r="W136" s="49"/>
      <c r="X136" s="49">
        <v>887.8</v>
      </c>
      <c r="Y136" s="49"/>
      <c r="Z136" s="49">
        <v>887.4</v>
      </c>
      <c r="AA136" s="49"/>
      <c r="AB136" s="49">
        <v>886.6</v>
      </c>
      <c r="AC136" s="49"/>
      <c r="AD136" s="49">
        <v>885.8</v>
      </c>
      <c r="AE136" s="49"/>
      <c r="AF136" s="48">
        <v>884.7</v>
      </c>
      <c r="AG136" s="44"/>
      <c r="AH136" s="12"/>
      <c r="AI136" s="11"/>
    </row>
    <row r="137" spans="1:37" ht="15.75" thickBot="1" x14ac:dyDescent="0.3">
      <c r="A137" s="47" t="s">
        <v>125</v>
      </c>
      <c r="B137" s="46">
        <v>1512.38</v>
      </c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>
        <v>1512.2</v>
      </c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>
        <v>1511.99</v>
      </c>
      <c r="AF137" s="45"/>
      <c r="AG137" s="44"/>
      <c r="AH137" s="12"/>
      <c r="AI137" s="11"/>
    </row>
    <row r="138" spans="1:37" ht="15.75" thickBot="1" x14ac:dyDescent="0.3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25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25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25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25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25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25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25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25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25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25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25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25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25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25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25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25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25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25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25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25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25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25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25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25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25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25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25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25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25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25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25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25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25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25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25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25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25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25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25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25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25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25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25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25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25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25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25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25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25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25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25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25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25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25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25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25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25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25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25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25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25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25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25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25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25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25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25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25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25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25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25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25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25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25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25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25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25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25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25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25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25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25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25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25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25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25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25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25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25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25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25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25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25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25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25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25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25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25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25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25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25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25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25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25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.75" thickBot="1" x14ac:dyDescent="0.3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.75" thickBot="1" x14ac:dyDescent="0.3">
      <c r="A244" s="31" t="s">
        <v>17</v>
      </c>
      <c r="B244" s="30">
        <f t="shared" ref="B244:AG244" si="71">SUM(B139:B243)</f>
        <v>0</v>
      </c>
      <c r="C244" s="14">
        <f t="shared" si="71"/>
        <v>0</v>
      </c>
      <c r="D244" s="14">
        <f t="shared" si="71"/>
        <v>0</v>
      </c>
      <c r="E244" s="14">
        <f t="shared" si="71"/>
        <v>0</v>
      </c>
      <c r="F244" s="14">
        <f t="shared" si="71"/>
        <v>0</v>
      </c>
      <c r="G244" s="14">
        <f t="shared" si="71"/>
        <v>0</v>
      </c>
      <c r="H244" s="14">
        <f t="shared" si="71"/>
        <v>0</v>
      </c>
      <c r="I244" s="14">
        <f t="shared" si="71"/>
        <v>0</v>
      </c>
      <c r="J244" s="14">
        <f t="shared" si="71"/>
        <v>0</v>
      </c>
      <c r="K244" s="14">
        <f t="shared" si="71"/>
        <v>0</v>
      </c>
      <c r="L244" s="14">
        <f t="shared" si="71"/>
        <v>0</v>
      </c>
      <c r="M244" s="14">
        <f t="shared" si="71"/>
        <v>0</v>
      </c>
      <c r="N244" s="14">
        <f t="shared" si="71"/>
        <v>0</v>
      </c>
      <c r="O244" s="14">
        <f t="shared" si="71"/>
        <v>0</v>
      </c>
      <c r="P244" s="14">
        <f t="shared" si="71"/>
        <v>0</v>
      </c>
      <c r="Q244" s="14">
        <f t="shared" si="71"/>
        <v>0</v>
      </c>
      <c r="R244" s="14">
        <f t="shared" si="71"/>
        <v>0</v>
      </c>
      <c r="S244" s="14">
        <f t="shared" si="71"/>
        <v>0</v>
      </c>
      <c r="T244" s="14">
        <f t="shared" si="71"/>
        <v>0</v>
      </c>
      <c r="U244" s="14">
        <f t="shared" si="71"/>
        <v>0</v>
      </c>
      <c r="V244" s="14">
        <f t="shared" si="71"/>
        <v>0</v>
      </c>
      <c r="W244" s="14">
        <f t="shared" si="71"/>
        <v>0</v>
      </c>
      <c r="X244" s="14">
        <f t="shared" si="71"/>
        <v>0</v>
      </c>
      <c r="Y244" s="14">
        <f t="shared" si="71"/>
        <v>0</v>
      </c>
      <c r="Z244" s="14">
        <f t="shared" si="71"/>
        <v>0</v>
      </c>
      <c r="AA244" s="14">
        <f t="shared" si="71"/>
        <v>0</v>
      </c>
      <c r="AB244" s="14">
        <f t="shared" si="71"/>
        <v>0</v>
      </c>
      <c r="AC244" s="14">
        <f t="shared" si="71"/>
        <v>0</v>
      </c>
      <c r="AD244" s="14">
        <f t="shared" si="71"/>
        <v>0</v>
      </c>
      <c r="AE244" s="14">
        <f t="shared" si="71"/>
        <v>0</v>
      </c>
      <c r="AF244" s="29">
        <f t="shared" si="71"/>
        <v>0</v>
      </c>
      <c r="AG244" s="28">
        <f t="shared" si="71"/>
        <v>412.72299999999984</v>
      </c>
      <c r="AH244" s="12"/>
      <c r="AI244" s="11"/>
      <c r="AK244" s="19"/>
    </row>
    <row r="245" spans="1:37" ht="15.75" thickBot="1" x14ac:dyDescent="0.3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25">
      <c r="A246" s="25" t="s">
        <v>16</v>
      </c>
      <c r="B246" s="24">
        <f t="shared" ref="B246:B251" si="72">AF246</f>
        <v>0.3</v>
      </c>
      <c r="C246" s="24">
        <v>0.3</v>
      </c>
      <c r="D246" s="24">
        <f t="shared" ref="D246:AF251" si="73">C246</f>
        <v>0.3</v>
      </c>
      <c r="E246" s="24">
        <f t="shared" si="73"/>
        <v>0.3</v>
      </c>
      <c r="F246" s="24">
        <f t="shared" si="73"/>
        <v>0.3</v>
      </c>
      <c r="G246" s="24">
        <f t="shared" si="73"/>
        <v>0.3</v>
      </c>
      <c r="H246" s="24">
        <f t="shared" si="73"/>
        <v>0.3</v>
      </c>
      <c r="I246" s="24">
        <f t="shared" si="73"/>
        <v>0.3</v>
      </c>
      <c r="J246" s="24">
        <f t="shared" si="73"/>
        <v>0.3</v>
      </c>
      <c r="K246" s="24">
        <f t="shared" si="73"/>
        <v>0.3</v>
      </c>
      <c r="L246" s="24">
        <f t="shared" si="73"/>
        <v>0.3</v>
      </c>
      <c r="M246" s="24">
        <f t="shared" si="73"/>
        <v>0.3</v>
      </c>
      <c r="N246" s="24">
        <f t="shared" si="73"/>
        <v>0.3</v>
      </c>
      <c r="O246" s="24">
        <f t="shared" si="73"/>
        <v>0.3</v>
      </c>
      <c r="P246" s="24">
        <f t="shared" si="73"/>
        <v>0.3</v>
      </c>
      <c r="Q246" s="24">
        <f t="shared" si="73"/>
        <v>0.3</v>
      </c>
      <c r="R246" s="24">
        <f t="shared" si="73"/>
        <v>0.3</v>
      </c>
      <c r="S246" s="24">
        <f t="shared" si="73"/>
        <v>0.3</v>
      </c>
      <c r="T246" s="24">
        <f t="shared" si="73"/>
        <v>0.3</v>
      </c>
      <c r="U246" s="24">
        <f t="shared" si="73"/>
        <v>0.3</v>
      </c>
      <c r="V246" s="24">
        <f t="shared" si="73"/>
        <v>0.3</v>
      </c>
      <c r="W246" s="24">
        <f t="shared" si="73"/>
        <v>0.3</v>
      </c>
      <c r="X246" s="24">
        <f t="shared" si="73"/>
        <v>0.3</v>
      </c>
      <c r="Y246" s="24">
        <f t="shared" si="73"/>
        <v>0.3</v>
      </c>
      <c r="Z246" s="24">
        <f t="shared" si="73"/>
        <v>0.3</v>
      </c>
      <c r="AA246" s="24">
        <f t="shared" si="73"/>
        <v>0.3</v>
      </c>
      <c r="AB246" s="24">
        <f t="shared" si="73"/>
        <v>0.3</v>
      </c>
      <c r="AC246" s="24">
        <f t="shared" si="73"/>
        <v>0.3</v>
      </c>
      <c r="AD246" s="24">
        <f t="shared" si="73"/>
        <v>0.3</v>
      </c>
      <c r="AE246" s="24">
        <f t="shared" si="73"/>
        <v>0.3</v>
      </c>
      <c r="AF246" s="24">
        <f t="shared" si="73"/>
        <v>0.3</v>
      </c>
      <c r="AG246" s="23">
        <v>2.4</v>
      </c>
      <c r="AH246" s="12"/>
      <c r="AI246" s="11"/>
      <c r="AK246" s="19"/>
    </row>
    <row r="247" spans="1:37" x14ac:dyDescent="0.25">
      <c r="A247" s="22" t="s">
        <v>15</v>
      </c>
      <c r="B247" s="21">
        <f t="shared" si="72"/>
        <v>0.4</v>
      </c>
      <c r="C247" s="21">
        <v>0.4</v>
      </c>
      <c r="D247" s="21">
        <f t="shared" si="73"/>
        <v>0.4</v>
      </c>
      <c r="E247" s="21">
        <f t="shared" si="73"/>
        <v>0.4</v>
      </c>
      <c r="F247" s="21">
        <f t="shared" si="73"/>
        <v>0.4</v>
      </c>
      <c r="G247" s="21">
        <f t="shared" si="73"/>
        <v>0.4</v>
      </c>
      <c r="H247" s="21">
        <f t="shared" si="73"/>
        <v>0.4</v>
      </c>
      <c r="I247" s="21">
        <f t="shared" si="73"/>
        <v>0.4</v>
      </c>
      <c r="J247" s="21">
        <f t="shared" si="73"/>
        <v>0.4</v>
      </c>
      <c r="K247" s="21">
        <f t="shared" si="73"/>
        <v>0.4</v>
      </c>
      <c r="L247" s="21">
        <f t="shared" si="73"/>
        <v>0.4</v>
      </c>
      <c r="M247" s="21">
        <f t="shared" si="73"/>
        <v>0.4</v>
      </c>
      <c r="N247" s="21">
        <f t="shared" si="73"/>
        <v>0.4</v>
      </c>
      <c r="O247" s="21">
        <f t="shared" si="73"/>
        <v>0.4</v>
      </c>
      <c r="P247" s="21">
        <f t="shared" si="73"/>
        <v>0.4</v>
      </c>
      <c r="Q247" s="21">
        <f t="shared" si="73"/>
        <v>0.4</v>
      </c>
      <c r="R247" s="21">
        <f t="shared" si="73"/>
        <v>0.4</v>
      </c>
      <c r="S247" s="21">
        <f t="shared" si="73"/>
        <v>0.4</v>
      </c>
      <c r="T247" s="21">
        <f t="shared" si="73"/>
        <v>0.4</v>
      </c>
      <c r="U247" s="21">
        <f t="shared" si="73"/>
        <v>0.4</v>
      </c>
      <c r="V247" s="21">
        <f t="shared" si="73"/>
        <v>0.4</v>
      </c>
      <c r="W247" s="21">
        <f t="shared" si="73"/>
        <v>0.4</v>
      </c>
      <c r="X247" s="21">
        <f t="shared" si="73"/>
        <v>0.4</v>
      </c>
      <c r="Y247" s="21">
        <f t="shared" si="73"/>
        <v>0.4</v>
      </c>
      <c r="Z247" s="21">
        <f t="shared" si="73"/>
        <v>0.4</v>
      </c>
      <c r="AA247" s="21">
        <f t="shared" si="73"/>
        <v>0.4</v>
      </c>
      <c r="AB247" s="21">
        <f t="shared" si="73"/>
        <v>0.4</v>
      </c>
      <c r="AC247" s="21">
        <f t="shared" si="73"/>
        <v>0.4</v>
      </c>
      <c r="AD247" s="21">
        <f t="shared" si="73"/>
        <v>0.4</v>
      </c>
      <c r="AE247" s="21">
        <f t="shared" si="73"/>
        <v>0.4</v>
      </c>
      <c r="AF247" s="21">
        <f t="shared" si="73"/>
        <v>0.4</v>
      </c>
      <c r="AG247" s="20">
        <v>2</v>
      </c>
      <c r="AH247" s="12"/>
      <c r="AI247" s="11"/>
      <c r="AK247" s="19"/>
    </row>
    <row r="248" spans="1:37" x14ac:dyDescent="0.25">
      <c r="A248" s="22" t="s">
        <v>14</v>
      </c>
      <c r="B248" s="21">
        <f t="shared" si="72"/>
        <v>1.5</v>
      </c>
      <c r="C248" s="21">
        <v>1.5</v>
      </c>
      <c r="D248" s="21">
        <f t="shared" si="73"/>
        <v>1.5</v>
      </c>
      <c r="E248" s="21">
        <f t="shared" si="73"/>
        <v>1.5</v>
      </c>
      <c r="F248" s="21">
        <f t="shared" si="73"/>
        <v>1.5</v>
      </c>
      <c r="G248" s="21">
        <f t="shared" si="73"/>
        <v>1.5</v>
      </c>
      <c r="H248" s="21">
        <f t="shared" si="73"/>
        <v>1.5</v>
      </c>
      <c r="I248" s="21">
        <f t="shared" si="73"/>
        <v>1.5</v>
      </c>
      <c r="J248" s="21">
        <f t="shared" si="73"/>
        <v>1.5</v>
      </c>
      <c r="K248" s="21">
        <f t="shared" si="73"/>
        <v>1.5</v>
      </c>
      <c r="L248" s="21">
        <f t="shared" si="73"/>
        <v>1.5</v>
      </c>
      <c r="M248" s="21">
        <f t="shared" si="73"/>
        <v>1.5</v>
      </c>
      <c r="N248" s="21">
        <f t="shared" si="73"/>
        <v>1.5</v>
      </c>
      <c r="O248" s="21">
        <f t="shared" si="73"/>
        <v>1.5</v>
      </c>
      <c r="P248" s="21">
        <f t="shared" si="73"/>
        <v>1.5</v>
      </c>
      <c r="Q248" s="21">
        <f t="shared" si="73"/>
        <v>1.5</v>
      </c>
      <c r="R248" s="21">
        <f t="shared" si="73"/>
        <v>1.5</v>
      </c>
      <c r="S248" s="21">
        <f t="shared" si="73"/>
        <v>1.5</v>
      </c>
      <c r="T248" s="21">
        <f t="shared" si="73"/>
        <v>1.5</v>
      </c>
      <c r="U248" s="21">
        <f t="shared" si="73"/>
        <v>1.5</v>
      </c>
      <c r="V248" s="21">
        <f t="shared" si="73"/>
        <v>1.5</v>
      </c>
      <c r="W248" s="21">
        <f t="shared" si="73"/>
        <v>1.5</v>
      </c>
      <c r="X248" s="21">
        <f t="shared" si="73"/>
        <v>1.5</v>
      </c>
      <c r="Y248" s="21">
        <f t="shared" si="73"/>
        <v>1.5</v>
      </c>
      <c r="Z248" s="21">
        <f t="shared" si="73"/>
        <v>1.5</v>
      </c>
      <c r="AA248" s="21">
        <f t="shared" si="73"/>
        <v>1.5</v>
      </c>
      <c r="AB248" s="21">
        <f t="shared" si="73"/>
        <v>1.5</v>
      </c>
      <c r="AC248" s="21">
        <f t="shared" si="73"/>
        <v>1.5</v>
      </c>
      <c r="AD248" s="21">
        <f t="shared" si="73"/>
        <v>1.5</v>
      </c>
      <c r="AE248" s="21">
        <f t="shared" si="73"/>
        <v>1.5</v>
      </c>
      <c r="AF248" s="21">
        <f t="shared" si="73"/>
        <v>1.5</v>
      </c>
      <c r="AG248" s="20">
        <v>1.5</v>
      </c>
      <c r="AH248" s="12"/>
      <c r="AI248" s="11"/>
      <c r="AK248" s="19"/>
    </row>
    <row r="249" spans="1:37" x14ac:dyDescent="0.25">
      <c r="A249" s="22" t="s">
        <v>13</v>
      </c>
      <c r="B249" s="21">
        <f t="shared" si="72"/>
        <v>0.3</v>
      </c>
      <c r="C249" s="21">
        <v>0.3</v>
      </c>
      <c r="D249" s="21">
        <f t="shared" si="73"/>
        <v>0.3</v>
      </c>
      <c r="E249" s="21">
        <f t="shared" si="73"/>
        <v>0.3</v>
      </c>
      <c r="F249" s="21">
        <f t="shared" si="73"/>
        <v>0.3</v>
      </c>
      <c r="G249" s="21">
        <f t="shared" si="73"/>
        <v>0.3</v>
      </c>
      <c r="H249" s="21">
        <f t="shared" si="73"/>
        <v>0.3</v>
      </c>
      <c r="I249" s="21">
        <f t="shared" si="73"/>
        <v>0.3</v>
      </c>
      <c r="J249" s="21">
        <f t="shared" si="73"/>
        <v>0.3</v>
      </c>
      <c r="K249" s="21">
        <f t="shared" si="73"/>
        <v>0.3</v>
      </c>
      <c r="L249" s="21">
        <f t="shared" si="73"/>
        <v>0.3</v>
      </c>
      <c r="M249" s="21">
        <f t="shared" si="73"/>
        <v>0.3</v>
      </c>
      <c r="N249" s="21">
        <f t="shared" si="73"/>
        <v>0.3</v>
      </c>
      <c r="O249" s="21">
        <f t="shared" si="73"/>
        <v>0.3</v>
      </c>
      <c r="P249" s="21">
        <f t="shared" si="73"/>
        <v>0.3</v>
      </c>
      <c r="Q249" s="21">
        <f t="shared" si="73"/>
        <v>0.3</v>
      </c>
      <c r="R249" s="21">
        <f t="shared" si="73"/>
        <v>0.3</v>
      </c>
      <c r="S249" s="21">
        <f t="shared" si="73"/>
        <v>0.3</v>
      </c>
      <c r="T249" s="21">
        <f t="shared" si="73"/>
        <v>0.3</v>
      </c>
      <c r="U249" s="21">
        <f t="shared" si="73"/>
        <v>0.3</v>
      </c>
      <c r="V249" s="21">
        <f t="shared" si="73"/>
        <v>0.3</v>
      </c>
      <c r="W249" s="21">
        <f t="shared" si="73"/>
        <v>0.3</v>
      </c>
      <c r="X249" s="21">
        <f t="shared" si="73"/>
        <v>0.3</v>
      </c>
      <c r="Y249" s="21">
        <f t="shared" si="73"/>
        <v>0.3</v>
      </c>
      <c r="Z249" s="21">
        <f t="shared" si="73"/>
        <v>0.3</v>
      </c>
      <c r="AA249" s="21">
        <f t="shared" si="73"/>
        <v>0.3</v>
      </c>
      <c r="AB249" s="21">
        <f t="shared" si="73"/>
        <v>0.3</v>
      </c>
      <c r="AC249" s="21">
        <f t="shared" si="73"/>
        <v>0.3</v>
      </c>
      <c r="AD249" s="21">
        <f t="shared" si="73"/>
        <v>0.3</v>
      </c>
      <c r="AE249" s="21">
        <f t="shared" si="73"/>
        <v>0.3</v>
      </c>
      <c r="AF249" s="21">
        <f t="shared" si="73"/>
        <v>0.3</v>
      </c>
      <c r="AG249" s="20">
        <v>1</v>
      </c>
      <c r="AH249" s="12"/>
      <c r="AI249" s="11"/>
      <c r="AK249" s="19"/>
    </row>
    <row r="250" spans="1:37" x14ac:dyDescent="0.25">
      <c r="A250" s="22" t="s">
        <v>12</v>
      </c>
      <c r="B250" s="21">
        <f t="shared" si="72"/>
        <v>0.4</v>
      </c>
      <c r="C250" s="21">
        <v>0.4</v>
      </c>
      <c r="D250" s="21">
        <f t="shared" si="73"/>
        <v>0.4</v>
      </c>
      <c r="E250" s="21">
        <f t="shared" si="73"/>
        <v>0.4</v>
      </c>
      <c r="F250" s="21">
        <f t="shared" si="73"/>
        <v>0.4</v>
      </c>
      <c r="G250" s="21">
        <f t="shared" si="73"/>
        <v>0.4</v>
      </c>
      <c r="H250" s="21">
        <f t="shared" si="73"/>
        <v>0.4</v>
      </c>
      <c r="I250" s="21">
        <f t="shared" si="73"/>
        <v>0.4</v>
      </c>
      <c r="J250" s="21">
        <f t="shared" si="73"/>
        <v>0.4</v>
      </c>
      <c r="K250" s="21">
        <f t="shared" si="73"/>
        <v>0.4</v>
      </c>
      <c r="L250" s="21">
        <f t="shared" si="73"/>
        <v>0.4</v>
      </c>
      <c r="M250" s="21">
        <f t="shared" si="73"/>
        <v>0.4</v>
      </c>
      <c r="N250" s="21">
        <f t="shared" si="73"/>
        <v>0.4</v>
      </c>
      <c r="O250" s="21">
        <f t="shared" si="73"/>
        <v>0.4</v>
      </c>
      <c r="P250" s="21">
        <f t="shared" si="73"/>
        <v>0.4</v>
      </c>
      <c r="Q250" s="21">
        <f t="shared" si="73"/>
        <v>0.4</v>
      </c>
      <c r="R250" s="21">
        <f t="shared" si="73"/>
        <v>0.4</v>
      </c>
      <c r="S250" s="21">
        <f t="shared" si="73"/>
        <v>0.4</v>
      </c>
      <c r="T250" s="21">
        <f t="shared" si="73"/>
        <v>0.4</v>
      </c>
      <c r="U250" s="21">
        <f t="shared" si="73"/>
        <v>0.4</v>
      </c>
      <c r="V250" s="21">
        <f t="shared" si="73"/>
        <v>0.4</v>
      </c>
      <c r="W250" s="21">
        <f t="shared" si="73"/>
        <v>0.4</v>
      </c>
      <c r="X250" s="21">
        <f t="shared" si="73"/>
        <v>0.4</v>
      </c>
      <c r="Y250" s="21">
        <f t="shared" si="73"/>
        <v>0.4</v>
      </c>
      <c r="Z250" s="21">
        <f t="shared" si="73"/>
        <v>0.4</v>
      </c>
      <c r="AA250" s="21">
        <f t="shared" si="73"/>
        <v>0.4</v>
      </c>
      <c r="AB250" s="21">
        <f t="shared" si="73"/>
        <v>0.4</v>
      </c>
      <c r="AC250" s="21">
        <f t="shared" si="73"/>
        <v>0.4</v>
      </c>
      <c r="AD250" s="21">
        <f t="shared" si="73"/>
        <v>0.4</v>
      </c>
      <c r="AE250" s="21">
        <f t="shared" si="73"/>
        <v>0.4</v>
      </c>
      <c r="AF250" s="21">
        <f t="shared" si="73"/>
        <v>0.4</v>
      </c>
      <c r="AG250" s="20">
        <v>1</v>
      </c>
      <c r="AH250" s="12"/>
      <c r="AI250" s="11"/>
      <c r="AK250" s="19"/>
    </row>
    <row r="251" spans="1:37" ht="15.75" thickBot="1" x14ac:dyDescent="0.3">
      <c r="A251" s="18" t="s">
        <v>11</v>
      </c>
      <c r="B251" s="17">
        <f t="shared" si="72"/>
        <v>0.64</v>
      </c>
      <c r="C251" s="17">
        <v>0.64</v>
      </c>
      <c r="D251" s="17">
        <f t="shared" si="73"/>
        <v>0.64</v>
      </c>
      <c r="E251" s="17">
        <f t="shared" si="73"/>
        <v>0.64</v>
      </c>
      <c r="F251" s="17">
        <f t="shared" si="73"/>
        <v>0.64</v>
      </c>
      <c r="G251" s="17">
        <f t="shared" si="73"/>
        <v>0.64</v>
      </c>
      <c r="H251" s="17">
        <f t="shared" si="73"/>
        <v>0.64</v>
      </c>
      <c r="I251" s="17">
        <f t="shared" si="73"/>
        <v>0.64</v>
      </c>
      <c r="J251" s="17">
        <f t="shared" si="73"/>
        <v>0.64</v>
      </c>
      <c r="K251" s="17">
        <f t="shared" si="73"/>
        <v>0.64</v>
      </c>
      <c r="L251" s="17">
        <f t="shared" si="73"/>
        <v>0.64</v>
      </c>
      <c r="M251" s="17">
        <f t="shared" si="73"/>
        <v>0.64</v>
      </c>
      <c r="N251" s="17">
        <f t="shared" si="73"/>
        <v>0.64</v>
      </c>
      <c r="O251" s="17">
        <f t="shared" si="73"/>
        <v>0.64</v>
      </c>
      <c r="P251" s="17">
        <f t="shared" si="73"/>
        <v>0.64</v>
      </c>
      <c r="Q251" s="17">
        <f t="shared" si="73"/>
        <v>0.64</v>
      </c>
      <c r="R251" s="17">
        <f t="shared" si="73"/>
        <v>0.64</v>
      </c>
      <c r="S251" s="17">
        <f t="shared" si="73"/>
        <v>0.64</v>
      </c>
      <c r="T251" s="17">
        <f t="shared" si="73"/>
        <v>0.64</v>
      </c>
      <c r="U251" s="17">
        <f t="shared" si="73"/>
        <v>0.64</v>
      </c>
      <c r="V251" s="17">
        <f t="shared" si="73"/>
        <v>0.64</v>
      </c>
      <c r="W251" s="17">
        <f t="shared" si="73"/>
        <v>0.64</v>
      </c>
      <c r="X251" s="17">
        <f t="shared" si="73"/>
        <v>0.64</v>
      </c>
      <c r="Y251" s="17">
        <f t="shared" si="73"/>
        <v>0.64</v>
      </c>
      <c r="Z251" s="17">
        <f t="shared" si="73"/>
        <v>0.64</v>
      </c>
      <c r="AA251" s="17">
        <f t="shared" si="73"/>
        <v>0.64</v>
      </c>
      <c r="AB251" s="17">
        <f t="shared" si="73"/>
        <v>0.64</v>
      </c>
      <c r="AC251" s="17">
        <f t="shared" si="73"/>
        <v>0.64</v>
      </c>
      <c r="AD251" s="17">
        <f t="shared" si="73"/>
        <v>0.64</v>
      </c>
      <c r="AE251" s="17">
        <f t="shared" si="73"/>
        <v>0.64</v>
      </c>
      <c r="AF251" s="17">
        <f t="shared" si="73"/>
        <v>0.64</v>
      </c>
      <c r="AG251" s="16">
        <v>0.66</v>
      </c>
      <c r="AH251" s="12"/>
      <c r="AI251" s="11"/>
    </row>
    <row r="252" spans="1:37" ht="15.75" thickBot="1" x14ac:dyDescent="0.3">
      <c r="A252" s="15" t="s">
        <v>10</v>
      </c>
      <c r="B252" s="14">
        <f t="shared" ref="B252:AG252" si="74">SUM(B246:B251)</f>
        <v>3.54</v>
      </c>
      <c r="C252" s="14">
        <f t="shared" si="74"/>
        <v>3.54</v>
      </c>
      <c r="D252" s="14">
        <f t="shared" si="74"/>
        <v>3.54</v>
      </c>
      <c r="E252" s="14">
        <f t="shared" si="74"/>
        <v>3.54</v>
      </c>
      <c r="F252" s="14">
        <f t="shared" si="74"/>
        <v>3.54</v>
      </c>
      <c r="G252" s="14">
        <f t="shared" si="74"/>
        <v>3.54</v>
      </c>
      <c r="H252" s="14">
        <f t="shared" si="74"/>
        <v>3.54</v>
      </c>
      <c r="I252" s="14">
        <f t="shared" si="74"/>
        <v>3.54</v>
      </c>
      <c r="J252" s="14">
        <f t="shared" si="74"/>
        <v>3.54</v>
      </c>
      <c r="K252" s="14">
        <f t="shared" si="74"/>
        <v>3.54</v>
      </c>
      <c r="L252" s="14">
        <f t="shared" si="74"/>
        <v>3.54</v>
      </c>
      <c r="M252" s="14">
        <f t="shared" si="74"/>
        <v>3.54</v>
      </c>
      <c r="N252" s="14">
        <f t="shared" si="74"/>
        <v>3.54</v>
      </c>
      <c r="O252" s="14">
        <f t="shared" si="74"/>
        <v>3.54</v>
      </c>
      <c r="P252" s="14">
        <f t="shared" si="74"/>
        <v>3.54</v>
      </c>
      <c r="Q252" s="14">
        <f t="shared" si="74"/>
        <v>3.54</v>
      </c>
      <c r="R252" s="14">
        <f t="shared" si="74"/>
        <v>3.54</v>
      </c>
      <c r="S252" s="14">
        <f t="shared" si="74"/>
        <v>3.54</v>
      </c>
      <c r="T252" s="14">
        <f t="shared" si="74"/>
        <v>3.54</v>
      </c>
      <c r="U252" s="14">
        <f t="shared" si="74"/>
        <v>3.54</v>
      </c>
      <c r="V252" s="14">
        <f t="shared" si="74"/>
        <v>3.54</v>
      </c>
      <c r="W252" s="14">
        <f t="shared" si="74"/>
        <v>3.54</v>
      </c>
      <c r="X252" s="14">
        <f t="shared" si="74"/>
        <v>3.54</v>
      </c>
      <c r="Y252" s="14">
        <f t="shared" si="74"/>
        <v>3.54</v>
      </c>
      <c r="Z252" s="14">
        <f t="shared" si="74"/>
        <v>3.54</v>
      </c>
      <c r="AA252" s="14">
        <f t="shared" si="74"/>
        <v>3.54</v>
      </c>
      <c r="AB252" s="14">
        <f t="shared" si="74"/>
        <v>3.54</v>
      </c>
      <c r="AC252" s="14">
        <f t="shared" si="74"/>
        <v>3.54</v>
      </c>
      <c r="AD252" s="14">
        <f t="shared" si="74"/>
        <v>3.54</v>
      </c>
      <c r="AE252" s="14">
        <f t="shared" si="74"/>
        <v>3.54</v>
      </c>
      <c r="AF252" s="14">
        <f t="shared" si="74"/>
        <v>3.54</v>
      </c>
      <c r="AG252" s="13">
        <f t="shared" si="74"/>
        <v>8.56</v>
      </c>
      <c r="AH252" s="12"/>
      <c r="AI252" s="11"/>
    </row>
    <row r="253" spans="1:37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25">
      <c r="A256" s="9" t="s">
        <v>9</v>
      </c>
      <c r="B256" s="8">
        <f>MAX(G99:N99)</f>
        <v>1640.6399999999999</v>
      </c>
      <c r="C256" s="7">
        <f>INDEX(G9:N9,1,MATCH(MAX(G99:N99),G99:N99,0))</f>
        <v>0.375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25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2080/10/7)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25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25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25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25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25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25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25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25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25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25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25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25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25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25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3471" priority="89">
      <formula>$AH11=0</formula>
    </cfRule>
  </conditionalFormatting>
  <conditionalFormatting sqref="A132:A253">
    <cfRule type="expression" dxfId="3470" priority="90">
      <formula>$AH132=0</formula>
    </cfRule>
  </conditionalFormatting>
  <conditionalFormatting sqref="B8">
    <cfRule type="expression" dxfId="3469" priority="145">
      <formula>AND(C$9&gt;=8/24,C$9&lt;14/24)</formula>
    </cfRule>
    <cfRule type="expression" dxfId="3468" priority="146">
      <formula>C$9&lt;8/24</formula>
    </cfRule>
    <cfRule type="expression" dxfId="3467" priority="144">
      <formula>AND(C$9&gt;=14/24,C$9&lt;20/24)</formula>
    </cfRule>
    <cfRule type="expression" dxfId="3466" priority="147">
      <formula>C$9&gt;=20/24</formula>
    </cfRule>
  </conditionalFormatting>
  <conditionalFormatting sqref="B11:Y52 B59:D74 E68:E74 E69:AF74 B77:AF99 B9:AF10 B101:AF117 B119:AF137 B244:AF244 B246:B252">
    <cfRule type="expression" dxfId="3465" priority="41">
      <formula>B$9&gt;=20/24</formula>
    </cfRule>
  </conditionalFormatting>
  <conditionalFormatting sqref="B53:Y57">
    <cfRule type="expression" dxfId="3464" priority="53">
      <formula>B$9&lt;8/24</formula>
    </cfRule>
  </conditionalFormatting>
  <conditionalFormatting sqref="B9:AF10 B11:Y52 B59:D74 E68:E74 E69:AF74 B77:AF99 B101:AF117 B119:AF137 B244:AF244 B246:B252">
    <cfRule type="expression" dxfId="3463" priority="43">
      <formula>AND(B$9&gt;=8/24,B$9&lt;14/24)</formula>
    </cfRule>
    <cfRule type="expression" dxfId="3462" priority="44">
      <formula>B$9&lt;8/24</formula>
    </cfRule>
    <cfRule type="expression" dxfId="3461" priority="42">
      <formula>AND(B$9&gt;=14/24,B$9&lt;20/24)</formula>
    </cfRule>
  </conditionalFormatting>
  <conditionalFormatting sqref="D246:AF252">
    <cfRule type="expression" dxfId="3460" priority="132">
      <formula>D$9&lt;8/24</formula>
    </cfRule>
    <cfRule type="expression" dxfId="3459" priority="131">
      <formula>AND(D$9&gt;=8/24,D$9&lt;14/24)</formula>
    </cfRule>
    <cfRule type="expression" dxfId="3458" priority="129">
      <formula>D$9&gt;=20/24</formula>
    </cfRule>
    <cfRule type="expression" dxfId="3457" priority="130">
      <formula>AND(D$9&gt;=14/24,D$9&lt;20/24)</formula>
    </cfRule>
  </conditionalFormatting>
  <conditionalFormatting sqref="E63:I67 J64:J67 K67">
    <cfRule type="expression" dxfId="3456" priority="57">
      <formula>E$9&lt;8/24</formula>
    </cfRule>
    <cfRule type="expression" dxfId="3455" priority="56">
      <formula>AND(E$9&gt;=8/24,E$9&lt;14/24)</formula>
    </cfRule>
    <cfRule type="expression" dxfId="3454" priority="55">
      <formula>AND(E$9&gt;=14/24,E$9&lt;20/24)</formula>
    </cfRule>
    <cfRule type="expression" dxfId="3453" priority="54">
      <formula>E$9&gt;=20/24</formula>
    </cfRule>
  </conditionalFormatting>
  <conditionalFormatting sqref="E68:K68">
    <cfRule type="expression" dxfId="3452" priority="52">
      <formula>E$9&lt;8/24</formula>
    </cfRule>
    <cfRule type="expression" dxfId="3451" priority="51">
      <formula>AND(E$9&gt;=8/24,E$9&lt;14/24)</formula>
    </cfRule>
    <cfRule type="expression" dxfId="3450" priority="50">
      <formula>AND(E$9&gt;=14/24,E$9&lt;20/24)</formula>
    </cfRule>
    <cfRule type="expression" dxfId="3449" priority="49">
      <formula>E$9&gt;=20/24</formula>
    </cfRule>
  </conditionalFormatting>
  <conditionalFormatting sqref="E11:Y55 B11:D80 E56:AF80 AG62 AG80">
    <cfRule type="expression" dxfId="3448" priority="40">
      <formula>B11&gt;$AG11</formula>
    </cfRule>
  </conditionalFormatting>
  <conditionalFormatting sqref="E56:Y57">
    <cfRule type="expression" dxfId="3447" priority="47">
      <formula>AND(E$9&gt;=14/24,E$9&lt;20/24)</formula>
    </cfRule>
    <cfRule type="expression" dxfId="3446" priority="46">
      <formula>E$9&gt;=20/24</formula>
    </cfRule>
    <cfRule type="expression" dxfId="3445" priority="48">
      <formula>AND(E$9&gt;=8/24,E$9&lt;14/24)</formula>
    </cfRule>
  </conditionalFormatting>
  <conditionalFormatting sqref="E59:AF62">
    <cfRule type="expression" dxfId="3444" priority="69">
      <formula>AND(E$9&gt;=8/24,E$9&lt;14/24)</formula>
    </cfRule>
    <cfRule type="expression" dxfId="3443" priority="70">
      <formula>E$9&lt;8/24</formula>
    </cfRule>
    <cfRule type="expression" dxfId="3442" priority="68">
      <formula>AND(E$9&gt;=14/24,E$9&lt;20/24)</formula>
    </cfRule>
    <cfRule type="expression" dxfId="3441" priority="67">
      <formula>E$9&gt;=20/24</formula>
    </cfRule>
  </conditionalFormatting>
  <conditionalFormatting sqref="F63:L65">
    <cfRule type="expression" dxfId="3440" priority="81">
      <formula>F$9&gt;=20/24</formula>
    </cfRule>
    <cfRule type="expression" dxfId="3439" priority="82">
      <formula>AND(F$9&gt;=14/24,F$9&lt;20/24)</formula>
    </cfRule>
    <cfRule type="expression" dxfId="3438" priority="83">
      <formula>AND(F$9&gt;=8/24,F$9&lt;14/24)</formula>
    </cfRule>
    <cfRule type="expression" dxfId="3437" priority="84">
      <formula>F$9&lt;8/24</formula>
    </cfRule>
  </conditionalFormatting>
  <conditionalFormatting sqref="L68:Y68">
    <cfRule type="expression" dxfId="3436" priority="77">
      <formula>L$9&gt;=20/24</formula>
    </cfRule>
    <cfRule type="expression" dxfId="3435" priority="78">
      <formula>AND(L$9&gt;=14/24,L$9&lt;20/24)</formula>
    </cfRule>
    <cfRule type="expression" dxfId="3434" priority="80">
      <formula>L$9&lt;8/24</formula>
    </cfRule>
    <cfRule type="expression" dxfId="3433" priority="79">
      <formula>AND(L$9&gt;=8/24,L$9&lt;14/24)</formula>
    </cfRule>
  </conditionalFormatting>
  <conditionalFormatting sqref="M8 S8 AB8">
    <cfRule type="expression" dxfId="3432" priority="136">
      <formula>AND(N$9&gt;=14/24,N$9&lt;20/24)</formula>
    </cfRule>
    <cfRule type="expression" dxfId="3431" priority="138">
      <formula>N$9&lt;8/24</formula>
    </cfRule>
    <cfRule type="expression" dxfId="3430" priority="137">
      <formula>AND(N$9&gt;=8/24,N$9&lt;14/24)</formula>
    </cfRule>
  </conditionalFormatting>
  <conditionalFormatting sqref="M63:Y67">
    <cfRule type="expression" dxfId="3429" priority="85">
      <formula>M$9&gt;=20/24</formula>
    </cfRule>
    <cfRule type="expression" dxfId="3428" priority="87">
      <formula>AND(M$9&gt;=8/24,M$9&lt;14/24)</formula>
    </cfRule>
    <cfRule type="expression" dxfId="3427" priority="88">
      <formula>M$9&lt;8/24</formula>
    </cfRule>
    <cfRule type="expression" dxfId="3426" priority="86">
      <formula>AND(M$9&gt;=14/24,M$9&lt;20/24)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425" priority="135">
      <formula>N$9&gt;=20/24</formula>
    </cfRule>
  </conditionalFormatting>
  <conditionalFormatting sqref="S8">
    <cfRule type="expression" dxfId="3424" priority="122">
      <formula>U$9&gt;=20/24</formula>
    </cfRule>
    <cfRule type="expression" dxfId="3423" priority="123">
      <formula>AND(U$9&gt;=14/24,U$9&lt;20/24)</formula>
    </cfRule>
    <cfRule type="expression" dxfId="3422" priority="124">
      <formula>AND(U$9&gt;=8/24,U$9&lt;14/24)</formula>
    </cfRule>
    <cfRule type="expression" dxfId="3421" priority="125">
      <formula>U$9&lt;8/24</formula>
    </cfRule>
  </conditionalFormatting>
  <conditionalFormatting sqref="T63:AF68">
    <cfRule type="expression" dxfId="3420" priority="74">
      <formula>T$9&lt;8/24</formula>
    </cfRule>
    <cfRule type="expression" dxfId="3419" priority="73">
      <formula>AND(T$9&gt;=8/24,T$9&lt;14/24)</formula>
    </cfRule>
    <cfRule type="expression" dxfId="3418" priority="72">
      <formula>AND(T$9&gt;=14/24,T$9&lt;20/24)</formula>
    </cfRule>
    <cfRule type="expression" dxfId="3417" priority="71">
      <formula>T$9&gt;=20/24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Z11:AF52">
    <cfRule type="expression" dxfId="3416" priority="58">
      <formula>Z11&gt;$AG11</formula>
    </cfRule>
    <cfRule type="expression" dxfId="3415" priority="60">
      <formula>AND(Z$9&gt;=14/24,Z$9&lt;20/24)</formula>
    </cfRule>
    <cfRule type="expression" dxfId="3414" priority="61">
      <formula>AND(Z$9&gt;=8/24,Z$9&lt;14/24)</formula>
    </cfRule>
    <cfRule type="expression" dxfId="3413" priority="62">
      <formula>Z$9&lt;8/24</formula>
    </cfRule>
    <cfRule type="expression" dxfId="3412" priority="59">
      <formula>Z$9&gt;=20/24</formula>
    </cfRule>
  </conditionalFormatting>
  <conditionalFormatting sqref="Z53:AF54 E53:Y55 B53:D57">
    <cfRule type="expression" dxfId="3411" priority="38">
      <formula>AND(B$9&gt;=14/24,B$9&lt;20/24)</formula>
    </cfRule>
    <cfRule type="expression" dxfId="3410" priority="37">
      <formula>B$9&gt;=20/24</formula>
    </cfRule>
    <cfRule type="expression" dxfId="3409" priority="39">
      <formula>AND(B$9&gt;=8/24,B$9&lt;14/24)</formula>
    </cfRule>
  </conditionalFormatting>
  <conditionalFormatting sqref="Z53:AF55">
    <cfRule type="expression" dxfId="3408" priority="76">
      <formula>Z53&gt;$AG53</formula>
    </cfRule>
  </conditionalFormatting>
  <conditionalFormatting sqref="Z53:AF57">
    <cfRule type="expression" dxfId="3407" priority="75">
      <formula>Z$9&lt;8/24</formula>
    </cfRule>
  </conditionalFormatting>
  <conditionalFormatting sqref="Z55:AF57">
    <cfRule type="expression" dxfId="3406" priority="66">
      <formula>AND(Z$9&gt;=8/24,Z$9&lt;14/24)</formula>
    </cfRule>
    <cfRule type="expression" dxfId="3405" priority="65">
      <formula>AND(Z$9&gt;=14/24,Z$9&lt;20/24)</formula>
    </cfRule>
    <cfRule type="expression" dxfId="3404" priority="64">
      <formula>Z$9&gt;=20/24</formula>
    </cfRule>
  </conditionalFormatting>
  <conditionalFormatting sqref="AB8">
    <cfRule type="expression" dxfId="3403" priority="121">
      <formula>AD$9&lt;8/24</formula>
    </cfRule>
    <cfRule type="expression" dxfId="3402" priority="120">
      <formula>AND(AD$9&gt;=8/24,AD$9&lt;14/24)</formula>
    </cfRule>
    <cfRule type="expression" dxfId="3401" priority="119">
      <formula>AND(AD$9&gt;=14/24,AD$9&lt;20/24)</formula>
    </cfRule>
    <cfRule type="expression" dxfId="3400" priority="118">
      <formula>AD$9&gt;=20/24</formula>
    </cfRule>
  </conditionalFormatting>
  <conditionalFormatting sqref="AG58">
    <cfRule type="expression" dxfId="3399" priority="113">
      <formula>AG58&gt;$AG58</formula>
    </cfRule>
  </conditionalFormatting>
  <conditionalFormatting sqref="AG62">
    <cfRule type="expression" dxfId="3398" priority="97">
      <formula>AND(AG$9&gt;=14/24,AG$9&lt;20/24)</formula>
    </cfRule>
    <cfRule type="expression" dxfId="3397" priority="98">
      <formula>AND(AG$9&gt;=8/24,AG$9&lt;14/24)</formula>
    </cfRule>
    <cfRule type="expression" dxfId="3396" priority="96">
      <formula>AG$9&gt;=20/24</formula>
    </cfRule>
    <cfRule type="expression" dxfId="3395" priority="99">
      <formula>AG$9&lt;8/24</formula>
    </cfRule>
  </conditionalFormatting>
  <conditionalFormatting sqref="AG75:AG76">
    <cfRule type="expression" dxfId="3394" priority="91">
      <formula>AG75&gt;$AG75</formula>
    </cfRule>
  </conditionalFormatting>
  <conditionalFormatting sqref="AG80">
    <cfRule type="expression" dxfId="3393" priority="93">
      <formula>AND(AG$9&gt;=14/24,AG$9&lt;20/24)</formula>
    </cfRule>
    <cfRule type="expression" dxfId="3392" priority="95">
      <formula>AG$9&lt;8/24</formula>
    </cfRule>
    <cfRule type="expression" dxfId="3391" priority="94">
      <formula>AND(AG$9&gt;=8/24,AG$9&lt;14/24)</formula>
    </cfRule>
    <cfRule type="expression" dxfId="3390" priority="92">
      <formula>AG$9&gt;=20/24</formula>
    </cfRule>
  </conditionalFormatting>
  <conditionalFormatting sqref="AG97">
    <cfRule type="expression" dxfId="3389" priority="117">
      <formula>AG$9&lt;8/24</formula>
    </cfRule>
    <cfRule type="expression" dxfId="3388" priority="116">
      <formula>AND(AG$9&gt;=8/24,AG$9&lt;14/24)</formula>
    </cfRule>
    <cfRule type="expression" dxfId="3387" priority="115">
      <formula>AND(AG$9&gt;=14/24,AG$9&lt;20/24)</formula>
    </cfRule>
    <cfRule type="expression" dxfId="3386" priority="114">
      <formula>AG$9&gt;=20/24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385" priority="139">
      <formula>AJ$9&gt;=20/24</formula>
    </cfRule>
    <cfRule type="expression" dxfId="3384" priority="140">
      <formula>AND(AJ$9&gt;=14/24,AJ$9&lt;20/24)</formula>
    </cfRule>
    <cfRule type="expression" dxfId="3383" priority="141">
      <formula>AND(AJ$9&gt;=8/24,AJ$9&lt;14/24)</formula>
    </cfRule>
    <cfRule type="expression" dxfId="3382" priority="142">
      <formula>AJ$9&lt;8/24</formula>
    </cfRule>
  </conditionalFormatting>
  <conditionalFormatting sqref="AL88:AN88 AL94:AN94">
    <cfRule type="expression" dxfId="3381" priority="109">
      <formula>AL$9&lt;8/24</formula>
    </cfRule>
    <cfRule type="expression" dxfId="3380" priority="106">
      <formula>AL$9&gt;=20/24</formula>
    </cfRule>
    <cfRule type="expression" dxfId="3379" priority="108">
      <formula>AND(AL$9&gt;=8/24,AL$9&lt;14/24)</formula>
    </cfRule>
    <cfRule type="expression" dxfId="3378" priority="107">
      <formula>AND(AL$9&gt;=14/24,AL$9&lt;20/24)</formula>
    </cfRule>
  </conditionalFormatting>
  <conditionalFormatting sqref="AM15:AM21 AN16:AR21">
    <cfRule type="expression" dxfId="3377" priority="16">
      <formula>AX$9&lt;8/24</formula>
    </cfRule>
    <cfRule type="expression" dxfId="3376" priority="15">
      <formula>AND(AX$9&gt;=8/24,AX$9&lt;14/24)</formula>
    </cfRule>
    <cfRule type="expression" dxfId="3375" priority="14">
      <formula>AND(AX$9&gt;=14/24,AX$9&lt;20/24)</formula>
    </cfRule>
    <cfRule type="expression" dxfId="3374" priority="13">
      <formula>AX$9&gt;=20/24</formula>
    </cfRule>
  </conditionalFormatting>
  <conditionalFormatting sqref="AN89:AN92">
    <cfRule type="expression" dxfId="3373" priority="102">
      <formula>AN$9&gt;=20/24</formula>
    </cfRule>
    <cfRule type="expression" dxfId="3372" priority="103">
      <formula>AND(AN$9&gt;=14/24,AN$9&lt;20/24)</formula>
    </cfRule>
    <cfRule type="expression" dxfId="3371" priority="104">
      <formula>AND(AN$9&gt;=8/24,AN$9&lt;14/24)</formula>
    </cfRule>
    <cfRule type="expression" dxfId="3370" priority="105">
      <formula>AN$9&lt;8/24</formula>
    </cfRule>
  </conditionalFormatting>
  <conditionalFormatting sqref="AN15:AR15">
    <cfRule type="expression" dxfId="3369" priority="4">
      <formula>U$9&lt;8/24</formula>
    </cfRule>
    <cfRule type="expression" dxfId="3368" priority="1">
      <formula>U$9&gt;=20/24</formula>
    </cfRule>
    <cfRule type="expression" dxfId="3367" priority="2">
      <formula>AND(U$9&gt;=14/24,U$9&lt;20/24)</formula>
    </cfRule>
    <cfRule type="expression" dxfId="3366" priority="3">
      <formula>AND(U$9&gt;=8/24,U$9&lt;14/24)</formula>
    </cfRule>
  </conditionalFormatting>
  <conditionalFormatting sqref="AS15">
    <cfRule type="expression" dxfId="3365" priority="12">
      <formula>AA$9&lt;8/24</formula>
    </cfRule>
    <cfRule type="expression" dxfId="3364" priority="10">
      <formula>AND(AA$9&gt;=14/24,AA$9&lt;20/24)</formula>
    </cfRule>
    <cfRule type="expression" dxfId="3363" priority="9">
      <formula>AA$9&gt;=20/24</formula>
    </cfRule>
    <cfRule type="expression" dxfId="3362" priority="11">
      <formula>AND(AA$9&gt;=8/24,AA$9&lt;14/24)</formula>
    </cfRule>
  </conditionalFormatting>
  <conditionalFormatting sqref="AS16:AS21">
    <cfRule type="expression" dxfId="3361" priority="20">
      <formula>BE$9&lt;8/24</formula>
    </cfRule>
    <cfRule type="expression" dxfId="3360" priority="18">
      <formula>AND(BE$9&gt;=14/24,BE$9&lt;20/24)</formula>
    </cfRule>
    <cfRule type="expression" dxfId="3359" priority="17">
      <formula>BE$9&gt;=20/24</formula>
    </cfRule>
    <cfRule type="expression" dxfId="3358" priority="19">
      <formula>AND(BE$9&gt;=8/24,BE$9&lt;14/24)</formula>
    </cfRule>
  </conditionalFormatting>
  <conditionalFormatting sqref="AT15 AX15:BJ15">
    <cfRule type="expression" dxfId="3357" priority="24">
      <formula>AC$9&lt;8/24</formula>
    </cfRule>
    <cfRule type="expression" dxfId="3356" priority="23">
      <formula>AND(AC$9&gt;=8/24,AC$9&lt;14/24)</formula>
    </cfRule>
    <cfRule type="expression" dxfId="3355" priority="22">
      <formula>AND(AC$9&gt;=14/24,AC$9&lt;20/24)</formula>
    </cfRule>
    <cfRule type="expression" dxfId="3354" priority="21">
      <formula>AC$9&gt;=20/24</formula>
    </cfRule>
  </conditionalFormatting>
  <conditionalFormatting sqref="AT16:AT21">
    <cfRule type="expression" dxfId="3353" priority="26">
      <formula>AND(BG$9&gt;=14/24,BG$9&lt;20/24)</formula>
    </cfRule>
    <cfRule type="expression" dxfId="3352" priority="25">
      <formula>BG$9&gt;=20/24</formula>
    </cfRule>
    <cfRule type="expression" dxfId="3351" priority="27">
      <formula>AND(BG$9&gt;=8/24,BG$9&lt;14/24)</formula>
    </cfRule>
    <cfRule type="expression" dxfId="3350" priority="28">
      <formula>BG$9&lt;8/24</formula>
    </cfRule>
  </conditionalFormatting>
  <conditionalFormatting sqref="AU15:AV15">
    <cfRule type="expression" dxfId="3349" priority="29">
      <formula>AE$9&gt;=20/24</formula>
    </cfRule>
    <cfRule type="expression" dxfId="3348" priority="30">
      <formula>AND(AE$9&gt;=14/24,AE$9&lt;20/24)</formula>
    </cfRule>
    <cfRule type="expression" dxfId="3347" priority="31">
      <formula>AND(AE$9&gt;=8/24,AE$9&lt;14/24)</formula>
    </cfRule>
    <cfRule type="expression" dxfId="3346" priority="32">
      <formula>AE$9&lt;8/24</formula>
    </cfRule>
  </conditionalFormatting>
  <conditionalFormatting sqref="AU16:BJ21">
    <cfRule type="expression" dxfId="3345" priority="35">
      <formula>AND(BI$9&gt;=8/24,BI$9&lt;14/24)</formula>
    </cfRule>
    <cfRule type="expression" dxfId="3344" priority="36">
      <formula>BI$9&lt;8/24</formula>
    </cfRule>
    <cfRule type="expression" dxfId="3343" priority="33">
      <formula>BI$9&gt;=20/24</formula>
    </cfRule>
    <cfRule type="expression" dxfId="3342" priority="34">
      <formula>AND(BI$9&gt;=14/24,BI$9&lt;20/24)</formula>
    </cfRule>
  </conditionalFormatting>
  <conditionalFormatting sqref="AW15">
    <cfRule type="expression" dxfId="3341" priority="7">
      <formula>AND(B$9&gt;=8/24,B$9&lt;14/24)</formula>
    </cfRule>
    <cfRule type="expression" dxfId="3340" priority="6">
      <formula>AND(B$9&gt;=14/24,B$9&lt;20/24)</formula>
    </cfRule>
    <cfRule type="expression" dxfId="3339" priority="5">
      <formula>B$9&gt;=20/24</formula>
    </cfRule>
    <cfRule type="expression" dxfId="3338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4AD5E-66C5-4C29-9FBD-9D5CB244CD74}">
  <dimension ref="A1:CJ294"/>
  <sheetViews>
    <sheetView zoomScale="106" workbookViewId="0">
      <pane xSplit="1" ySplit="10" topLeftCell="B76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97" sqref="A97:AF10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20.25" hidden="1" x14ac:dyDescent="0.2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9.5" hidden="1" thickBot="1" x14ac:dyDescent="0.3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3">
      <c r="A4" s="162" t="s">
        <v>273</v>
      </c>
      <c r="B4" s="205" t="str">
        <f ca="1">"2080/"&amp;"10/"&amp;INT(MID(CELL("filename",D6),FIND("]",CELL("filename",D6))+1,200))</f>
        <v>2080/10/8</v>
      </c>
      <c r="C4" s="205"/>
      <c r="D4" s="205"/>
      <c r="E4" s="206" t="str">
        <f ca="1">"2080/"&amp;"10/"&amp;INT(MID(CELL("filename",G6),FIND("]",CELL("filename",G6))+1,200))</f>
        <v>2080/10/8</v>
      </c>
      <c r="F4" s="206"/>
      <c r="G4" s="206"/>
      <c r="H4" s="206" t="str">
        <f ca="1">TEXT(E4,"dddd")</f>
        <v>Tuesday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3">
      <c r="A5" s="158"/>
      <c r="B5" s="161">
        <f t="shared" ref="B5:AE5" si="0">C92</f>
        <v>43.1</v>
      </c>
      <c r="C5" s="161">
        <f t="shared" si="0"/>
        <v>46.6</v>
      </c>
      <c r="D5" s="161">
        <f t="shared" si="0"/>
        <v>41.6</v>
      </c>
      <c r="E5" s="161">
        <f t="shared" si="0"/>
        <v>37.300000000000004</v>
      </c>
      <c r="F5" s="161">
        <f t="shared" si="0"/>
        <v>40.1</v>
      </c>
      <c r="G5" s="161">
        <f t="shared" si="0"/>
        <v>51.4</v>
      </c>
      <c r="H5" s="161">
        <f t="shared" si="0"/>
        <v>81.3</v>
      </c>
      <c r="I5" s="161">
        <f t="shared" si="0"/>
        <v>536.79999999999995</v>
      </c>
      <c r="J5" s="161">
        <f t="shared" si="0"/>
        <v>565</v>
      </c>
      <c r="K5" s="161">
        <f t="shared" si="0"/>
        <v>517</v>
      </c>
      <c r="L5" s="161">
        <f t="shared" si="0"/>
        <v>593</v>
      </c>
      <c r="M5" s="161">
        <f t="shared" si="0"/>
        <v>645.29999999999995</v>
      </c>
      <c r="N5" s="161">
        <f t="shared" si="0"/>
        <v>605.40000000000009</v>
      </c>
      <c r="O5" s="161">
        <f t="shared" si="0"/>
        <v>617.79999999999995</v>
      </c>
      <c r="P5" s="161">
        <f t="shared" si="0"/>
        <v>619.9</v>
      </c>
      <c r="Q5" s="161">
        <f t="shared" si="0"/>
        <v>597</v>
      </c>
      <c r="R5" s="161">
        <f t="shared" si="0"/>
        <v>579.9</v>
      </c>
      <c r="S5" s="161">
        <f t="shared" si="0"/>
        <v>588</v>
      </c>
      <c r="T5" s="161">
        <f t="shared" si="0"/>
        <v>600.80000000000007</v>
      </c>
      <c r="U5" s="161">
        <f t="shared" si="0"/>
        <v>603.79999999999995</v>
      </c>
      <c r="V5" s="161">
        <f t="shared" si="0"/>
        <v>551.4</v>
      </c>
      <c r="W5" s="161">
        <f t="shared" si="0"/>
        <v>498.4</v>
      </c>
      <c r="X5" s="161">
        <f t="shared" si="0"/>
        <v>117</v>
      </c>
      <c r="Y5" s="161">
        <f t="shared" si="0"/>
        <v>54.4</v>
      </c>
      <c r="Z5" s="161">
        <f t="shared" si="0"/>
        <v>57.800000000000004</v>
      </c>
      <c r="AA5" s="161">
        <f t="shared" si="0"/>
        <v>61.1</v>
      </c>
      <c r="AB5" s="161">
        <f t="shared" si="0"/>
        <v>123.69999999999999</v>
      </c>
      <c r="AC5" s="161">
        <f t="shared" si="0"/>
        <v>93.6</v>
      </c>
      <c r="AD5" s="161">
        <f t="shared" si="0"/>
        <v>91</v>
      </c>
      <c r="AE5" s="161">
        <f t="shared" si="0"/>
        <v>123.30000000000001</v>
      </c>
      <c r="AF5" s="161">
        <f>B92</f>
        <v>49.4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3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1646MW at 8:00hr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5" thickBot="1" x14ac:dyDescent="0.3">
      <c r="A7" s="151" t="str">
        <f>"Base Load="&amp;ROUND(MIN($B$7:$AF$7),0)</f>
        <v>Base Load=1348</v>
      </c>
      <c r="B7" s="150">
        <f t="shared" ref="B7:AF7" si="1">B100</f>
        <v>1496.0400000000002</v>
      </c>
      <c r="C7" s="150">
        <f t="shared" si="1"/>
        <v>1459.74</v>
      </c>
      <c r="D7" s="150">
        <f t="shared" si="1"/>
        <v>1428.9399999999998</v>
      </c>
      <c r="E7" s="150">
        <f t="shared" si="1"/>
        <v>1407.74</v>
      </c>
      <c r="F7" s="150">
        <f t="shared" si="1"/>
        <v>1425.9399999999998</v>
      </c>
      <c r="G7" s="150">
        <f t="shared" si="1"/>
        <v>1420.04</v>
      </c>
      <c r="H7" s="150">
        <f t="shared" si="1"/>
        <v>1429.8400000000001</v>
      </c>
      <c r="I7" s="150">
        <f t="shared" si="1"/>
        <v>1499.9399999999998</v>
      </c>
      <c r="J7" s="150">
        <f t="shared" si="1"/>
        <v>1545.84</v>
      </c>
      <c r="K7" s="150">
        <f t="shared" si="1"/>
        <v>1580.14</v>
      </c>
      <c r="L7" s="150">
        <f t="shared" si="1"/>
        <v>1547.04</v>
      </c>
      <c r="M7" s="150">
        <f t="shared" si="1"/>
        <v>1645.94</v>
      </c>
      <c r="N7" s="150">
        <f t="shared" si="1"/>
        <v>1615.3400000000001</v>
      </c>
      <c r="O7" s="150">
        <f t="shared" si="1"/>
        <v>1628.5400000000002</v>
      </c>
      <c r="P7" s="150">
        <f t="shared" si="1"/>
        <v>1591.04</v>
      </c>
      <c r="Q7" s="150">
        <f t="shared" si="1"/>
        <v>1542.54</v>
      </c>
      <c r="R7" s="150">
        <f t="shared" si="1"/>
        <v>1515.94</v>
      </c>
      <c r="S7" s="150">
        <f t="shared" si="1"/>
        <v>1393.24</v>
      </c>
      <c r="T7" s="150">
        <f t="shared" si="1"/>
        <v>1415.94</v>
      </c>
      <c r="U7" s="150">
        <f t="shared" si="1"/>
        <v>1409.54</v>
      </c>
      <c r="V7" s="150">
        <f t="shared" si="1"/>
        <v>1391.1399999999999</v>
      </c>
      <c r="W7" s="150">
        <f t="shared" si="1"/>
        <v>1348.3400000000001</v>
      </c>
      <c r="X7" s="150">
        <f t="shared" si="1"/>
        <v>1506.54</v>
      </c>
      <c r="Y7" s="150">
        <f t="shared" si="1"/>
        <v>1606.64</v>
      </c>
      <c r="Z7" s="150">
        <f t="shared" si="1"/>
        <v>1734.14</v>
      </c>
      <c r="AA7" s="150">
        <f t="shared" si="1"/>
        <v>1721.84</v>
      </c>
      <c r="AB7" s="150">
        <f t="shared" si="1"/>
        <v>1708.1399999999999</v>
      </c>
      <c r="AC7" s="150">
        <f t="shared" si="1"/>
        <v>1692.14</v>
      </c>
      <c r="AD7" s="150">
        <f t="shared" si="1"/>
        <v>1662.64</v>
      </c>
      <c r="AE7" s="150">
        <f t="shared" si="1"/>
        <v>1540.3400000000001</v>
      </c>
      <c r="AF7" s="150">
        <f t="shared" si="1"/>
        <v>1566.24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7.25" thickTop="1" thickBot="1" x14ac:dyDescent="0.3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1734.14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2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1734.14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.75" thickBot="1" x14ac:dyDescent="0.3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25">
      <c r="A11" s="89" t="s">
        <v>264</v>
      </c>
      <c r="B11" s="102">
        <v>22.5</v>
      </c>
      <c r="C11" s="102">
        <v>22.5</v>
      </c>
      <c r="D11" s="102">
        <v>22.5</v>
      </c>
      <c r="E11" s="102">
        <v>22.7</v>
      </c>
      <c r="F11" s="102">
        <v>22.8</v>
      </c>
      <c r="G11" s="102">
        <v>22.8</v>
      </c>
      <c r="H11" s="102">
        <v>22.8</v>
      </c>
      <c r="I11" s="102">
        <v>23.8</v>
      </c>
      <c r="J11" s="102">
        <v>21.9</v>
      </c>
      <c r="K11" s="102">
        <v>22.2</v>
      </c>
      <c r="L11" s="102">
        <v>24.5</v>
      </c>
      <c r="M11" s="102">
        <v>24.5</v>
      </c>
      <c r="N11" s="102">
        <v>24.5</v>
      </c>
      <c r="O11" s="102">
        <v>24.5</v>
      </c>
      <c r="P11" s="102">
        <v>24.5</v>
      </c>
      <c r="Q11" s="102">
        <v>24.7</v>
      </c>
      <c r="R11" s="102">
        <v>24.7</v>
      </c>
      <c r="S11" s="102">
        <v>24.7</v>
      </c>
      <c r="T11" s="102">
        <v>24.7</v>
      </c>
      <c r="U11" s="102">
        <v>24.7</v>
      </c>
      <c r="V11" s="102">
        <v>24.7</v>
      </c>
      <c r="W11" s="102">
        <v>24.7</v>
      </c>
      <c r="X11" s="102">
        <v>24.7</v>
      </c>
      <c r="Y11" s="102">
        <v>24.7</v>
      </c>
      <c r="Z11" s="102">
        <v>24.7</v>
      </c>
      <c r="AA11" s="102">
        <v>24.7</v>
      </c>
      <c r="AB11" s="102">
        <v>24.7</v>
      </c>
      <c r="AC11" s="102">
        <v>24.7</v>
      </c>
      <c r="AD11" s="102">
        <v>24.7</v>
      </c>
      <c r="AE11" s="102">
        <v>24.7</v>
      </c>
      <c r="AF11" s="102">
        <v>24.7</v>
      </c>
      <c r="AG11" s="140">
        <v>86</v>
      </c>
      <c r="AH11" s="12">
        <f t="shared" ref="AH11:AH16" si="2">MAX(B11:AF11)</f>
        <v>24.7</v>
      </c>
      <c r="AI11" s="11">
        <f t="shared" ref="AI11:AI16" si="3">MIN(B11:AF11)</f>
        <v>21.9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25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>
        <v>11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>
        <v>11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08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25">
      <c r="A13" s="89" t="s">
        <v>262</v>
      </c>
      <c r="B13" s="102">
        <v>23.4</v>
      </c>
      <c r="C13" s="102">
        <v>23.4</v>
      </c>
      <c r="D13" s="102">
        <v>23.4</v>
      </c>
      <c r="E13" s="102">
        <v>23.4</v>
      </c>
      <c r="F13" s="102">
        <v>23.4</v>
      </c>
      <c r="G13" s="102">
        <v>23.4</v>
      </c>
      <c r="H13" s="102">
        <v>23.4</v>
      </c>
      <c r="I13" s="102">
        <v>23.4</v>
      </c>
      <c r="J13" s="102">
        <v>23.4</v>
      </c>
      <c r="K13" s="102">
        <v>23.4</v>
      </c>
      <c r="L13" s="102">
        <v>23.4</v>
      </c>
      <c r="M13" s="102">
        <v>14.8</v>
      </c>
      <c r="N13" s="102">
        <v>14.8</v>
      </c>
      <c r="O13" s="102">
        <v>14.8</v>
      </c>
      <c r="P13" s="102">
        <v>14.8</v>
      </c>
      <c r="Q13" s="102">
        <v>15</v>
      </c>
      <c r="R13" s="102">
        <v>15</v>
      </c>
      <c r="S13" s="102">
        <v>15</v>
      </c>
      <c r="T13" s="102">
        <v>15</v>
      </c>
      <c r="U13" s="102">
        <v>15</v>
      </c>
      <c r="V13" s="102">
        <v>15</v>
      </c>
      <c r="W13" s="102">
        <v>15</v>
      </c>
      <c r="X13" s="102">
        <v>15</v>
      </c>
      <c r="Y13" s="102">
        <v>15</v>
      </c>
      <c r="Z13" s="102">
        <v>15</v>
      </c>
      <c r="AA13" s="102">
        <v>15</v>
      </c>
      <c r="AB13" s="102">
        <v>15</v>
      </c>
      <c r="AC13" s="102">
        <v>15</v>
      </c>
      <c r="AD13" s="102">
        <v>15</v>
      </c>
      <c r="AE13" s="102">
        <v>15</v>
      </c>
      <c r="AF13" s="102">
        <v>15</v>
      </c>
      <c r="AG13" s="130">
        <v>54</v>
      </c>
      <c r="AH13" s="12">
        <f t="shared" si="2"/>
        <v>23.4</v>
      </c>
      <c r="AI13" s="11">
        <f t="shared" si="3"/>
        <v>14.8</v>
      </c>
      <c r="AK13" s="19"/>
      <c r="AL13" s="6" t="str">
        <f ca="1">"Daily Load Curve(Excluding of Export) of Nepal ("&amp;A4&amp;" "&amp;B4&amp;")"</f>
        <v>Daily Load Curve(Excluding of Export) of Nepal (Nepali Date: 2080/10/8)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.75" thickBot="1" x14ac:dyDescent="0.3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.75" thickTop="1" x14ac:dyDescent="0.25">
      <c r="A15" s="89" t="s">
        <v>260</v>
      </c>
      <c r="B15" s="123">
        <v>50.6</v>
      </c>
      <c r="C15" s="123">
        <v>50.6</v>
      </c>
      <c r="D15" s="123">
        <v>50.6</v>
      </c>
      <c r="E15" s="123">
        <v>50.6</v>
      </c>
      <c r="F15" s="123">
        <v>50.6</v>
      </c>
      <c r="G15" s="123">
        <v>50.6</v>
      </c>
      <c r="H15" s="123">
        <v>50.6</v>
      </c>
      <c r="I15" s="123">
        <v>50.6</v>
      </c>
      <c r="J15" s="123">
        <v>50.6</v>
      </c>
      <c r="K15" s="123">
        <v>50.6</v>
      </c>
      <c r="L15" s="123">
        <v>50.6</v>
      </c>
      <c r="M15" s="102">
        <v>49.5</v>
      </c>
      <c r="N15" s="102">
        <v>49.5</v>
      </c>
      <c r="O15" s="102">
        <v>49.5</v>
      </c>
      <c r="P15" s="102">
        <v>49.5</v>
      </c>
      <c r="Q15" s="102">
        <v>49.5</v>
      </c>
      <c r="R15" s="102">
        <v>49.5</v>
      </c>
      <c r="S15" s="102">
        <v>49.5</v>
      </c>
      <c r="T15" s="102">
        <v>49.5</v>
      </c>
      <c r="U15" s="102">
        <v>49.5</v>
      </c>
      <c r="V15" s="102">
        <v>49.5</v>
      </c>
      <c r="W15" s="102">
        <v>49.5</v>
      </c>
      <c r="X15" s="102">
        <v>49.5</v>
      </c>
      <c r="Y15" s="102">
        <v>49.5</v>
      </c>
      <c r="Z15" s="123">
        <v>49.5</v>
      </c>
      <c r="AA15" s="123">
        <v>49.5</v>
      </c>
      <c r="AB15" s="123">
        <v>49.5</v>
      </c>
      <c r="AC15" s="123">
        <v>49.5</v>
      </c>
      <c r="AD15" s="123">
        <v>49.5</v>
      </c>
      <c r="AE15" s="123">
        <v>49.5</v>
      </c>
      <c r="AF15" s="123">
        <v>49.5</v>
      </c>
      <c r="AG15" s="130">
        <v>50</v>
      </c>
      <c r="AH15" s="12">
        <f t="shared" si="2"/>
        <v>50.6</v>
      </c>
      <c r="AI15" s="11">
        <f t="shared" si="3"/>
        <v>49.5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25">
      <c r="A16" s="89" t="s">
        <v>258</v>
      </c>
      <c r="B16" s="102">
        <v>15.1</v>
      </c>
      <c r="C16" s="102">
        <v>15.1</v>
      </c>
      <c r="D16" s="102">
        <v>15.1</v>
      </c>
      <c r="E16" s="102">
        <v>15.1</v>
      </c>
      <c r="F16" s="102">
        <v>15.1</v>
      </c>
      <c r="G16" s="102">
        <v>15.1</v>
      </c>
      <c r="H16" s="102">
        <v>15.1</v>
      </c>
      <c r="I16" s="102">
        <v>15.1</v>
      </c>
      <c r="J16" s="102">
        <v>15.1</v>
      </c>
      <c r="K16" s="102">
        <v>15.1</v>
      </c>
      <c r="L16" s="102">
        <v>15.1</v>
      </c>
      <c r="M16" s="102">
        <v>15.2</v>
      </c>
      <c r="N16" s="102">
        <v>15.2</v>
      </c>
      <c r="O16" s="102">
        <v>15.2</v>
      </c>
      <c r="P16" s="102">
        <v>15.2</v>
      </c>
      <c r="Q16" s="102">
        <v>15.2</v>
      </c>
      <c r="R16" s="102">
        <v>15.2</v>
      </c>
      <c r="S16" s="102">
        <v>15.2</v>
      </c>
      <c r="T16" s="102">
        <v>15.2</v>
      </c>
      <c r="U16" s="102">
        <v>15.2</v>
      </c>
      <c r="V16" s="102">
        <v>15.2</v>
      </c>
      <c r="W16" s="102">
        <v>15.2</v>
      </c>
      <c r="X16" s="102">
        <v>15.2</v>
      </c>
      <c r="Y16" s="102">
        <v>15.2</v>
      </c>
      <c r="Z16" s="102">
        <v>15.2</v>
      </c>
      <c r="AA16" s="102">
        <v>15.2</v>
      </c>
      <c r="AB16" s="102">
        <v>15.2</v>
      </c>
      <c r="AC16" s="102">
        <v>15.2</v>
      </c>
      <c r="AD16" s="102">
        <v>15.2</v>
      </c>
      <c r="AE16" s="102">
        <v>15.2</v>
      </c>
      <c r="AF16" s="102">
        <v>15.2</v>
      </c>
      <c r="AG16" s="130">
        <v>45</v>
      </c>
      <c r="AH16" s="12">
        <f t="shared" si="2"/>
        <v>15.2</v>
      </c>
      <c r="AI16" s="11">
        <f t="shared" si="3"/>
        <v>15.1</v>
      </c>
      <c r="AK16" s="19"/>
      <c r="AL16" s="135" t="s">
        <v>7</v>
      </c>
      <c r="AM16" s="134">
        <f t="shared" ref="AM16:AR16" si="4">B58</f>
        <v>564</v>
      </c>
      <c r="AN16" s="134">
        <f t="shared" si="4"/>
        <v>564</v>
      </c>
      <c r="AO16" s="134">
        <f t="shared" si="4"/>
        <v>564</v>
      </c>
      <c r="AP16" s="134">
        <f t="shared" si="4"/>
        <v>564.20000000000005</v>
      </c>
      <c r="AQ16" s="134">
        <f t="shared" si="4"/>
        <v>564.29999999999995</v>
      </c>
      <c r="AR16" s="134">
        <f t="shared" si="4"/>
        <v>564.29999999999995</v>
      </c>
      <c r="AS16" s="134">
        <f>I58</f>
        <v>565.29999999999995</v>
      </c>
      <c r="AT16" s="134">
        <f>K58</f>
        <v>563.70000000000005</v>
      </c>
      <c r="AU16" s="134">
        <f t="shared" ref="AU16:BD16" si="5">M58</f>
        <v>551.70000000000005</v>
      </c>
      <c r="AV16" s="134">
        <f t="shared" si="5"/>
        <v>551.70000000000005</v>
      </c>
      <c r="AW16" s="134">
        <f t="shared" si="5"/>
        <v>551.70000000000005</v>
      </c>
      <c r="AX16" s="134">
        <f t="shared" si="5"/>
        <v>551.70000000000005</v>
      </c>
      <c r="AY16" s="134">
        <f t="shared" si="5"/>
        <v>552.1</v>
      </c>
      <c r="AZ16" s="134">
        <f t="shared" si="5"/>
        <v>551.5</v>
      </c>
      <c r="BA16" s="134">
        <f t="shared" si="5"/>
        <v>551.5</v>
      </c>
      <c r="BB16" s="134">
        <f t="shared" si="5"/>
        <v>551.5</v>
      </c>
      <c r="BC16" s="134">
        <f t="shared" si="5"/>
        <v>551.5</v>
      </c>
      <c r="BD16" s="134">
        <f t="shared" si="5"/>
        <v>551.5</v>
      </c>
      <c r="BE16" s="133">
        <f>X58</f>
        <v>551.5</v>
      </c>
      <c r="BF16" s="133">
        <f>Z58</f>
        <v>551.5</v>
      </c>
      <c r="BG16" s="133">
        <f>AB58</f>
        <v>568.90000000000009</v>
      </c>
      <c r="BH16" s="133">
        <f>AD58</f>
        <v>568.90000000000009</v>
      </c>
      <c r="BI16" s="133">
        <f>AE58</f>
        <v>568.90000000000009</v>
      </c>
      <c r="BJ16" s="133">
        <f>AF58</f>
        <v>570.5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25">
      <c r="A17" s="89" t="s">
        <v>257</v>
      </c>
      <c r="B17" s="102">
        <v>21</v>
      </c>
      <c r="C17" s="102">
        <v>21</v>
      </c>
      <c r="D17" s="102">
        <v>21</v>
      </c>
      <c r="E17" s="102">
        <v>21</v>
      </c>
      <c r="F17" s="102">
        <v>21</v>
      </c>
      <c r="G17" s="102">
        <v>21</v>
      </c>
      <c r="H17" s="102">
        <v>21</v>
      </c>
      <c r="I17" s="102">
        <v>21</v>
      </c>
      <c r="J17" s="102">
        <v>21</v>
      </c>
      <c r="K17" s="102">
        <v>21</v>
      </c>
      <c r="L17" s="102">
        <v>21</v>
      </c>
      <c r="M17" s="102">
        <v>21</v>
      </c>
      <c r="N17" s="102">
        <v>21</v>
      </c>
      <c r="O17" s="102">
        <v>21</v>
      </c>
      <c r="P17" s="102">
        <v>21</v>
      </c>
      <c r="Q17" s="102">
        <v>21</v>
      </c>
      <c r="R17" s="102">
        <v>21</v>
      </c>
      <c r="S17" s="102">
        <v>21</v>
      </c>
      <c r="T17" s="102">
        <v>21</v>
      </c>
      <c r="U17" s="102">
        <v>21</v>
      </c>
      <c r="V17" s="102">
        <v>21</v>
      </c>
      <c r="W17" s="102">
        <v>21</v>
      </c>
      <c r="X17" s="102">
        <v>21</v>
      </c>
      <c r="Y17" s="102">
        <v>21</v>
      </c>
      <c r="Z17" s="102">
        <v>21</v>
      </c>
      <c r="AA17" s="102">
        <v>21</v>
      </c>
      <c r="AB17" s="102">
        <v>21</v>
      </c>
      <c r="AC17" s="102">
        <v>21</v>
      </c>
      <c r="AD17" s="102">
        <v>21</v>
      </c>
      <c r="AE17" s="102">
        <v>21</v>
      </c>
      <c r="AF17" s="102">
        <v>21</v>
      </c>
      <c r="AG17" s="130">
        <v>44</v>
      </c>
      <c r="AH17" s="12">
        <f>MAX(B17:AG17)</f>
        <v>44</v>
      </c>
      <c r="AI17" s="11">
        <f>MIN(B17:AG17)</f>
        <v>21</v>
      </c>
      <c r="AK17" s="19"/>
      <c r="AL17" s="135" t="s">
        <v>256</v>
      </c>
      <c r="AM17" s="134">
        <f t="shared" ref="AM17:AR17" si="6">B62</f>
        <v>214.20000000000002</v>
      </c>
      <c r="AN17" s="134">
        <f t="shared" si="6"/>
        <v>144.19999999999999</v>
      </c>
      <c r="AO17" s="134">
        <f t="shared" si="6"/>
        <v>119.80000000000001</v>
      </c>
      <c r="AP17" s="134">
        <f t="shared" si="6"/>
        <v>146.1</v>
      </c>
      <c r="AQ17" s="134">
        <f t="shared" si="6"/>
        <v>215.6</v>
      </c>
      <c r="AR17" s="134">
        <f t="shared" si="6"/>
        <v>218.1</v>
      </c>
      <c r="AS17" s="134">
        <f>I62</f>
        <v>266.59999999999997</v>
      </c>
      <c r="AT17" s="134">
        <f>K62</f>
        <v>45.9</v>
      </c>
      <c r="AU17" s="134">
        <f t="shared" ref="AU17:BD17" si="7">M62</f>
        <v>44.7</v>
      </c>
      <c r="AV17" s="134">
        <f t="shared" si="7"/>
        <v>44.7</v>
      </c>
      <c r="AW17" s="134">
        <f t="shared" si="7"/>
        <v>44.7</v>
      </c>
      <c r="AX17" s="134">
        <f t="shared" si="7"/>
        <v>46.5</v>
      </c>
      <c r="AY17" s="134">
        <f t="shared" si="7"/>
        <v>46.9</v>
      </c>
      <c r="AZ17" s="134">
        <f t="shared" si="7"/>
        <v>44</v>
      </c>
      <c r="BA17" s="134">
        <f t="shared" si="7"/>
        <v>44</v>
      </c>
      <c r="BB17" s="134">
        <f t="shared" si="7"/>
        <v>44</v>
      </c>
      <c r="BC17" s="134">
        <f t="shared" si="7"/>
        <v>44</v>
      </c>
      <c r="BD17" s="134">
        <f t="shared" si="7"/>
        <v>44</v>
      </c>
      <c r="BE17" s="133">
        <f>X62</f>
        <v>70.900000000000006</v>
      </c>
      <c r="BF17" s="133">
        <f>Z62</f>
        <v>498.8</v>
      </c>
      <c r="BG17" s="133">
        <f>AB62</f>
        <v>424.4</v>
      </c>
      <c r="BH17" s="133">
        <f>AD62</f>
        <v>356.4</v>
      </c>
      <c r="BI17" s="133">
        <f>AE62</f>
        <v>285.39999999999998</v>
      </c>
      <c r="BJ17" s="133">
        <f>AF62</f>
        <v>304.89999999999998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25">
      <c r="A18" s="89" t="s">
        <v>255</v>
      </c>
      <c r="B18" s="102">
        <v>12</v>
      </c>
      <c r="C18" s="102">
        <v>12</v>
      </c>
      <c r="D18" s="102">
        <v>12</v>
      </c>
      <c r="E18" s="102">
        <v>12</v>
      </c>
      <c r="F18" s="102">
        <v>12</v>
      </c>
      <c r="G18" s="102">
        <v>12</v>
      </c>
      <c r="H18" s="102">
        <v>12</v>
      </c>
      <c r="I18" s="102">
        <v>12</v>
      </c>
      <c r="J18" s="102">
        <v>12</v>
      </c>
      <c r="K18" s="102">
        <v>12</v>
      </c>
      <c r="L18" s="102">
        <v>12</v>
      </c>
      <c r="M18" s="102">
        <v>15.3</v>
      </c>
      <c r="N18" s="102">
        <v>15.3</v>
      </c>
      <c r="O18" s="102">
        <v>15.3</v>
      </c>
      <c r="P18" s="102">
        <v>15.3</v>
      </c>
      <c r="Q18" s="102">
        <v>15.3</v>
      </c>
      <c r="R18" s="102">
        <v>15.3</v>
      </c>
      <c r="S18" s="102">
        <v>15.3</v>
      </c>
      <c r="T18" s="102">
        <v>15.3</v>
      </c>
      <c r="U18" s="102">
        <v>15.3</v>
      </c>
      <c r="V18" s="102">
        <v>15.3</v>
      </c>
      <c r="W18" s="102">
        <v>15.3</v>
      </c>
      <c r="X18" s="102">
        <v>15.3</v>
      </c>
      <c r="Y18" s="102">
        <v>15.3</v>
      </c>
      <c r="Z18" s="102">
        <v>15.3</v>
      </c>
      <c r="AA18" s="102">
        <v>15.3</v>
      </c>
      <c r="AB18" s="102">
        <v>15.3</v>
      </c>
      <c r="AC18" s="102">
        <v>15.3</v>
      </c>
      <c r="AD18" s="102">
        <v>15.3</v>
      </c>
      <c r="AE18" s="102">
        <v>15.3</v>
      </c>
      <c r="AF18" s="102">
        <v>15.3</v>
      </c>
      <c r="AG18" s="130">
        <v>42</v>
      </c>
      <c r="AH18" s="12">
        <f t="shared" ref="AH18:AH81" si="8">MAX(B18:AF18)</f>
        <v>15.3</v>
      </c>
      <c r="AI18" s="11">
        <f t="shared" ref="AI18:AI81" si="9">MIN(B18:AF18)</f>
        <v>12</v>
      </c>
      <c r="AK18" s="19"/>
      <c r="AL18" s="135" t="s">
        <v>254</v>
      </c>
      <c r="AM18" s="134">
        <f t="shared" ref="AM18:AR18" si="10">B76</f>
        <v>311.74</v>
      </c>
      <c r="AN18" s="134">
        <f t="shared" si="10"/>
        <v>311.74</v>
      </c>
      <c r="AO18" s="134">
        <f t="shared" si="10"/>
        <v>301.04000000000002</v>
      </c>
      <c r="AP18" s="134">
        <f t="shared" si="10"/>
        <v>276.04000000000002</v>
      </c>
      <c r="AQ18" s="134">
        <f t="shared" si="10"/>
        <v>258.34000000000003</v>
      </c>
      <c r="AR18" s="134">
        <f t="shared" si="10"/>
        <v>257.34000000000003</v>
      </c>
      <c r="AS18" s="134">
        <f>I76</f>
        <v>315.84000000000003</v>
      </c>
      <c r="AT18" s="134">
        <f>K76</f>
        <v>316.84000000000003</v>
      </c>
      <c r="AU18" s="134">
        <f t="shared" ref="AU18:BD18" si="11">M76</f>
        <v>351.53999999999996</v>
      </c>
      <c r="AV18" s="134">
        <f t="shared" si="11"/>
        <v>323.64</v>
      </c>
      <c r="AW18" s="134">
        <f t="shared" si="11"/>
        <v>336.64000000000004</v>
      </c>
      <c r="AX18" s="134">
        <f t="shared" si="11"/>
        <v>294.54000000000002</v>
      </c>
      <c r="AY18" s="134">
        <f t="shared" si="11"/>
        <v>275.53999999999996</v>
      </c>
      <c r="AZ18" s="134">
        <f t="shared" si="11"/>
        <v>279.44</v>
      </c>
      <c r="BA18" s="134">
        <f t="shared" si="11"/>
        <v>186.84</v>
      </c>
      <c r="BB18" s="134">
        <f t="shared" si="11"/>
        <v>213.14</v>
      </c>
      <c r="BC18" s="134">
        <f t="shared" si="11"/>
        <v>193.94</v>
      </c>
      <c r="BD18" s="134">
        <f t="shared" si="11"/>
        <v>191.84</v>
      </c>
      <c r="BE18" s="133">
        <f>X76</f>
        <v>255.74000000000004</v>
      </c>
      <c r="BF18" s="133">
        <f>Z76</f>
        <v>351.24</v>
      </c>
      <c r="BG18" s="133">
        <f>AB76</f>
        <v>356.84000000000003</v>
      </c>
      <c r="BH18" s="133">
        <f>AD76</f>
        <v>346.84000000000009</v>
      </c>
      <c r="BI18" s="133">
        <f>AE76</f>
        <v>317.94000000000005</v>
      </c>
      <c r="BJ18" s="133">
        <f>AF76</f>
        <v>289.64000000000004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25">
      <c r="A19" s="89" t="s">
        <v>253</v>
      </c>
      <c r="B19" s="102">
        <v>22.8</v>
      </c>
      <c r="C19" s="102">
        <v>22.8</v>
      </c>
      <c r="D19" s="102">
        <v>22.8</v>
      </c>
      <c r="E19" s="102">
        <v>22.8</v>
      </c>
      <c r="F19" s="102">
        <v>22.8</v>
      </c>
      <c r="G19" s="102">
        <v>22.8</v>
      </c>
      <c r="H19" s="102">
        <v>22.8</v>
      </c>
      <c r="I19" s="102">
        <v>22.8</v>
      </c>
      <c r="J19" s="102">
        <v>22.8</v>
      </c>
      <c r="K19" s="102">
        <v>22.8</v>
      </c>
      <c r="L19" s="102">
        <v>22.8</v>
      </c>
      <c r="M19" s="102">
        <v>22.4</v>
      </c>
      <c r="N19" s="102">
        <v>22.4</v>
      </c>
      <c r="O19" s="102">
        <v>22.4</v>
      </c>
      <c r="P19" s="102">
        <v>22.4</v>
      </c>
      <c r="Q19" s="102">
        <v>22.4</v>
      </c>
      <c r="R19" s="102">
        <v>22.4</v>
      </c>
      <c r="S19" s="102">
        <v>22.4</v>
      </c>
      <c r="T19" s="102">
        <v>22.4</v>
      </c>
      <c r="U19" s="102">
        <v>22.4</v>
      </c>
      <c r="V19" s="102">
        <v>22.4</v>
      </c>
      <c r="W19" s="102">
        <v>22.4</v>
      </c>
      <c r="X19" s="102">
        <v>22.4</v>
      </c>
      <c r="Y19" s="102">
        <v>22.4</v>
      </c>
      <c r="Z19" s="102">
        <v>22.4</v>
      </c>
      <c r="AA19" s="102">
        <v>22.4</v>
      </c>
      <c r="AB19" s="102">
        <v>22.4</v>
      </c>
      <c r="AC19" s="102">
        <v>22.4</v>
      </c>
      <c r="AD19" s="102">
        <v>22.4</v>
      </c>
      <c r="AE19" s="102">
        <v>22.4</v>
      </c>
      <c r="AF19" s="102">
        <v>24</v>
      </c>
      <c r="AG19" s="130">
        <v>38.46</v>
      </c>
      <c r="AH19" s="12">
        <f t="shared" si="8"/>
        <v>24</v>
      </c>
      <c r="AI19" s="11">
        <f t="shared" si="9"/>
        <v>22.4</v>
      </c>
      <c r="AK19" s="19"/>
      <c r="AL19" s="135" t="s">
        <v>252</v>
      </c>
      <c r="AM19" s="134">
        <f t="shared" ref="AM19:AR19" si="12">B92</f>
        <v>49.4</v>
      </c>
      <c r="AN19" s="134">
        <f t="shared" si="12"/>
        <v>43.1</v>
      </c>
      <c r="AO19" s="134">
        <f t="shared" si="12"/>
        <v>46.6</v>
      </c>
      <c r="AP19" s="134">
        <f t="shared" si="12"/>
        <v>41.6</v>
      </c>
      <c r="AQ19" s="134">
        <f t="shared" si="12"/>
        <v>37.300000000000004</v>
      </c>
      <c r="AR19" s="134">
        <f t="shared" si="12"/>
        <v>40.1</v>
      </c>
      <c r="AS19" s="134">
        <f>I92</f>
        <v>81.3</v>
      </c>
      <c r="AT19" s="134">
        <f>K92</f>
        <v>565</v>
      </c>
      <c r="AU19" s="134">
        <f t="shared" ref="AU19:BD19" si="13">M92</f>
        <v>593</v>
      </c>
      <c r="AV19" s="134">
        <f t="shared" si="13"/>
        <v>645.29999999999995</v>
      </c>
      <c r="AW19" s="134">
        <f t="shared" si="13"/>
        <v>605.40000000000009</v>
      </c>
      <c r="AX19" s="134">
        <f t="shared" si="13"/>
        <v>617.79999999999995</v>
      </c>
      <c r="AY19" s="134">
        <f t="shared" si="13"/>
        <v>619.9</v>
      </c>
      <c r="AZ19" s="134">
        <f t="shared" si="13"/>
        <v>597</v>
      </c>
      <c r="BA19" s="134">
        <f t="shared" si="13"/>
        <v>579.9</v>
      </c>
      <c r="BB19" s="134">
        <f t="shared" si="13"/>
        <v>588</v>
      </c>
      <c r="BC19" s="134">
        <f t="shared" si="13"/>
        <v>600.80000000000007</v>
      </c>
      <c r="BD19" s="134">
        <f t="shared" si="13"/>
        <v>603.79999999999995</v>
      </c>
      <c r="BE19" s="133">
        <f>X92</f>
        <v>498.4</v>
      </c>
      <c r="BF19" s="133">
        <f>Z92</f>
        <v>54.4</v>
      </c>
      <c r="BG19" s="133">
        <f>AB92</f>
        <v>61.1</v>
      </c>
      <c r="BH19" s="133">
        <f>AD92</f>
        <v>93.6</v>
      </c>
      <c r="BI19" s="133">
        <f>AE92</f>
        <v>91</v>
      </c>
      <c r="BJ19" s="133">
        <f>AF92</f>
        <v>123.30000000000001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25">
      <c r="A20" s="89" t="s">
        <v>251</v>
      </c>
      <c r="B20" s="102">
        <v>9.6</v>
      </c>
      <c r="C20" s="102">
        <v>9.6</v>
      </c>
      <c r="D20" s="102">
        <v>9.6</v>
      </c>
      <c r="E20" s="102">
        <v>9.6</v>
      </c>
      <c r="F20" s="102">
        <v>9.6</v>
      </c>
      <c r="G20" s="102">
        <v>9.6</v>
      </c>
      <c r="H20" s="102">
        <v>9.6</v>
      </c>
      <c r="I20" s="102">
        <v>9.6</v>
      </c>
      <c r="J20" s="102">
        <v>9.6</v>
      </c>
      <c r="K20" s="102">
        <v>9.6</v>
      </c>
      <c r="L20" s="102">
        <v>9.6</v>
      </c>
      <c r="M20" s="102">
        <v>9.6</v>
      </c>
      <c r="N20" s="102">
        <v>9.6</v>
      </c>
      <c r="O20" s="102">
        <v>9.6</v>
      </c>
      <c r="P20" s="102">
        <v>9.6</v>
      </c>
      <c r="Q20" s="102">
        <v>9.6</v>
      </c>
      <c r="R20" s="102">
        <v>9.6</v>
      </c>
      <c r="S20" s="102">
        <v>9.6</v>
      </c>
      <c r="T20" s="102">
        <v>9.6</v>
      </c>
      <c r="U20" s="102">
        <v>9.6</v>
      </c>
      <c r="V20" s="102">
        <v>9.6</v>
      </c>
      <c r="W20" s="102">
        <v>9.6</v>
      </c>
      <c r="X20" s="102">
        <v>9.6</v>
      </c>
      <c r="Y20" s="102">
        <v>9.6</v>
      </c>
      <c r="Z20" s="102">
        <v>9.6</v>
      </c>
      <c r="AA20" s="102">
        <v>9.6</v>
      </c>
      <c r="AB20" s="102">
        <v>27</v>
      </c>
      <c r="AC20" s="102">
        <v>27</v>
      </c>
      <c r="AD20" s="102">
        <v>27</v>
      </c>
      <c r="AE20" s="102">
        <v>27</v>
      </c>
      <c r="AF20" s="102">
        <v>27</v>
      </c>
      <c r="AG20" s="130">
        <v>38.46</v>
      </c>
      <c r="AH20" s="12">
        <f t="shared" si="8"/>
        <v>27</v>
      </c>
      <c r="AI20" s="11">
        <f t="shared" si="9"/>
        <v>9.6</v>
      </c>
      <c r="AK20" s="19"/>
      <c r="AL20" s="135" t="s">
        <v>250</v>
      </c>
      <c r="AM20" s="134">
        <f t="shared" ref="AM20:AR20" si="14">B80</f>
        <v>96.7</v>
      </c>
      <c r="AN20" s="134">
        <f t="shared" si="14"/>
        <v>96.7</v>
      </c>
      <c r="AO20" s="134">
        <f t="shared" si="14"/>
        <v>97.5</v>
      </c>
      <c r="AP20" s="134">
        <f t="shared" si="14"/>
        <v>79.8</v>
      </c>
      <c r="AQ20" s="134">
        <f t="shared" si="14"/>
        <v>50.4</v>
      </c>
      <c r="AR20" s="134">
        <f t="shared" si="14"/>
        <v>60.199999999999996</v>
      </c>
      <c r="AS20" s="134">
        <f>I80</f>
        <v>70.899999999999991</v>
      </c>
      <c r="AT20" s="134">
        <f>K80</f>
        <v>38.700000000000003</v>
      </c>
      <c r="AU20" s="134">
        <f t="shared" ref="AU20:BD20" si="15">M80</f>
        <v>55</v>
      </c>
      <c r="AV20" s="134">
        <f t="shared" si="15"/>
        <v>0</v>
      </c>
      <c r="AW20" s="134">
        <f t="shared" si="15"/>
        <v>40.1</v>
      </c>
      <c r="AX20" s="134">
        <f t="shared" si="15"/>
        <v>30.5</v>
      </c>
      <c r="AY20" s="134">
        <f t="shared" si="15"/>
        <v>48.1</v>
      </c>
      <c r="AZ20" s="134">
        <f t="shared" si="15"/>
        <v>44</v>
      </c>
      <c r="BA20" s="134">
        <f t="shared" si="15"/>
        <v>31</v>
      </c>
      <c r="BB20" s="134">
        <f t="shared" si="15"/>
        <v>19.299999999999997</v>
      </c>
      <c r="BC20" s="134">
        <f t="shared" si="15"/>
        <v>19.299999999999997</v>
      </c>
      <c r="BD20" s="134">
        <f t="shared" si="15"/>
        <v>0</v>
      </c>
      <c r="BE20" s="133">
        <f>X80</f>
        <v>0</v>
      </c>
      <c r="BF20" s="133">
        <f>Z80</f>
        <v>78.2</v>
      </c>
      <c r="BG20" s="133">
        <f>AB80</f>
        <v>96.899999999999991</v>
      </c>
      <c r="BH20" s="133">
        <f>AD80</f>
        <v>96.9</v>
      </c>
      <c r="BI20" s="133">
        <f>AE80</f>
        <v>97.1</v>
      </c>
      <c r="BJ20" s="133">
        <f>AF80</f>
        <v>97.899999999999991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25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>
        <v>11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>
        <v>11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11</v>
      </c>
      <c r="AG21" s="130">
        <v>36</v>
      </c>
      <c r="AH21" s="12">
        <f t="shared" si="8"/>
        <v>11</v>
      </c>
      <c r="AI21" s="11">
        <f t="shared" si="9"/>
        <v>11</v>
      </c>
      <c r="AK21" s="19"/>
      <c r="AL21" s="135" t="s">
        <v>248</v>
      </c>
      <c r="AM21" s="134">
        <f t="shared" ref="AM21:AR21" si="16">B98</f>
        <v>260</v>
      </c>
      <c r="AN21" s="134">
        <f t="shared" si="16"/>
        <v>300</v>
      </c>
      <c r="AO21" s="134">
        <f t="shared" si="16"/>
        <v>300</v>
      </c>
      <c r="AP21" s="134">
        <f t="shared" si="16"/>
        <v>300</v>
      </c>
      <c r="AQ21" s="134">
        <f t="shared" si="16"/>
        <v>300</v>
      </c>
      <c r="AR21" s="134">
        <f t="shared" si="16"/>
        <v>280</v>
      </c>
      <c r="AS21" s="134">
        <f>I98</f>
        <v>200</v>
      </c>
      <c r="AT21" s="134">
        <f>K98</f>
        <v>50</v>
      </c>
      <c r="AU21" s="134">
        <f t="shared" ref="AU21:BD21" si="17">M98</f>
        <v>50</v>
      </c>
      <c r="AV21" s="134">
        <f t="shared" si="17"/>
        <v>50</v>
      </c>
      <c r="AW21" s="134">
        <f t="shared" si="17"/>
        <v>50</v>
      </c>
      <c r="AX21" s="134">
        <f t="shared" si="17"/>
        <v>50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130</v>
      </c>
      <c r="BF21" s="133">
        <f>Z98</f>
        <v>200</v>
      </c>
      <c r="BG21" s="133">
        <f>AB98</f>
        <v>200</v>
      </c>
      <c r="BH21" s="133">
        <f>AD98</f>
        <v>200</v>
      </c>
      <c r="BI21" s="133">
        <f>AE98</f>
        <v>180</v>
      </c>
      <c r="BJ21" s="133">
        <f>AF98</f>
        <v>180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25">
      <c r="A22" s="89" t="s">
        <v>247</v>
      </c>
      <c r="B22" s="102">
        <v>13.8</v>
      </c>
      <c r="C22" s="102">
        <v>13.8</v>
      </c>
      <c r="D22" s="102">
        <v>13.8</v>
      </c>
      <c r="E22" s="102">
        <v>13.8</v>
      </c>
      <c r="F22" s="102">
        <v>13.8</v>
      </c>
      <c r="G22" s="102">
        <v>13.8</v>
      </c>
      <c r="H22" s="102">
        <v>13.8</v>
      </c>
      <c r="I22" s="102">
        <v>13.8</v>
      </c>
      <c r="J22" s="102">
        <v>13.8</v>
      </c>
      <c r="K22" s="102">
        <v>13.8</v>
      </c>
      <c r="L22" s="102">
        <v>13.8</v>
      </c>
      <c r="M22" s="102">
        <v>10.5</v>
      </c>
      <c r="N22" s="102">
        <v>10.5</v>
      </c>
      <c r="O22" s="102">
        <v>10.5</v>
      </c>
      <c r="P22" s="102">
        <v>10.5</v>
      </c>
      <c r="Q22" s="102">
        <v>10.5</v>
      </c>
      <c r="R22" s="102">
        <v>10.5</v>
      </c>
      <c r="S22" s="102">
        <v>10.5</v>
      </c>
      <c r="T22" s="102">
        <v>10.5</v>
      </c>
      <c r="U22" s="102">
        <v>10.5</v>
      </c>
      <c r="V22" s="102">
        <v>10.5</v>
      </c>
      <c r="W22" s="102">
        <v>10.5</v>
      </c>
      <c r="X22" s="102">
        <v>10.5</v>
      </c>
      <c r="Y22" s="102">
        <v>10.5</v>
      </c>
      <c r="Z22" s="102">
        <v>10.5</v>
      </c>
      <c r="AA22" s="102">
        <v>10.5</v>
      </c>
      <c r="AB22" s="102">
        <v>10.5</v>
      </c>
      <c r="AC22" s="102">
        <v>10.5</v>
      </c>
      <c r="AD22" s="102">
        <v>10.5</v>
      </c>
      <c r="AE22" s="102">
        <v>10.5</v>
      </c>
      <c r="AF22" s="102">
        <v>10.5</v>
      </c>
      <c r="AG22" s="88">
        <v>30</v>
      </c>
      <c r="AH22" s="12">
        <f t="shared" si="8"/>
        <v>13.8</v>
      </c>
      <c r="AI22" s="11">
        <f t="shared" si="9"/>
        <v>10.5</v>
      </c>
      <c r="AK22" s="19"/>
      <c r="AL22" s="132" t="s">
        <v>246</v>
      </c>
      <c r="AM22" s="131">
        <f t="shared" ref="AM22:BJ22" si="18">SUM(AM16:AM21)</f>
        <v>1496.0400000000002</v>
      </c>
      <c r="AN22" s="131">
        <f t="shared" si="18"/>
        <v>1459.74</v>
      </c>
      <c r="AO22" s="131">
        <f t="shared" si="18"/>
        <v>1428.9399999999998</v>
      </c>
      <c r="AP22" s="131">
        <f t="shared" si="18"/>
        <v>1407.74</v>
      </c>
      <c r="AQ22" s="131">
        <f t="shared" si="18"/>
        <v>1425.94</v>
      </c>
      <c r="AR22" s="131">
        <f t="shared" si="18"/>
        <v>1420.04</v>
      </c>
      <c r="AS22" s="131">
        <f t="shared" si="18"/>
        <v>1499.9399999999998</v>
      </c>
      <c r="AT22" s="131">
        <f t="shared" si="18"/>
        <v>1580.14</v>
      </c>
      <c r="AU22" s="131">
        <f t="shared" si="18"/>
        <v>1645.94</v>
      </c>
      <c r="AV22" s="131">
        <f t="shared" si="18"/>
        <v>1615.3400000000001</v>
      </c>
      <c r="AW22" s="131">
        <f t="shared" si="18"/>
        <v>1628.5400000000002</v>
      </c>
      <c r="AX22" s="131">
        <f t="shared" si="18"/>
        <v>1591.04</v>
      </c>
      <c r="AY22" s="131">
        <f t="shared" si="18"/>
        <v>1542.54</v>
      </c>
      <c r="AZ22" s="131">
        <f t="shared" si="18"/>
        <v>1515.94</v>
      </c>
      <c r="BA22" s="131">
        <f t="shared" si="18"/>
        <v>1393.24</v>
      </c>
      <c r="BB22" s="131">
        <f t="shared" si="18"/>
        <v>1415.9399999999998</v>
      </c>
      <c r="BC22" s="131">
        <f t="shared" si="18"/>
        <v>1409.5400000000002</v>
      </c>
      <c r="BD22" s="131">
        <f t="shared" si="18"/>
        <v>1391.1399999999999</v>
      </c>
      <c r="BE22" s="131">
        <f t="shared" si="18"/>
        <v>1506.54</v>
      </c>
      <c r="BF22" s="131">
        <f t="shared" si="18"/>
        <v>1734.14</v>
      </c>
      <c r="BG22" s="131">
        <f t="shared" si="18"/>
        <v>1708.14</v>
      </c>
      <c r="BH22" s="131">
        <f t="shared" si="18"/>
        <v>1662.64</v>
      </c>
      <c r="BI22" s="131">
        <f t="shared" si="18"/>
        <v>1540.3400000000001</v>
      </c>
      <c r="BJ22" s="131">
        <f t="shared" si="18"/>
        <v>1566.24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25">
      <c r="A23" s="89" t="s">
        <v>245</v>
      </c>
      <c r="B23" s="102">
        <v>6.1</v>
      </c>
      <c r="C23" s="102">
        <v>6.1</v>
      </c>
      <c r="D23" s="102">
        <v>6.1</v>
      </c>
      <c r="E23" s="102">
        <v>6.1</v>
      </c>
      <c r="F23" s="102">
        <v>6.1</v>
      </c>
      <c r="G23" s="102">
        <v>6.1</v>
      </c>
      <c r="H23" s="102">
        <v>6.1</v>
      </c>
      <c r="I23" s="102">
        <v>6.1</v>
      </c>
      <c r="J23" s="102">
        <v>6.1</v>
      </c>
      <c r="K23" s="102">
        <v>6.1</v>
      </c>
      <c r="L23" s="102">
        <v>6.1</v>
      </c>
      <c r="M23" s="102">
        <v>6.1</v>
      </c>
      <c r="N23" s="102">
        <v>6.1</v>
      </c>
      <c r="O23" s="102">
        <v>6.1</v>
      </c>
      <c r="P23" s="102">
        <v>6.1</v>
      </c>
      <c r="Q23" s="102">
        <v>6.1</v>
      </c>
      <c r="R23" s="102">
        <v>6.1</v>
      </c>
      <c r="S23" s="102">
        <v>6.1</v>
      </c>
      <c r="T23" s="102">
        <v>6.1</v>
      </c>
      <c r="U23" s="102">
        <v>6.1</v>
      </c>
      <c r="V23" s="102">
        <v>6.1</v>
      </c>
      <c r="W23" s="102">
        <v>6.1</v>
      </c>
      <c r="X23" s="102">
        <v>6.1</v>
      </c>
      <c r="Y23" s="102">
        <v>6.1</v>
      </c>
      <c r="Z23" s="102">
        <v>6.1</v>
      </c>
      <c r="AA23" s="102">
        <v>6.1</v>
      </c>
      <c r="AB23" s="102">
        <v>6.1</v>
      </c>
      <c r="AC23" s="102">
        <v>6.1</v>
      </c>
      <c r="AD23" s="102">
        <v>6.1</v>
      </c>
      <c r="AE23" s="102">
        <v>6.1</v>
      </c>
      <c r="AF23" s="102">
        <v>6.1</v>
      </c>
      <c r="AG23" s="130">
        <v>24.2</v>
      </c>
      <c r="AH23" s="12">
        <f t="shared" si="8"/>
        <v>6.1</v>
      </c>
      <c r="AI23" s="11">
        <f t="shared" si="9"/>
        <v>6.1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25">
      <c r="A24" s="89" t="s">
        <v>244</v>
      </c>
      <c r="B24" s="102">
        <v>8.3000000000000007</v>
      </c>
      <c r="C24" s="102">
        <v>8.3000000000000007</v>
      </c>
      <c r="D24" s="102">
        <v>8.3000000000000007</v>
      </c>
      <c r="E24" s="102">
        <v>8.3000000000000007</v>
      </c>
      <c r="F24" s="102">
        <v>8.3000000000000007</v>
      </c>
      <c r="G24" s="102">
        <v>8.3000000000000007</v>
      </c>
      <c r="H24" s="102">
        <v>8.3000000000000007</v>
      </c>
      <c r="I24" s="102">
        <v>8.3000000000000007</v>
      </c>
      <c r="J24" s="102">
        <v>8.3000000000000007</v>
      </c>
      <c r="K24" s="102">
        <v>8.3000000000000007</v>
      </c>
      <c r="L24" s="102">
        <v>8.3000000000000007</v>
      </c>
      <c r="M24" s="102">
        <v>8.3000000000000007</v>
      </c>
      <c r="N24" s="102">
        <v>8.3000000000000007</v>
      </c>
      <c r="O24" s="102">
        <v>8.3000000000000007</v>
      </c>
      <c r="P24" s="102">
        <v>8.3000000000000007</v>
      </c>
      <c r="Q24" s="102">
        <v>8.3000000000000007</v>
      </c>
      <c r="R24" s="102">
        <v>8.3000000000000007</v>
      </c>
      <c r="S24" s="102">
        <v>8.3000000000000007</v>
      </c>
      <c r="T24" s="102">
        <v>8.3000000000000007</v>
      </c>
      <c r="U24" s="102">
        <v>8.3000000000000007</v>
      </c>
      <c r="V24" s="102">
        <v>8.3000000000000007</v>
      </c>
      <c r="W24" s="102">
        <v>8.3000000000000007</v>
      </c>
      <c r="X24" s="102">
        <v>8.3000000000000007</v>
      </c>
      <c r="Y24" s="102">
        <v>8.3000000000000007</v>
      </c>
      <c r="Z24" s="102">
        <v>8.3000000000000007</v>
      </c>
      <c r="AA24" s="102">
        <v>8.3000000000000007</v>
      </c>
      <c r="AB24" s="102">
        <v>8.3000000000000007</v>
      </c>
      <c r="AC24" s="102">
        <v>8.3000000000000007</v>
      </c>
      <c r="AD24" s="102">
        <v>8.3000000000000007</v>
      </c>
      <c r="AE24" s="102">
        <v>8.3000000000000007</v>
      </c>
      <c r="AF24" s="102">
        <v>8.3000000000000007</v>
      </c>
      <c r="AG24" s="130">
        <v>28</v>
      </c>
      <c r="AH24" s="12">
        <f t="shared" si="8"/>
        <v>8.3000000000000007</v>
      </c>
      <c r="AI24" s="11">
        <f t="shared" si="9"/>
        <v>8.3000000000000007</v>
      </c>
      <c r="AK24" s="19"/>
      <c r="AL24" s="132" t="s">
        <v>243</v>
      </c>
      <c r="AM24" s="131">
        <f t="shared" ref="AM24:BJ24" si="21">AM22+AM23</f>
        <v>1496.0400000000002</v>
      </c>
      <c r="AN24" s="131">
        <f t="shared" si="21"/>
        <v>1459.74</v>
      </c>
      <c r="AO24" s="131">
        <f t="shared" si="21"/>
        <v>1428.9399999999998</v>
      </c>
      <c r="AP24" s="131">
        <f t="shared" si="21"/>
        <v>1407.74</v>
      </c>
      <c r="AQ24" s="131">
        <f t="shared" si="21"/>
        <v>1425.94</v>
      </c>
      <c r="AR24" s="131">
        <f t="shared" si="21"/>
        <v>1420.04</v>
      </c>
      <c r="AS24" s="131">
        <f t="shared" si="21"/>
        <v>1499.9399999999998</v>
      </c>
      <c r="AT24" s="131">
        <f t="shared" si="21"/>
        <v>1580.14</v>
      </c>
      <c r="AU24" s="131">
        <f t="shared" si="21"/>
        <v>1645.94</v>
      </c>
      <c r="AV24" s="131">
        <f t="shared" si="21"/>
        <v>1615.3400000000001</v>
      </c>
      <c r="AW24" s="131">
        <f t="shared" si="21"/>
        <v>1628.5400000000002</v>
      </c>
      <c r="AX24" s="131">
        <f t="shared" si="21"/>
        <v>1591.04</v>
      </c>
      <c r="AY24" s="131">
        <f t="shared" si="21"/>
        <v>1542.54</v>
      </c>
      <c r="AZ24" s="131">
        <f t="shared" si="21"/>
        <v>1515.94</v>
      </c>
      <c r="BA24" s="131">
        <f t="shared" si="21"/>
        <v>1393.24</v>
      </c>
      <c r="BB24" s="131">
        <f t="shared" si="21"/>
        <v>1415.9399999999998</v>
      </c>
      <c r="BC24" s="131">
        <f t="shared" si="21"/>
        <v>1409.5400000000002</v>
      </c>
      <c r="BD24" s="131">
        <f t="shared" si="21"/>
        <v>1391.1399999999999</v>
      </c>
      <c r="BE24" s="131">
        <f t="shared" si="21"/>
        <v>1506.54</v>
      </c>
      <c r="BF24" s="131">
        <f t="shared" si="21"/>
        <v>1734.14</v>
      </c>
      <c r="BG24" s="131">
        <f t="shared" si="21"/>
        <v>1708.14</v>
      </c>
      <c r="BH24" s="131">
        <f t="shared" si="21"/>
        <v>1662.64</v>
      </c>
      <c r="BI24" s="131">
        <f t="shared" si="21"/>
        <v>1540.3400000000001</v>
      </c>
      <c r="BJ24" s="131">
        <f t="shared" si="21"/>
        <v>1566.24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25">
      <c r="A25" s="89" t="s">
        <v>242</v>
      </c>
      <c r="B25" s="102">
        <v>10</v>
      </c>
      <c r="C25" s="102">
        <v>10</v>
      </c>
      <c r="D25" s="102">
        <v>10</v>
      </c>
      <c r="E25" s="102">
        <v>10</v>
      </c>
      <c r="F25" s="102">
        <v>10</v>
      </c>
      <c r="G25" s="102">
        <v>10</v>
      </c>
      <c r="H25" s="102">
        <v>10</v>
      </c>
      <c r="I25" s="102">
        <v>10</v>
      </c>
      <c r="J25" s="102">
        <v>10</v>
      </c>
      <c r="K25" s="102">
        <v>10</v>
      </c>
      <c r="L25" s="102">
        <v>10</v>
      </c>
      <c r="M25" s="102">
        <v>7.9</v>
      </c>
      <c r="N25" s="102">
        <v>7.9</v>
      </c>
      <c r="O25" s="102">
        <v>7.9</v>
      </c>
      <c r="P25" s="102">
        <v>7.9</v>
      </c>
      <c r="Q25" s="102">
        <v>7.9</v>
      </c>
      <c r="R25" s="102">
        <v>7.9</v>
      </c>
      <c r="S25" s="102">
        <v>7.9</v>
      </c>
      <c r="T25" s="102">
        <v>7.9</v>
      </c>
      <c r="U25" s="102">
        <v>7.9</v>
      </c>
      <c r="V25" s="102">
        <v>7.9</v>
      </c>
      <c r="W25" s="102">
        <v>7.9</v>
      </c>
      <c r="X25" s="102">
        <v>7.9</v>
      </c>
      <c r="Y25" s="102">
        <v>7.9</v>
      </c>
      <c r="Z25" s="102">
        <v>7.9</v>
      </c>
      <c r="AA25" s="102">
        <v>7.9</v>
      </c>
      <c r="AB25" s="102">
        <v>7.9</v>
      </c>
      <c r="AC25" s="102">
        <v>7.9</v>
      </c>
      <c r="AD25" s="102">
        <v>7.9</v>
      </c>
      <c r="AE25" s="102">
        <v>7.9</v>
      </c>
      <c r="AF25" s="102">
        <v>7.9</v>
      </c>
      <c r="AG25" s="88">
        <v>30</v>
      </c>
      <c r="AH25" s="12">
        <f t="shared" si="8"/>
        <v>10</v>
      </c>
      <c r="AI25" s="11">
        <f t="shared" si="9"/>
        <v>7.9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25">
      <c r="A26" s="89" t="s">
        <v>241</v>
      </c>
      <c r="B26" s="102">
        <v>13.5</v>
      </c>
      <c r="C26" s="102">
        <v>13.5</v>
      </c>
      <c r="D26" s="102">
        <v>13.5</v>
      </c>
      <c r="E26" s="102">
        <v>13.5</v>
      </c>
      <c r="F26" s="102">
        <v>13.5</v>
      </c>
      <c r="G26" s="102">
        <v>13.5</v>
      </c>
      <c r="H26" s="102">
        <v>13.5</v>
      </c>
      <c r="I26" s="102">
        <v>13.5</v>
      </c>
      <c r="J26" s="102">
        <v>13.5</v>
      </c>
      <c r="K26" s="102">
        <v>13.5</v>
      </c>
      <c r="L26" s="102">
        <v>13.5</v>
      </c>
      <c r="M26" s="102">
        <v>13.1</v>
      </c>
      <c r="N26" s="102">
        <v>13.1</v>
      </c>
      <c r="O26" s="102">
        <v>13.1</v>
      </c>
      <c r="P26" s="102">
        <v>13.1</v>
      </c>
      <c r="Q26" s="102">
        <v>13.1</v>
      </c>
      <c r="R26" s="102">
        <v>13.1</v>
      </c>
      <c r="S26" s="102">
        <v>13.1</v>
      </c>
      <c r="T26" s="102">
        <v>13.1</v>
      </c>
      <c r="U26" s="102">
        <v>13.1</v>
      </c>
      <c r="V26" s="102">
        <v>13.1</v>
      </c>
      <c r="W26" s="102">
        <v>13.1</v>
      </c>
      <c r="X26" s="102">
        <v>13.1</v>
      </c>
      <c r="Y26" s="102">
        <v>13.1</v>
      </c>
      <c r="Z26" s="102">
        <v>13.1</v>
      </c>
      <c r="AA26" s="102">
        <v>13.1</v>
      </c>
      <c r="AB26" s="102">
        <v>13.1</v>
      </c>
      <c r="AC26" s="102">
        <v>13.1</v>
      </c>
      <c r="AD26" s="102">
        <v>13.1</v>
      </c>
      <c r="AE26" s="102">
        <v>13.1</v>
      </c>
      <c r="AF26" s="102">
        <v>13.1</v>
      </c>
      <c r="AG26" s="130">
        <v>25</v>
      </c>
      <c r="AH26" s="12">
        <f t="shared" si="8"/>
        <v>13.5</v>
      </c>
      <c r="AI26" s="11">
        <f t="shared" si="9"/>
        <v>13.1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25">
      <c r="A27" s="89" t="s">
        <v>240</v>
      </c>
      <c r="B27" s="102">
        <v>15.1</v>
      </c>
      <c r="C27" s="102">
        <v>15.1</v>
      </c>
      <c r="D27" s="102">
        <v>15.1</v>
      </c>
      <c r="E27" s="102">
        <v>15.1</v>
      </c>
      <c r="F27" s="102">
        <v>15.1</v>
      </c>
      <c r="G27" s="102">
        <v>15.1</v>
      </c>
      <c r="H27" s="102">
        <v>15.1</v>
      </c>
      <c r="I27" s="102">
        <v>15.1</v>
      </c>
      <c r="J27" s="102">
        <v>15.1</v>
      </c>
      <c r="K27" s="102">
        <v>15.1</v>
      </c>
      <c r="L27" s="102">
        <v>15.1</v>
      </c>
      <c r="M27" s="102">
        <v>15.1</v>
      </c>
      <c r="N27" s="102">
        <v>15.1</v>
      </c>
      <c r="O27" s="102">
        <v>15.1</v>
      </c>
      <c r="P27" s="102">
        <v>15.1</v>
      </c>
      <c r="Q27" s="102">
        <v>15.1</v>
      </c>
      <c r="R27" s="102">
        <v>15.1</v>
      </c>
      <c r="S27" s="102">
        <v>15.1</v>
      </c>
      <c r="T27" s="102">
        <v>15.1</v>
      </c>
      <c r="U27" s="102">
        <v>15.1</v>
      </c>
      <c r="V27" s="102">
        <v>15.1</v>
      </c>
      <c r="W27" s="102">
        <v>15.1</v>
      </c>
      <c r="X27" s="102">
        <v>15.1</v>
      </c>
      <c r="Y27" s="102">
        <v>15.1</v>
      </c>
      <c r="Z27" s="102">
        <v>15.1</v>
      </c>
      <c r="AA27" s="102">
        <v>15.1</v>
      </c>
      <c r="AB27" s="102">
        <v>15.1</v>
      </c>
      <c r="AC27" s="102">
        <v>15.1</v>
      </c>
      <c r="AD27" s="102">
        <v>15.1</v>
      </c>
      <c r="AE27" s="102">
        <v>15.1</v>
      </c>
      <c r="AF27" s="102">
        <v>15.1</v>
      </c>
      <c r="AG27" s="130">
        <v>25</v>
      </c>
      <c r="AH27" s="12">
        <f t="shared" si="8"/>
        <v>15.1</v>
      </c>
      <c r="AI27" s="11">
        <f t="shared" si="9"/>
        <v>15.1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25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25">
      <c r="A29" s="89" t="s">
        <v>238</v>
      </c>
      <c r="B29" s="102">
        <v>13.7</v>
      </c>
      <c r="C29" s="102">
        <v>13.7</v>
      </c>
      <c r="D29" s="102">
        <v>13.7</v>
      </c>
      <c r="E29" s="102">
        <v>13.7</v>
      </c>
      <c r="F29" s="102">
        <v>13.7</v>
      </c>
      <c r="G29" s="102">
        <v>13.7</v>
      </c>
      <c r="H29" s="102">
        <v>13.7</v>
      </c>
      <c r="I29" s="102">
        <v>13.7</v>
      </c>
      <c r="J29" s="102">
        <v>13.7</v>
      </c>
      <c r="K29" s="102">
        <v>13.7</v>
      </c>
      <c r="L29" s="102">
        <v>13.7</v>
      </c>
      <c r="M29" s="102">
        <v>10</v>
      </c>
      <c r="N29" s="102">
        <v>10</v>
      </c>
      <c r="O29" s="102">
        <v>10</v>
      </c>
      <c r="P29" s="102">
        <v>10</v>
      </c>
      <c r="Q29" s="102">
        <v>10</v>
      </c>
      <c r="R29" s="102">
        <v>9.4</v>
      </c>
      <c r="S29" s="102">
        <v>9.4</v>
      </c>
      <c r="T29" s="102">
        <v>9.4</v>
      </c>
      <c r="U29" s="102">
        <v>9.4</v>
      </c>
      <c r="V29" s="102">
        <v>9.4</v>
      </c>
      <c r="W29" s="102">
        <v>9.4</v>
      </c>
      <c r="X29" s="102">
        <v>9.4</v>
      </c>
      <c r="Y29" s="102">
        <v>9.4</v>
      </c>
      <c r="Z29" s="102">
        <v>9.4</v>
      </c>
      <c r="AA29" s="102">
        <v>9.4</v>
      </c>
      <c r="AB29" s="102">
        <v>9.4</v>
      </c>
      <c r="AC29" s="102">
        <v>9.4</v>
      </c>
      <c r="AD29" s="102">
        <v>9.4</v>
      </c>
      <c r="AE29" s="102">
        <v>9.4</v>
      </c>
      <c r="AF29" s="102">
        <v>9.4</v>
      </c>
      <c r="AG29" s="130">
        <v>25</v>
      </c>
      <c r="AH29" s="12">
        <f t="shared" si="8"/>
        <v>13.7</v>
      </c>
      <c r="AI29" s="11">
        <f t="shared" si="9"/>
        <v>9.4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25">
      <c r="A30" s="89" t="s">
        <v>237</v>
      </c>
      <c r="B30" s="102">
        <v>5.5</v>
      </c>
      <c r="C30" s="102">
        <v>5.5</v>
      </c>
      <c r="D30" s="102">
        <v>5.5</v>
      </c>
      <c r="E30" s="102">
        <v>5.5</v>
      </c>
      <c r="F30" s="102">
        <v>5.5</v>
      </c>
      <c r="G30" s="102">
        <v>5.5</v>
      </c>
      <c r="H30" s="102">
        <v>5.5</v>
      </c>
      <c r="I30" s="102">
        <v>5.5</v>
      </c>
      <c r="J30" s="102">
        <v>5.5</v>
      </c>
      <c r="K30" s="102">
        <v>5.5</v>
      </c>
      <c r="L30" s="102">
        <v>5.5</v>
      </c>
      <c r="M30" s="102">
        <v>5</v>
      </c>
      <c r="N30" s="102">
        <v>5</v>
      </c>
      <c r="O30" s="102">
        <v>5</v>
      </c>
      <c r="P30" s="102">
        <v>5</v>
      </c>
      <c r="Q30" s="102">
        <v>5</v>
      </c>
      <c r="R30" s="102">
        <v>5</v>
      </c>
      <c r="S30" s="102">
        <v>5</v>
      </c>
      <c r="T30" s="102">
        <v>5</v>
      </c>
      <c r="U30" s="102">
        <v>5</v>
      </c>
      <c r="V30" s="102">
        <v>5</v>
      </c>
      <c r="W30" s="102">
        <v>5</v>
      </c>
      <c r="X30" s="102">
        <v>5</v>
      </c>
      <c r="Y30" s="102">
        <v>5</v>
      </c>
      <c r="Z30" s="102">
        <v>5</v>
      </c>
      <c r="AA30" s="102">
        <v>5</v>
      </c>
      <c r="AB30" s="102">
        <v>5</v>
      </c>
      <c r="AC30" s="102">
        <v>5</v>
      </c>
      <c r="AD30" s="102">
        <v>5</v>
      </c>
      <c r="AE30" s="102">
        <v>5</v>
      </c>
      <c r="AF30" s="102">
        <v>5</v>
      </c>
      <c r="AG30" s="130">
        <v>23.5</v>
      </c>
      <c r="AH30" s="12">
        <f t="shared" si="8"/>
        <v>5.5</v>
      </c>
      <c r="AI30" s="11">
        <f t="shared" si="9"/>
        <v>5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25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25">
      <c r="A32" s="89" t="s">
        <v>235</v>
      </c>
      <c r="B32" s="102">
        <v>5.5</v>
      </c>
      <c r="C32" s="102">
        <v>5.5</v>
      </c>
      <c r="D32" s="102">
        <v>5.5</v>
      </c>
      <c r="E32" s="102">
        <v>5.5</v>
      </c>
      <c r="F32" s="102">
        <v>5.5</v>
      </c>
      <c r="G32" s="102">
        <v>5.5</v>
      </c>
      <c r="H32" s="102">
        <v>5.5</v>
      </c>
      <c r="I32" s="102">
        <v>5.5</v>
      </c>
      <c r="J32" s="102">
        <v>5.5</v>
      </c>
      <c r="K32" s="102">
        <v>5.5</v>
      </c>
      <c r="L32" s="102">
        <v>5.5</v>
      </c>
      <c r="M32" s="102">
        <v>5.5</v>
      </c>
      <c r="N32" s="102">
        <v>5.5</v>
      </c>
      <c r="O32" s="102">
        <v>5.5</v>
      </c>
      <c r="P32" s="102">
        <v>5.5</v>
      </c>
      <c r="Q32" s="102">
        <v>5.5</v>
      </c>
      <c r="R32" s="102">
        <v>5.5</v>
      </c>
      <c r="S32" s="102">
        <v>5.5</v>
      </c>
      <c r="T32" s="102">
        <v>5.5</v>
      </c>
      <c r="U32" s="102">
        <v>5.5</v>
      </c>
      <c r="V32" s="102">
        <v>5.5</v>
      </c>
      <c r="W32" s="102">
        <v>5.5</v>
      </c>
      <c r="X32" s="102">
        <v>5.5</v>
      </c>
      <c r="Y32" s="102">
        <v>5.5</v>
      </c>
      <c r="Z32" s="102">
        <v>5.5</v>
      </c>
      <c r="AA32" s="102">
        <v>5.5</v>
      </c>
      <c r="AB32" s="102">
        <v>5.5</v>
      </c>
      <c r="AC32" s="102">
        <v>5.5</v>
      </c>
      <c r="AD32" s="102">
        <v>5.5</v>
      </c>
      <c r="AE32" s="102">
        <v>5.5</v>
      </c>
      <c r="AF32" s="102">
        <v>5.5</v>
      </c>
      <c r="AG32" s="130">
        <v>22.1</v>
      </c>
      <c r="AH32" s="12">
        <f t="shared" si="8"/>
        <v>5.5</v>
      </c>
      <c r="AI32" s="11">
        <f t="shared" si="9"/>
        <v>5.5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25">
      <c r="A33" s="89" t="s">
        <v>234</v>
      </c>
      <c r="B33" s="102">
        <v>8</v>
      </c>
      <c r="C33" s="102">
        <v>8</v>
      </c>
      <c r="D33" s="102">
        <v>8</v>
      </c>
      <c r="E33" s="102">
        <v>8</v>
      </c>
      <c r="F33" s="102">
        <v>8</v>
      </c>
      <c r="G33" s="102">
        <v>8</v>
      </c>
      <c r="H33" s="102">
        <v>8</v>
      </c>
      <c r="I33" s="102">
        <v>8</v>
      </c>
      <c r="J33" s="102">
        <v>8</v>
      </c>
      <c r="K33" s="102">
        <v>8</v>
      </c>
      <c r="L33" s="102">
        <v>8</v>
      </c>
      <c r="M33" s="102">
        <v>8</v>
      </c>
      <c r="N33" s="102">
        <v>8</v>
      </c>
      <c r="O33" s="102">
        <v>8</v>
      </c>
      <c r="P33" s="102">
        <v>8</v>
      </c>
      <c r="Q33" s="102">
        <v>8</v>
      </c>
      <c r="R33" s="102">
        <v>8</v>
      </c>
      <c r="S33" s="102">
        <v>8</v>
      </c>
      <c r="T33" s="102">
        <v>8</v>
      </c>
      <c r="U33" s="102">
        <v>8</v>
      </c>
      <c r="V33" s="102">
        <v>8</v>
      </c>
      <c r="W33" s="102">
        <v>8</v>
      </c>
      <c r="X33" s="102">
        <v>8</v>
      </c>
      <c r="Y33" s="102">
        <v>8</v>
      </c>
      <c r="Z33" s="102">
        <v>8</v>
      </c>
      <c r="AA33" s="102">
        <v>8</v>
      </c>
      <c r="AB33" s="102">
        <v>8</v>
      </c>
      <c r="AC33" s="102">
        <v>8</v>
      </c>
      <c r="AD33" s="102">
        <v>8</v>
      </c>
      <c r="AE33" s="102">
        <v>8</v>
      </c>
      <c r="AF33" s="102">
        <v>8</v>
      </c>
      <c r="AG33" s="130">
        <v>22</v>
      </c>
      <c r="AH33" s="12">
        <f t="shared" si="8"/>
        <v>8</v>
      </c>
      <c r="AI33" s="11">
        <f t="shared" si="9"/>
        <v>8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25">
      <c r="A34" s="89" t="s">
        <v>233</v>
      </c>
      <c r="B34" s="102">
        <v>10.4</v>
      </c>
      <c r="C34" s="102">
        <v>10.4</v>
      </c>
      <c r="D34" s="102">
        <v>10.4</v>
      </c>
      <c r="E34" s="102">
        <v>10.4</v>
      </c>
      <c r="F34" s="102">
        <v>10.4</v>
      </c>
      <c r="G34" s="102">
        <v>10.4</v>
      </c>
      <c r="H34" s="102">
        <v>10.4</v>
      </c>
      <c r="I34" s="102">
        <v>10.4</v>
      </c>
      <c r="J34" s="102">
        <v>10.4</v>
      </c>
      <c r="K34" s="102">
        <v>10.4</v>
      </c>
      <c r="L34" s="102">
        <v>10.4</v>
      </c>
      <c r="M34" s="102">
        <v>10.4</v>
      </c>
      <c r="N34" s="102">
        <v>10.4</v>
      </c>
      <c r="O34" s="102">
        <v>10.4</v>
      </c>
      <c r="P34" s="102">
        <v>10.4</v>
      </c>
      <c r="Q34" s="102">
        <v>10.4</v>
      </c>
      <c r="R34" s="102">
        <v>10.4</v>
      </c>
      <c r="S34" s="102">
        <v>10.4</v>
      </c>
      <c r="T34" s="102">
        <v>10.4</v>
      </c>
      <c r="U34" s="102">
        <v>10.4</v>
      </c>
      <c r="V34" s="102">
        <v>10.4</v>
      </c>
      <c r="W34" s="102">
        <v>10.4</v>
      </c>
      <c r="X34" s="102">
        <v>10.4</v>
      </c>
      <c r="Y34" s="102">
        <v>10.4</v>
      </c>
      <c r="Z34" s="102">
        <v>10.4</v>
      </c>
      <c r="AA34" s="102">
        <v>10.4</v>
      </c>
      <c r="AB34" s="102">
        <v>10.4</v>
      </c>
      <c r="AC34" s="102">
        <v>10.4</v>
      </c>
      <c r="AD34" s="102">
        <v>10.4</v>
      </c>
      <c r="AE34" s="102">
        <v>10.4</v>
      </c>
      <c r="AF34" s="102">
        <v>10.4</v>
      </c>
      <c r="AG34" s="130">
        <v>22</v>
      </c>
      <c r="AH34" s="12">
        <f t="shared" si="8"/>
        <v>10.4</v>
      </c>
      <c r="AI34" s="11">
        <f t="shared" si="9"/>
        <v>10.4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25">
      <c r="A35" s="89" t="s">
        <v>232</v>
      </c>
      <c r="B35" s="102">
        <v>11.1</v>
      </c>
      <c r="C35" s="102">
        <v>11.1</v>
      </c>
      <c r="D35" s="102">
        <v>11.1</v>
      </c>
      <c r="E35" s="102">
        <v>11.1</v>
      </c>
      <c r="F35" s="102">
        <v>11.1</v>
      </c>
      <c r="G35" s="102">
        <v>11.1</v>
      </c>
      <c r="H35" s="102">
        <v>11.1</v>
      </c>
      <c r="I35" s="102">
        <v>11.1</v>
      </c>
      <c r="J35" s="102">
        <v>11.1</v>
      </c>
      <c r="K35" s="102">
        <v>11.1</v>
      </c>
      <c r="L35" s="102">
        <v>11.1</v>
      </c>
      <c r="M35" s="102">
        <v>11.1</v>
      </c>
      <c r="N35" s="102">
        <v>11.1</v>
      </c>
      <c r="O35" s="102">
        <v>11.1</v>
      </c>
      <c r="P35" s="102">
        <v>11.1</v>
      </c>
      <c r="Q35" s="102">
        <v>11.1</v>
      </c>
      <c r="R35" s="102">
        <v>11.1</v>
      </c>
      <c r="S35" s="102">
        <v>11.1</v>
      </c>
      <c r="T35" s="102">
        <v>11.1</v>
      </c>
      <c r="U35" s="102">
        <v>11.1</v>
      </c>
      <c r="V35" s="102">
        <v>11.1</v>
      </c>
      <c r="W35" s="102">
        <v>11.1</v>
      </c>
      <c r="X35" s="102">
        <v>11.1</v>
      </c>
      <c r="Y35" s="102">
        <v>11.1</v>
      </c>
      <c r="Z35" s="102">
        <v>11.1</v>
      </c>
      <c r="AA35" s="102">
        <v>11.1</v>
      </c>
      <c r="AB35" s="102">
        <v>11.1</v>
      </c>
      <c r="AC35" s="102">
        <v>11.1</v>
      </c>
      <c r="AD35" s="102">
        <v>11.1</v>
      </c>
      <c r="AE35" s="102">
        <v>11.1</v>
      </c>
      <c r="AF35" s="102">
        <v>11.1</v>
      </c>
      <c r="AG35" s="130">
        <v>20</v>
      </c>
      <c r="AH35" s="12">
        <f t="shared" si="8"/>
        <v>11.1</v>
      </c>
      <c r="AI35" s="11">
        <f t="shared" si="9"/>
        <v>11.1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25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25">
      <c r="A37" s="89" t="s">
        <v>230</v>
      </c>
      <c r="B37" s="102">
        <v>5.7</v>
      </c>
      <c r="C37" s="102">
        <v>5.7</v>
      </c>
      <c r="D37" s="102">
        <v>5.7</v>
      </c>
      <c r="E37" s="102">
        <v>5.7</v>
      </c>
      <c r="F37" s="102">
        <v>5.7</v>
      </c>
      <c r="G37" s="102">
        <v>5.7</v>
      </c>
      <c r="H37" s="102">
        <v>5.7</v>
      </c>
      <c r="I37" s="102">
        <v>5.7</v>
      </c>
      <c r="J37" s="102">
        <v>5.7</v>
      </c>
      <c r="K37" s="102">
        <v>5.7</v>
      </c>
      <c r="L37" s="102">
        <v>5.7</v>
      </c>
      <c r="M37" s="102">
        <v>8.1</v>
      </c>
      <c r="N37" s="102">
        <v>8.1</v>
      </c>
      <c r="O37" s="102">
        <v>8.1</v>
      </c>
      <c r="P37" s="102">
        <v>8.1</v>
      </c>
      <c r="Q37" s="102">
        <v>8.1</v>
      </c>
      <c r="R37" s="102">
        <v>8.1</v>
      </c>
      <c r="S37" s="102">
        <v>8.1</v>
      </c>
      <c r="T37" s="102">
        <v>8.1</v>
      </c>
      <c r="U37" s="102">
        <v>8.1</v>
      </c>
      <c r="V37" s="102">
        <v>8.1</v>
      </c>
      <c r="W37" s="102">
        <v>8.1</v>
      </c>
      <c r="X37" s="102">
        <v>8.1</v>
      </c>
      <c r="Y37" s="102">
        <v>8.1</v>
      </c>
      <c r="Z37" s="102">
        <v>8.1</v>
      </c>
      <c r="AA37" s="102">
        <v>8.1</v>
      </c>
      <c r="AB37" s="102">
        <v>8.1</v>
      </c>
      <c r="AC37" s="102">
        <v>8.1</v>
      </c>
      <c r="AD37" s="102">
        <v>8.1</v>
      </c>
      <c r="AE37" s="102">
        <v>8.1</v>
      </c>
      <c r="AF37" s="102">
        <v>8.1</v>
      </c>
      <c r="AG37" s="130">
        <v>18</v>
      </c>
      <c r="AH37" s="12">
        <f t="shared" si="8"/>
        <v>8.1</v>
      </c>
      <c r="AI37" s="11">
        <f t="shared" si="9"/>
        <v>5.7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25">
      <c r="A38" s="89" t="s">
        <v>229</v>
      </c>
      <c r="B38" s="102">
        <v>4.9000000000000004</v>
      </c>
      <c r="C38" s="102">
        <v>4.9000000000000004</v>
      </c>
      <c r="D38" s="102">
        <v>4.9000000000000004</v>
      </c>
      <c r="E38" s="102">
        <v>4.9000000000000004</v>
      </c>
      <c r="F38" s="102">
        <v>4.9000000000000004</v>
      </c>
      <c r="G38" s="102">
        <v>4.9000000000000004</v>
      </c>
      <c r="H38" s="102">
        <v>4.9000000000000004</v>
      </c>
      <c r="I38" s="102">
        <v>4.9000000000000004</v>
      </c>
      <c r="J38" s="102">
        <v>4.9000000000000004</v>
      </c>
      <c r="K38" s="102">
        <v>4.9000000000000004</v>
      </c>
      <c r="L38" s="102">
        <v>4.9000000000000004</v>
      </c>
      <c r="M38" s="102">
        <v>4.9000000000000004</v>
      </c>
      <c r="N38" s="102">
        <v>4.9000000000000004</v>
      </c>
      <c r="O38" s="102">
        <v>4.9000000000000004</v>
      </c>
      <c r="P38" s="102">
        <v>4.9000000000000004</v>
      </c>
      <c r="Q38" s="102">
        <v>4.9000000000000004</v>
      </c>
      <c r="R38" s="102">
        <v>4.9000000000000004</v>
      </c>
      <c r="S38" s="102">
        <v>4.9000000000000004</v>
      </c>
      <c r="T38" s="102">
        <v>4.9000000000000004</v>
      </c>
      <c r="U38" s="102">
        <v>4.9000000000000004</v>
      </c>
      <c r="V38" s="102">
        <v>4.9000000000000004</v>
      </c>
      <c r="W38" s="102">
        <v>4.9000000000000004</v>
      </c>
      <c r="X38" s="102">
        <v>4.9000000000000004</v>
      </c>
      <c r="Y38" s="102">
        <v>4.9000000000000004</v>
      </c>
      <c r="Z38" s="102">
        <v>4.9000000000000004</v>
      </c>
      <c r="AA38" s="102">
        <v>4.9000000000000004</v>
      </c>
      <c r="AB38" s="102">
        <v>4.9000000000000004</v>
      </c>
      <c r="AC38" s="102">
        <v>4.9000000000000004</v>
      </c>
      <c r="AD38" s="102">
        <v>4.9000000000000004</v>
      </c>
      <c r="AE38" s="102">
        <v>4.9000000000000004</v>
      </c>
      <c r="AF38" s="102">
        <v>4.9000000000000004</v>
      </c>
      <c r="AG38" s="130">
        <v>14.9</v>
      </c>
      <c r="AH38" s="12">
        <f t="shared" si="8"/>
        <v>4.9000000000000004</v>
      </c>
      <c r="AI38" s="11">
        <f t="shared" si="9"/>
        <v>4.9000000000000004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25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25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25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25">
      <c r="A42" s="89" t="s">
        <v>225</v>
      </c>
      <c r="B42" s="102">
        <v>1.8</v>
      </c>
      <c r="C42" s="102">
        <v>1.8</v>
      </c>
      <c r="D42" s="102">
        <v>1.8</v>
      </c>
      <c r="E42" s="102">
        <v>1.8</v>
      </c>
      <c r="F42" s="102">
        <v>1.8</v>
      </c>
      <c r="G42" s="102">
        <v>1.8</v>
      </c>
      <c r="H42" s="102">
        <v>1.8</v>
      </c>
      <c r="I42" s="102">
        <v>1.8</v>
      </c>
      <c r="J42" s="102">
        <v>1.8</v>
      </c>
      <c r="K42" s="102">
        <v>1.8</v>
      </c>
      <c r="L42" s="102">
        <v>1.8</v>
      </c>
      <c r="M42" s="102">
        <v>1.8</v>
      </c>
      <c r="N42" s="102">
        <v>1.8</v>
      </c>
      <c r="O42" s="102">
        <v>1.8</v>
      </c>
      <c r="P42" s="102">
        <v>1.8</v>
      </c>
      <c r="Q42" s="102">
        <v>1.8</v>
      </c>
      <c r="R42" s="102">
        <v>1.8</v>
      </c>
      <c r="S42" s="102">
        <v>1.8</v>
      </c>
      <c r="T42" s="102">
        <v>1.8</v>
      </c>
      <c r="U42" s="102">
        <v>1.8</v>
      </c>
      <c r="V42" s="102">
        <v>1.8</v>
      </c>
      <c r="W42" s="102">
        <v>1.8</v>
      </c>
      <c r="X42" s="102">
        <v>1.8</v>
      </c>
      <c r="Y42" s="102">
        <v>1.8</v>
      </c>
      <c r="Z42" s="102">
        <v>1.8</v>
      </c>
      <c r="AA42" s="102">
        <v>1.8</v>
      </c>
      <c r="AB42" s="102">
        <v>1.8</v>
      </c>
      <c r="AC42" s="102">
        <v>1.8</v>
      </c>
      <c r="AD42" s="102">
        <v>1.8</v>
      </c>
      <c r="AE42" s="102">
        <v>1.8</v>
      </c>
      <c r="AF42" s="102">
        <v>1.8</v>
      </c>
      <c r="AG42" s="130">
        <v>13.6</v>
      </c>
      <c r="AH42" s="12">
        <f t="shared" si="8"/>
        <v>1.8</v>
      </c>
      <c r="AI42" s="11">
        <f t="shared" si="9"/>
        <v>1.8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25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25">
      <c r="A44" s="89" t="s">
        <v>223</v>
      </c>
      <c r="B44" s="102">
        <v>6.4</v>
      </c>
      <c r="C44" s="102">
        <v>6.4</v>
      </c>
      <c r="D44" s="102">
        <v>6.4</v>
      </c>
      <c r="E44" s="102">
        <v>6.4</v>
      </c>
      <c r="F44" s="102">
        <v>6.4</v>
      </c>
      <c r="G44" s="102">
        <v>6.4</v>
      </c>
      <c r="H44" s="102">
        <v>6.4</v>
      </c>
      <c r="I44" s="102">
        <v>6.4</v>
      </c>
      <c r="J44" s="102">
        <v>6.4</v>
      </c>
      <c r="K44" s="102">
        <v>6.4</v>
      </c>
      <c r="L44" s="102">
        <v>6.4</v>
      </c>
      <c r="M44" s="102">
        <v>6.4</v>
      </c>
      <c r="N44" s="102">
        <v>6.4</v>
      </c>
      <c r="O44" s="102">
        <v>6.4</v>
      </c>
      <c r="P44" s="102">
        <v>6.4</v>
      </c>
      <c r="Q44" s="102">
        <v>6.4</v>
      </c>
      <c r="R44" s="102">
        <v>6.4</v>
      </c>
      <c r="S44" s="102">
        <v>6.4</v>
      </c>
      <c r="T44" s="102">
        <v>6.4</v>
      </c>
      <c r="U44" s="102">
        <v>6.4</v>
      </c>
      <c r="V44" s="102">
        <v>6.4</v>
      </c>
      <c r="W44" s="102">
        <v>6.4</v>
      </c>
      <c r="X44" s="102">
        <v>6.4</v>
      </c>
      <c r="Y44" s="102">
        <v>6.4</v>
      </c>
      <c r="Z44" s="102">
        <v>6.4</v>
      </c>
      <c r="AA44" s="102">
        <v>6.4</v>
      </c>
      <c r="AB44" s="102">
        <v>6.4</v>
      </c>
      <c r="AC44" s="102">
        <v>6.4</v>
      </c>
      <c r="AD44" s="102">
        <v>6.4</v>
      </c>
      <c r="AE44" s="102">
        <v>6.4</v>
      </c>
      <c r="AF44" s="102">
        <v>6.4</v>
      </c>
      <c r="AG44" s="130">
        <v>12</v>
      </c>
      <c r="AH44" s="12">
        <f t="shared" si="8"/>
        <v>6.4</v>
      </c>
      <c r="AI44" s="11">
        <f t="shared" si="9"/>
        <v>6.4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25">
      <c r="A45" s="89" t="s">
        <v>222</v>
      </c>
      <c r="B45" s="102">
        <v>9</v>
      </c>
      <c r="C45" s="102">
        <v>9</v>
      </c>
      <c r="D45" s="102">
        <v>9</v>
      </c>
      <c r="E45" s="102">
        <v>9</v>
      </c>
      <c r="F45" s="102">
        <v>9</v>
      </c>
      <c r="G45" s="102">
        <v>9</v>
      </c>
      <c r="H45" s="102">
        <v>9</v>
      </c>
      <c r="I45" s="102">
        <v>9</v>
      </c>
      <c r="J45" s="102">
        <v>9</v>
      </c>
      <c r="K45" s="102">
        <v>9</v>
      </c>
      <c r="L45" s="102">
        <v>9</v>
      </c>
      <c r="M45" s="102">
        <v>9</v>
      </c>
      <c r="N45" s="102">
        <v>9</v>
      </c>
      <c r="O45" s="102">
        <v>9</v>
      </c>
      <c r="P45" s="102">
        <v>9</v>
      </c>
      <c r="Q45" s="102">
        <v>9</v>
      </c>
      <c r="R45" s="102">
        <v>9</v>
      </c>
      <c r="S45" s="102">
        <v>9</v>
      </c>
      <c r="T45" s="102">
        <v>9</v>
      </c>
      <c r="U45" s="102">
        <v>9</v>
      </c>
      <c r="V45" s="102">
        <v>9</v>
      </c>
      <c r="W45" s="102">
        <v>9</v>
      </c>
      <c r="X45" s="102">
        <v>9</v>
      </c>
      <c r="Y45" s="102">
        <v>9</v>
      </c>
      <c r="Z45" s="102">
        <v>9</v>
      </c>
      <c r="AA45" s="102">
        <v>9</v>
      </c>
      <c r="AB45" s="102">
        <v>9</v>
      </c>
      <c r="AC45" s="102">
        <v>9</v>
      </c>
      <c r="AD45" s="102">
        <v>9</v>
      </c>
      <c r="AE45" s="102">
        <v>9</v>
      </c>
      <c r="AF45" s="102">
        <v>9</v>
      </c>
      <c r="AG45" s="130">
        <v>12</v>
      </c>
      <c r="AH45" s="12">
        <f t="shared" si="8"/>
        <v>9</v>
      </c>
      <c r="AI45" s="11">
        <f t="shared" si="9"/>
        <v>9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25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25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25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25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25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25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25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25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25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25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25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.75" thickBot="1" x14ac:dyDescent="0.3">
      <c r="A57" s="124" t="s">
        <v>210</v>
      </c>
      <c r="B57" s="122">
        <f>22.6+33.1</f>
        <v>55.7</v>
      </c>
      <c r="C57" s="122">
        <f>22.4+32.1</f>
        <v>54.5</v>
      </c>
      <c r="D57" s="122">
        <f>22.4+32.1</f>
        <v>54.5</v>
      </c>
      <c r="E57" s="122">
        <f>33.2+25.2</f>
        <v>58.400000000000006</v>
      </c>
      <c r="F57" s="122">
        <f>33.9+24.3</f>
        <v>58.2</v>
      </c>
      <c r="G57" s="122">
        <f>35+25.6</f>
        <v>60.6</v>
      </c>
      <c r="H57" s="122">
        <f>35.2+25.5</f>
        <v>60.7</v>
      </c>
      <c r="I57" s="122">
        <f>34.6+25.1</f>
        <v>59.7</v>
      </c>
      <c r="J57" s="122">
        <f>36.7+28</f>
        <v>64.7</v>
      </c>
      <c r="K57" s="123">
        <f>32.8+24</f>
        <v>56.8</v>
      </c>
      <c r="L57" s="123">
        <f>31.7+21.7</f>
        <v>53.4</v>
      </c>
      <c r="M57" s="123">
        <v>49.2</v>
      </c>
      <c r="N57" s="123">
        <v>49.2</v>
      </c>
      <c r="O57" s="123">
        <v>49.2</v>
      </c>
      <c r="P57" s="123">
        <v>49.2</v>
      </c>
      <c r="Q57" s="123">
        <v>53.2</v>
      </c>
      <c r="R57" s="123">
        <v>53.2</v>
      </c>
      <c r="S57" s="123">
        <v>49</v>
      </c>
      <c r="T57" s="123">
        <v>50</v>
      </c>
      <c r="U57" s="123">
        <v>35</v>
      </c>
      <c r="V57" s="123">
        <v>50</v>
      </c>
      <c r="W57" s="123">
        <v>42</v>
      </c>
      <c r="X57" s="123">
        <f>14.2+22.7</f>
        <v>36.9</v>
      </c>
      <c r="Y57" s="123">
        <f>14.2+22.7</f>
        <v>36.9</v>
      </c>
      <c r="Z57" s="122">
        <v>48</v>
      </c>
      <c r="AA57" s="122">
        <v>48.6</v>
      </c>
      <c r="AB57" s="122">
        <v>48.6</v>
      </c>
      <c r="AC57" s="122">
        <v>48.6</v>
      </c>
      <c r="AD57" s="122">
        <v>48.6</v>
      </c>
      <c r="AE57" s="122">
        <v>48.6</v>
      </c>
      <c r="AF57" s="122">
        <f>6.2+16.2</f>
        <v>22.4</v>
      </c>
      <c r="AG57" s="86">
        <v>240</v>
      </c>
      <c r="AH57" s="12">
        <f t="shared" si="8"/>
        <v>64.7</v>
      </c>
      <c r="AI57" s="11">
        <f t="shared" si="9"/>
        <v>22.4</v>
      </c>
      <c r="AK57" s="19"/>
    </row>
    <row r="58" spans="1:88" ht="15.75" thickBot="1" x14ac:dyDescent="0.3">
      <c r="A58" s="121" t="s">
        <v>209</v>
      </c>
      <c r="B58" s="76">
        <f t="shared" ref="B58:C58" si="22">SUM(B11:B56)</f>
        <v>564</v>
      </c>
      <c r="C58" s="76">
        <f t="shared" si="22"/>
        <v>564</v>
      </c>
      <c r="D58" s="76">
        <f t="shared" ref="D58" si="23">SUM(D11:D56)</f>
        <v>564</v>
      </c>
      <c r="E58" s="76">
        <f t="shared" ref="E58:AF58" si="24">SUM(E11:E56)</f>
        <v>564.20000000000005</v>
      </c>
      <c r="F58" s="76">
        <f t="shared" si="24"/>
        <v>564.29999999999995</v>
      </c>
      <c r="G58" s="76">
        <f t="shared" si="24"/>
        <v>564.29999999999995</v>
      </c>
      <c r="H58" s="76">
        <f t="shared" si="24"/>
        <v>564.29999999999995</v>
      </c>
      <c r="I58" s="76">
        <f t="shared" si="24"/>
        <v>565.29999999999995</v>
      </c>
      <c r="J58" s="76">
        <f t="shared" si="24"/>
        <v>563.4</v>
      </c>
      <c r="K58" s="76">
        <f t="shared" si="24"/>
        <v>563.70000000000005</v>
      </c>
      <c r="L58" s="76">
        <f t="shared" si="24"/>
        <v>566</v>
      </c>
      <c r="M58" s="76">
        <f t="shared" si="24"/>
        <v>551.70000000000005</v>
      </c>
      <c r="N58" s="76">
        <f t="shared" si="24"/>
        <v>551.70000000000005</v>
      </c>
      <c r="O58" s="76">
        <f t="shared" si="24"/>
        <v>551.70000000000005</v>
      </c>
      <c r="P58" s="76">
        <f t="shared" si="24"/>
        <v>551.70000000000005</v>
      </c>
      <c r="Q58" s="76">
        <f t="shared" ref="Q58" si="25">SUM(Q11:Q56)</f>
        <v>552.1</v>
      </c>
      <c r="R58" s="76">
        <f t="shared" si="24"/>
        <v>551.5</v>
      </c>
      <c r="S58" s="76">
        <f t="shared" ref="S58:T58" si="26">SUM(S11:S56)</f>
        <v>551.5</v>
      </c>
      <c r="T58" s="76">
        <f t="shared" si="26"/>
        <v>551.5</v>
      </c>
      <c r="U58" s="76">
        <f t="shared" ref="U58:V58" si="27">SUM(U11:U56)</f>
        <v>551.5</v>
      </c>
      <c r="V58" s="76">
        <f t="shared" si="27"/>
        <v>551.5</v>
      </c>
      <c r="W58" s="76">
        <f t="shared" ref="W58" si="28">SUM(W11:W56)</f>
        <v>551.5</v>
      </c>
      <c r="X58" s="76">
        <f t="shared" si="24"/>
        <v>551.5</v>
      </c>
      <c r="Y58" s="76">
        <f t="shared" ref="Y58:Z58" si="29">SUM(Y11:Y56)</f>
        <v>551.5</v>
      </c>
      <c r="Z58" s="76">
        <f t="shared" si="29"/>
        <v>551.5</v>
      </c>
      <c r="AA58" s="76">
        <f t="shared" ref="AA58" si="30">SUM(AA11:AA56)</f>
        <v>551.5</v>
      </c>
      <c r="AB58" s="76">
        <f t="shared" si="24"/>
        <v>568.90000000000009</v>
      </c>
      <c r="AC58" s="76">
        <f t="shared" si="24"/>
        <v>568.90000000000009</v>
      </c>
      <c r="AD58" s="76">
        <f t="shared" si="24"/>
        <v>568.90000000000009</v>
      </c>
      <c r="AE58" s="76">
        <f t="shared" si="24"/>
        <v>568.90000000000009</v>
      </c>
      <c r="AF58" s="76">
        <f t="shared" si="24"/>
        <v>570.5</v>
      </c>
      <c r="AG58" s="93">
        <f>SUM(AG14:AG56)</f>
        <v>1042.4000000000001</v>
      </c>
      <c r="AH58" s="12">
        <f t="shared" si="8"/>
        <v>570.5</v>
      </c>
      <c r="AI58" s="11">
        <f t="shared" si="9"/>
        <v>551.5</v>
      </c>
      <c r="AK58" s="19"/>
    </row>
    <row r="59" spans="1:88" x14ac:dyDescent="0.25">
      <c r="A59" s="120" t="s">
        <v>208</v>
      </c>
      <c r="B59" s="102">
        <v>170</v>
      </c>
      <c r="C59" s="102">
        <v>100</v>
      </c>
      <c r="D59" s="102">
        <v>75</v>
      </c>
      <c r="E59" s="102">
        <v>100.6</v>
      </c>
      <c r="F59" s="102">
        <v>170</v>
      </c>
      <c r="G59" s="102">
        <v>173</v>
      </c>
      <c r="H59" s="102">
        <v>173</v>
      </c>
      <c r="I59" s="102">
        <v>221.1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19">
        <v>0</v>
      </c>
      <c r="X59" s="102">
        <v>30.2</v>
      </c>
      <c r="Y59" s="102">
        <v>379.8</v>
      </c>
      <c r="Z59" s="102">
        <v>458.1</v>
      </c>
      <c r="AA59" s="102">
        <v>415.7</v>
      </c>
      <c r="AB59" s="102">
        <v>380</v>
      </c>
      <c r="AC59" s="102">
        <v>313.39999999999998</v>
      </c>
      <c r="AD59" s="102">
        <v>311.60000000000002</v>
      </c>
      <c r="AE59" s="102">
        <v>241</v>
      </c>
      <c r="AF59" s="102">
        <v>261.39999999999998</v>
      </c>
      <c r="AG59" s="88">
        <v>456</v>
      </c>
      <c r="AH59" s="12">
        <f t="shared" si="8"/>
        <v>458.1</v>
      </c>
      <c r="AI59" s="11">
        <f t="shared" si="9"/>
        <v>0</v>
      </c>
      <c r="AK59" s="19"/>
    </row>
    <row r="60" spans="1:88" x14ac:dyDescent="0.25">
      <c r="A60" s="118" t="s">
        <v>207</v>
      </c>
      <c r="B60" s="70">
        <v>21.8</v>
      </c>
      <c r="C60" s="70">
        <v>21.8</v>
      </c>
      <c r="D60" s="70">
        <v>22.4</v>
      </c>
      <c r="E60" s="70">
        <v>23.1</v>
      </c>
      <c r="F60" s="70">
        <v>23.2</v>
      </c>
      <c r="G60" s="70">
        <v>22.7</v>
      </c>
      <c r="H60" s="70">
        <v>23</v>
      </c>
      <c r="I60" s="70">
        <v>23.2</v>
      </c>
      <c r="J60" s="70">
        <v>23.5</v>
      </c>
      <c r="K60" s="70">
        <v>23.5</v>
      </c>
      <c r="L60" s="70">
        <v>23.4</v>
      </c>
      <c r="M60" s="70">
        <v>22.4</v>
      </c>
      <c r="N60" s="70">
        <v>22.4</v>
      </c>
      <c r="O60" s="70">
        <v>22.4</v>
      </c>
      <c r="P60" s="70">
        <v>24.1</v>
      </c>
      <c r="Q60" s="70">
        <v>24.5</v>
      </c>
      <c r="R60" s="70">
        <v>23</v>
      </c>
      <c r="S60" s="70">
        <v>23</v>
      </c>
      <c r="T60" s="70">
        <v>23</v>
      </c>
      <c r="U60" s="70">
        <v>23</v>
      </c>
      <c r="V60" s="70">
        <v>23</v>
      </c>
      <c r="W60" s="70">
        <v>23</v>
      </c>
      <c r="X60" s="70">
        <v>20.5</v>
      </c>
      <c r="Y60" s="70">
        <v>20.5</v>
      </c>
      <c r="Z60" s="70">
        <v>20.5</v>
      </c>
      <c r="AA60" s="70">
        <v>20.5</v>
      </c>
      <c r="AB60" s="70">
        <v>21.9</v>
      </c>
      <c r="AC60" s="70">
        <v>21.7</v>
      </c>
      <c r="AD60" s="70">
        <v>22.4</v>
      </c>
      <c r="AE60" s="70">
        <v>21.9</v>
      </c>
      <c r="AF60" s="70">
        <v>21.1</v>
      </c>
      <c r="AG60" s="86">
        <v>60</v>
      </c>
      <c r="AH60" s="12">
        <f t="shared" si="8"/>
        <v>24.5</v>
      </c>
      <c r="AI60" s="11">
        <f t="shared" si="9"/>
        <v>20.5</v>
      </c>
      <c r="AK60" s="19"/>
    </row>
    <row r="61" spans="1:88" ht="15.75" thickBot="1" x14ac:dyDescent="0.3">
      <c r="A61" s="117" t="s">
        <v>206</v>
      </c>
      <c r="B61" s="110">
        <v>22.4</v>
      </c>
      <c r="C61" s="110">
        <v>22.4</v>
      </c>
      <c r="D61" s="110">
        <v>22.4</v>
      </c>
      <c r="E61" s="110">
        <v>22.4</v>
      </c>
      <c r="F61" s="110">
        <v>22.4</v>
      </c>
      <c r="G61" s="110">
        <v>22.4</v>
      </c>
      <c r="H61" s="110">
        <v>22.4</v>
      </c>
      <c r="I61" s="110">
        <v>22.3</v>
      </c>
      <c r="J61" s="110">
        <v>22.4</v>
      </c>
      <c r="K61" s="110">
        <v>22.4</v>
      </c>
      <c r="L61" s="110">
        <v>22.4</v>
      </c>
      <c r="M61" s="110">
        <v>22.3</v>
      </c>
      <c r="N61" s="110">
        <v>22.3</v>
      </c>
      <c r="O61" s="110">
        <v>22.3</v>
      </c>
      <c r="P61" s="110">
        <v>22.4</v>
      </c>
      <c r="Q61" s="110">
        <v>22.4</v>
      </c>
      <c r="R61" s="110">
        <v>21</v>
      </c>
      <c r="S61" s="110">
        <v>21</v>
      </c>
      <c r="T61" s="110">
        <v>21</v>
      </c>
      <c r="U61" s="110">
        <v>21</v>
      </c>
      <c r="V61" s="110">
        <v>21</v>
      </c>
      <c r="W61" s="110">
        <v>21</v>
      </c>
      <c r="X61" s="110">
        <v>20.2</v>
      </c>
      <c r="Y61" s="110">
        <v>20.2</v>
      </c>
      <c r="Z61" s="110">
        <v>20.2</v>
      </c>
      <c r="AA61" s="110">
        <v>20.2</v>
      </c>
      <c r="AB61" s="110">
        <v>22.5</v>
      </c>
      <c r="AC61" s="110">
        <v>22.4</v>
      </c>
      <c r="AD61" s="110">
        <v>22.4</v>
      </c>
      <c r="AE61" s="110">
        <v>22.5</v>
      </c>
      <c r="AF61" s="110">
        <v>22.4</v>
      </c>
      <c r="AG61" s="109">
        <v>22.1</v>
      </c>
      <c r="AH61" s="12">
        <f t="shared" si="8"/>
        <v>22.5</v>
      </c>
      <c r="AI61" s="11">
        <f t="shared" si="9"/>
        <v>20.2</v>
      </c>
      <c r="AK61" s="19"/>
    </row>
    <row r="62" spans="1:88" ht="15.75" thickBot="1" x14ac:dyDescent="0.3">
      <c r="A62" s="116" t="s">
        <v>205</v>
      </c>
      <c r="B62" s="76">
        <f t="shared" ref="B62:D62" si="31">SUM(B59:B61)</f>
        <v>214.20000000000002</v>
      </c>
      <c r="C62" s="76">
        <f t="shared" si="31"/>
        <v>144.19999999999999</v>
      </c>
      <c r="D62" s="76">
        <f t="shared" si="31"/>
        <v>119.80000000000001</v>
      </c>
      <c r="E62" s="76">
        <f t="shared" ref="E62:AG62" si="32">SUM(E59:E61)</f>
        <v>146.1</v>
      </c>
      <c r="F62" s="76">
        <f t="shared" si="32"/>
        <v>215.6</v>
      </c>
      <c r="G62" s="76">
        <f t="shared" si="32"/>
        <v>218.1</v>
      </c>
      <c r="H62" s="76">
        <f t="shared" si="32"/>
        <v>218.4</v>
      </c>
      <c r="I62" s="76">
        <f t="shared" si="32"/>
        <v>266.59999999999997</v>
      </c>
      <c r="J62" s="76">
        <f t="shared" si="32"/>
        <v>45.9</v>
      </c>
      <c r="K62" s="76">
        <f t="shared" si="32"/>
        <v>45.9</v>
      </c>
      <c r="L62" s="76">
        <f t="shared" si="32"/>
        <v>45.8</v>
      </c>
      <c r="M62" s="76">
        <f t="shared" si="32"/>
        <v>44.7</v>
      </c>
      <c r="N62" s="76">
        <f t="shared" si="32"/>
        <v>44.7</v>
      </c>
      <c r="O62" s="76">
        <f t="shared" si="32"/>
        <v>44.7</v>
      </c>
      <c r="P62" s="76">
        <f t="shared" si="32"/>
        <v>46.5</v>
      </c>
      <c r="Q62" s="76">
        <f t="shared" si="32"/>
        <v>46.9</v>
      </c>
      <c r="R62" s="76">
        <f t="shared" si="32"/>
        <v>44</v>
      </c>
      <c r="S62" s="76">
        <f t="shared" si="32"/>
        <v>44</v>
      </c>
      <c r="T62" s="76">
        <f t="shared" si="32"/>
        <v>44</v>
      </c>
      <c r="U62" s="76">
        <f t="shared" si="32"/>
        <v>44</v>
      </c>
      <c r="V62" s="76">
        <f t="shared" ref="V62:W62" si="33">SUM(V59:V61)</f>
        <v>44</v>
      </c>
      <c r="W62" s="76">
        <f t="shared" si="33"/>
        <v>44</v>
      </c>
      <c r="X62" s="76">
        <f t="shared" si="32"/>
        <v>70.900000000000006</v>
      </c>
      <c r="Y62" s="76">
        <f t="shared" ref="Y62:Z62" si="34">SUM(Y59:Y61)</f>
        <v>420.5</v>
      </c>
      <c r="Z62" s="76">
        <f t="shared" si="34"/>
        <v>498.8</v>
      </c>
      <c r="AA62" s="76">
        <f t="shared" ref="AA62" si="35">SUM(AA59:AA61)</f>
        <v>456.4</v>
      </c>
      <c r="AB62" s="76">
        <f t="shared" si="32"/>
        <v>424.4</v>
      </c>
      <c r="AC62" s="76">
        <f t="shared" si="32"/>
        <v>357.49999999999994</v>
      </c>
      <c r="AD62" s="76">
        <f t="shared" si="32"/>
        <v>356.4</v>
      </c>
      <c r="AE62" s="76">
        <f t="shared" si="32"/>
        <v>285.39999999999998</v>
      </c>
      <c r="AF62" s="76">
        <f t="shared" si="32"/>
        <v>304.89999999999998</v>
      </c>
      <c r="AG62" s="93">
        <f t="shared" si="32"/>
        <v>538.1</v>
      </c>
      <c r="AH62" s="12">
        <f t="shared" si="8"/>
        <v>498.8</v>
      </c>
      <c r="AI62" s="11">
        <f t="shared" si="9"/>
        <v>44</v>
      </c>
      <c r="AK62" s="19"/>
    </row>
    <row r="63" spans="1:88" x14ac:dyDescent="0.25">
      <c r="A63" s="89" t="s">
        <v>204</v>
      </c>
      <c r="B63" s="102">
        <v>71.099999999999994</v>
      </c>
      <c r="C63" s="102">
        <v>71.099999999999994</v>
      </c>
      <c r="D63" s="102">
        <v>70</v>
      </c>
      <c r="E63" s="102">
        <v>60.4</v>
      </c>
      <c r="F63" s="102">
        <v>61.4</v>
      </c>
      <c r="G63" s="102">
        <v>61</v>
      </c>
      <c r="H63" s="102">
        <v>60.7</v>
      </c>
      <c r="I63" s="102">
        <v>61.2</v>
      </c>
      <c r="J63" s="102">
        <v>76.2</v>
      </c>
      <c r="K63" s="102">
        <v>81</v>
      </c>
      <c r="L63" s="102">
        <v>81</v>
      </c>
      <c r="M63" s="102">
        <v>97.1</v>
      </c>
      <c r="N63" s="102">
        <v>97.1</v>
      </c>
      <c r="O63" s="102">
        <v>96.7</v>
      </c>
      <c r="P63" s="102">
        <v>80.8</v>
      </c>
      <c r="Q63" s="102">
        <v>61.4</v>
      </c>
      <c r="R63" s="102">
        <v>70</v>
      </c>
      <c r="S63" s="102">
        <v>31</v>
      </c>
      <c r="T63" s="102">
        <v>43.3</v>
      </c>
      <c r="U63" s="102">
        <v>30.5</v>
      </c>
      <c r="V63" s="102">
        <v>30.5</v>
      </c>
      <c r="W63" s="102">
        <v>30.5</v>
      </c>
      <c r="X63" s="102">
        <v>61.9</v>
      </c>
      <c r="Y63" s="102">
        <v>96.5</v>
      </c>
      <c r="Z63" s="102">
        <v>96.5</v>
      </c>
      <c r="AA63" s="102">
        <v>96.5</v>
      </c>
      <c r="AB63" s="102">
        <v>96.5</v>
      </c>
      <c r="AC63" s="102">
        <v>96.7</v>
      </c>
      <c r="AD63" s="102">
        <v>96.9</v>
      </c>
      <c r="AE63" s="102">
        <v>97.2</v>
      </c>
      <c r="AF63" s="102">
        <v>91.1</v>
      </c>
      <c r="AG63" s="88">
        <v>144</v>
      </c>
      <c r="AH63" s="12">
        <f t="shared" si="8"/>
        <v>97.2</v>
      </c>
      <c r="AI63" s="11">
        <f t="shared" si="9"/>
        <v>30.5</v>
      </c>
      <c r="AK63" s="19"/>
    </row>
    <row r="64" spans="1:88" x14ac:dyDescent="0.25">
      <c r="A64" s="87" t="s">
        <v>203</v>
      </c>
      <c r="B64" s="102">
        <v>69.5</v>
      </c>
      <c r="C64" s="102">
        <v>69.5</v>
      </c>
      <c r="D64" s="102">
        <v>60</v>
      </c>
      <c r="E64" s="70">
        <v>50.4</v>
      </c>
      <c r="F64" s="70">
        <v>23.1</v>
      </c>
      <c r="G64" s="70">
        <v>22.5</v>
      </c>
      <c r="H64" s="70">
        <v>50.5</v>
      </c>
      <c r="I64" s="70">
        <v>65.8</v>
      </c>
      <c r="J64" s="70">
        <v>45</v>
      </c>
      <c r="K64" s="70">
        <v>50.3</v>
      </c>
      <c r="L64" s="70">
        <v>60</v>
      </c>
      <c r="M64" s="70">
        <v>61.1</v>
      </c>
      <c r="N64" s="70">
        <v>55.1</v>
      </c>
      <c r="O64" s="70">
        <v>65.599999999999994</v>
      </c>
      <c r="P64" s="70">
        <v>44.7</v>
      </c>
      <c r="Q64" s="70">
        <v>46.7</v>
      </c>
      <c r="R64" s="70">
        <v>35</v>
      </c>
      <c r="S64" s="70">
        <v>0</v>
      </c>
      <c r="T64" s="70">
        <v>0</v>
      </c>
      <c r="U64" s="70">
        <v>0</v>
      </c>
      <c r="V64" s="70">
        <v>24.4</v>
      </c>
      <c r="W64" s="70">
        <v>34.799999999999997</v>
      </c>
      <c r="X64" s="102">
        <v>46.5</v>
      </c>
      <c r="Y64" s="102">
        <v>69.2</v>
      </c>
      <c r="Z64" s="102">
        <v>70</v>
      </c>
      <c r="AA64" s="102">
        <v>67.400000000000006</v>
      </c>
      <c r="AB64" s="102">
        <v>67.400000000000006</v>
      </c>
      <c r="AC64" s="102">
        <v>70.2</v>
      </c>
      <c r="AD64" s="102">
        <v>68.900000000000006</v>
      </c>
      <c r="AE64" s="102">
        <v>49.2</v>
      </c>
      <c r="AF64" s="102">
        <v>47.4</v>
      </c>
      <c r="AG64" s="86">
        <v>70</v>
      </c>
      <c r="AH64" s="12">
        <f t="shared" si="8"/>
        <v>70.2</v>
      </c>
      <c r="AI64" s="11">
        <f t="shared" si="9"/>
        <v>0</v>
      </c>
      <c r="AK64" s="19"/>
    </row>
    <row r="65" spans="1:75" x14ac:dyDescent="0.25">
      <c r="A65" s="87" t="s">
        <v>202</v>
      </c>
      <c r="B65" s="102">
        <v>62.8</v>
      </c>
      <c r="C65" s="102">
        <v>62.8</v>
      </c>
      <c r="D65" s="102">
        <v>62.7</v>
      </c>
      <c r="E65" s="70">
        <v>56.2</v>
      </c>
      <c r="F65" s="70">
        <v>50</v>
      </c>
      <c r="G65" s="70">
        <v>50</v>
      </c>
      <c r="H65" s="70">
        <v>50.3</v>
      </c>
      <c r="I65" s="70">
        <v>50.1</v>
      </c>
      <c r="J65" s="70">
        <v>68</v>
      </c>
      <c r="K65" s="70">
        <v>50.6</v>
      </c>
      <c r="L65" s="70">
        <v>53</v>
      </c>
      <c r="M65" s="70">
        <v>59.6</v>
      </c>
      <c r="N65" s="70">
        <v>46.7</v>
      </c>
      <c r="O65" s="70">
        <v>46.7</v>
      </c>
      <c r="P65" s="70">
        <v>40</v>
      </c>
      <c r="Q65" s="70">
        <v>32.6</v>
      </c>
      <c r="R65" s="70">
        <v>31.9</v>
      </c>
      <c r="S65" s="70">
        <v>16</v>
      </c>
      <c r="T65" s="70">
        <v>33</v>
      </c>
      <c r="U65" s="70">
        <v>32.9</v>
      </c>
      <c r="V65" s="70">
        <v>21</v>
      </c>
      <c r="W65" s="70">
        <v>21</v>
      </c>
      <c r="X65" s="102">
        <v>34.700000000000003</v>
      </c>
      <c r="Y65" s="102">
        <v>70</v>
      </c>
      <c r="Z65" s="102">
        <v>68.900000000000006</v>
      </c>
      <c r="AA65" s="102">
        <v>68.900000000000006</v>
      </c>
      <c r="AB65" s="102">
        <v>68.900000000000006</v>
      </c>
      <c r="AC65" s="102">
        <v>68.2</v>
      </c>
      <c r="AD65" s="102">
        <v>68</v>
      </c>
      <c r="AE65" s="102">
        <v>56.5</v>
      </c>
      <c r="AF65" s="102">
        <v>44.6</v>
      </c>
      <c r="AG65" s="86">
        <v>69</v>
      </c>
      <c r="AH65" s="12">
        <f t="shared" si="8"/>
        <v>70</v>
      </c>
      <c r="AI65" s="11">
        <f t="shared" si="9"/>
        <v>16</v>
      </c>
      <c r="AK65" s="19"/>
    </row>
    <row r="66" spans="1:75" x14ac:dyDescent="0.25">
      <c r="A66" s="87" t="s">
        <v>201</v>
      </c>
      <c r="B66" s="102">
        <v>60.2</v>
      </c>
      <c r="C66" s="102">
        <v>60.2</v>
      </c>
      <c r="D66" s="102">
        <v>60.2</v>
      </c>
      <c r="E66" s="70">
        <v>60.9</v>
      </c>
      <c r="F66" s="70">
        <v>60.7</v>
      </c>
      <c r="G66" s="70">
        <v>60.7</v>
      </c>
      <c r="H66" s="70">
        <v>60.9</v>
      </c>
      <c r="I66" s="70">
        <v>60.7</v>
      </c>
      <c r="J66" s="70">
        <v>60.7</v>
      </c>
      <c r="K66" s="122">
        <v>60.4</v>
      </c>
      <c r="L66" s="122">
        <v>60.7</v>
      </c>
      <c r="M66" s="70">
        <v>60.4</v>
      </c>
      <c r="N66" s="70">
        <v>60.4</v>
      </c>
      <c r="O66" s="70">
        <v>60</v>
      </c>
      <c r="P66" s="70">
        <v>60</v>
      </c>
      <c r="Q66" s="70">
        <v>60.9</v>
      </c>
      <c r="R66" s="70">
        <v>60.9</v>
      </c>
      <c r="S66" s="70">
        <v>60.9</v>
      </c>
      <c r="T66" s="70">
        <v>60.9</v>
      </c>
      <c r="U66" s="70">
        <v>56.7</v>
      </c>
      <c r="V66" s="70">
        <v>60.4</v>
      </c>
      <c r="W66" s="70">
        <v>60.4</v>
      </c>
      <c r="X66" s="102">
        <v>58.5</v>
      </c>
      <c r="Y66" s="102">
        <v>57.4</v>
      </c>
      <c r="Z66" s="102">
        <v>57.4</v>
      </c>
      <c r="AA66" s="102">
        <v>55.4</v>
      </c>
      <c r="AB66" s="102">
        <v>55.4</v>
      </c>
      <c r="AC66" s="102">
        <v>55.7</v>
      </c>
      <c r="AD66" s="102">
        <v>59</v>
      </c>
      <c r="AE66" s="102">
        <v>60.2</v>
      </c>
      <c r="AF66" s="102">
        <v>60.4</v>
      </c>
      <c r="AG66" s="86">
        <v>60</v>
      </c>
      <c r="AH66" s="12">
        <f t="shared" si="8"/>
        <v>60.9</v>
      </c>
      <c r="AI66" s="11">
        <f t="shared" si="9"/>
        <v>55.4</v>
      </c>
      <c r="AK66" s="19"/>
    </row>
    <row r="67" spans="1:75" x14ac:dyDescent="0.25">
      <c r="A67" s="87" t="s">
        <v>200</v>
      </c>
      <c r="B67" s="102">
        <v>0</v>
      </c>
      <c r="C67" s="102">
        <v>0</v>
      </c>
      <c r="D67" s="102">
        <v>0</v>
      </c>
      <c r="E67" s="102">
        <v>0</v>
      </c>
      <c r="F67" s="102">
        <v>15</v>
      </c>
      <c r="G67" s="102">
        <v>15</v>
      </c>
      <c r="H67" s="102">
        <v>15</v>
      </c>
      <c r="I67" s="102">
        <v>29.5</v>
      </c>
      <c r="J67" s="70">
        <v>23.2</v>
      </c>
      <c r="K67" s="70">
        <v>23.2</v>
      </c>
      <c r="L67" s="122">
        <v>22.7</v>
      </c>
      <c r="M67" s="70">
        <v>23.4</v>
      </c>
      <c r="N67" s="70">
        <v>10.6</v>
      </c>
      <c r="O67" s="70">
        <v>10</v>
      </c>
      <c r="P67" s="70">
        <v>10</v>
      </c>
      <c r="Q67" s="70">
        <v>14.2</v>
      </c>
      <c r="R67" s="70">
        <v>23</v>
      </c>
      <c r="S67" s="70">
        <v>22.4</v>
      </c>
      <c r="T67" s="70">
        <v>22.4</v>
      </c>
      <c r="U67" s="70">
        <v>24.9</v>
      </c>
      <c r="V67" s="70">
        <v>9.9</v>
      </c>
      <c r="W67" s="70">
        <v>9.9</v>
      </c>
      <c r="X67" s="102">
        <v>9.8000000000000007</v>
      </c>
      <c r="Y67" s="102">
        <v>9.8000000000000007</v>
      </c>
      <c r="Z67" s="102">
        <v>14.4</v>
      </c>
      <c r="AA67" s="102">
        <v>27</v>
      </c>
      <c r="AB67" s="102">
        <v>23.7</v>
      </c>
      <c r="AC67" s="102">
        <v>9.6999999999999993</v>
      </c>
      <c r="AD67" s="102">
        <v>9.6</v>
      </c>
      <c r="AE67" s="102">
        <v>9.1999999999999993</v>
      </c>
      <c r="AF67" s="102">
        <v>0</v>
      </c>
      <c r="AG67" s="86">
        <v>30</v>
      </c>
      <c r="AH67" s="12">
        <f t="shared" si="8"/>
        <v>29.5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25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0.4</v>
      </c>
      <c r="J68" s="102">
        <v>1.4</v>
      </c>
      <c r="K68" s="102">
        <v>3.2</v>
      </c>
      <c r="L68" s="70">
        <v>4.0999999999999996</v>
      </c>
      <c r="M68" s="70">
        <v>5.9</v>
      </c>
      <c r="N68" s="70">
        <v>9.9</v>
      </c>
      <c r="O68" s="70">
        <v>13.8</v>
      </c>
      <c r="P68" s="70">
        <v>15.2</v>
      </c>
      <c r="Q68" s="70">
        <v>15.7</v>
      </c>
      <c r="R68" s="70">
        <v>14.6</v>
      </c>
      <c r="S68" s="70">
        <v>12.5</v>
      </c>
      <c r="T68" s="70">
        <v>9.5</v>
      </c>
      <c r="U68" s="70">
        <v>4.9000000000000004</v>
      </c>
      <c r="V68" s="70">
        <v>1.6</v>
      </c>
      <c r="W68" s="70">
        <v>0.8</v>
      </c>
      <c r="X68" s="102">
        <v>0.3</v>
      </c>
      <c r="Y68" s="102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15.7</v>
      </c>
      <c r="AI68" s="11">
        <f t="shared" si="9"/>
        <v>0</v>
      </c>
      <c r="AK68" s="19"/>
      <c r="AY68" s="1" t="s">
        <v>198</v>
      </c>
      <c r="AZ68" s="78">
        <f>ROUND(C81,0)</f>
        <v>5</v>
      </c>
      <c r="BA68" s="83">
        <f t="shared" ref="BA68:BD72" si="36">D81</f>
        <v>5.6</v>
      </c>
      <c r="BB68" s="83">
        <f t="shared" si="36"/>
        <v>2.5</v>
      </c>
      <c r="BC68" s="83">
        <f t="shared" si="36"/>
        <v>2.6</v>
      </c>
      <c r="BD68" s="83">
        <f t="shared" si="36"/>
        <v>6.5</v>
      </c>
      <c r="BE68" s="78">
        <f>I81</f>
        <v>25.3</v>
      </c>
      <c r="BF68" s="78">
        <f>K81</f>
        <v>62</v>
      </c>
      <c r="BG68" s="78">
        <f t="shared" ref="BG68:BP72" si="37">M81</f>
        <v>59.5</v>
      </c>
      <c r="BH68" s="78">
        <f t="shared" si="37"/>
        <v>74</v>
      </c>
      <c r="BI68" s="78">
        <f t="shared" si="37"/>
        <v>56</v>
      </c>
      <c r="BJ68" s="78">
        <f t="shared" si="37"/>
        <v>59.3</v>
      </c>
      <c r="BK68" s="78">
        <f t="shared" si="37"/>
        <v>69.3</v>
      </c>
      <c r="BL68" s="78">
        <f t="shared" si="37"/>
        <v>79</v>
      </c>
      <c r="BM68" s="78">
        <f t="shared" si="37"/>
        <v>69</v>
      </c>
      <c r="BN68" s="78">
        <f t="shared" si="37"/>
        <v>73.900000000000006</v>
      </c>
      <c r="BO68" s="78">
        <f t="shared" si="37"/>
        <v>53.2</v>
      </c>
      <c r="BP68" s="78">
        <f t="shared" si="37"/>
        <v>65.3</v>
      </c>
      <c r="BQ68" s="78">
        <f>X81</f>
        <v>66</v>
      </c>
      <c r="BR68" s="78">
        <f>Z81</f>
        <v>18.5</v>
      </c>
      <c r="BS68" s="83">
        <f>AB81</f>
        <v>16.8</v>
      </c>
      <c r="BT68" s="83">
        <f t="shared" ref="BT68:BV72" si="38">AD81</f>
        <v>29.1</v>
      </c>
      <c r="BU68" s="83">
        <f t="shared" si="38"/>
        <v>23</v>
      </c>
      <c r="BV68" s="83">
        <f t="shared" si="38"/>
        <v>24.2</v>
      </c>
      <c r="BW68" s="83">
        <f>B81</f>
        <v>6.9</v>
      </c>
    </row>
    <row r="69" spans="1:75" x14ac:dyDescent="0.25">
      <c r="A69" s="87" t="s">
        <v>197</v>
      </c>
      <c r="B69" s="70">
        <v>15</v>
      </c>
      <c r="C69" s="70">
        <v>15</v>
      </c>
      <c r="D69" s="70">
        <v>15</v>
      </c>
      <c r="E69" s="70">
        <v>15</v>
      </c>
      <c r="F69" s="70">
        <v>15</v>
      </c>
      <c r="G69" s="70">
        <v>15</v>
      </c>
      <c r="H69" s="70">
        <v>15</v>
      </c>
      <c r="I69" s="70">
        <v>15</v>
      </c>
      <c r="J69" s="70">
        <v>15</v>
      </c>
      <c r="K69" s="70">
        <v>15</v>
      </c>
      <c r="L69" s="70">
        <v>15</v>
      </c>
      <c r="M69" s="70">
        <v>15</v>
      </c>
      <c r="N69" s="70">
        <v>15</v>
      </c>
      <c r="O69" s="70">
        <v>15</v>
      </c>
      <c r="P69" s="70">
        <v>15</v>
      </c>
      <c r="Q69" s="70">
        <v>15</v>
      </c>
      <c r="R69" s="70">
        <v>15</v>
      </c>
      <c r="S69" s="70">
        <v>15</v>
      </c>
      <c r="T69" s="70">
        <v>15</v>
      </c>
      <c r="U69" s="70">
        <v>15</v>
      </c>
      <c r="V69" s="70">
        <v>15</v>
      </c>
      <c r="W69" s="70">
        <v>15</v>
      </c>
      <c r="X69" s="70">
        <v>15</v>
      </c>
      <c r="Y69" s="70">
        <v>15</v>
      </c>
      <c r="Z69" s="70">
        <v>15</v>
      </c>
      <c r="AA69" s="70">
        <v>15</v>
      </c>
      <c r="AB69" s="70">
        <v>15</v>
      </c>
      <c r="AC69" s="70">
        <v>15</v>
      </c>
      <c r="AD69" s="70">
        <v>15</v>
      </c>
      <c r="AE69" s="70">
        <v>15</v>
      </c>
      <c r="AF69" s="70">
        <v>15</v>
      </c>
      <c r="AG69" s="86">
        <v>24</v>
      </c>
      <c r="AH69" s="12">
        <f t="shared" si="8"/>
        <v>15</v>
      </c>
      <c r="AI69" s="11">
        <f t="shared" si="9"/>
        <v>15</v>
      </c>
      <c r="AK69" s="19"/>
      <c r="AY69" s="1" t="s">
        <v>196</v>
      </c>
      <c r="AZ69" s="78">
        <f>ROUND(C82,0)</f>
        <v>0</v>
      </c>
      <c r="BA69" s="83">
        <f t="shared" si="36"/>
        <v>0</v>
      </c>
      <c r="BB69" s="83">
        <f t="shared" si="36"/>
        <v>0</v>
      </c>
      <c r="BC69" s="83">
        <f t="shared" si="36"/>
        <v>0</v>
      </c>
      <c r="BD69" s="83">
        <f t="shared" si="36"/>
        <v>0</v>
      </c>
      <c r="BE69" s="78">
        <f>I82</f>
        <v>0</v>
      </c>
      <c r="BF69" s="78">
        <f>K82</f>
        <v>0</v>
      </c>
      <c r="BG69" s="78">
        <f t="shared" si="37"/>
        <v>0</v>
      </c>
      <c r="BH69" s="78">
        <f t="shared" si="37"/>
        <v>0</v>
      </c>
      <c r="BI69" s="78">
        <f t="shared" si="37"/>
        <v>0</v>
      </c>
      <c r="BJ69" s="78">
        <f t="shared" si="37"/>
        <v>0</v>
      </c>
      <c r="BK69" s="78">
        <f t="shared" si="37"/>
        <v>0</v>
      </c>
      <c r="BL69" s="78">
        <f t="shared" si="37"/>
        <v>0</v>
      </c>
      <c r="BM69" s="78">
        <f t="shared" si="37"/>
        <v>0</v>
      </c>
      <c r="BN69" s="78">
        <f t="shared" si="37"/>
        <v>0</v>
      </c>
      <c r="BO69" s="78">
        <f t="shared" si="37"/>
        <v>0</v>
      </c>
      <c r="BP69" s="78">
        <f t="shared" si="37"/>
        <v>0</v>
      </c>
      <c r="BQ69" s="78">
        <f>X82</f>
        <v>0</v>
      </c>
      <c r="BR69" s="78">
        <f>Z82</f>
        <v>0</v>
      </c>
      <c r="BS69" s="83">
        <f>AB82</f>
        <v>0</v>
      </c>
      <c r="BT69" s="83">
        <f t="shared" si="38"/>
        <v>0</v>
      </c>
      <c r="BU69" s="83">
        <f t="shared" si="38"/>
        <v>0</v>
      </c>
      <c r="BV69" s="83">
        <f t="shared" si="38"/>
        <v>0</v>
      </c>
      <c r="BW69" s="83">
        <f>B82</f>
        <v>0</v>
      </c>
    </row>
    <row r="70" spans="1:75" x14ac:dyDescent="0.25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0</v>
      </c>
      <c r="BA70" s="83">
        <f t="shared" si="36"/>
        <v>0</v>
      </c>
      <c r="BB70" s="83">
        <f t="shared" si="36"/>
        <v>5</v>
      </c>
      <c r="BC70" s="83">
        <f t="shared" si="36"/>
        <v>0</v>
      </c>
      <c r="BD70" s="83">
        <f t="shared" si="36"/>
        <v>2</v>
      </c>
      <c r="BE70" s="78">
        <f>I83</f>
        <v>16</v>
      </c>
      <c r="BF70" s="78">
        <f>K83</f>
        <v>455</v>
      </c>
      <c r="BG70" s="78">
        <f t="shared" si="37"/>
        <v>476</v>
      </c>
      <c r="BH70" s="78">
        <f t="shared" si="37"/>
        <v>488</v>
      </c>
      <c r="BI70" s="78">
        <f t="shared" si="37"/>
        <v>465</v>
      </c>
      <c r="BJ70" s="78">
        <f t="shared" si="37"/>
        <v>476</v>
      </c>
      <c r="BK70" s="78">
        <f t="shared" si="37"/>
        <v>465</v>
      </c>
      <c r="BL70" s="78">
        <f t="shared" si="37"/>
        <v>445</v>
      </c>
      <c r="BM70" s="78">
        <f t="shared" si="37"/>
        <v>449.9</v>
      </c>
      <c r="BN70" s="78">
        <f t="shared" si="37"/>
        <v>462</v>
      </c>
      <c r="BO70" s="78">
        <f t="shared" si="37"/>
        <v>498.1</v>
      </c>
      <c r="BP70" s="78">
        <f t="shared" si="37"/>
        <v>501.1</v>
      </c>
      <c r="BQ70" s="78">
        <f>X83</f>
        <v>400</v>
      </c>
      <c r="BR70" s="78">
        <f>Z83</f>
        <v>0</v>
      </c>
      <c r="BS70" s="83">
        <f>AB83</f>
        <v>9.9</v>
      </c>
      <c r="BT70" s="83">
        <f t="shared" si="38"/>
        <v>30.2</v>
      </c>
      <c r="BU70" s="83">
        <f t="shared" si="38"/>
        <v>26</v>
      </c>
      <c r="BV70" s="83">
        <f t="shared" si="38"/>
        <v>54.7</v>
      </c>
      <c r="BW70" s="83">
        <f>B83</f>
        <v>2</v>
      </c>
    </row>
    <row r="71" spans="1:75" s="115" customFormat="1" x14ac:dyDescent="0.25">
      <c r="A71" s="87" t="s">
        <v>193</v>
      </c>
      <c r="B71" s="70">
        <v>13.3</v>
      </c>
      <c r="C71" s="70">
        <v>13.3</v>
      </c>
      <c r="D71" s="70">
        <v>13.3</v>
      </c>
      <c r="E71" s="70">
        <v>13.3</v>
      </c>
      <c r="F71" s="70">
        <v>13.3</v>
      </c>
      <c r="G71" s="70">
        <v>13.3</v>
      </c>
      <c r="H71" s="70">
        <v>13.3</v>
      </c>
      <c r="I71" s="70">
        <v>13.3</v>
      </c>
      <c r="J71" s="70">
        <v>13.3</v>
      </c>
      <c r="K71" s="70">
        <v>13.3</v>
      </c>
      <c r="L71" s="70">
        <v>13.3</v>
      </c>
      <c r="M71" s="70">
        <v>11.5</v>
      </c>
      <c r="N71" s="70">
        <v>12.3</v>
      </c>
      <c r="O71" s="70">
        <v>12.3</v>
      </c>
      <c r="P71" s="70">
        <v>12.3</v>
      </c>
      <c r="Q71" s="70">
        <v>12.1</v>
      </c>
      <c r="R71" s="70">
        <v>12.1</v>
      </c>
      <c r="S71" s="70">
        <v>12.1</v>
      </c>
      <c r="T71" s="70">
        <v>12.1</v>
      </c>
      <c r="U71" s="70">
        <v>12.1</v>
      </c>
      <c r="V71" s="70">
        <v>12.1</v>
      </c>
      <c r="W71" s="70">
        <v>12.1</v>
      </c>
      <c r="X71" s="70">
        <v>12.1</v>
      </c>
      <c r="Y71" s="70">
        <v>12.1</v>
      </c>
      <c r="Z71" s="70">
        <v>12.1</v>
      </c>
      <c r="AA71" s="70">
        <v>12.1</v>
      </c>
      <c r="AB71" s="70">
        <v>12.1</v>
      </c>
      <c r="AC71" s="70">
        <v>11.6</v>
      </c>
      <c r="AD71" s="70">
        <v>11.6</v>
      </c>
      <c r="AE71" s="70">
        <v>11.6</v>
      </c>
      <c r="AF71" s="70">
        <v>11.6</v>
      </c>
      <c r="AG71" s="86">
        <v>14.1</v>
      </c>
      <c r="AH71" s="12">
        <f t="shared" si="8"/>
        <v>13.3</v>
      </c>
      <c r="AI71" s="11">
        <f t="shared" si="9"/>
        <v>11.5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36"/>
        <v>0</v>
      </c>
      <c r="BB71" s="83">
        <f t="shared" si="36"/>
        <v>0</v>
      </c>
      <c r="BC71" s="83">
        <f t="shared" si="36"/>
        <v>0</v>
      </c>
      <c r="BD71" s="83">
        <f t="shared" si="36"/>
        <v>0</v>
      </c>
      <c r="BE71" s="78">
        <f>I84</f>
        <v>0</v>
      </c>
      <c r="BF71" s="78">
        <f>K84</f>
        <v>0</v>
      </c>
      <c r="BG71" s="78">
        <f t="shared" si="37"/>
        <v>8.5</v>
      </c>
      <c r="BH71" s="78">
        <f t="shared" si="37"/>
        <v>6.9</v>
      </c>
      <c r="BI71" s="78">
        <f t="shared" si="37"/>
        <v>6.6</v>
      </c>
      <c r="BJ71" s="78">
        <f t="shared" si="37"/>
        <v>4</v>
      </c>
      <c r="BK71" s="78">
        <f t="shared" si="37"/>
        <v>8</v>
      </c>
      <c r="BL71" s="78">
        <f t="shared" si="37"/>
        <v>6</v>
      </c>
      <c r="BM71" s="78">
        <f t="shared" si="37"/>
        <v>0</v>
      </c>
      <c r="BN71" s="78">
        <f t="shared" si="37"/>
        <v>0</v>
      </c>
      <c r="BO71" s="78">
        <f t="shared" si="37"/>
        <v>0</v>
      </c>
      <c r="BP71" s="78">
        <f t="shared" si="37"/>
        <v>0</v>
      </c>
      <c r="BQ71" s="78">
        <f>X84</f>
        <v>0</v>
      </c>
      <c r="BR71" s="78">
        <f>Z84</f>
        <v>0</v>
      </c>
      <c r="BS71" s="83">
        <f>AB84</f>
        <v>0</v>
      </c>
      <c r="BT71" s="83">
        <f t="shared" si="38"/>
        <v>0</v>
      </c>
      <c r="BU71" s="83">
        <f t="shared" si="38"/>
        <v>0</v>
      </c>
      <c r="BV71" s="83">
        <f t="shared" si="38"/>
        <v>0</v>
      </c>
      <c r="BW71" s="83">
        <f>B84</f>
        <v>0</v>
      </c>
    </row>
    <row r="72" spans="1:75" x14ac:dyDescent="0.25">
      <c r="A72" s="111" t="s">
        <v>191</v>
      </c>
      <c r="B72" s="70">
        <v>10.3</v>
      </c>
      <c r="C72" s="70">
        <v>10.3</v>
      </c>
      <c r="D72" s="70">
        <v>10.3</v>
      </c>
      <c r="E72" s="70">
        <v>10.3</v>
      </c>
      <c r="F72" s="70">
        <v>10.3</v>
      </c>
      <c r="G72" s="70">
        <v>10.3</v>
      </c>
      <c r="H72" s="70">
        <v>10.3</v>
      </c>
      <c r="I72" s="70">
        <v>10.3</v>
      </c>
      <c r="J72" s="70">
        <v>10.3</v>
      </c>
      <c r="K72" s="70">
        <v>10.3</v>
      </c>
      <c r="L72" s="70">
        <v>8</v>
      </c>
      <c r="M72" s="70">
        <v>8</v>
      </c>
      <c r="N72" s="70">
        <v>7</v>
      </c>
      <c r="O72" s="70">
        <v>7</v>
      </c>
      <c r="P72" s="70">
        <v>7</v>
      </c>
      <c r="Q72" s="70">
        <v>7.4</v>
      </c>
      <c r="R72" s="70">
        <v>7.4</v>
      </c>
      <c r="S72" s="70">
        <v>7.4</v>
      </c>
      <c r="T72" s="70">
        <v>7.4</v>
      </c>
      <c r="U72" s="70">
        <v>7.4</v>
      </c>
      <c r="V72" s="70">
        <v>7.4</v>
      </c>
      <c r="W72" s="70">
        <v>7.4</v>
      </c>
      <c r="X72" s="70">
        <v>7.4</v>
      </c>
      <c r="Y72" s="70">
        <v>7.4</v>
      </c>
      <c r="Z72" s="70">
        <v>7.4</v>
      </c>
      <c r="AA72" s="70">
        <v>7.4</v>
      </c>
      <c r="AB72" s="70">
        <v>8.3000000000000007</v>
      </c>
      <c r="AC72" s="70">
        <v>8.3000000000000007</v>
      </c>
      <c r="AD72" s="70">
        <v>8.3000000000000007</v>
      </c>
      <c r="AE72" s="70">
        <v>9.5</v>
      </c>
      <c r="AF72" s="70">
        <v>10</v>
      </c>
      <c r="AG72" s="86">
        <v>14</v>
      </c>
      <c r="AH72" s="12">
        <f t="shared" si="8"/>
        <v>10.3</v>
      </c>
      <c r="AI72" s="11">
        <f t="shared" si="9"/>
        <v>7</v>
      </c>
      <c r="AK72" s="19"/>
      <c r="AY72" s="1" t="s">
        <v>190</v>
      </c>
      <c r="AZ72" s="78">
        <f>ROUND(C85,0)</f>
        <v>0</v>
      </c>
      <c r="BA72" s="83">
        <f t="shared" si="36"/>
        <v>0</v>
      </c>
      <c r="BB72" s="83">
        <f t="shared" si="36"/>
        <v>0</v>
      </c>
      <c r="BC72" s="83">
        <f t="shared" si="36"/>
        <v>0</v>
      </c>
      <c r="BD72" s="83">
        <f t="shared" si="36"/>
        <v>0</v>
      </c>
      <c r="BE72" s="78">
        <f>I85</f>
        <v>0</v>
      </c>
      <c r="BF72" s="78">
        <f>K85</f>
        <v>0</v>
      </c>
      <c r="BG72" s="78">
        <f t="shared" si="37"/>
        <v>0</v>
      </c>
      <c r="BH72" s="78">
        <f t="shared" si="37"/>
        <v>24.4</v>
      </c>
      <c r="BI72" s="78">
        <f t="shared" si="37"/>
        <v>27.7</v>
      </c>
      <c r="BJ72" s="78">
        <f t="shared" si="37"/>
        <v>24.5</v>
      </c>
      <c r="BK72" s="78">
        <f t="shared" si="37"/>
        <v>24.4</v>
      </c>
      <c r="BL72" s="78">
        <f t="shared" si="37"/>
        <v>24.1</v>
      </c>
      <c r="BM72" s="78">
        <f t="shared" si="37"/>
        <v>24.9</v>
      </c>
      <c r="BN72" s="78">
        <f t="shared" si="37"/>
        <v>21</v>
      </c>
      <c r="BO72" s="78">
        <f t="shared" si="37"/>
        <v>12.1</v>
      </c>
      <c r="BP72" s="78">
        <f t="shared" si="37"/>
        <v>0</v>
      </c>
      <c r="BQ72" s="78">
        <f>X85</f>
        <v>0</v>
      </c>
      <c r="BR72" s="78">
        <f>Z85</f>
        <v>0</v>
      </c>
      <c r="BS72" s="83">
        <f>AB85</f>
        <v>0</v>
      </c>
      <c r="BT72" s="83">
        <f t="shared" si="38"/>
        <v>0</v>
      </c>
      <c r="BU72" s="83">
        <f t="shared" si="38"/>
        <v>0</v>
      </c>
      <c r="BV72" s="83">
        <f t="shared" si="38"/>
        <v>0</v>
      </c>
      <c r="BW72" s="83">
        <f>B85</f>
        <v>0</v>
      </c>
    </row>
    <row r="73" spans="1:75" x14ac:dyDescent="0.25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8"/>
        <v>4</v>
      </c>
      <c r="AI73" s="11">
        <f t="shared" si="9"/>
        <v>4</v>
      </c>
      <c r="AK73" s="19"/>
      <c r="AY73" s="1" t="s">
        <v>188</v>
      </c>
      <c r="AZ73" s="78">
        <f>ROUND(C91,0)</f>
        <v>38</v>
      </c>
      <c r="BA73" s="78">
        <f>D91</f>
        <v>41</v>
      </c>
      <c r="BB73" s="78">
        <f>E91</f>
        <v>34.1</v>
      </c>
      <c r="BC73" s="78">
        <f>F91</f>
        <v>34.700000000000003</v>
      </c>
      <c r="BD73" s="78">
        <f>G91</f>
        <v>31.6</v>
      </c>
      <c r="BE73" s="78">
        <f>I91</f>
        <v>40</v>
      </c>
      <c r="BF73" s="78">
        <f>K91</f>
        <v>48</v>
      </c>
      <c r="BG73" s="78">
        <f t="shared" ref="BG73:BP73" si="39">M91</f>
        <v>49</v>
      </c>
      <c r="BH73" s="78">
        <f t="shared" si="39"/>
        <v>52</v>
      </c>
      <c r="BI73" s="78">
        <f t="shared" si="39"/>
        <v>50.1</v>
      </c>
      <c r="BJ73" s="78">
        <f t="shared" si="39"/>
        <v>54</v>
      </c>
      <c r="BK73" s="78">
        <f t="shared" si="39"/>
        <v>53.2</v>
      </c>
      <c r="BL73" s="78">
        <f t="shared" si="39"/>
        <v>42.9</v>
      </c>
      <c r="BM73" s="78">
        <f t="shared" si="39"/>
        <v>36.1</v>
      </c>
      <c r="BN73" s="78">
        <f t="shared" si="39"/>
        <v>31.1</v>
      </c>
      <c r="BO73" s="78">
        <f t="shared" si="39"/>
        <v>37.4</v>
      </c>
      <c r="BP73" s="78">
        <f t="shared" si="39"/>
        <v>37.4</v>
      </c>
      <c r="BQ73" s="78">
        <f>X91</f>
        <v>32.4</v>
      </c>
      <c r="BR73" s="78">
        <f>Z91</f>
        <v>35.9</v>
      </c>
      <c r="BS73" s="78">
        <f>AB91</f>
        <v>34.4</v>
      </c>
      <c r="BT73" s="78">
        <f>AD91</f>
        <v>34.299999999999997</v>
      </c>
      <c r="BU73" s="78">
        <f>AE91</f>
        <v>42</v>
      </c>
      <c r="BV73" s="78">
        <f>AF91</f>
        <v>44.4</v>
      </c>
      <c r="BW73" s="78">
        <f>B91</f>
        <v>40.5</v>
      </c>
    </row>
    <row r="74" spans="1:75" x14ac:dyDescent="0.25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.75" thickBot="1" x14ac:dyDescent="0.3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3.54</v>
      </c>
      <c r="Z75" s="113">
        <v>3.54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3.54</v>
      </c>
      <c r="AK75" s="19"/>
      <c r="AZ75" s="78">
        <f t="shared" ref="AZ75:BW80" si="40">VALUE(AZ68)</f>
        <v>5</v>
      </c>
      <c r="BA75" s="78">
        <f t="shared" si="40"/>
        <v>5.6</v>
      </c>
      <c r="BB75" s="78">
        <f t="shared" si="40"/>
        <v>2.5</v>
      </c>
      <c r="BC75" s="78">
        <f t="shared" si="40"/>
        <v>2.6</v>
      </c>
      <c r="BD75" s="78">
        <f t="shared" si="40"/>
        <v>6.5</v>
      </c>
      <c r="BE75" s="78">
        <f t="shared" si="40"/>
        <v>25.3</v>
      </c>
      <c r="BF75" s="78">
        <f t="shared" si="40"/>
        <v>62</v>
      </c>
      <c r="BG75" s="78">
        <f t="shared" si="40"/>
        <v>59.5</v>
      </c>
      <c r="BH75" s="78">
        <f t="shared" si="40"/>
        <v>74</v>
      </c>
      <c r="BI75" s="78">
        <f t="shared" si="40"/>
        <v>56</v>
      </c>
      <c r="BJ75" s="78">
        <f t="shared" si="40"/>
        <v>59.3</v>
      </c>
      <c r="BK75" s="78">
        <f t="shared" si="40"/>
        <v>69.3</v>
      </c>
      <c r="BL75" s="78">
        <f t="shared" si="40"/>
        <v>79</v>
      </c>
      <c r="BM75" s="78">
        <f t="shared" si="40"/>
        <v>69</v>
      </c>
      <c r="BN75" s="78">
        <f t="shared" si="40"/>
        <v>73.900000000000006</v>
      </c>
      <c r="BO75" s="78">
        <f t="shared" si="40"/>
        <v>53.2</v>
      </c>
      <c r="BP75" s="78">
        <f t="shared" si="40"/>
        <v>65.3</v>
      </c>
      <c r="BQ75" s="78">
        <f t="shared" si="40"/>
        <v>66</v>
      </c>
      <c r="BR75" s="78">
        <f t="shared" si="40"/>
        <v>18.5</v>
      </c>
      <c r="BS75" s="78">
        <f t="shared" si="40"/>
        <v>16.8</v>
      </c>
      <c r="BT75" s="78">
        <f t="shared" si="40"/>
        <v>29.1</v>
      </c>
      <c r="BU75" s="78">
        <f t="shared" si="40"/>
        <v>23</v>
      </c>
      <c r="BV75" s="78">
        <f t="shared" si="40"/>
        <v>24.2</v>
      </c>
      <c r="BW75" s="78">
        <f t="shared" si="40"/>
        <v>6.9</v>
      </c>
    </row>
    <row r="76" spans="1:75" ht="15.75" thickBot="1" x14ac:dyDescent="0.3">
      <c r="A76" s="77" t="s">
        <v>186</v>
      </c>
      <c r="B76" s="76">
        <f t="shared" ref="B76:C76" si="41">SUM(B63:B75)</f>
        <v>311.74</v>
      </c>
      <c r="C76" s="76">
        <f t="shared" si="41"/>
        <v>311.74</v>
      </c>
      <c r="D76" s="76">
        <f t="shared" ref="D76:AG76" si="42">SUM(D63:D75)</f>
        <v>301.04000000000002</v>
      </c>
      <c r="E76" s="76">
        <f t="shared" si="42"/>
        <v>276.04000000000002</v>
      </c>
      <c r="F76" s="76">
        <f t="shared" si="42"/>
        <v>258.34000000000003</v>
      </c>
      <c r="G76" s="76">
        <f t="shared" si="42"/>
        <v>257.34000000000003</v>
      </c>
      <c r="H76" s="76">
        <f t="shared" si="42"/>
        <v>285.54000000000002</v>
      </c>
      <c r="I76" s="76">
        <f t="shared" si="42"/>
        <v>315.84000000000003</v>
      </c>
      <c r="J76" s="76">
        <f t="shared" si="42"/>
        <v>322.64</v>
      </c>
      <c r="K76" s="76">
        <f t="shared" si="42"/>
        <v>316.84000000000003</v>
      </c>
      <c r="L76" s="76">
        <f t="shared" si="42"/>
        <v>327.34000000000003</v>
      </c>
      <c r="M76" s="76">
        <f t="shared" si="42"/>
        <v>351.53999999999996</v>
      </c>
      <c r="N76" s="76">
        <f t="shared" si="42"/>
        <v>323.64</v>
      </c>
      <c r="O76" s="76">
        <f t="shared" si="42"/>
        <v>336.64000000000004</v>
      </c>
      <c r="P76" s="76">
        <f t="shared" si="42"/>
        <v>294.54000000000002</v>
      </c>
      <c r="Q76" s="76">
        <f t="shared" si="42"/>
        <v>275.53999999999996</v>
      </c>
      <c r="R76" s="76">
        <f t="shared" si="42"/>
        <v>279.44</v>
      </c>
      <c r="S76" s="76">
        <f t="shared" si="42"/>
        <v>186.84</v>
      </c>
      <c r="T76" s="76">
        <f t="shared" si="42"/>
        <v>213.14</v>
      </c>
      <c r="U76" s="76">
        <f t="shared" si="42"/>
        <v>193.94</v>
      </c>
      <c r="V76" s="76">
        <f t="shared" ref="V76:W76" si="43">SUM(V63:V75)</f>
        <v>191.84</v>
      </c>
      <c r="W76" s="76">
        <f t="shared" si="43"/>
        <v>201.44</v>
      </c>
      <c r="X76" s="76">
        <f t="shared" si="42"/>
        <v>255.74000000000004</v>
      </c>
      <c r="Y76" s="76">
        <f t="shared" ref="Y76:Z76" si="44">SUM(Y63:Y75)</f>
        <v>346.94</v>
      </c>
      <c r="Z76" s="76">
        <f t="shared" si="44"/>
        <v>351.24</v>
      </c>
      <c r="AA76" s="76">
        <f t="shared" ref="AA76" si="45">SUM(AA63:AA75)</f>
        <v>359.24</v>
      </c>
      <c r="AB76" s="76">
        <f t="shared" si="42"/>
        <v>356.84000000000003</v>
      </c>
      <c r="AC76" s="76">
        <f t="shared" si="42"/>
        <v>344.94000000000005</v>
      </c>
      <c r="AD76" s="76">
        <f t="shared" si="42"/>
        <v>346.84000000000009</v>
      </c>
      <c r="AE76" s="76">
        <f t="shared" si="42"/>
        <v>317.94000000000005</v>
      </c>
      <c r="AF76" s="76">
        <f t="shared" si="42"/>
        <v>289.64000000000004</v>
      </c>
      <c r="AG76" s="93">
        <f t="shared" si="42"/>
        <v>489.91</v>
      </c>
      <c r="AH76" s="12">
        <f t="shared" si="8"/>
        <v>359.24</v>
      </c>
      <c r="AI76" s="11">
        <f t="shared" si="9"/>
        <v>186.84</v>
      </c>
      <c r="AK76" s="19"/>
      <c r="AZ76" s="78">
        <f t="shared" si="40"/>
        <v>0</v>
      </c>
      <c r="BA76" s="78">
        <f t="shared" si="40"/>
        <v>0</v>
      </c>
      <c r="BB76" s="78">
        <f t="shared" si="40"/>
        <v>0</v>
      </c>
      <c r="BC76" s="78">
        <f t="shared" si="40"/>
        <v>0</v>
      </c>
      <c r="BD76" s="78">
        <f t="shared" si="40"/>
        <v>0</v>
      </c>
      <c r="BE76" s="78">
        <f t="shared" si="40"/>
        <v>0</v>
      </c>
      <c r="BF76" s="78">
        <f t="shared" si="40"/>
        <v>0</v>
      </c>
      <c r="BG76" s="78">
        <f t="shared" si="40"/>
        <v>0</v>
      </c>
      <c r="BH76" s="78">
        <f t="shared" si="40"/>
        <v>0</v>
      </c>
      <c r="BI76" s="78">
        <f t="shared" si="40"/>
        <v>0</v>
      </c>
      <c r="BJ76" s="78">
        <f t="shared" si="40"/>
        <v>0</v>
      </c>
      <c r="BK76" s="78">
        <f t="shared" si="40"/>
        <v>0</v>
      </c>
      <c r="BL76" s="78">
        <f t="shared" si="40"/>
        <v>0</v>
      </c>
      <c r="BM76" s="78">
        <f t="shared" si="40"/>
        <v>0</v>
      </c>
      <c r="BN76" s="78">
        <f t="shared" si="40"/>
        <v>0</v>
      </c>
      <c r="BO76" s="78">
        <f t="shared" si="40"/>
        <v>0</v>
      </c>
      <c r="BP76" s="78">
        <f t="shared" si="40"/>
        <v>0</v>
      </c>
      <c r="BQ76" s="78">
        <f t="shared" si="40"/>
        <v>0</v>
      </c>
      <c r="BR76" s="78">
        <f t="shared" si="40"/>
        <v>0</v>
      </c>
      <c r="BS76" s="78">
        <f t="shared" si="40"/>
        <v>0</v>
      </c>
      <c r="BT76" s="78">
        <f t="shared" si="40"/>
        <v>0</v>
      </c>
      <c r="BU76" s="78">
        <f t="shared" si="40"/>
        <v>0</v>
      </c>
      <c r="BV76" s="78">
        <f t="shared" si="40"/>
        <v>0</v>
      </c>
      <c r="BW76" s="78">
        <f t="shared" si="40"/>
        <v>0</v>
      </c>
    </row>
    <row r="77" spans="1:75" x14ac:dyDescent="0.25">
      <c r="A77" s="89" t="s">
        <v>185</v>
      </c>
      <c r="B77" s="102">
        <v>59.2</v>
      </c>
      <c r="C77" s="102">
        <v>59.2</v>
      </c>
      <c r="D77" s="102">
        <v>59.3</v>
      </c>
      <c r="E77" s="102">
        <v>50</v>
      </c>
      <c r="F77" s="102">
        <v>34</v>
      </c>
      <c r="G77" s="102">
        <v>40</v>
      </c>
      <c r="H77" s="102">
        <v>40</v>
      </c>
      <c r="I77" s="102">
        <v>49.1</v>
      </c>
      <c r="J77" s="102">
        <v>14</v>
      </c>
      <c r="K77" s="102">
        <v>20</v>
      </c>
      <c r="L77" s="102">
        <v>30.4</v>
      </c>
      <c r="M77" s="102">
        <v>34</v>
      </c>
      <c r="N77" s="102">
        <v>0</v>
      </c>
      <c r="O77" s="102">
        <v>25</v>
      </c>
      <c r="P77" s="102">
        <v>19.7</v>
      </c>
      <c r="Q77" s="102">
        <v>29.8</v>
      </c>
      <c r="R77" s="102">
        <v>29</v>
      </c>
      <c r="S77" s="102">
        <v>20</v>
      </c>
      <c r="T77" s="102">
        <v>12.2</v>
      </c>
      <c r="U77" s="102">
        <v>12.2</v>
      </c>
      <c r="V77" s="102">
        <v>0</v>
      </c>
      <c r="W77" s="102">
        <v>0</v>
      </c>
      <c r="X77" s="102">
        <v>0</v>
      </c>
      <c r="Y77" s="102">
        <v>34.799999999999997</v>
      </c>
      <c r="Z77" s="102">
        <v>59.2</v>
      </c>
      <c r="AA77" s="102">
        <v>58.8</v>
      </c>
      <c r="AB77" s="102">
        <v>58.8</v>
      </c>
      <c r="AC77" s="102">
        <v>59.4</v>
      </c>
      <c r="AD77" s="102">
        <v>59.4</v>
      </c>
      <c r="AE77" s="102">
        <v>59.4</v>
      </c>
      <c r="AF77" s="102">
        <v>59.5</v>
      </c>
      <c r="AG77" s="88">
        <v>60</v>
      </c>
      <c r="AH77" s="12">
        <f t="shared" si="8"/>
        <v>59.5</v>
      </c>
      <c r="AI77" s="11">
        <f t="shared" si="9"/>
        <v>0</v>
      </c>
      <c r="AK77" s="19"/>
      <c r="AZ77" s="78">
        <f t="shared" si="40"/>
        <v>0</v>
      </c>
      <c r="BA77" s="78">
        <f t="shared" si="40"/>
        <v>0</v>
      </c>
      <c r="BB77" s="78">
        <f t="shared" si="40"/>
        <v>5</v>
      </c>
      <c r="BC77" s="78">
        <f t="shared" si="40"/>
        <v>0</v>
      </c>
      <c r="BD77" s="78">
        <f t="shared" si="40"/>
        <v>2</v>
      </c>
      <c r="BE77" s="78">
        <f t="shared" si="40"/>
        <v>16</v>
      </c>
      <c r="BF77" s="78">
        <f t="shared" si="40"/>
        <v>455</v>
      </c>
      <c r="BG77" s="78">
        <f t="shared" si="40"/>
        <v>476</v>
      </c>
      <c r="BH77" s="78">
        <f t="shared" si="40"/>
        <v>488</v>
      </c>
      <c r="BI77" s="78">
        <f t="shared" si="40"/>
        <v>465</v>
      </c>
      <c r="BJ77" s="78">
        <f t="shared" si="40"/>
        <v>476</v>
      </c>
      <c r="BK77" s="78">
        <f t="shared" si="40"/>
        <v>465</v>
      </c>
      <c r="BL77" s="78">
        <f t="shared" si="40"/>
        <v>445</v>
      </c>
      <c r="BM77" s="78">
        <f t="shared" si="40"/>
        <v>449.9</v>
      </c>
      <c r="BN77" s="78">
        <f t="shared" si="40"/>
        <v>462</v>
      </c>
      <c r="BO77" s="78">
        <f t="shared" si="40"/>
        <v>498.1</v>
      </c>
      <c r="BP77" s="78">
        <f t="shared" si="40"/>
        <v>501.1</v>
      </c>
      <c r="BQ77" s="78">
        <f t="shared" si="40"/>
        <v>400</v>
      </c>
      <c r="BR77" s="78">
        <f t="shared" si="40"/>
        <v>0</v>
      </c>
      <c r="BS77" s="78">
        <f t="shared" si="40"/>
        <v>9.9</v>
      </c>
      <c r="BT77" s="78">
        <f t="shared" si="40"/>
        <v>30.2</v>
      </c>
      <c r="BU77" s="78">
        <f t="shared" si="40"/>
        <v>26</v>
      </c>
      <c r="BV77" s="78">
        <f t="shared" si="40"/>
        <v>54.7</v>
      </c>
      <c r="BW77" s="78">
        <f t="shared" si="40"/>
        <v>2</v>
      </c>
    </row>
    <row r="78" spans="1:75" x14ac:dyDescent="0.25">
      <c r="A78" s="87" t="s">
        <v>184</v>
      </c>
      <c r="B78" s="70">
        <v>27.5</v>
      </c>
      <c r="C78" s="70">
        <v>27.5</v>
      </c>
      <c r="D78" s="70">
        <v>28</v>
      </c>
      <c r="E78" s="70">
        <v>21.8</v>
      </c>
      <c r="F78" s="70">
        <v>12</v>
      </c>
      <c r="G78" s="70">
        <v>14.8</v>
      </c>
      <c r="H78" s="70">
        <v>14.8</v>
      </c>
      <c r="I78" s="70">
        <v>16</v>
      </c>
      <c r="J78" s="70">
        <v>9.6</v>
      </c>
      <c r="K78" s="70">
        <v>13.7</v>
      </c>
      <c r="L78" s="70">
        <v>7.7</v>
      </c>
      <c r="M78" s="70">
        <v>15.4</v>
      </c>
      <c r="N78" s="70">
        <v>0</v>
      </c>
      <c r="O78" s="70">
        <v>11</v>
      </c>
      <c r="P78" s="70">
        <v>7.9</v>
      </c>
      <c r="Q78" s="70">
        <v>13.4</v>
      </c>
      <c r="R78" s="70">
        <v>11</v>
      </c>
      <c r="S78" s="70">
        <v>7.8</v>
      </c>
      <c r="T78" s="70">
        <v>5.2</v>
      </c>
      <c r="U78" s="70">
        <v>5.2</v>
      </c>
      <c r="V78" s="70">
        <v>0</v>
      </c>
      <c r="W78" s="70">
        <v>0</v>
      </c>
      <c r="X78" s="70">
        <v>0</v>
      </c>
      <c r="Y78" s="70">
        <v>4.3</v>
      </c>
      <c r="Z78" s="70">
        <v>13.9</v>
      </c>
      <c r="AA78" s="70">
        <v>27.9</v>
      </c>
      <c r="AB78" s="70">
        <v>27.9</v>
      </c>
      <c r="AC78" s="70">
        <v>27.6</v>
      </c>
      <c r="AD78" s="70">
        <v>27.5</v>
      </c>
      <c r="AE78" s="70">
        <v>27.6</v>
      </c>
      <c r="AF78" s="70">
        <v>28.1</v>
      </c>
      <c r="AG78" s="86">
        <v>32</v>
      </c>
      <c r="AH78" s="12">
        <f t="shared" si="8"/>
        <v>28.1</v>
      </c>
      <c r="AI78" s="11">
        <f t="shared" si="9"/>
        <v>0</v>
      </c>
      <c r="AK78" s="19"/>
      <c r="AZ78" s="78">
        <f t="shared" si="40"/>
        <v>0</v>
      </c>
      <c r="BA78" s="78">
        <f t="shared" si="40"/>
        <v>0</v>
      </c>
      <c r="BB78" s="78">
        <f t="shared" si="40"/>
        <v>0</v>
      </c>
      <c r="BC78" s="78">
        <f t="shared" si="40"/>
        <v>0</v>
      </c>
      <c r="BD78" s="78">
        <f t="shared" si="40"/>
        <v>0</v>
      </c>
      <c r="BE78" s="78">
        <f t="shared" si="40"/>
        <v>0</v>
      </c>
      <c r="BF78" s="78">
        <f t="shared" si="40"/>
        <v>0</v>
      </c>
      <c r="BG78" s="78">
        <f t="shared" si="40"/>
        <v>8.5</v>
      </c>
      <c r="BH78" s="78">
        <f t="shared" si="40"/>
        <v>6.9</v>
      </c>
      <c r="BI78" s="78">
        <f t="shared" si="40"/>
        <v>6.6</v>
      </c>
      <c r="BJ78" s="78">
        <f t="shared" si="40"/>
        <v>4</v>
      </c>
      <c r="BK78" s="78">
        <f t="shared" si="40"/>
        <v>8</v>
      </c>
      <c r="BL78" s="78">
        <f t="shared" si="40"/>
        <v>6</v>
      </c>
      <c r="BM78" s="78">
        <f t="shared" si="40"/>
        <v>0</v>
      </c>
      <c r="BN78" s="78">
        <f t="shared" si="40"/>
        <v>0</v>
      </c>
      <c r="BO78" s="78">
        <f t="shared" si="40"/>
        <v>0</v>
      </c>
      <c r="BP78" s="78">
        <f t="shared" si="40"/>
        <v>0</v>
      </c>
      <c r="BQ78" s="78">
        <f t="shared" si="40"/>
        <v>0</v>
      </c>
      <c r="BR78" s="78">
        <f t="shared" si="40"/>
        <v>0</v>
      </c>
      <c r="BS78" s="78">
        <f t="shared" si="40"/>
        <v>0</v>
      </c>
      <c r="BT78" s="78">
        <f t="shared" si="40"/>
        <v>0</v>
      </c>
      <c r="BU78" s="78">
        <f t="shared" si="40"/>
        <v>0</v>
      </c>
      <c r="BV78" s="78">
        <f t="shared" si="40"/>
        <v>0</v>
      </c>
      <c r="BW78" s="78">
        <f t="shared" si="40"/>
        <v>0</v>
      </c>
    </row>
    <row r="79" spans="1:75" ht="15.75" thickBot="1" x14ac:dyDescent="0.3">
      <c r="A79" s="111" t="s">
        <v>183</v>
      </c>
      <c r="B79" s="110">
        <v>10</v>
      </c>
      <c r="C79" s="110">
        <v>10</v>
      </c>
      <c r="D79" s="110">
        <v>10.199999999999999</v>
      </c>
      <c r="E79" s="110">
        <v>8</v>
      </c>
      <c r="F79" s="110">
        <v>4.4000000000000004</v>
      </c>
      <c r="G79" s="110">
        <v>5.4</v>
      </c>
      <c r="H79" s="110">
        <v>5.4</v>
      </c>
      <c r="I79" s="110">
        <v>5.8</v>
      </c>
      <c r="J79" s="110">
        <v>3.5</v>
      </c>
      <c r="K79" s="110">
        <v>5</v>
      </c>
      <c r="L79" s="110">
        <v>2.8</v>
      </c>
      <c r="M79" s="110">
        <v>5.6</v>
      </c>
      <c r="N79" s="110">
        <v>0</v>
      </c>
      <c r="O79" s="110">
        <v>4.0999999999999996</v>
      </c>
      <c r="P79" s="110">
        <v>2.9</v>
      </c>
      <c r="Q79" s="110">
        <v>4.9000000000000004</v>
      </c>
      <c r="R79" s="110">
        <v>4</v>
      </c>
      <c r="S79" s="110">
        <v>3.2</v>
      </c>
      <c r="T79" s="110">
        <v>1.9</v>
      </c>
      <c r="U79" s="110">
        <v>1.9</v>
      </c>
      <c r="V79" s="110">
        <v>0</v>
      </c>
      <c r="W79" s="110">
        <v>0</v>
      </c>
      <c r="X79" s="110">
        <v>0</v>
      </c>
      <c r="Y79" s="110">
        <v>1.6</v>
      </c>
      <c r="Z79" s="110">
        <v>5.0999999999999996</v>
      </c>
      <c r="AA79" s="110">
        <v>10.199999999999999</v>
      </c>
      <c r="AB79" s="110">
        <v>10.199999999999999</v>
      </c>
      <c r="AC79" s="110">
        <v>10.1</v>
      </c>
      <c r="AD79" s="110">
        <v>10</v>
      </c>
      <c r="AE79" s="110">
        <v>10.1</v>
      </c>
      <c r="AF79" s="110">
        <v>10.3</v>
      </c>
      <c r="AG79" s="109">
        <v>14</v>
      </c>
      <c r="AH79" s="12">
        <f t="shared" si="8"/>
        <v>10.3</v>
      </c>
      <c r="AI79" s="11">
        <f t="shared" si="9"/>
        <v>0</v>
      </c>
      <c r="AK79" s="19"/>
      <c r="AZ79" s="78">
        <f t="shared" si="40"/>
        <v>0</v>
      </c>
      <c r="BA79" s="78">
        <f t="shared" si="40"/>
        <v>0</v>
      </c>
      <c r="BB79" s="78">
        <f t="shared" si="40"/>
        <v>0</v>
      </c>
      <c r="BC79" s="78">
        <f t="shared" si="40"/>
        <v>0</v>
      </c>
      <c r="BD79" s="78">
        <f t="shared" si="40"/>
        <v>0</v>
      </c>
      <c r="BE79" s="78">
        <f t="shared" si="40"/>
        <v>0</v>
      </c>
      <c r="BF79" s="78">
        <f t="shared" si="40"/>
        <v>0</v>
      </c>
      <c r="BG79" s="78">
        <f t="shared" si="40"/>
        <v>0</v>
      </c>
      <c r="BH79" s="78">
        <f t="shared" si="40"/>
        <v>24.4</v>
      </c>
      <c r="BI79" s="78">
        <f t="shared" si="40"/>
        <v>27.7</v>
      </c>
      <c r="BJ79" s="78">
        <f t="shared" si="40"/>
        <v>24.5</v>
      </c>
      <c r="BK79" s="78">
        <f t="shared" si="40"/>
        <v>24.4</v>
      </c>
      <c r="BL79" s="78">
        <f t="shared" si="40"/>
        <v>24.1</v>
      </c>
      <c r="BM79" s="78">
        <f t="shared" si="40"/>
        <v>24.9</v>
      </c>
      <c r="BN79" s="78">
        <f t="shared" si="40"/>
        <v>21</v>
      </c>
      <c r="BO79" s="78">
        <f t="shared" si="40"/>
        <v>12.1</v>
      </c>
      <c r="BP79" s="78">
        <f t="shared" si="40"/>
        <v>0</v>
      </c>
      <c r="BQ79" s="78">
        <f t="shared" si="40"/>
        <v>0</v>
      </c>
      <c r="BR79" s="78">
        <f t="shared" si="40"/>
        <v>0</v>
      </c>
      <c r="BS79" s="78">
        <f t="shared" si="40"/>
        <v>0</v>
      </c>
      <c r="BT79" s="78">
        <f t="shared" si="40"/>
        <v>0</v>
      </c>
      <c r="BU79" s="78">
        <f t="shared" si="40"/>
        <v>0</v>
      </c>
      <c r="BV79" s="78">
        <f t="shared" si="40"/>
        <v>0</v>
      </c>
      <c r="BW79" s="78">
        <f t="shared" si="40"/>
        <v>0</v>
      </c>
    </row>
    <row r="80" spans="1:75" ht="15.75" thickBot="1" x14ac:dyDescent="0.3">
      <c r="A80" s="77" t="s">
        <v>182</v>
      </c>
      <c r="B80" s="76">
        <f t="shared" ref="B80:C80" si="46">B77+B78+B79</f>
        <v>96.7</v>
      </c>
      <c r="C80" s="76">
        <f t="shared" si="46"/>
        <v>96.7</v>
      </c>
      <c r="D80" s="76">
        <f t="shared" ref="D80:AF80" si="47">D77+D78+D79</f>
        <v>97.5</v>
      </c>
      <c r="E80" s="76">
        <f t="shared" si="47"/>
        <v>79.8</v>
      </c>
      <c r="F80" s="76">
        <f t="shared" si="47"/>
        <v>50.4</v>
      </c>
      <c r="G80" s="76">
        <f t="shared" si="47"/>
        <v>60.199999999999996</v>
      </c>
      <c r="H80" s="76">
        <f t="shared" si="47"/>
        <v>60.199999999999996</v>
      </c>
      <c r="I80" s="76">
        <f t="shared" si="47"/>
        <v>70.899999999999991</v>
      </c>
      <c r="J80" s="76">
        <f t="shared" si="47"/>
        <v>27.1</v>
      </c>
      <c r="K80" s="76">
        <f t="shared" si="47"/>
        <v>38.700000000000003</v>
      </c>
      <c r="L80" s="76">
        <f t="shared" si="47"/>
        <v>40.9</v>
      </c>
      <c r="M80" s="76">
        <f t="shared" si="47"/>
        <v>55</v>
      </c>
      <c r="N80" s="76">
        <f t="shared" si="47"/>
        <v>0</v>
      </c>
      <c r="O80" s="76">
        <f t="shared" si="47"/>
        <v>40.1</v>
      </c>
      <c r="P80" s="76">
        <f t="shared" si="47"/>
        <v>30.5</v>
      </c>
      <c r="Q80" s="76">
        <f t="shared" si="47"/>
        <v>48.1</v>
      </c>
      <c r="R80" s="76">
        <f t="shared" si="47"/>
        <v>44</v>
      </c>
      <c r="S80" s="76">
        <f t="shared" si="47"/>
        <v>31</v>
      </c>
      <c r="T80" s="76">
        <f t="shared" si="47"/>
        <v>19.299999999999997</v>
      </c>
      <c r="U80" s="76">
        <f t="shared" si="47"/>
        <v>19.299999999999997</v>
      </c>
      <c r="V80" s="76">
        <f t="shared" ref="V80:W80" si="48">V77+V78+V79</f>
        <v>0</v>
      </c>
      <c r="W80" s="76">
        <f t="shared" si="48"/>
        <v>0</v>
      </c>
      <c r="X80" s="76">
        <f t="shared" si="47"/>
        <v>0</v>
      </c>
      <c r="Y80" s="76">
        <f t="shared" ref="Y80:Z80" si="49">Y77+Y78+Y79</f>
        <v>40.699999999999996</v>
      </c>
      <c r="Z80" s="76">
        <f t="shared" si="49"/>
        <v>78.2</v>
      </c>
      <c r="AA80" s="76">
        <f t="shared" ref="AA80" si="50">AA77+AA78+AA79</f>
        <v>96.899999999999991</v>
      </c>
      <c r="AB80" s="76">
        <f t="shared" si="47"/>
        <v>96.899999999999991</v>
      </c>
      <c r="AC80" s="76">
        <f t="shared" si="47"/>
        <v>97.1</v>
      </c>
      <c r="AD80" s="76">
        <f t="shared" si="47"/>
        <v>96.9</v>
      </c>
      <c r="AE80" s="76">
        <f t="shared" si="47"/>
        <v>97.1</v>
      </c>
      <c r="AF80" s="76">
        <f t="shared" si="47"/>
        <v>97.899999999999991</v>
      </c>
      <c r="AG80" s="93">
        <f>SUM(AG77:AG79)</f>
        <v>106</v>
      </c>
      <c r="AH80" s="12">
        <f t="shared" si="8"/>
        <v>97.899999999999991</v>
      </c>
      <c r="AI80" s="11">
        <f t="shared" si="9"/>
        <v>0</v>
      </c>
      <c r="AK80" s="19"/>
      <c r="AZ80" s="78">
        <f t="shared" si="40"/>
        <v>38</v>
      </c>
      <c r="BA80" s="78">
        <f t="shared" si="40"/>
        <v>41</v>
      </c>
      <c r="BB80" s="78">
        <f t="shared" si="40"/>
        <v>34.1</v>
      </c>
      <c r="BC80" s="78">
        <f t="shared" si="40"/>
        <v>34.700000000000003</v>
      </c>
      <c r="BD80" s="78">
        <f t="shared" si="40"/>
        <v>31.6</v>
      </c>
      <c r="BE80" s="78">
        <f t="shared" si="40"/>
        <v>40</v>
      </c>
      <c r="BF80" s="78">
        <f t="shared" si="40"/>
        <v>48</v>
      </c>
      <c r="BG80" s="78">
        <f t="shared" si="40"/>
        <v>49</v>
      </c>
      <c r="BH80" s="78">
        <f t="shared" si="40"/>
        <v>52</v>
      </c>
      <c r="BI80" s="78">
        <f t="shared" si="40"/>
        <v>50.1</v>
      </c>
      <c r="BJ80" s="78">
        <f t="shared" si="40"/>
        <v>54</v>
      </c>
      <c r="BK80" s="78">
        <f t="shared" si="40"/>
        <v>53.2</v>
      </c>
      <c r="BL80" s="78">
        <f t="shared" si="40"/>
        <v>42.9</v>
      </c>
      <c r="BM80" s="78">
        <f t="shared" si="40"/>
        <v>36.1</v>
      </c>
      <c r="BN80" s="78">
        <f t="shared" si="40"/>
        <v>31.1</v>
      </c>
      <c r="BO80" s="78">
        <f t="shared" si="40"/>
        <v>37.4</v>
      </c>
      <c r="BP80" s="78">
        <f t="shared" si="40"/>
        <v>37.4</v>
      </c>
      <c r="BQ80" s="78">
        <f t="shared" si="40"/>
        <v>32.4</v>
      </c>
      <c r="BR80" s="78">
        <f t="shared" si="40"/>
        <v>35.9</v>
      </c>
      <c r="BS80" s="78">
        <f t="shared" si="40"/>
        <v>34.4</v>
      </c>
      <c r="BT80" s="78">
        <f t="shared" si="40"/>
        <v>34.299999999999997</v>
      </c>
      <c r="BU80" s="78">
        <f t="shared" si="40"/>
        <v>42</v>
      </c>
      <c r="BV80" s="78">
        <f t="shared" si="40"/>
        <v>44.4</v>
      </c>
      <c r="BW80" s="78">
        <f t="shared" si="40"/>
        <v>40.5</v>
      </c>
    </row>
    <row r="81" spans="1:64" x14ac:dyDescent="0.25">
      <c r="A81" s="89" t="s">
        <v>157</v>
      </c>
      <c r="B81" s="102">
        <v>6.9</v>
      </c>
      <c r="C81" s="102">
        <v>5.2</v>
      </c>
      <c r="D81" s="102">
        <v>5.6</v>
      </c>
      <c r="E81" s="102">
        <v>2.5</v>
      </c>
      <c r="F81" s="102">
        <v>2.6</v>
      </c>
      <c r="G81" s="102">
        <v>6.5</v>
      </c>
      <c r="H81" s="102">
        <v>21.4</v>
      </c>
      <c r="I81" s="102">
        <v>25.3</v>
      </c>
      <c r="J81" s="102">
        <v>54.8</v>
      </c>
      <c r="K81" s="102">
        <v>62</v>
      </c>
      <c r="L81" s="102">
        <v>59</v>
      </c>
      <c r="M81" s="102">
        <v>59.5</v>
      </c>
      <c r="N81" s="102">
        <v>74</v>
      </c>
      <c r="O81" s="102">
        <v>56</v>
      </c>
      <c r="P81" s="102">
        <v>59.3</v>
      </c>
      <c r="Q81" s="102">
        <v>69.3</v>
      </c>
      <c r="R81" s="102">
        <v>79</v>
      </c>
      <c r="S81" s="102">
        <v>69</v>
      </c>
      <c r="T81" s="102">
        <v>73.900000000000006</v>
      </c>
      <c r="U81" s="102">
        <v>53.2</v>
      </c>
      <c r="V81" s="102">
        <v>65.3</v>
      </c>
      <c r="W81" s="102">
        <v>61.8</v>
      </c>
      <c r="X81" s="102">
        <v>66</v>
      </c>
      <c r="Y81" s="102">
        <v>26.4</v>
      </c>
      <c r="Z81" s="102">
        <v>18.5</v>
      </c>
      <c r="AA81" s="102">
        <v>18</v>
      </c>
      <c r="AB81" s="102">
        <v>16.8</v>
      </c>
      <c r="AC81" s="102">
        <v>32.6</v>
      </c>
      <c r="AD81" s="102">
        <v>29.1</v>
      </c>
      <c r="AE81" s="102">
        <v>23</v>
      </c>
      <c r="AF81" s="102">
        <v>24.2</v>
      </c>
      <c r="AG81" s="88"/>
      <c r="AH81" s="12">
        <f t="shared" si="8"/>
        <v>79</v>
      </c>
      <c r="AI81" s="11">
        <f t="shared" si="9"/>
        <v>2.5</v>
      </c>
      <c r="AK81" s="19"/>
      <c r="AY81" s="78"/>
    </row>
    <row r="82" spans="1:64" x14ac:dyDescent="0.25">
      <c r="A82" s="87" t="s">
        <v>160</v>
      </c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12">
        <f t="shared" ref="AH82:AH125" si="51">MAX(B82:AF82)</f>
        <v>0</v>
      </c>
      <c r="AI82" s="11">
        <f t="shared" ref="AI82:AI125" si="52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25">
      <c r="A83" s="87" t="s">
        <v>181</v>
      </c>
      <c r="B83" s="70">
        <v>2</v>
      </c>
      <c r="C83" s="70">
        <v>0</v>
      </c>
      <c r="D83" s="70">
        <v>0</v>
      </c>
      <c r="E83" s="70">
        <v>5</v>
      </c>
      <c r="F83" s="70">
        <v>0</v>
      </c>
      <c r="G83" s="70">
        <v>2</v>
      </c>
      <c r="H83" s="70">
        <v>0</v>
      </c>
      <c r="I83" s="70">
        <v>16</v>
      </c>
      <c r="J83" s="70">
        <v>440</v>
      </c>
      <c r="K83" s="70">
        <v>455</v>
      </c>
      <c r="L83" s="70">
        <v>410</v>
      </c>
      <c r="M83" s="70">
        <v>476</v>
      </c>
      <c r="N83" s="70">
        <v>488</v>
      </c>
      <c r="O83" s="70">
        <v>465</v>
      </c>
      <c r="P83" s="70">
        <v>476</v>
      </c>
      <c r="Q83" s="70">
        <v>465</v>
      </c>
      <c r="R83" s="70">
        <v>445</v>
      </c>
      <c r="S83" s="70">
        <v>449.9</v>
      </c>
      <c r="T83" s="70">
        <v>462</v>
      </c>
      <c r="U83" s="70">
        <v>498.1</v>
      </c>
      <c r="V83" s="70">
        <v>501.1</v>
      </c>
      <c r="W83" s="70">
        <v>453.1</v>
      </c>
      <c r="X83" s="70">
        <v>400</v>
      </c>
      <c r="Y83" s="70">
        <v>56.5</v>
      </c>
      <c r="Z83" s="70">
        <v>0</v>
      </c>
      <c r="AA83" s="70">
        <v>1.6</v>
      </c>
      <c r="AB83" s="70">
        <v>9.9</v>
      </c>
      <c r="AC83" s="70">
        <v>54</v>
      </c>
      <c r="AD83" s="70">
        <v>30.2</v>
      </c>
      <c r="AE83" s="70">
        <v>26</v>
      </c>
      <c r="AF83" s="70">
        <v>54.7</v>
      </c>
      <c r="AG83" s="96"/>
      <c r="AH83" s="12">
        <f t="shared" si="51"/>
        <v>501.1</v>
      </c>
      <c r="AI83" s="11">
        <f t="shared" si="52"/>
        <v>0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25">
      <c r="A84" s="87" t="s">
        <v>161</v>
      </c>
      <c r="B84" s="85"/>
      <c r="C84" s="85"/>
      <c r="D84" s="70"/>
      <c r="E84" s="85"/>
      <c r="F84" s="85"/>
      <c r="G84" s="85"/>
      <c r="H84" s="85"/>
      <c r="I84" s="85"/>
      <c r="J84" s="85"/>
      <c r="K84" s="85"/>
      <c r="L84" s="85"/>
      <c r="M84" s="85">
        <v>8.5</v>
      </c>
      <c r="N84" s="85">
        <v>6.9</v>
      </c>
      <c r="O84" s="85">
        <v>6.6</v>
      </c>
      <c r="P84" s="85">
        <v>4</v>
      </c>
      <c r="Q84" s="85">
        <v>8</v>
      </c>
      <c r="R84" s="85">
        <v>6</v>
      </c>
      <c r="S84" s="85">
        <v>0</v>
      </c>
      <c r="T84" s="85">
        <v>0</v>
      </c>
      <c r="U84" s="85">
        <v>0</v>
      </c>
      <c r="V84" s="85">
        <v>0</v>
      </c>
      <c r="W84" s="85">
        <v>0</v>
      </c>
      <c r="X84" s="85">
        <v>0</v>
      </c>
      <c r="Y84" s="85">
        <v>0</v>
      </c>
      <c r="Z84" s="85">
        <v>0</v>
      </c>
      <c r="AA84" s="85">
        <v>0</v>
      </c>
      <c r="AB84" s="85"/>
      <c r="AC84" s="85"/>
      <c r="AD84" s="85"/>
      <c r="AE84" s="85"/>
      <c r="AF84" s="85"/>
      <c r="AG84" s="96"/>
      <c r="AH84" s="12">
        <f t="shared" si="51"/>
        <v>8.5</v>
      </c>
      <c r="AI84" s="11">
        <f t="shared" si="52"/>
        <v>0</v>
      </c>
      <c r="AK84" s="19"/>
      <c r="AY84" s="78"/>
      <c r="BF84" s="83"/>
      <c r="BG84" s="78">
        <f t="array" ref="BG84:BL107">TRANSPOSE(AZ68:BW73)</f>
        <v>5</v>
      </c>
      <c r="BH84" s="78">
        <v>0</v>
      </c>
      <c r="BI84" s="78">
        <v>0</v>
      </c>
      <c r="BJ84" s="78">
        <v>0</v>
      </c>
      <c r="BK84" s="78">
        <v>0</v>
      </c>
      <c r="BL84" s="78">
        <v>38</v>
      </c>
    </row>
    <row r="85" spans="1:64" x14ac:dyDescent="0.25">
      <c r="A85" s="87" t="s">
        <v>180</v>
      </c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>
        <v>24.4</v>
      </c>
      <c r="O85" s="102">
        <v>27.7</v>
      </c>
      <c r="P85" s="102">
        <v>24.5</v>
      </c>
      <c r="Q85" s="102">
        <v>24.4</v>
      </c>
      <c r="R85" s="102">
        <v>24.1</v>
      </c>
      <c r="S85" s="102">
        <v>24.9</v>
      </c>
      <c r="T85" s="102">
        <v>21</v>
      </c>
      <c r="U85" s="102">
        <v>12.1</v>
      </c>
      <c r="V85" s="102">
        <v>0</v>
      </c>
      <c r="W85" s="102">
        <v>0</v>
      </c>
      <c r="X85" s="102">
        <v>0</v>
      </c>
      <c r="Y85" s="102">
        <v>0</v>
      </c>
      <c r="Z85" s="102">
        <v>0</v>
      </c>
      <c r="AA85" s="102">
        <v>0</v>
      </c>
      <c r="AB85" s="102"/>
      <c r="AC85" s="102"/>
      <c r="AD85" s="102"/>
      <c r="AE85" s="102"/>
      <c r="AF85" s="102"/>
      <c r="AG85" s="96"/>
      <c r="AH85" s="12">
        <f t="shared" si="51"/>
        <v>27.7</v>
      </c>
      <c r="AI85" s="11">
        <f t="shared" si="52"/>
        <v>0</v>
      </c>
      <c r="AK85" s="19"/>
      <c r="AY85" s="78"/>
      <c r="BF85" s="83"/>
      <c r="BG85" s="78">
        <v>5.6</v>
      </c>
      <c r="BH85" s="78">
        <v>0</v>
      </c>
      <c r="BI85" s="78">
        <v>0</v>
      </c>
      <c r="BJ85" s="78">
        <v>0</v>
      </c>
      <c r="BK85" s="78">
        <v>0</v>
      </c>
      <c r="BL85" s="78">
        <v>41</v>
      </c>
    </row>
    <row r="86" spans="1:64" x14ac:dyDescent="0.25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51"/>
        <v>0</v>
      </c>
      <c r="AI86" s="11">
        <f t="shared" si="52"/>
        <v>0</v>
      </c>
      <c r="AK86" s="19"/>
      <c r="AY86" s="78"/>
      <c r="BF86" s="83"/>
      <c r="BG86" s="78">
        <v>2.5</v>
      </c>
      <c r="BH86" s="78">
        <v>0</v>
      </c>
      <c r="BI86" s="78">
        <v>5</v>
      </c>
      <c r="BJ86" s="78">
        <v>0</v>
      </c>
      <c r="BK86" s="78">
        <v>0</v>
      </c>
      <c r="BL86" s="78">
        <v>34.1</v>
      </c>
    </row>
    <row r="87" spans="1:64" ht="15.75" thickBot="1" x14ac:dyDescent="0.3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51"/>
        <v>0</v>
      </c>
      <c r="AI87" s="11">
        <f t="shared" si="52"/>
        <v>0</v>
      </c>
      <c r="AK87" s="19"/>
      <c r="AL87" s="108" t="s">
        <v>177</v>
      </c>
      <c r="AM87" s="108"/>
      <c r="AY87" s="78"/>
      <c r="BF87" s="78"/>
      <c r="BG87" s="78">
        <v>2.6</v>
      </c>
      <c r="BH87" s="78">
        <v>0</v>
      </c>
      <c r="BI87" s="78">
        <v>0</v>
      </c>
      <c r="BJ87" s="78">
        <v>0</v>
      </c>
      <c r="BK87" s="78">
        <v>0</v>
      </c>
      <c r="BL87" s="78">
        <v>34.700000000000003</v>
      </c>
    </row>
    <row r="88" spans="1:64" x14ac:dyDescent="0.25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51"/>
        <v>0</v>
      </c>
      <c r="AI88" s="11">
        <f t="shared" si="52"/>
        <v>0</v>
      </c>
      <c r="AK88" s="107"/>
      <c r="AL88" s="106"/>
      <c r="AM88" s="106"/>
      <c r="AN88" s="105"/>
      <c r="AY88" s="78"/>
      <c r="BF88" s="78"/>
      <c r="BG88" s="78">
        <v>6.5</v>
      </c>
      <c r="BH88" s="78">
        <v>0</v>
      </c>
      <c r="BI88" s="78">
        <v>2</v>
      </c>
      <c r="BJ88" s="78">
        <v>0</v>
      </c>
      <c r="BK88" s="78">
        <v>0</v>
      </c>
      <c r="BL88" s="78">
        <v>31.6</v>
      </c>
    </row>
    <row r="89" spans="1:64" x14ac:dyDescent="0.25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51"/>
        <v>0</v>
      </c>
      <c r="AI89" s="11">
        <f t="shared" si="52"/>
        <v>0</v>
      </c>
      <c r="AK89" s="104" t="s">
        <v>174</v>
      </c>
      <c r="AL89" s="70"/>
      <c r="AM89" s="85"/>
      <c r="AN89" s="103"/>
      <c r="AY89" s="78"/>
      <c r="BF89" s="78"/>
      <c r="BG89" s="78">
        <v>25.3</v>
      </c>
      <c r="BH89" s="78">
        <v>0</v>
      </c>
      <c r="BI89" s="78">
        <v>16</v>
      </c>
      <c r="BJ89" s="78">
        <v>0</v>
      </c>
      <c r="BK89" s="78">
        <v>0</v>
      </c>
      <c r="BL89" s="78">
        <v>40</v>
      </c>
    </row>
    <row r="90" spans="1:64" x14ac:dyDescent="0.25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51"/>
        <v>0</v>
      </c>
      <c r="AI90" s="11">
        <f t="shared" si="52"/>
        <v>0</v>
      </c>
      <c r="AK90" s="104" t="s">
        <v>172</v>
      </c>
      <c r="AL90" s="85"/>
      <c r="AM90" s="85"/>
      <c r="AN90" s="103"/>
      <c r="AY90" s="78"/>
      <c r="BF90" s="78"/>
      <c r="BG90" s="78">
        <v>62</v>
      </c>
      <c r="BH90" s="78">
        <v>0</v>
      </c>
      <c r="BI90" s="78">
        <v>455</v>
      </c>
      <c r="BJ90" s="78">
        <v>0</v>
      </c>
      <c r="BK90" s="78">
        <v>0</v>
      </c>
      <c r="BL90" s="78">
        <v>48</v>
      </c>
    </row>
    <row r="91" spans="1:64" ht="15.75" thickBot="1" x14ac:dyDescent="0.3">
      <c r="A91" s="82" t="s">
        <v>171</v>
      </c>
      <c r="B91" s="97">
        <v>40.5</v>
      </c>
      <c r="C91" s="97">
        <v>37.9</v>
      </c>
      <c r="D91" s="97">
        <v>41</v>
      </c>
      <c r="E91" s="97">
        <v>34.1</v>
      </c>
      <c r="F91" s="97">
        <v>34.700000000000003</v>
      </c>
      <c r="G91" s="97">
        <v>31.6</v>
      </c>
      <c r="H91" s="97">
        <v>30</v>
      </c>
      <c r="I91" s="97">
        <v>40</v>
      </c>
      <c r="J91" s="97">
        <v>42</v>
      </c>
      <c r="K91" s="97">
        <v>48</v>
      </c>
      <c r="L91" s="97">
        <v>48</v>
      </c>
      <c r="M91" s="97">
        <v>49</v>
      </c>
      <c r="N91" s="97">
        <v>52</v>
      </c>
      <c r="O91" s="97">
        <v>50.1</v>
      </c>
      <c r="P91" s="97">
        <v>54</v>
      </c>
      <c r="Q91" s="97">
        <v>53.2</v>
      </c>
      <c r="R91" s="97">
        <v>42.9</v>
      </c>
      <c r="S91" s="97">
        <v>36.1</v>
      </c>
      <c r="T91" s="97">
        <v>31.1</v>
      </c>
      <c r="U91" s="97">
        <v>37.4</v>
      </c>
      <c r="V91" s="97">
        <v>37.4</v>
      </c>
      <c r="W91" s="97">
        <v>36.5</v>
      </c>
      <c r="X91" s="97">
        <v>32.4</v>
      </c>
      <c r="Y91" s="97">
        <v>34.1</v>
      </c>
      <c r="Z91" s="97">
        <v>35.9</v>
      </c>
      <c r="AA91" s="97">
        <v>38.200000000000003</v>
      </c>
      <c r="AB91" s="97">
        <v>34.4</v>
      </c>
      <c r="AC91" s="97">
        <v>37.1</v>
      </c>
      <c r="AD91" s="97">
        <v>34.299999999999997</v>
      </c>
      <c r="AE91" s="97">
        <v>42</v>
      </c>
      <c r="AF91" s="97">
        <v>44.4</v>
      </c>
      <c r="AG91" s="80"/>
      <c r="AH91" s="12">
        <f t="shared" si="51"/>
        <v>54</v>
      </c>
      <c r="AI91" s="11">
        <f t="shared" si="52"/>
        <v>30</v>
      </c>
      <c r="AK91" s="98"/>
      <c r="AL91" s="102"/>
      <c r="AM91" s="102"/>
      <c r="AN91" s="101"/>
      <c r="AY91" s="78"/>
      <c r="BF91" s="78"/>
      <c r="BG91" s="78">
        <v>59.5</v>
      </c>
      <c r="BH91" s="78">
        <v>0</v>
      </c>
      <c r="BI91" s="78">
        <v>476</v>
      </c>
      <c r="BJ91" s="78">
        <v>8.5</v>
      </c>
      <c r="BK91" s="78">
        <v>0</v>
      </c>
      <c r="BL91" s="78">
        <v>49</v>
      </c>
    </row>
    <row r="92" spans="1:64" ht="15.75" thickBot="1" x14ac:dyDescent="0.3">
      <c r="A92" s="77" t="s">
        <v>170</v>
      </c>
      <c r="B92" s="76">
        <f t="shared" ref="B92" si="53">SUMIF(B81:B91,"&gt;0")</f>
        <v>49.4</v>
      </c>
      <c r="C92" s="76">
        <f t="shared" ref="C92:AF92" si="54">SUMIF(C81:C91,"&gt;0")</f>
        <v>43.1</v>
      </c>
      <c r="D92" s="76">
        <f t="shared" si="54"/>
        <v>46.6</v>
      </c>
      <c r="E92" s="76">
        <f t="shared" si="54"/>
        <v>41.6</v>
      </c>
      <c r="F92" s="76">
        <f t="shared" si="54"/>
        <v>37.300000000000004</v>
      </c>
      <c r="G92" s="76">
        <f t="shared" si="54"/>
        <v>40.1</v>
      </c>
      <c r="H92" s="76">
        <f t="shared" si="54"/>
        <v>51.4</v>
      </c>
      <c r="I92" s="76">
        <f t="shared" si="54"/>
        <v>81.3</v>
      </c>
      <c r="J92" s="76">
        <f t="shared" si="54"/>
        <v>536.79999999999995</v>
      </c>
      <c r="K92" s="76">
        <f t="shared" si="54"/>
        <v>565</v>
      </c>
      <c r="L92" s="76">
        <f t="shared" si="54"/>
        <v>517</v>
      </c>
      <c r="M92" s="76">
        <f t="shared" si="54"/>
        <v>593</v>
      </c>
      <c r="N92" s="76">
        <f t="shared" si="54"/>
        <v>645.29999999999995</v>
      </c>
      <c r="O92" s="76">
        <f t="shared" si="54"/>
        <v>605.40000000000009</v>
      </c>
      <c r="P92" s="76">
        <f t="shared" si="54"/>
        <v>617.79999999999995</v>
      </c>
      <c r="Q92" s="76">
        <f t="shared" si="54"/>
        <v>619.9</v>
      </c>
      <c r="R92" s="76">
        <f t="shared" si="54"/>
        <v>597</v>
      </c>
      <c r="S92" s="76">
        <f>SUMIF(S81:S91,"&gt;0")</f>
        <v>579.9</v>
      </c>
      <c r="T92" s="76">
        <f>SUMIF(T81:T91,"&gt;0")</f>
        <v>588</v>
      </c>
      <c r="U92" s="76">
        <f>SUMIF(U81:U91,"&gt;0")</f>
        <v>600.80000000000007</v>
      </c>
      <c r="V92" s="76">
        <f>SUMIF(V81:V91,"&gt;0")</f>
        <v>603.79999999999995</v>
      </c>
      <c r="W92" s="76">
        <f>SUMIF(W81:W91,"&gt;0")</f>
        <v>551.4</v>
      </c>
      <c r="X92" s="76">
        <f t="shared" si="54"/>
        <v>498.4</v>
      </c>
      <c r="Y92" s="76">
        <f t="shared" ref="Y92:Z92" si="55">SUMIF(Y81:Y91,"&gt;0")</f>
        <v>117</v>
      </c>
      <c r="Z92" s="76">
        <f t="shared" si="55"/>
        <v>54.4</v>
      </c>
      <c r="AA92" s="76">
        <f t="shared" ref="AA92" si="56">SUMIF(AA81:AA91,"&gt;0")</f>
        <v>57.800000000000004</v>
      </c>
      <c r="AB92" s="76">
        <f t="shared" si="54"/>
        <v>61.1</v>
      </c>
      <c r="AC92" s="76">
        <f t="shared" si="54"/>
        <v>123.69999999999999</v>
      </c>
      <c r="AD92" s="76">
        <f t="shared" si="54"/>
        <v>93.6</v>
      </c>
      <c r="AE92" s="76">
        <f t="shared" si="54"/>
        <v>91</v>
      </c>
      <c r="AF92" s="76">
        <f t="shared" si="54"/>
        <v>123.30000000000001</v>
      </c>
      <c r="AG92" s="75">
        <f>SUM(AG81:AG91)</f>
        <v>0</v>
      </c>
      <c r="AH92" s="12">
        <f t="shared" si="51"/>
        <v>645.29999999999995</v>
      </c>
      <c r="AI92" s="11">
        <f t="shared" si="52"/>
        <v>37.300000000000004</v>
      </c>
      <c r="AK92" s="98"/>
      <c r="AL92" s="97"/>
      <c r="AM92" s="100"/>
      <c r="AN92" s="220"/>
      <c r="AY92" s="78"/>
      <c r="BF92" s="78"/>
      <c r="BG92" s="78">
        <v>74</v>
      </c>
      <c r="BH92" s="78">
        <v>0</v>
      </c>
      <c r="BI92" s="78">
        <v>488</v>
      </c>
      <c r="BJ92" s="78">
        <v>6.9</v>
      </c>
      <c r="BK92" s="78">
        <v>24.4</v>
      </c>
      <c r="BL92" s="78">
        <v>52</v>
      </c>
    </row>
    <row r="93" spans="1:64" x14ac:dyDescent="0.25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51"/>
        <v>0</v>
      </c>
      <c r="AI93" s="11">
        <f t="shared" si="52"/>
        <v>0</v>
      </c>
      <c r="AK93" s="98"/>
      <c r="AL93" s="97"/>
      <c r="AM93" s="97"/>
      <c r="AN93" s="221"/>
      <c r="BF93" s="78"/>
      <c r="BG93" s="78">
        <v>56</v>
      </c>
      <c r="BH93" s="78">
        <v>0</v>
      </c>
      <c r="BI93" s="78">
        <v>465</v>
      </c>
      <c r="BJ93" s="78">
        <v>6.6</v>
      </c>
      <c r="BK93" s="78">
        <v>27.7</v>
      </c>
      <c r="BL93" s="78">
        <v>50.1</v>
      </c>
    </row>
    <row r="94" spans="1:64" ht="15.75" thickBot="1" x14ac:dyDescent="0.3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51"/>
        <v>0</v>
      </c>
      <c r="AI94" s="11">
        <f t="shared" si="52"/>
        <v>0</v>
      </c>
      <c r="AK94" s="95"/>
      <c r="AL94" s="67"/>
      <c r="AM94" s="67"/>
      <c r="AN94" s="94"/>
      <c r="BF94" s="78"/>
      <c r="BG94" s="78">
        <v>59.3</v>
      </c>
      <c r="BH94" s="78">
        <v>0</v>
      </c>
      <c r="BI94" s="78">
        <v>476</v>
      </c>
      <c r="BJ94" s="78">
        <v>4</v>
      </c>
      <c r="BK94" s="78">
        <v>24.5</v>
      </c>
      <c r="BL94" s="78">
        <v>54</v>
      </c>
    </row>
    <row r="95" spans="1:64" ht="15.75" thickBot="1" x14ac:dyDescent="0.3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51"/>
        <v>0</v>
      </c>
      <c r="AI95" s="11">
        <f t="shared" si="52"/>
        <v>0</v>
      </c>
      <c r="BF95" s="78"/>
      <c r="BG95" s="78">
        <v>69.3</v>
      </c>
      <c r="BH95" s="78">
        <v>0</v>
      </c>
      <c r="BI95" s="78">
        <v>465</v>
      </c>
      <c r="BJ95" s="78">
        <v>8</v>
      </c>
      <c r="BK95" s="78">
        <v>24.4</v>
      </c>
      <c r="BL95" s="78">
        <v>53.2</v>
      </c>
    </row>
    <row r="96" spans="1:64" ht="15.75" thickBot="1" x14ac:dyDescent="0.3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>
        <v>0</v>
      </c>
      <c r="Y96" s="76">
        <v>0</v>
      </c>
      <c r="Z96" s="76">
        <v>0</v>
      </c>
      <c r="AA96" s="76">
        <v>0</v>
      </c>
      <c r="AB96" s="76"/>
      <c r="AC96" s="76"/>
      <c r="AD96" s="76"/>
      <c r="AE96" s="76"/>
      <c r="AF96" s="76"/>
      <c r="AG96" s="75">
        <f>SUM(AG93:AG95)</f>
        <v>55.4</v>
      </c>
      <c r="AH96" s="12">
        <f t="shared" si="51"/>
        <v>0</v>
      </c>
      <c r="AI96" s="11">
        <f t="shared" si="52"/>
        <v>0</v>
      </c>
      <c r="BF96" s="78"/>
      <c r="BG96" s="78">
        <v>79</v>
      </c>
      <c r="BH96" s="78">
        <v>0</v>
      </c>
      <c r="BI96" s="78">
        <v>445</v>
      </c>
      <c r="BJ96" s="78">
        <v>6</v>
      </c>
      <c r="BK96" s="78">
        <v>24.1</v>
      </c>
      <c r="BL96" s="78">
        <v>42.9</v>
      </c>
    </row>
    <row r="97" spans="1:64" ht="15.75" thickBot="1" x14ac:dyDescent="0.3">
      <c r="A97" s="77" t="s">
        <v>165</v>
      </c>
      <c r="B97" s="90">
        <f t="shared" ref="B97" si="57">B58+B62+B80+B76+B92+B96</f>
        <v>1236.0400000000002</v>
      </c>
      <c r="C97" s="90">
        <f t="shared" ref="C97:AG97" si="58">C58+C62+C80+C76+C92+C96</f>
        <v>1159.74</v>
      </c>
      <c r="D97" s="90">
        <f t="shared" si="58"/>
        <v>1128.9399999999998</v>
      </c>
      <c r="E97" s="90">
        <f t="shared" si="58"/>
        <v>1107.74</v>
      </c>
      <c r="F97" s="90">
        <f t="shared" si="58"/>
        <v>1125.9399999999998</v>
      </c>
      <c r="G97" s="90">
        <f t="shared" si="58"/>
        <v>1140.04</v>
      </c>
      <c r="H97" s="90">
        <f t="shared" si="58"/>
        <v>1179.8400000000001</v>
      </c>
      <c r="I97" s="90">
        <f t="shared" si="58"/>
        <v>1299.9399999999998</v>
      </c>
      <c r="J97" s="90">
        <f t="shared" si="58"/>
        <v>1495.84</v>
      </c>
      <c r="K97" s="90">
        <f t="shared" si="58"/>
        <v>1530.14</v>
      </c>
      <c r="L97" s="90">
        <f t="shared" si="58"/>
        <v>1497.04</v>
      </c>
      <c r="M97" s="90">
        <f t="shared" si="58"/>
        <v>1595.94</v>
      </c>
      <c r="N97" s="90">
        <f t="shared" si="58"/>
        <v>1565.3400000000001</v>
      </c>
      <c r="O97" s="90">
        <f t="shared" si="58"/>
        <v>1578.5400000000002</v>
      </c>
      <c r="P97" s="90">
        <f t="shared" si="58"/>
        <v>1541.04</v>
      </c>
      <c r="Q97" s="90">
        <f t="shared" si="58"/>
        <v>1542.54</v>
      </c>
      <c r="R97" s="90">
        <f t="shared" si="58"/>
        <v>1515.94</v>
      </c>
      <c r="S97" s="90">
        <f t="shared" si="58"/>
        <v>1393.24</v>
      </c>
      <c r="T97" s="90">
        <f t="shared" si="58"/>
        <v>1415.94</v>
      </c>
      <c r="U97" s="90">
        <f t="shared" si="58"/>
        <v>1409.54</v>
      </c>
      <c r="V97" s="90">
        <f t="shared" ref="V97:W97" si="59">V58+V62+V80+V76+V92+V96</f>
        <v>1391.1399999999999</v>
      </c>
      <c r="W97" s="90">
        <f t="shared" si="59"/>
        <v>1348.3400000000001</v>
      </c>
      <c r="X97" s="90">
        <f t="shared" si="58"/>
        <v>1376.54</v>
      </c>
      <c r="Y97" s="90">
        <f t="shared" ref="Y97:Z97" si="60">Y58+Y62+Y80+Y76+Y92+Y96</f>
        <v>1476.64</v>
      </c>
      <c r="Z97" s="90">
        <f t="shared" si="60"/>
        <v>1534.14</v>
      </c>
      <c r="AA97" s="90">
        <f t="shared" ref="AA97" si="61">AA58+AA62+AA80+AA76+AA92+AA96</f>
        <v>1521.84</v>
      </c>
      <c r="AB97" s="90">
        <f t="shared" si="58"/>
        <v>1508.1399999999999</v>
      </c>
      <c r="AC97" s="90">
        <f t="shared" si="58"/>
        <v>1492.14</v>
      </c>
      <c r="AD97" s="90">
        <f t="shared" si="58"/>
        <v>1462.64</v>
      </c>
      <c r="AE97" s="90">
        <f t="shared" si="58"/>
        <v>1360.3400000000001</v>
      </c>
      <c r="AF97" s="90">
        <f t="shared" si="58"/>
        <v>1386.24</v>
      </c>
      <c r="AG97" s="93">
        <f t="shared" si="58"/>
        <v>2231.81</v>
      </c>
      <c r="AH97" s="12">
        <f t="shared" si="51"/>
        <v>1595.94</v>
      </c>
      <c r="AI97" s="11">
        <f t="shared" si="52"/>
        <v>1107.74</v>
      </c>
      <c r="BF97" s="78"/>
      <c r="BG97" s="78">
        <v>69</v>
      </c>
      <c r="BH97" s="78">
        <v>0</v>
      </c>
      <c r="BI97" s="78">
        <v>449.9</v>
      </c>
      <c r="BJ97" s="78">
        <v>0</v>
      </c>
      <c r="BK97" s="78">
        <v>24.9</v>
      </c>
      <c r="BL97" s="78">
        <v>36.1</v>
      </c>
    </row>
    <row r="98" spans="1:64" ht="15.75" thickBot="1" x14ac:dyDescent="0.3">
      <c r="A98" s="92" t="s">
        <v>164</v>
      </c>
      <c r="B98" s="91">
        <v>260</v>
      </c>
      <c r="C98" s="91">
        <v>300</v>
      </c>
      <c r="D98" s="91">
        <v>300</v>
      </c>
      <c r="E98" s="91">
        <v>300</v>
      </c>
      <c r="F98" s="91">
        <v>300</v>
      </c>
      <c r="G98" s="91">
        <v>280</v>
      </c>
      <c r="H98" s="91">
        <v>250</v>
      </c>
      <c r="I98" s="91">
        <v>200</v>
      </c>
      <c r="J98" s="91">
        <v>50</v>
      </c>
      <c r="K98" s="91">
        <v>50</v>
      </c>
      <c r="L98" s="91">
        <v>50</v>
      </c>
      <c r="M98" s="91">
        <v>50</v>
      </c>
      <c r="N98" s="91">
        <v>50</v>
      </c>
      <c r="O98" s="91">
        <v>50</v>
      </c>
      <c r="P98" s="91">
        <v>50</v>
      </c>
      <c r="Q98" s="91"/>
      <c r="R98" s="91"/>
      <c r="S98" s="91"/>
      <c r="T98" s="91"/>
      <c r="U98" s="91"/>
      <c r="V98" s="91"/>
      <c r="W98" s="91"/>
      <c r="X98" s="91">
        <v>130</v>
      </c>
      <c r="Y98" s="91">
        <v>130</v>
      </c>
      <c r="Z98" s="91">
        <v>200</v>
      </c>
      <c r="AA98" s="91">
        <v>200</v>
      </c>
      <c r="AB98" s="91">
        <v>200</v>
      </c>
      <c r="AC98" s="91">
        <v>200</v>
      </c>
      <c r="AD98" s="91">
        <v>200</v>
      </c>
      <c r="AE98" s="91">
        <v>180</v>
      </c>
      <c r="AF98" s="91">
        <v>180</v>
      </c>
      <c r="AG98" s="75"/>
      <c r="AH98" s="12">
        <f t="shared" si="51"/>
        <v>300</v>
      </c>
      <c r="AI98" s="11">
        <f t="shared" si="52"/>
        <v>50</v>
      </c>
      <c r="BF98" s="78"/>
      <c r="BG98" s="78">
        <v>73.900000000000006</v>
      </c>
      <c r="BH98" s="78">
        <v>0</v>
      </c>
      <c r="BI98" s="78">
        <v>462</v>
      </c>
      <c r="BJ98" s="78">
        <v>0</v>
      </c>
      <c r="BK98" s="78">
        <v>21</v>
      </c>
      <c r="BL98" s="78">
        <v>31.1</v>
      </c>
    </row>
    <row r="99" spans="1:64" ht="15.75" thickBot="1" x14ac:dyDescent="0.3">
      <c r="A99" s="77" t="s">
        <v>163</v>
      </c>
      <c r="B99" s="90">
        <f t="shared" ref="B99" si="62">B97+B98</f>
        <v>1496.0400000000002</v>
      </c>
      <c r="C99" s="90">
        <f t="shared" ref="C99:AF99" si="63">C97+C98</f>
        <v>1459.74</v>
      </c>
      <c r="D99" s="90">
        <f t="shared" si="63"/>
        <v>1428.9399999999998</v>
      </c>
      <c r="E99" s="90">
        <f t="shared" si="63"/>
        <v>1407.74</v>
      </c>
      <c r="F99" s="90">
        <f t="shared" si="63"/>
        <v>1425.9399999999998</v>
      </c>
      <c r="G99" s="90">
        <f t="shared" si="63"/>
        <v>1420.04</v>
      </c>
      <c r="H99" s="90">
        <f t="shared" si="63"/>
        <v>1429.8400000000001</v>
      </c>
      <c r="I99" s="90">
        <f t="shared" si="63"/>
        <v>1499.9399999999998</v>
      </c>
      <c r="J99" s="90">
        <f t="shared" si="63"/>
        <v>1545.84</v>
      </c>
      <c r="K99" s="90">
        <f t="shared" si="63"/>
        <v>1580.14</v>
      </c>
      <c r="L99" s="90">
        <f t="shared" si="63"/>
        <v>1547.04</v>
      </c>
      <c r="M99" s="90">
        <f t="shared" si="63"/>
        <v>1645.94</v>
      </c>
      <c r="N99" s="90">
        <f t="shared" si="63"/>
        <v>1615.3400000000001</v>
      </c>
      <c r="O99" s="90">
        <f t="shared" si="63"/>
        <v>1628.5400000000002</v>
      </c>
      <c r="P99" s="90">
        <f t="shared" si="63"/>
        <v>1591.04</v>
      </c>
      <c r="Q99" s="90">
        <f t="shared" si="63"/>
        <v>1542.54</v>
      </c>
      <c r="R99" s="90">
        <f t="shared" si="63"/>
        <v>1515.94</v>
      </c>
      <c r="S99" s="90">
        <f t="shared" si="63"/>
        <v>1393.24</v>
      </c>
      <c r="T99" s="90">
        <f t="shared" si="63"/>
        <v>1415.94</v>
      </c>
      <c r="U99" s="90">
        <f t="shared" si="63"/>
        <v>1409.54</v>
      </c>
      <c r="V99" s="90">
        <f t="shared" ref="V99:W99" si="64">V97+V98</f>
        <v>1391.1399999999999</v>
      </c>
      <c r="W99" s="90">
        <f t="shared" si="64"/>
        <v>1348.3400000000001</v>
      </c>
      <c r="X99" s="90">
        <f t="shared" si="63"/>
        <v>1506.54</v>
      </c>
      <c r="Y99" s="90">
        <f t="shared" ref="Y99:Z99" si="65">Y97+Y98</f>
        <v>1606.64</v>
      </c>
      <c r="Z99" s="90">
        <f t="shared" si="65"/>
        <v>1734.14</v>
      </c>
      <c r="AA99" s="90">
        <f t="shared" ref="AA99" si="66">AA97+AA98</f>
        <v>1721.84</v>
      </c>
      <c r="AB99" s="90">
        <f t="shared" si="63"/>
        <v>1708.1399999999999</v>
      </c>
      <c r="AC99" s="90">
        <f t="shared" si="63"/>
        <v>1692.14</v>
      </c>
      <c r="AD99" s="90">
        <f t="shared" si="63"/>
        <v>1662.64</v>
      </c>
      <c r="AE99" s="90">
        <f t="shared" si="63"/>
        <v>1540.3400000000001</v>
      </c>
      <c r="AF99" s="90">
        <f t="shared" si="63"/>
        <v>1566.24</v>
      </c>
      <c r="AG99" s="75">
        <f>AG96+AG92+AG80+AG76+AG58+AG98</f>
        <v>1693.71</v>
      </c>
      <c r="AH99" s="12">
        <f t="shared" si="51"/>
        <v>1734.14</v>
      </c>
      <c r="AI99" s="11">
        <f t="shared" si="52"/>
        <v>1348.3400000000001</v>
      </c>
      <c r="BF99" s="78"/>
      <c r="BG99" s="78">
        <v>53.2</v>
      </c>
      <c r="BH99" s="78">
        <v>0</v>
      </c>
      <c r="BI99" s="78">
        <v>498.1</v>
      </c>
      <c r="BJ99" s="78">
        <v>0</v>
      </c>
      <c r="BK99" s="78">
        <v>12.1</v>
      </c>
      <c r="BL99" s="78">
        <v>37.4</v>
      </c>
    </row>
    <row r="100" spans="1:64" ht="15.75" thickBot="1" x14ac:dyDescent="0.3">
      <c r="A100" s="77" t="s">
        <v>162</v>
      </c>
      <c r="B100" s="90">
        <f t="shared" ref="B100" si="67">B99-(B107)</f>
        <v>1496.0400000000002</v>
      </c>
      <c r="C100" s="90">
        <f t="shared" ref="C100:AF100" si="68">C99-(C107)</f>
        <v>1459.74</v>
      </c>
      <c r="D100" s="90">
        <f t="shared" si="68"/>
        <v>1428.9399999999998</v>
      </c>
      <c r="E100" s="90">
        <f t="shared" si="68"/>
        <v>1407.74</v>
      </c>
      <c r="F100" s="90">
        <f t="shared" si="68"/>
        <v>1425.9399999999998</v>
      </c>
      <c r="G100" s="90">
        <f t="shared" si="68"/>
        <v>1420.04</v>
      </c>
      <c r="H100" s="90">
        <f t="shared" si="68"/>
        <v>1429.8400000000001</v>
      </c>
      <c r="I100" s="90">
        <f t="shared" si="68"/>
        <v>1499.9399999999998</v>
      </c>
      <c r="J100" s="90">
        <f t="shared" si="68"/>
        <v>1545.84</v>
      </c>
      <c r="K100" s="90">
        <f t="shared" si="68"/>
        <v>1580.14</v>
      </c>
      <c r="L100" s="90">
        <f t="shared" si="68"/>
        <v>1547.04</v>
      </c>
      <c r="M100" s="90">
        <f t="shared" si="68"/>
        <v>1645.94</v>
      </c>
      <c r="N100" s="90">
        <f t="shared" si="68"/>
        <v>1615.3400000000001</v>
      </c>
      <c r="O100" s="90">
        <f t="shared" si="68"/>
        <v>1628.5400000000002</v>
      </c>
      <c r="P100" s="90">
        <f t="shared" si="68"/>
        <v>1591.04</v>
      </c>
      <c r="Q100" s="90">
        <f t="shared" si="68"/>
        <v>1542.54</v>
      </c>
      <c r="R100" s="90">
        <f t="shared" si="68"/>
        <v>1515.94</v>
      </c>
      <c r="S100" s="90">
        <f t="shared" si="68"/>
        <v>1393.24</v>
      </c>
      <c r="T100" s="90">
        <f t="shared" si="68"/>
        <v>1415.94</v>
      </c>
      <c r="U100" s="90">
        <f t="shared" si="68"/>
        <v>1409.54</v>
      </c>
      <c r="V100" s="90">
        <f t="shared" ref="V100:W100" si="69">V99-(V107)</f>
        <v>1391.1399999999999</v>
      </c>
      <c r="W100" s="90">
        <f t="shared" si="69"/>
        <v>1348.3400000000001</v>
      </c>
      <c r="X100" s="90">
        <f t="shared" si="68"/>
        <v>1506.54</v>
      </c>
      <c r="Y100" s="90">
        <f t="shared" ref="Y100:Z100" si="70">Y99-(Y107)</f>
        <v>1606.64</v>
      </c>
      <c r="Z100" s="90">
        <f t="shared" si="70"/>
        <v>1734.14</v>
      </c>
      <c r="AA100" s="90">
        <f t="shared" ref="AA100" si="71">AA99-(AA107)</f>
        <v>1721.84</v>
      </c>
      <c r="AB100" s="90">
        <f t="shared" si="68"/>
        <v>1708.1399999999999</v>
      </c>
      <c r="AC100" s="90">
        <f t="shared" si="68"/>
        <v>1692.14</v>
      </c>
      <c r="AD100" s="90">
        <f t="shared" si="68"/>
        <v>1662.64</v>
      </c>
      <c r="AE100" s="90">
        <f t="shared" si="68"/>
        <v>1540.3400000000001</v>
      </c>
      <c r="AF100" s="90">
        <f t="shared" si="68"/>
        <v>1566.24</v>
      </c>
      <c r="AG100" s="75"/>
      <c r="AH100" s="12">
        <f t="shared" si="51"/>
        <v>1734.14</v>
      </c>
      <c r="AI100" s="11">
        <f t="shared" si="52"/>
        <v>1348.3400000000001</v>
      </c>
      <c r="BF100" s="78"/>
      <c r="BG100" s="78">
        <v>65.3</v>
      </c>
      <c r="BH100" s="78">
        <v>0</v>
      </c>
      <c r="BI100" s="78">
        <v>501.1</v>
      </c>
      <c r="BJ100" s="78">
        <v>0</v>
      </c>
      <c r="BK100" s="78">
        <v>0</v>
      </c>
      <c r="BL100" s="78">
        <v>37.4</v>
      </c>
    </row>
    <row r="101" spans="1:64" x14ac:dyDescent="0.25">
      <c r="A101" s="89" t="s">
        <v>161</v>
      </c>
      <c r="B101" s="85">
        <f t="shared" ref="B101" si="72">IF(B84&lt;0,B84*-1,0)</f>
        <v>0</v>
      </c>
      <c r="C101" s="85">
        <f t="shared" ref="C101:AF101" si="73">IF(C84&lt;0,C84*-1,0)</f>
        <v>0</v>
      </c>
      <c r="D101" s="85">
        <f t="shared" si="73"/>
        <v>0</v>
      </c>
      <c r="E101" s="85">
        <f t="shared" si="73"/>
        <v>0</v>
      </c>
      <c r="F101" s="85">
        <f t="shared" si="73"/>
        <v>0</v>
      </c>
      <c r="G101" s="85">
        <f t="shared" si="73"/>
        <v>0</v>
      </c>
      <c r="H101" s="85">
        <f t="shared" si="73"/>
        <v>0</v>
      </c>
      <c r="I101" s="85">
        <f t="shared" si="73"/>
        <v>0</v>
      </c>
      <c r="J101" s="85">
        <f t="shared" si="73"/>
        <v>0</v>
      </c>
      <c r="K101" s="85">
        <f t="shared" si="73"/>
        <v>0</v>
      </c>
      <c r="L101" s="85">
        <f t="shared" si="73"/>
        <v>0</v>
      </c>
      <c r="M101" s="85">
        <f t="shared" si="73"/>
        <v>0</v>
      </c>
      <c r="N101" s="85">
        <f t="shared" si="73"/>
        <v>0</v>
      </c>
      <c r="O101" s="85">
        <f t="shared" si="73"/>
        <v>0</v>
      </c>
      <c r="P101" s="85">
        <f t="shared" si="73"/>
        <v>0</v>
      </c>
      <c r="Q101" s="85">
        <f t="shared" si="73"/>
        <v>0</v>
      </c>
      <c r="R101" s="85">
        <f t="shared" si="73"/>
        <v>0</v>
      </c>
      <c r="S101" s="85">
        <f t="shared" ref="S101:T101" si="74">IF(S84&lt;0,S84*-1,0)</f>
        <v>0</v>
      </c>
      <c r="T101" s="85">
        <f t="shared" si="74"/>
        <v>0</v>
      </c>
      <c r="U101" s="85">
        <f t="shared" ref="U101:V101" si="75">IF(U84&lt;0,U84*-1,0)</f>
        <v>0</v>
      </c>
      <c r="V101" s="85">
        <f t="shared" si="75"/>
        <v>0</v>
      </c>
      <c r="W101" s="85">
        <f t="shared" ref="W101" si="76">IF(W84&lt;0,W84*-1,0)</f>
        <v>0</v>
      </c>
      <c r="X101" s="85">
        <f t="shared" si="73"/>
        <v>0</v>
      </c>
      <c r="Y101" s="85">
        <f t="shared" ref="Y101:Z101" si="77">IF(Y84&lt;0,Y84*-1,0)</f>
        <v>0</v>
      </c>
      <c r="Z101" s="85">
        <f t="shared" si="77"/>
        <v>0</v>
      </c>
      <c r="AA101" s="85">
        <f t="shared" ref="AA101" si="78">IF(AA84&lt;0,AA84*-1,0)</f>
        <v>0</v>
      </c>
      <c r="AB101" s="85">
        <f t="shared" si="73"/>
        <v>0</v>
      </c>
      <c r="AC101" s="85">
        <f t="shared" si="73"/>
        <v>0</v>
      </c>
      <c r="AD101" s="85">
        <f t="shared" si="73"/>
        <v>0</v>
      </c>
      <c r="AE101" s="85">
        <f t="shared" si="73"/>
        <v>0</v>
      </c>
      <c r="AF101" s="85">
        <f t="shared" si="73"/>
        <v>0</v>
      </c>
      <c r="AG101" s="88"/>
      <c r="AH101" s="12">
        <f t="shared" si="51"/>
        <v>0</v>
      </c>
      <c r="AI101" s="11">
        <f t="shared" si="52"/>
        <v>0</v>
      </c>
      <c r="BF101" s="83"/>
      <c r="BG101" s="78">
        <v>66</v>
      </c>
      <c r="BH101" s="78">
        <v>0</v>
      </c>
      <c r="BI101" s="78">
        <v>400</v>
      </c>
      <c r="BJ101" s="78">
        <v>0</v>
      </c>
      <c r="BK101" s="78">
        <v>0</v>
      </c>
      <c r="BL101" s="78">
        <v>32.4</v>
      </c>
    </row>
    <row r="102" spans="1:64" x14ac:dyDescent="0.25">
      <c r="A102" s="87" t="s">
        <v>160</v>
      </c>
      <c r="B102" s="85">
        <f t="shared" ref="B102" si="79">IF(B82&lt;0,B82*-1,0)</f>
        <v>0</v>
      </c>
      <c r="C102" s="85">
        <f t="shared" ref="C102:AF102" si="80">IF(C82&lt;0,C82*-1,0)</f>
        <v>0</v>
      </c>
      <c r="D102" s="85">
        <f t="shared" si="80"/>
        <v>0</v>
      </c>
      <c r="E102" s="85">
        <f t="shared" si="80"/>
        <v>0</v>
      </c>
      <c r="F102" s="85">
        <f t="shared" si="80"/>
        <v>0</v>
      </c>
      <c r="G102" s="85">
        <f t="shared" si="80"/>
        <v>0</v>
      </c>
      <c r="H102" s="85">
        <f t="shared" si="80"/>
        <v>0</v>
      </c>
      <c r="I102" s="85">
        <f t="shared" si="80"/>
        <v>0</v>
      </c>
      <c r="J102" s="85">
        <f t="shared" si="80"/>
        <v>0</v>
      </c>
      <c r="K102" s="85">
        <f t="shared" si="80"/>
        <v>0</v>
      </c>
      <c r="L102" s="85">
        <f t="shared" si="80"/>
        <v>0</v>
      </c>
      <c r="M102" s="85">
        <f t="shared" si="80"/>
        <v>0</v>
      </c>
      <c r="N102" s="85">
        <f t="shared" si="80"/>
        <v>0</v>
      </c>
      <c r="O102" s="85">
        <f t="shared" si="80"/>
        <v>0</v>
      </c>
      <c r="P102" s="85">
        <f t="shared" si="80"/>
        <v>0</v>
      </c>
      <c r="Q102" s="85">
        <f t="shared" si="80"/>
        <v>0</v>
      </c>
      <c r="R102" s="85">
        <f t="shared" si="80"/>
        <v>0</v>
      </c>
      <c r="S102" s="85">
        <f t="shared" ref="S102:T102" si="81">IF(S82&lt;0,S82*-1,0)</f>
        <v>0</v>
      </c>
      <c r="T102" s="85">
        <f t="shared" si="81"/>
        <v>0</v>
      </c>
      <c r="U102" s="85">
        <f t="shared" ref="U102:V102" si="82">IF(U82&lt;0,U82*-1,0)</f>
        <v>0</v>
      </c>
      <c r="V102" s="85">
        <f t="shared" si="82"/>
        <v>0</v>
      </c>
      <c r="W102" s="85">
        <f t="shared" ref="W102" si="83">IF(W82&lt;0,W82*-1,0)</f>
        <v>0</v>
      </c>
      <c r="X102" s="85">
        <f t="shared" si="80"/>
        <v>0</v>
      </c>
      <c r="Y102" s="85">
        <f t="shared" ref="Y102:Z102" si="84">IF(Y82&lt;0,Y82*-1,0)</f>
        <v>0</v>
      </c>
      <c r="Z102" s="85">
        <f t="shared" si="84"/>
        <v>0</v>
      </c>
      <c r="AA102" s="85">
        <f t="shared" ref="AA102" si="85">IF(AA82&lt;0,AA82*-1,0)</f>
        <v>0</v>
      </c>
      <c r="AB102" s="85">
        <f t="shared" si="80"/>
        <v>0</v>
      </c>
      <c r="AC102" s="85">
        <f t="shared" si="80"/>
        <v>0</v>
      </c>
      <c r="AD102" s="85">
        <f t="shared" si="80"/>
        <v>0</v>
      </c>
      <c r="AE102" s="85">
        <f t="shared" si="80"/>
        <v>0</v>
      </c>
      <c r="AF102" s="85">
        <f t="shared" si="80"/>
        <v>0</v>
      </c>
      <c r="AG102" s="86"/>
      <c r="AH102" s="12">
        <f t="shared" si="51"/>
        <v>0</v>
      </c>
      <c r="AI102" s="11">
        <f t="shared" si="52"/>
        <v>0</v>
      </c>
      <c r="BF102" s="83"/>
      <c r="BG102" s="78">
        <v>18.5</v>
      </c>
      <c r="BH102" s="78">
        <v>0</v>
      </c>
      <c r="BI102" s="78">
        <v>0</v>
      </c>
      <c r="BJ102" s="78">
        <v>0</v>
      </c>
      <c r="BK102" s="78">
        <v>0</v>
      </c>
      <c r="BL102" s="78">
        <v>35.9</v>
      </c>
    </row>
    <row r="103" spans="1:64" x14ac:dyDescent="0.25">
      <c r="A103" s="82" t="s">
        <v>159</v>
      </c>
      <c r="B103" s="85">
        <f t="shared" ref="B103" si="86">IF(B85&lt;0,B85*-1,0)</f>
        <v>0</v>
      </c>
      <c r="C103" s="85">
        <f t="shared" ref="C103:AF103" si="87">IF(C85&lt;0,C85*-1,0)</f>
        <v>0</v>
      </c>
      <c r="D103" s="85">
        <f t="shared" si="87"/>
        <v>0</v>
      </c>
      <c r="E103" s="85">
        <f t="shared" si="87"/>
        <v>0</v>
      </c>
      <c r="F103" s="85">
        <f t="shared" si="87"/>
        <v>0</v>
      </c>
      <c r="G103" s="85">
        <f t="shared" si="87"/>
        <v>0</v>
      </c>
      <c r="H103" s="85">
        <f t="shared" si="87"/>
        <v>0</v>
      </c>
      <c r="I103" s="85">
        <f t="shared" si="87"/>
        <v>0</v>
      </c>
      <c r="J103" s="85">
        <f t="shared" si="87"/>
        <v>0</v>
      </c>
      <c r="K103" s="85">
        <f t="shared" si="87"/>
        <v>0</v>
      </c>
      <c r="L103" s="85">
        <f t="shared" si="87"/>
        <v>0</v>
      </c>
      <c r="M103" s="85">
        <f t="shared" si="87"/>
        <v>0</v>
      </c>
      <c r="N103" s="85">
        <f t="shared" si="87"/>
        <v>0</v>
      </c>
      <c r="O103" s="85">
        <f t="shared" si="87"/>
        <v>0</v>
      </c>
      <c r="P103" s="85">
        <f t="shared" si="87"/>
        <v>0</v>
      </c>
      <c r="Q103" s="85">
        <f t="shared" si="87"/>
        <v>0</v>
      </c>
      <c r="R103" s="85">
        <f t="shared" si="87"/>
        <v>0</v>
      </c>
      <c r="S103" s="85">
        <f t="shared" ref="S103:T103" si="88">IF(S85&lt;0,S85*-1,0)</f>
        <v>0</v>
      </c>
      <c r="T103" s="85">
        <f t="shared" si="88"/>
        <v>0</v>
      </c>
      <c r="U103" s="85">
        <f t="shared" ref="U103:V103" si="89">IF(U85&lt;0,U85*-1,0)</f>
        <v>0</v>
      </c>
      <c r="V103" s="85">
        <f t="shared" si="89"/>
        <v>0</v>
      </c>
      <c r="W103" s="85">
        <f t="shared" ref="W103" si="90">IF(W85&lt;0,W85*-1,0)</f>
        <v>0</v>
      </c>
      <c r="X103" s="85">
        <f t="shared" si="87"/>
        <v>0</v>
      </c>
      <c r="Y103" s="85">
        <f t="shared" ref="Y103:Z103" si="91">IF(Y85&lt;0,Y85*-1,0)</f>
        <v>0</v>
      </c>
      <c r="Z103" s="85">
        <f t="shared" si="91"/>
        <v>0</v>
      </c>
      <c r="AA103" s="85">
        <f t="shared" ref="AA103" si="92">IF(AA85&lt;0,AA85*-1,0)</f>
        <v>0</v>
      </c>
      <c r="AB103" s="85">
        <f t="shared" si="87"/>
        <v>0</v>
      </c>
      <c r="AC103" s="85">
        <f t="shared" si="87"/>
        <v>0</v>
      </c>
      <c r="AD103" s="85">
        <f t="shared" si="87"/>
        <v>0</v>
      </c>
      <c r="AE103" s="85">
        <f t="shared" si="87"/>
        <v>0</v>
      </c>
      <c r="AF103" s="85">
        <f t="shared" si="87"/>
        <v>0</v>
      </c>
      <c r="AG103" s="84"/>
      <c r="AH103" s="12">
        <f t="shared" si="51"/>
        <v>0</v>
      </c>
      <c r="AI103" s="11">
        <f t="shared" si="52"/>
        <v>0</v>
      </c>
      <c r="BF103" s="83"/>
      <c r="BG103" s="78">
        <v>16.8</v>
      </c>
      <c r="BH103" s="78">
        <v>0</v>
      </c>
      <c r="BI103" s="78">
        <v>9.9</v>
      </c>
      <c r="BJ103" s="78">
        <v>0</v>
      </c>
      <c r="BK103" s="78">
        <v>0</v>
      </c>
      <c r="BL103" s="78">
        <v>34.4</v>
      </c>
    </row>
    <row r="104" spans="1:64" x14ac:dyDescent="0.25">
      <c r="A104" s="82" t="s">
        <v>158</v>
      </c>
      <c r="B104" s="85">
        <f t="shared" ref="B104" si="93">IF(B83&lt;0,B83*-1,0)</f>
        <v>0</v>
      </c>
      <c r="C104" s="85">
        <f t="shared" ref="C104:AF104" si="94">IF(C83&lt;0,C83*-1,0)</f>
        <v>0</v>
      </c>
      <c r="D104" s="85">
        <f t="shared" si="94"/>
        <v>0</v>
      </c>
      <c r="E104" s="85">
        <f t="shared" si="94"/>
        <v>0</v>
      </c>
      <c r="F104" s="85">
        <f t="shared" si="94"/>
        <v>0</v>
      </c>
      <c r="G104" s="85">
        <f t="shared" si="94"/>
        <v>0</v>
      </c>
      <c r="H104" s="85">
        <f t="shared" si="94"/>
        <v>0</v>
      </c>
      <c r="I104" s="85">
        <f t="shared" si="94"/>
        <v>0</v>
      </c>
      <c r="J104" s="85">
        <f t="shared" si="94"/>
        <v>0</v>
      </c>
      <c r="K104" s="85">
        <f t="shared" si="94"/>
        <v>0</v>
      </c>
      <c r="L104" s="85">
        <f t="shared" si="94"/>
        <v>0</v>
      </c>
      <c r="M104" s="85">
        <f t="shared" si="94"/>
        <v>0</v>
      </c>
      <c r="N104" s="85">
        <f t="shared" si="94"/>
        <v>0</v>
      </c>
      <c r="O104" s="85">
        <f t="shared" si="94"/>
        <v>0</v>
      </c>
      <c r="P104" s="85">
        <f t="shared" si="94"/>
        <v>0</v>
      </c>
      <c r="Q104" s="85">
        <f t="shared" si="94"/>
        <v>0</v>
      </c>
      <c r="R104" s="85">
        <f t="shared" si="94"/>
        <v>0</v>
      </c>
      <c r="S104" s="85">
        <f t="shared" ref="S104:T104" si="95">IF(S83&lt;0,S83*-1,0)</f>
        <v>0</v>
      </c>
      <c r="T104" s="85">
        <f t="shared" si="95"/>
        <v>0</v>
      </c>
      <c r="U104" s="85">
        <f t="shared" ref="U104:V104" si="96">IF(U83&lt;0,U83*-1,0)</f>
        <v>0</v>
      </c>
      <c r="V104" s="85">
        <f t="shared" si="96"/>
        <v>0</v>
      </c>
      <c r="W104" s="85">
        <f t="shared" ref="W104" si="97">IF(W83&lt;0,W83*-1,0)</f>
        <v>0</v>
      </c>
      <c r="X104" s="85">
        <f t="shared" si="94"/>
        <v>0</v>
      </c>
      <c r="Y104" s="85">
        <f t="shared" ref="Y104:Z104" si="98">IF(Y83&lt;0,Y83*-1,0)</f>
        <v>0</v>
      </c>
      <c r="Z104" s="85">
        <f t="shared" si="98"/>
        <v>0</v>
      </c>
      <c r="AA104" s="85">
        <f t="shared" ref="AA104" si="99">IF(AA83&lt;0,AA83*-1,0)</f>
        <v>0</v>
      </c>
      <c r="AB104" s="85">
        <f t="shared" si="94"/>
        <v>0</v>
      </c>
      <c r="AC104" s="85">
        <f t="shared" si="94"/>
        <v>0</v>
      </c>
      <c r="AD104" s="85">
        <f t="shared" si="94"/>
        <v>0</v>
      </c>
      <c r="AE104" s="85">
        <f t="shared" si="94"/>
        <v>0</v>
      </c>
      <c r="AF104" s="85">
        <f t="shared" si="94"/>
        <v>0</v>
      </c>
      <c r="AG104" s="84"/>
      <c r="AH104" s="12">
        <f t="shared" si="51"/>
        <v>0</v>
      </c>
      <c r="AI104" s="11">
        <f t="shared" si="52"/>
        <v>0</v>
      </c>
      <c r="BF104" s="83"/>
      <c r="BG104" s="78">
        <v>29.1</v>
      </c>
      <c r="BH104" s="78">
        <v>0</v>
      </c>
      <c r="BI104" s="78">
        <v>30.2</v>
      </c>
      <c r="BJ104" s="78">
        <v>0</v>
      </c>
      <c r="BK104" s="78">
        <v>0</v>
      </c>
      <c r="BL104" s="78">
        <v>34.299999999999997</v>
      </c>
    </row>
    <row r="105" spans="1:64" x14ac:dyDescent="0.25">
      <c r="A105" s="82" t="s">
        <v>157</v>
      </c>
      <c r="B105" s="85">
        <f t="shared" ref="B105" si="100">IF(B81&lt;0,B81*-1,0)</f>
        <v>0</v>
      </c>
      <c r="C105" s="85">
        <f t="shared" ref="C105:AF105" si="101">IF(C81&lt;0,C81*-1,0)</f>
        <v>0</v>
      </c>
      <c r="D105" s="85">
        <f t="shared" si="101"/>
        <v>0</v>
      </c>
      <c r="E105" s="85">
        <f t="shared" si="101"/>
        <v>0</v>
      </c>
      <c r="F105" s="85">
        <f t="shared" si="101"/>
        <v>0</v>
      </c>
      <c r="G105" s="85">
        <f t="shared" si="101"/>
        <v>0</v>
      </c>
      <c r="H105" s="85">
        <f t="shared" si="101"/>
        <v>0</v>
      </c>
      <c r="I105" s="85">
        <f t="shared" si="101"/>
        <v>0</v>
      </c>
      <c r="J105" s="85">
        <f t="shared" si="101"/>
        <v>0</v>
      </c>
      <c r="K105" s="85">
        <f t="shared" si="101"/>
        <v>0</v>
      </c>
      <c r="L105" s="85">
        <f t="shared" si="101"/>
        <v>0</v>
      </c>
      <c r="M105" s="85">
        <f t="shared" si="101"/>
        <v>0</v>
      </c>
      <c r="N105" s="85">
        <f t="shared" si="101"/>
        <v>0</v>
      </c>
      <c r="O105" s="85">
        <f t="shared" si="101"/>
        <v>0</v>
      </c>
      <c r="P105" s="85">
        <f t="shared" si="101"/>
        <v>0</v>
      </c>
      <c r="Q105" s="85">
        <f t="shared" si="101"/>
        <v>0</v>
      </c>
      <c r="R105" s="85">
        <f t="shared" si="101"/>
        <v>0</v>
      </c>
      <c r="S105" s="85">
        <f t="shared" ref="S105:T105" si="102">IF(S81&lt;0,S81*-1,0)</f>
        <v>0</v>
      </c>
      <c r="T105" s="85">
        <f t="shared" si="102"/>
        <v>0</v>
      </c>
      <c r="U105" s="85">
        <f t="shared" ref="U105:V105" si="103">IF(U81&lt;0,U81*-1,0)</f>
        <v>0</v>
      </c>
      <c r="V105" s="85">
        <f t="shared" si="103"/>
        <v>0</v>
      </c>
      <c r="W105" s="85">
        <f t="shared" ref="W105" si="104">IF(W81&lt;0,W81*-1,0)</f>
        <v>0</v>
      </c>
      <c r="X105" s="85">
        <f t="shared" si="101"/>
        <v>0</v>
      </c>
      <c r="Y105" s="85">
        <f t="shared" ref="Y105:Z105" si="105">IF(Y81&lt;0,Y81*-1,0)</f>
        <v>0</v>
      </c>
      <c r="Z105" s="85">
        <f t="shared" si="105"/>
        <v>0</v>
      </c>
      <c r="AA105" s="85">
        <f t="shared" ref="AA105" si="106">IF(AA81&lt;0,AA81*-1,0)</f>
        <v>0</v>
      </c>
      <c r="AB105" s="85">
        <f t="shared" si="101"/>
        <v>0</v>
      </c>
      <c r="AC105" s="85">
        <f t="shared" si="101"/>
        <v>0</v>
      </c>
      <c r="AD105" s="85">
        <f t="shared" si="101"/>
        <v>0</v>
      </c>
      <c r="AE105" s="85">
        <f t="shared" si="101"/>
        <v>0</v>
      </c>
      <c r="AF105" s="85">
        <f t="shared" si="101"/>
        <v>0</v>
      </c>
      <c r="AG105" s="84"/>
      <c r="AH105" s="12">
        <f t="shared" si="51"/>
        <v>0</v>
      </c>
      <c r="AI105" s="11">
        <f t="shared" si="52"/>
        <v>0</v>
      </c>
      <c r="BF105" s="83"/>
      <c r="BG105" s="78">
        <v>23</v>
      </c>
      <c r="BH105" s="78">
        <v>0</v>
      </c>
      <c r="BI105" s="78">
        <v>26</v>
      </c>
      <c r="BJ105" s="78">
        <v>0</v>
      </c>
      <c r="BK105" s="78">
        <v>0</v>
      </c>
      <c r="BL105" s="78">
        <v>42</v>
      </c>
    </row>
    <row r="106" spans="1:64" ht="15.75" thickBot="1" x14ac:dyDescent="0.3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51"/>
        <v>0</v>
      </c>
      <c r="AI106" s="11">
        <f t="shared" si="52"/>
        <v>0</v>
      </c>
      <c r="BG106" s="78">
        <v>24.2</v>
      </c>
      <c r="BH106" s="78">
        <v>0</v>
      </c>
      <c r="BI106" s="78">
        <v>54.7</v>
      </c>
      <c r="BJ106" s="78">
        <v>0</v>
      </c>
      <c r="BK106" s="78">
        <v>0</v>
      </c>
      <c r="BL106" s="78">
        <v>44.4</v>
      </c>
    </row>
    <row r="107" spans="1:64" ht="15.75" thickBot="1" x14ac:dyDescent="0.3">
      <c r="A107" s="79" t="s">
        <v>155</v>
      </c>
      <c r="B107" s="76">
        <f t="shared" ref="B107" si="107">SUM(B101:B106)</f>
        <v>0</v>
      </c>
      <c r="C107" s="76">
        <f t="shared" ref="C107:AF107" si="108">SUM(C101:C106)</f>
        <v>0</v>
      </c>
      <c r="D107" s="76">
        <f t="shared" si="108"/>
        <v>0</v>
      </c>
      <c r="E107" s="76">
        <f t="shared" si="108"/>
        <v>0</v>
      </c>
      <c r="F107" s="76">
        <f t="shared" si="108"/>
        <v>0</v>
      </c>
      <c r="G107" s="76">
        <f t="shared" si="108"/>
        <v>0</v>
      </c>
      <c r="H107" s="76">
        <f t="shared" si="108"/>
        <v>0</v>
      </c>
      <c r="I107" s="76">
        <f t="shared" si="108"/>
        <v>0</v>
      </c>
      <c r="J107" s="76">
        <f t="shared" si="108"/>
        <v>0</v>
      </c>
      <c r="K107" s="76">
        <f t="shared" si="108"/>
        <v>0</v>
      </c>
      <c r="L107" s="76">
        <f t="shared" si="108"/>
        <v>0</v>
      </c>
      <c r="M107" s="76">
        <f t="shared" si="108"/>
        <v>0</v>
      </c>
      <c r="N107" s="76">
        <f t="shared" si="108"/>
        <v>0</v>
      </c>
      <c r="O107" s="76">
        <f t="shared" si="108"/>
        <v>0</v>
      </c>
      <c r="P107" s="76">
        <f t="shared" si="108"/>
        <v>0</v>
      </c>
      <c r="Q107" s="76">
        <f t="shared" si="108"/>
        <v>0</v>
      </c>
      <c r="R107" s="76">
        <f t="shared" si="108"/>
        <v>0</v>
      </c>
      <c r="S107" s="76">
        <f t="shared" si="108"/>
        <v>0</v>
      </c>
      <c r="T107" s="76">
        <f t="shared" si="108"/>
        <v>0</v>
      </c>
      <c r="U107" s="76">
        <f t="shared" si="108"/>
        <v>0</v>
      </c>
      <c r="V107" s="76">
        <f t="shared" ref="V107:W107" si="109">SUM(V101:V106)</f>
        <v>0</v>
      </c>
      <c r="W107" s="76">
        <f t="shared" si="109"/>
        <v>0</v>
      </c>
      <c r="X107" s="76">
        <f t="shared" si="108"/>
        <v>0</v>
      </c>
      <c r="Y107" s="76">
        <f t="shared" ref="Y107:Z107" si="110">SUM(Y101:Y106)</f>
        <v>0</v>
      </c>
      <c r="Z107" s="76">
        <f t="shared" si="110"/>
        <v>0</v>
      </c>
      <c r="AA107" s="76">
        <f t="shared" ref="AA107" si="111">SUM(AA101:AA106)</f>
        <v>0</v>
      </c>
      <c r="AB107" s="76">
        <f t="shared" si="108"/>
        <v>0</v>
      </c>
      <c r="AC107" s="76">
        <f t="shared" si="108"/>
        <v>0</v>
      </c>
      <c r="AD107" s="76">
        <f t="shared" si="108"/>
        <v>0</v>
      </c>
      <c r="AE107" s="76">
        <f t="shared" si="108"/>
        <v>0</v>
      </c>
      <c r="AF107" s="76">
        <f t="shared" si="108"/>
        <v>0</v>
      </c>
      <c r="AG107" s="75"/>
      <c r="AH107" s="12">
        <f t="shared" si="51"/>
        <v>0</v>
      </c>
      <c r="AI107" s="11">
        <f t="shared" si="52"/>
        <v>0</v>
      </c>
      <c r="AK107" s="19"/>
      <c r="BG107" s="78">
        <v>6.9</v>
      </c>
      <c r="BH107" s="78">
        <v>0</v>
      </c>
      <c r="BI107" s="78">
        <v>2</v>
      </c>
      <c r="BJ107" s="78">
        <v>0</v>
      </c>
      <c r="BK107" s="78">
        <v>0</v>
      </c>
      <c r="BL107" s="78">
        <v>40.5</v>
      </c>
    </row>
    <row r="108" spans="1:64" ht="15.75" thickBot="1" x14ac:dyDescent="0.3">
      <c r="A108" s="77" t="s">
        <v>154</v>
      </c>
      <c r="B108" s="76">
        <f t="shared" ref="B108" si="112">B92-B107</f>
        <v>49.4</v>
      </c>
      <c r="C108" s="76">
        <f t="shared" ref="C108:AF108" si="113">C92-C107</f>
        <v>43.1</v>
      </c>
      <c r="D108" s="76">
        <f t="shared" si="113"/>
        <v>46.6</v>
      </c>
      <c r="E108" s="76">
        <f t="shared" si="113"/>
        <v>41.6</v>
      </c>
      <c r="F108" s="76">
        <f t="shared" si="113"/>
        <v>37.300000000000004</v>
      </c>
      <c r="G108" s="76">
        <f t="shared" si="113"/>
        <v>40.1</v>
      </c>
      <c r="H108" s="76">
        <f t="shared" si="113"/>
        <v>51.4</v>
      </c>
      <c r="I108" s="76">
        <f t="shared" si="113"/>
        <v>81.3</v>
      </c>
      <c r="J108" s="76">
        <f t="shared" si="113"/>
        <v>536.79999999999995</v>
      </c>
      <c r="K108" s="76">
        <f t="shared" si="113"/>
        <v>565</v>
      </c>
      <c r="L108" s="76">
        <f t="shared" si="113"/>
        <v>517</v>
      </c>
      <c r="M108" s="76">
        <f t="shared" si="113"/>
        <v>593</v>
      </c>
      <c r="N108" s="76">
        <f t="shared" si="113"/>
        <v>645.29999999999995</v>
      </c>
      <c r="O108" s="76">
        <f t="shared" si="113"/>
        <v>605.40000000000009</v>
      </c>
      <c r="P108" s="76">
        <f t="shared" si="113"/>
        <v>617.79999999999995</v>
      </c>
      <c r="Q108" s="76">
        <f t="shared" si="113"/>
        <v>619.9</v>
      </c>
      <c r="R108" s="76">
        <f t="shared" si="113"/>
        <v>597</v>
      </c>
      <c r="S108" s="76">
        <f t="shared" si="113"/>
        <v>579.9</v>
      </c>
      <c r="T108" s="76">
        <f t="shared" si="113"/>
        <v>588</v>
      </c>
      <c r="U108" s="76">
        <f t="shared" si="113"/>
        <v>600.80000000000007</v>
      </c>
      <c r="V108" s="76">
        <f t="shared" ref="V108:W108" si="114">V92-V107</f>
        <v>603.79999999999995</v>
      </c>
      <c r="W108" s="76">
        <f t="shared" si="114"/>
        <v>551.4</v>
      </c>
      <c r="X108" s="76">
        <f t="shared" si="113"/>
        <v>498.4</v>
      </c>
      <c r="Y108" s="76">
        <f t="shared" ref="Y108:Z108" si="115">Y92-Y107</f>
        <v>117</v>
      </c>
      <c r="Z108" s="76">
        <f t="shared" si="115"/>
        <v>54.4</v>
      </c>
      <c r="AA108" s="76">
        <f t="shared" ref="AA108" si="116">AA92-AA107</f>
        <v>57.800000000000004</v>
      </c>
      <c r="AB108" s="76">
        <f t="shared" si="113"/>
        <v>61.1</v>
      </c>
      <c r="AC108" s="76">
        <f t="shared" si="113"/>
        <v>123.69999999999999</v>
      </c>
      <c r="AD108" s="76">
        <f t="shared" si="113"/>
        <v>93.6</v>
      </c>
      <c r="AE108" s="76">
        <f t="shared" si="113"/>
        <v>91</v>
      </c>
      <c r="AF108" s="76">
        <f t="shared" si="113"/>
        <v>123.30000000000001</v>
      </c>
      <c r="AG108" s="75"/>
      <c r="AH108" s="12">
        <f t="shared" si="51"/>
        <v>645.29999999999995</v>
      </c>
      <c r="AI108" s="11">
        <f t="shared" si="52"/>
        <v>37.300000000000004</v>
      </c>
    </row>
    <row r="109" spans="1:64" x14ac:dyDescent="0.25">
      <c r="A109" s="25" t="s">
        <v>153</v>
      </c>
      <c r="B109" s="74">
        <v>49.99</v>
      </c>
      <c r="C109" s="74">
        <v>49.98</v>
      </c>
      <c r="D109" s="74">
        <v>49.93</v>
      </c>
      <c r="E109" s="74">
        <v>49.930999999999997</v>
      </c>
      <c r="F109" s="74">
        <v>50.014000000000003</v>
      </c>
      <c r="G109" s="74">
        <v>49.987000000000002</v>
      </c>
      <c r="H109" s="74">
        <v>49.975000000000001</v>
      </c>
      <c r="I109" s="74">
        <v>50.015999999999998</v>
      </c>
      <c r="J109" s="74">
        <v>50.030999999999999</v>
      </c>
      <c r="K109" s="74">
        <v>49.93</v>
      </c>
      <c r="L109" s="74">
        <v>50.015999999999998</v>
      </c>
      <c r="M109" s="74">
        <v>49.896000000000001</v>
      </c>
      <c r="N109" s="74">
        <v>49.927</v>
      </c>
      <c r="O109" s="74">
        <v>49.923000000000002</v>
      </c>
      <c r="P109" s="74">
        <v>50.122</v>
      </c>
      <c r="Q109" s="74">
        <v>49.999000000000002</v>
      </c>
      <c r="R109" s="74">
        <v>49.933999999999997</v>
      </c>
      <c r="S109" s="74">
        <v>49.77</v>
      </c>
      <c r="T109" s="74">
        <v>49.93</v>
      </c>
      <c r="U109" s="74">
        <v>49.99</v>
      </c>
      <c r="V109" s="74">
        <v>50.08</v>
      </c>
      <c r="W109" s="74">
        <v>49.99</v>
      </c>
      <c r="X109" s="74">
        <v>50.045000000000002</v>
      </c>
      <c r="Y109" s="74">
        <v>50.09</v>
      </c>
      <c r="Z109" s="74">
        <v>50.04</v>
      </c>
      <c r="AA109" s="74">
        <v>50.04</v>
      </c>
      <c r="AB109" s="74">
        <v>50.042999999999999</v>
      </c>
      <c r="AC109" s="74">
        <v>50.018000000000001</v>
      </c>
      <c r="AD109" s="74">
        <v>50.101999999999997</v>
      </c>
      <c r="AE109" s="74">
        <v>50.036999999999999</v>
      </c>
      <c r="AF109" s="74">
        <v>49.851999999999997</v>
      </c>
      <c r="AG109" s="73"/>
      <c r="AH109" s="12">
        <f t="shared" si="51"/>
        <v>50.122</v>
      </c>
      <c r="AI109" s="11">
        <f t="shared" si="52"/>
        <v>49.77</v>
      </c>
    </row>
    <row r="110" spans="1:64" x14ac:dyDescent="0.25">
      <c r="A110" s="22" t="s">
        <v>152</v>
      </c>
      <c r="B110" s="70">
        <v>129.30000000000001</v>
      </c>
      <c r="C110" s="70">
        <v>129.80000000000001</v>
      </c>
      <c r="D110" s="70">
        <v>129.80000000000001</v>
      </c>
      <c r="E110" s="70">
        <v>130.4</v>
      </c>
      <c r="F110" s="70">
        <v>130.80000000000001</v>
      </c>
      <c r="G110" s="70">
        <v>130.80000000000001</v>
      </c>
      <c r="H110" s="70">
        <v>130.30000000000001</v>
      </c>
      <c r="I110" s="70">
        <v>127</v>
      </c>
      <c r="J110" s="70">
        <v>121.7</v>
      </c>
      <c r="K110" s="70">
        <v>122</v>
      </c>
      <c r="L110" s="70">
        <v>122.5</v>
      </c>
      <c r="M110" s="70">
        <v>122.6</v>
      </c>
      <c r="N110" s="70">
        <v>122.2</v>
      </c>
      <c r="O110" s="70">
        <v>123.8</v>
      </c>
      <c r="P110" s="70">
        <v>123.9</v>
      </c>
      <c r="Q110" s="70">
        <v>123.7</v>
      </c>
      <c r="R110" s="70">
        <v>124.7</v>
      </c>
      <c r="S110" s="70">
        <v>124.6</v>
      </c>
      <c r="T110" s="70">
        <v>123.7</v>
      </c>
      <c r="U110" s="70">
        <v>124.2</v>
      </c>
      <c r="V110" s="70">
        <v>124.2</v>
      </c>
      <c r="W110" s="70">
        <v>124.2</v>
      </c>
      <c r="X110" s="70">
        <v>127.8</v>
      </c>
      <c r="Y110" s="70">
        <v>126.7</v>
      </c>
      <c r="Z110" s="70">
        <v>129</v>
      </c>
      <c r="AA110" s="70">
        <v>128.9</v>
      </c>
      <c r="AB110" s="70">
        <v>129</v>
      </c>
      <c r="AC110" s="70">
        <v>128</v>
      </c>
      <c r="AD110" s="70">
        <v>126.4</v>
      </c>
      <c r="AE110" s="70">
        <v>127.1</v>
      </c>
      <c r="AF110" s="70">
        <v>127</v>
      </c>
      <c r="AG110" s="69"/>
      <c r="AH110" s="12">
        <f t="shared" si="51"/>
        <v>130.80000000000001</v>
      </c>
      <c r="AI110" s="11">
        <f t="shared" si="52"/>
        <v>121.7</v>
      </c>
    </row>
    <row r="111" spans="1:64" x14ac:dyDescent="0.25">
      <c r="A111" s="22" t="s">
        <v>151</v>
      </c>
      <c r="B111" s="70">
        <v>133.30000000000001</v>
      </c>
      <c r="C111" s="70">
        <v>133.9</v>
      </c>
      <c r="D111" s="70">
        <v>133.80000000000001</v>
      </c>
      <c r="E111" s="70">
        <v>134.30000000000001</v>
      </c>
      <c r="F111" s="70">
        <v>134.80000000000001</v>
      </c>
      <c r="G111" s="70">
        <v>134.6</v>
      </c>
      <c r="H111" s="70">
        <v>134.1</v>
      </c>
      <c r="I111" s="70">
        <v>131.30000000000001</v>
      </c>
      <c r="J111" s="70">
        <v>127.5</v>
      </c>
      <c r="K111" s="70">
        <v>128.5</v>
      </c>
      <c r="L111" s="70">
        <v>128</v>
      </c>
      <c r="M111" s="70">
        <v>128.19999999999999</v>
      </c>
      <c r="N111" s="70">
        <v>127.5</v>
      </c>
      <c r="O111" s="70">
        <v>128.4</v>
      </c>
      <c r="P111" s="70">
        <v>128.80000000000001</v>
      </c>
      <c r="Q111" s="70">
        <v>129</v>
      </c>
      <c r="R111" s="70">
        <v>130.19999999999999</v>
      </c>
      <c r="S111" s="70">
        <v>130.19999999999999</v>
      </c>
      <c r="T111" s="70">
        <v>128.4</v>
      </c>
      <c r="U111" s="70">
        <v>128.80000000000001</v>
      </c>
      <c r="V111" s="70">
        <v>128.80000000000001</v>
      </c>
      <c r="W111" s="70">
        <v>128.80000000000001</v>
      </c>
      <c r="X111" s="70">
        <v>131.6</v>
      </c>
      <c r="Y111" s="70">
        <v>130.4</v>
      </c>
      <c r="Z111" s="70">
        <v>131.80000000000001</v>
      </c>
      <c r="AA111" s="70">
        <v>132.69999999999999</v>
      </c>
      <c r="AB111" s="70">
        <v>133.19999999999999</v>
      </c>
      <c r="AC111" s="70">
        <v>132.6</v>
      </c>
      <c r="AD111" s="70">
        <v>131.9</v>
      </c>
      <c r="AE111" s="70">
        <v>132.69999999999999</v>
      </c>
      <c r="AF111" s="70">
        <v>132.19999999999999</v>
      </c>
      <c r="AG111" s="69"/>
      <c r="AH111" s="12">
        <f t="shared" si="51"/>
        <v>134.80000000000001</v>
      </c>
      <c r="AI111" s="11">
        <f t="shared" si="52"/>
        <v>127.5</v>
      </c>
    </row>
    <row r="112" spans="1:64" x14ac:dyDescent="0.25">
      <c r="A112" s="22" t="s">
        <v>150</v>
      </c>
      <c r="B112" s="70">
        <v>132.80000000000001</v>
      </c>
      <c r="C112" s="70">
        <v>134.30000000000001</v>
      </c>
      <c r="D112" s="70">
        <v>133.6</v>
      </c>
      <c r="E112" s="70">
        <v>133.9</v>
      </c>
      <c r="F112" s="70">
        <v>131.9</v>
      </c>
      <c r="G112" s="70">
        <v>130.69999999999999</v>
      </c>
      <c r="H112" s="70">
        <v>130</v>
      </c>
      <c r="I112" s="70">
        <v>126.5</v>
      </c>
      <c r="J112" s="70">
        <v>126.5</v>
      </c>
      <c r="K112" s="70">
        <v>126.5</v>
      </c>
      <c r="L112" s="70">
        <v>127.1</v>
      </c>
      <c r="M112" s="70">
        <v>125.9</v>
      </c>
      <c r="N112" s="70">
        <v>128.80000000000001</v>
      </c>
      <c r="O112" s="70">
        <v>125</v>
      </c>
      <c r="P112" s="70">
        <v>128.30000000000001</v>
      </c>
      <c r="Q112" s="70">
        <v>128.30000000000001</v>
      </c>
      <c r="R112" s="70">
        <v>130</v>
      </c>
      <c r="S112" s="70">
        <v>127.1</v>
      </c>
      <c r="T112" s="70">
        <v>126.7</v>
      </c>
      <c r="U112" s="70"/>
      <c r="V112" s="70"/>
      <c r="W112" s="70"/>
      <c r="X112" s="70">
        <v>129.69999999999999</v>
      </c>
      <c r="Y112" s="70">
        <v>126.87</v>
      </c>
      <c r="Z112" s="70">
        <v>130.30000000000001</v>
      </c>
      <c r="AA112" s="70">
        <v>130.6</v>
      </c>
      <c r="AB112" s="70">
        <v>131.5</v>
      </c>
      <c r="AC112" s="70">
        <v>128.30000000000001</v>
      </c>
      <c r="AD112" s="70">
        <v>129.1</v>
      </c>
      <c r="AE112" s="70">
        <v>131.69999999999999</v>
      </c>
      <c r="AF112" s="70">
        <v>128.5</v>
      </c>
      <c r="AG112" s="69"/>
      <c r="AH112" s="12">
        <f t="shared" si="51"/>
        <v>134.30000000000001</v>
      </c>
      <c r="AI112" s="11">
        <f t="shared" si="52"/>
        <v>125</v>
      </c>
    </row>
    <row r="113" spans="1:35" x14ac:dyDescent="0.25">
      <c r="A113" s="72" t="s">
        <v>149</v>
      </c>
      <c r="B113" s="70">
        <v>133.1</v>
      </c>
      <c r="C113" s="70">
        <v>134.6</v>
      </c>
      <c r="D113" s="70">
        <v>134.1</v>
      </c>
      <c r="E113" s="70">
        <v>132.80000000000001</v>
      </c>
      <c r="F113" s="70">
        <v>131.80000000000001</v>
      </c>
      <c r="G113" s="70">
        <v>130.30000000000001</v>
      </c>
      <c r="H113" s="70">
        <v>129.19999999999999</v>
      </c>
      <c r="I113" s="70">
        <v>125.2</v>
      </c>
      <c r="J113" s="70">
        <v>124.5</v>
      </c>
      <c r="K113" s="70">
        <v>124.5</v>
      </c>
      <c r="L113" s="70">
        <v>127.1</v>
      </c>
      <c r="M113" s="70">
        <v>125.6</v>
      </c>
      <c r="N113" s="70">
        <v>128.80000000000001</v>
      </c>
      <c r="O113" s="70">
        <v>125.2</v>
      </c>
      <c r="P113" s="70">
        <v>128.4</v>
      </c>
      <c r="Q113" s="70">
        <v>128.4</v>
      </c>
      <c r="R113" s="70">
        <v>129.9</v>
      </c>
      <c r="S113" s="70">
        <v>127</v>
      </c>
      <c r="T113" s="70">
        <v>126.3</v>
      </c>
      <c r="U113" s="70"/>
      <c r="V113" s="70"/>
      <c r="W113" s="70"/>
      <c r="X113" s="70">
        <v>129.4</v>
      </c>
      <c r="Y113" s="70">
        <v>125.5</v>
      </c>
      <c r="Z113" s="70">
        <v>129.4</v>
      </c>
      <c r="AA113" s="70">
        <v>130.30000000000001</v>
      </c>
      <c r="AB113" s="70">
        <v>131.6</v>
      </c>
      <c r="AC113" s="70">
        <v>128.80000000000001</v>
      </c>
      <c r="AD113" s="70">
        <v>129.19999999999999</v>
      </c>
      <c r="AE113" s="70">
        <v>132.4</v>
      </c>
      <c r="AF113" s="70">
        <v>128</v>
      </c>
      <c r="AG113" s="69"/>
      <c r="AH113" s="12">
        <f t="shared" si="51"/>
        <v>134.6</v>
      </c>
      <c r="AI113" s="11">
        <f t="shared" si="52"/>
        <v>124.5</v>
      </c>
    </row>
    <row r="114" spans="1:35" x14ac:dyDescent="0.25">
      <c r="A114" s="72" t="s">
        <v>148</v>
      </c>
      <c r="B114" s="56">
        <v>134.4</v>
      </c>
      <c r="C114" s="56">
        <v>134.80000000000001</v>
      </c>
      <c r="D114" s="56">
        <v>130.80000000000001</v>
      </c>
      <c r="E114" s="56">
        <v>133.19999999999999</v>
      </c>
      <c r="F114" s="56">
        <v>135.5</v>
      </c>
      <c r="G114" s="56">
        <v>135.1</v>
      </c>
      <c r="H114" s="56">
        <v>135</v>
      </c>
      <c r="I114" s="56">
        <v>131.19999999999999</v>
      </c>
      <c r="J114" s="56">
        <v>131.9</v>
      </c>
      <c r="K114" s="56">
        <v>131.9</v>
      </c>
      <c r="L114" s="56">
        <v>130.6</v>
      </c>
      <c r="M114" s="56">
        <v>133.30000000000001</v>
      </c>
      <c r="N114" s="56">
        <v>134.19999999999999</v>
      </c>
      <c r="O114" s="56">
        <v>133.30000000000001</v>
      </c>
      <c r="P114" s="56">
        <v>134.30000000000001</v>
      </c>
      <c r="Q114" s="56">
        <v>134.30000000000001</v>
      </c>
      <c r="R114" s="56">
        <v>137.80000000000001</v>
      </c>
      <c r="S114" s="56">
        <v>136.69999999999999</v>
      </c>
      <c r="T114" s="56">
        <v>132.19999999999999</v>
      </c>
      <c r="U114" s="56">
        <v>131.5</v>
      </c>
      <c r="V114" s="56">
        <v>131.5</v>
      </c>
      <c r="W114" s="56">
        <v>131.5</v>
      </c>
      <c r="X114" s="56">
        <v>136.1</v>
      </c>
      <c r="Y114" s="56">
        <v>131.9</v>
      </c>
      <c r="Z114" s="56">
        <v>133.69999999999999</v>
      </c>
      <c r="AA114" s="56">
        <v>137.4</v>
      </c>
      <c r="AB114" s="56">
        <v>137.1</v>
      </c>
      <c r="AC114" s="56">
        <v>137.4</v>
      </c>
      <c r="AD114" s="56">
        <v>135.30000000000001</v>
      </c>
      <c r="AE114" s="56">
        <v>136.5</v>
      </c>
      <c r="AF114" s="56">
        <v>134.19999999999999</v>
      </c>
      <c r="AG114" s="71"/>
      <c r="AH114" s="12">
        <f t="shared" si="51"/>
        <v>137.80000000000001</v>
      </c>
      <c r="AI114" s="11">
        <f t="shared" si="52"/>
        <v>130.6</v>
      </c>
    </row>
    <row r="115" spans="1:35" x14ac:dyDescent="0.25">
      <c r="A115" s="22" t="s">
        <v>147</v>
      </c>
      <c r="B115" s="70">
        <v>130.30000000000001</v>
      </c>
      <c r="C115" s="70">
        <v>131.80000000000001</v>
      </c>
      <c r="D115" s="70">
        <v>132.5</v>
      </c>
      <c r="E115" s="70">
        <v>134</v>
      </c>
      <c r="F115" s="70">
        <v>132.6</v>
      </c>
      <c r="G115" s="70">
        <v>132.19999999999999</v>
      </c>
      <c r="H115" s="70">
        <v>125.6</v>
      </c>
      <c r="I115" s="70">
        <v>129.5</v>
      </c>
      <c r="J115" s="70">
        <v>128.69999999999999</v>
      </c>
      <c r="K115" s="70">
        <v>128</v>
      </c>
      <c r="L115" s="70">
        <v>127.1</v>
      </c>
      <c r="M115" s="70">
        <v>124.6</v>
      </c>
      <c r="N115" s="70">
        <v>126.8</v>
      </c>
      <c r="O115" s="70">
        <v>132.19999999999999</v>
      </c>
      <c r="P115" s="70">
        <v>125.9</v>
      </c>
      <c r="Q115" s="70">
        <v>125.9</v>
      </c>
      <c r="R115" s="70">
        <v>126.3</v>
      </c>
      <c r="S115" s="70">
        <v>130.9</v>
      </c>
      <c r="T115" s="70">
        <v>123</v>
      </c>
      <c r="U115" s="70">
        <v>132.4</v>
      </c>
      <c r="V115" s="70">
        <v>132.4</v>
      </c>
      <c r="W115" s="70">
        <v>132.4</v>
      </c>
      <c r="X115" s="70">
        <v>132</v>
      </c>
      <c r="Y115" s="70">
        <v>132.4</v>
      </c>
      <c r="Z115" s="70">
        <v>132.5</v>
      </c>
      <c r="AA115" s="70">
        <v>130.69999999999999</v>
      </c>
      <c r="AB115" s="70">
        <v>129</v>
      </c>
      <c r="AC115" s="70">
        <v>132.19999999999999</v>
      </c>
      <c r="AD115" s="70">
        <v>131.6</v>
      </c>
      <c r="AE115" s="70">
        <v>132.5</v>
      </c>
      <c r="AF115" s="70">
        <v>132.5</v>
      </c>
      <c r="AG115" s="69"/>
      <c r="AH115" s="12">
        <f t="shared" si="51"/>
        <v>134</v>
      </c>
      <c r="AI115" s="11">
        <f t="shared" si="52"/>
        <v>123</v>
      </c>
    </row>
    <row r="116" spans="1:35" ht="15.75" thickBot="1" x14ac:dyDescent="0.3">
      <c r="A116" s="22" t="s">
        <v>146</v>
      </c>
      <c r="B116" s="67">
        <v>66.900000000000006</v>
      </c>
      <c r="C116" s="67">
        <v>67</v>
      </c>
      <c r="D116" s="67">
        <v>67.099999999999994</v>
      </c>
      <c r="E116" s="67">
        <v>67.400000000000006</v>
      </c>
      <c r="F116" s="67">
        <v>67.599999999999994</v>
      </c>
      <c r="G116" s="67">
        <v>67.400000000000006</v>
      </c>
      <c r="H116" s="67">
        <v>67.3</v>
      </c>
      <c r="I116" s="67">
        <v>66</v>
      </c>
      <c r="J116" s="67">
        <v>63.6</v>
      </c>
      <c r="K116" s="67">
        <v>63.4</v>
      </c>
      <c r="L116" s="67">
        <v>64.099999999999994</v>
      </c>
      <c r="M116" s="67">
        <v>64</v>
      </c>
      <c r="N116" s="67">
        <v>63.4</v>
      </c>
      <c r="O116" s="67">
        <v>64.7</v>
      </c>
      <c r="P116" s="67">
        <v>64.900000000000006</v>
      </c>
      <c r="Q116" s="67">
        <v>64.900000000000006</v>
      </c>
      <c r="R116" s="67">
        <v>65.400000000000006</v>
      </c>
      <c r="S116" s="67">
        <v>65.3</v>
      </c>
      <c r="T116" s="67">
        <v>64.2</v>
      </c>
      <c r="U116" s="67">
        <v>64.5</v>
      </c>
      <c r="V116" s="67">
        <v>64.5</v>
      </c>
      <c r="W116" s="67">
        <v>64.5</v>
      </c>
      <c r="X116" s="67">
        <v>65.7</v>
      </c>
      <c r="Y116" s="67">
        <v>65.099999999999994</v>
      </c>
      <c r="Z116" s="67">
        <v>65.5</v>
      </c>
      <c r="AA116" s="67">
        <v>66</v>
      </c>
      <c r="AB116" s="67">
        <v>66.400000000000006</v>
      </c>
      <c r="AC116" s="67">
        <v>66.099999999999994</v>
      </c>
      <c r="AD116" s="67">
        <v>66</v>
      </c>
      <c r="AE116" s="67">
        <v>66.2</v>
      </c>
      <c r="AF116" s="67">
        <v>66.2</v>
      </c>
      <c r="AG116" s="66"/>
      <c r="AH116" s="12">
        <f t="shared" si="51"/>
        <v>67.599999999999994</v>
      </c>
      <c r="AI116" s="11">
        <f t="shared" si="52"/>
        <v>63.4</v>
      </c>
    </row>
    <row r="117" spans="1:35" ht="15.75" thickBot="1" x14ac:dyDescent="0.3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 t="s">
        <v>145</v>
      </c>
      <c r="Z117" s="67" t="s">
        <v>145</v>
      </c>
      <c r="AA117" s="67" t="s">
        <v>145</v>
      </c>
      <c r="AB117" s="67"/>
      <c r="AC117" s="67"/>
      <c r="AD117" s="67"/>
      <c r="AE117" s="67"/>
      <c r="AF117" s="67"/>
      <c r="AG117" s="66"/>
      <c r="AH117" s="12">
        <f t="shared" si="51"/>
        <v>0</v>
      </c>
      <c r="AI117" s="11">
        <f t="shared" si="52"/>
        <v>0</v>
      </c>
    </row>
    <row r="118" spans="1:35" ht="15.75" thickBot="1" x14ac:dyDescent="0.3">
      <c r="A118" s="65" t="s">
        <v>144</v>
      </c>
      <c r="B118" s="64">
        <f t="shared" ref="B118" si="117">SUM(B22,B28,B31:B32,B66,B68:B69,B71,B73,B119:B123,B155,B161,B167,B176,B178,B190,B197,B200:B201,B208,B210,B212,B216:B218,B220:B222,B227,B233:B234,B236:B238,B246,B251)</f>
        <v>134.73999999999998</v>
      </c>
      <c r="C118" s="64">
        <f t="shared" ref="C118:O118" si="118">SUM(C22,C28,C31:C32,C66,C68:C69,C71,C73,C119:C123,C155,C161,C167,C176,C178,C190,C197,C200:C201,C208,C210,C212,C216:C218,C220:C222,C227,C233:C234,C236:C238,C246,C251)</f>
        <v>124.14000000000001</v>
      </c>
      <c r="D118" s="64">
        <f t="shared" si="118"/>
        <v>106.13999999999999</v>
      </c>
      <c r="E118" s="64">
        <f t="shared" si="118"/>
        <v>107.13999999999999</v>
      </c>
      <c r="F118" s="64">
        <f t="shared" si="118"/>
        <v>111.13999999999999</v>
      </c>
      <c r="G118" s="64">
        <f t="shared" si="118"/>
        <v>132.23999999999998</v>
      </c>
      <c r="H118" s="64">
        <f t="shared" si="118"/>
        <v>155.54</v>
      </c>
      <c r="I118" s="64">
        <f t="shared" si="118"/>
        <v>193.33999999999997</v>
      </c>
      <c r="J118" s="64">
        <f t="shared" si="118"/>
        <v>216.04000000000002</v>
      </c>
      <c r="K118" s="64">
        <f t="shared" si="118"/>
        <v>250.64</v>
      </c>
      <c r="L118" s="64">
        <f t="shared" si="118"/>
        <v>248.73999999999998</v>
      </c>
      <c r="M118" s="64">
        <f t="shared" si="118"/>
        <v>243.94</v>
      </c>
      <c r="N118" s="64">
        <f t="shared" si="118"/>
        <v>263.54000000000002</v>
      </c>
      <c r="O118" s="64">
        <f t="shared" si="118"/>
        <v>235.53999999999996</v>
      </c>
      <c r="P118" s="64">
        <v>42</v>
      </c>
      <c r="Q118" s="64">
        <f t="shared" ref="Q118:X118" si="119">SUM(Q22,Q28,Q31:Q32,Q66,Q68:Q69,Q71,Q73,Q119:Q123,Q155,Q161,Q167,Q176,Q178,Q190,Q197,Q200:Q201,Q208,Q210,Q212,Q216:Q218,Q220:Q222,Q227,Q233:Q234,Q236:Q238,Q246,Q251)</f>
        <v>186.24000000000004</v>
      </c>
      <c r="R118" s="64">
        <f t="shared" si="119"/>
        <v>201.94</v>
      </c>
      <c r="S118" s="64">
        <f t="shared" si="119"/>
        <v>193.44</v>
      </c>
      <c r="T118" s="64">
        <f t="shared" si="119"/>
        <v>209.84</v>
      </c>
      <c r="U118" s="64">
        <f t="shared" si="119"/>
        <v>204.54</v>
      </c>
      <c r="V118" s="64">
        <f t="shared" ref="V118:W118" si="120">SUM(V22,V28,V31:V32,V66,V68:V69,V71,V73,V119:V123,V155,V161,V167,V176,V178,V190,V197,V200:V201,V208,V210,V212,V216:V218,V220:V222,V227,V233:V234,V236:V238,V246,V251)</f>
        <v>233.53999999999996</v>
      </c>
      <c r="W118" s="64">
        <f t="shared" si="120"/>
        <v>219.94</v>
      </c>
      <c r="X118" s="64">
        <f t="shared" si="119"/>
        <v>251.74</v>
      </c>
      <c r="Y118" s="64">
        <f t="shared" ref="Y118:Z118" si="121">SUM(Y22,Y28,Y31:Y32,Y66,Y68:Y69,Y71,Y73,Y119:Y123,Y155,Y161,Y167,Y176,Y178,Y190,Y197,Y200:Y201,Y208,Y210,Y212,Y216:Y218,Y220:Y222,Y227,Y233:Y234,Y236:Y238,Y246,Y251)</f>
        <v>334.54</v>
      </c>
      <c r="Z118" s="64">
        <f t="shared" si="121"/>
        <v>341.54</v>
      </c>
      <c r="AA118" s="64">
        <f t="shared" ref="AA118" si="122">SUM(AA22,AA28,AA31:AA32,AA66,AA68:AA69,AA71,AA73,AA119:AA123,AA155,AA161,AA167,AA176,AA178,AA190,AA197,AA200:AA201,AA208,AA210,AA212,AA216:AA218,AA220:AA222,AA227,AA233:AA234,AA236:AA238,AA246,AA251)</f>
        <v>336.23999999999995</v>
      </c>
      <c r="AB118" s="64">
        <f t="shared" ref="AB118:AF118" si="123">SUM(AB22,AB28,AB31:AB32,AB66,AB68:AB69,AB71,AB73,AB119:AB123,AB155,AB161,AB167,AB176,AB178,AB190,AB197,AB200:AB201,AB208,AB210,AB212,AB216:AB218,AB220:AB222,AB227,AB233:AB234,AB236:AB238,AB246,AB251)</f>
        <v>324.54000000000002</v>
      </c>
      <c r="AC118" s="64">
        <f t="shared" si="123"/>
        <v>240.74</v>
      </c>
      <c r="AD118" s="64">
        <f t="shared" si="123"/>
        <v>204.54</v>
      </c>
      <c r="AE118" s="64">
        <f t="shared" si="123"/>
        <v>150.94</v>
      </c>
      <c r="AF118" s="64">
        <f t="shared" si="123"/>
        <v>113.23999999999998</v>
      </c>
      <c r="AG118" s="63"/>
      <c r="AH118" s="12">
        <f t="shared" si="51"/>
        <v>341.54</v>
      </c>
      <c r="AI118" s="11">
        <f t="shared" si="52"/>
        <v>42</v>
      </c>
    </row>
    <row r="119" spans="1:35" x14ac:dyDescent="0.25">
      <c r="A119" s="59" t="s">
        <v>143</v>
      </c>
      <c r="B119" s="62">
        <v>51.1</v>
      </c>
      <c r="C119" s="62">
        <v>48.6</v>
      </c>
      <c r="D119" s="62">
        <v>38.799999999999997</v>
      </c>
      <c r="E119" s="62">
        <v>35.700000000000003</v>
      </c>
      <c r="F119" s="62">
        <v>34.4</v>
      </c>
      <c r="G119" s="62">
        <v>28.6</v>
      </c>
      <c r="H119" s="62">
        <v>40.1</v>
      </c>
      <c r="I119" s="62">
        <v>46.2</v>
      </c>
      <c r="J119" s="62">
        <v>31.6</v>
      </c>
      <c r="K119" s="62">
        <v>33.1</v>
      </c>
      <c r="L119" s="62">
        <v>32.1</v>
      </c>
      <c r="M119" s="62">
        <v>17.8</v>
      </c>
      <c r="N119" s="62">
        <v>26.4</v>
      </c>
      <c r="O119" s="62">
        <v>32.299999999999997</v>
      </c>
      <c r="P119" s="62">
        <v>21</v>
      </c>
      <c r="Q119" s="62">
        <v>13.4</v>
      </c>
      <c r="R119" s="62">
        <v>31.8</v>
      </c>
      <c r="S119" s="62">
        <v>16.3</v>
      </c>
      <c r="T119" s="62">
        <v>18.8</v>
      </c>
      <c r="U119" s="62">
        <v>14.8</v>
      </c>
      <c r="V119" s="62">
        <v>15.1</v>
      </c>
      <c r="W119" s="62">
        <v>18.3</v>
      </c>
      <c r="X119" s="62">
        <v>35.200000000000003</v>
      </c>
      <c r="Y119" s="62">
        <v>46.6</v>
      </c>
      <c r="Z119" s="62">
        <v>32.1</v>
      </c>
      <c r="AA119" s="62">
        <v>34.4</v>
      </c>
      <c r="AB119" s="62">
        <v>36.799999999999997</v>
      </c>
      <c r="AC119" s="62">
        <v>41.2</v>
      </c>
      <c r="AD119" s="62">
        <v>48</v>
      </c>
      <c r="AE119" s="62">
        <v>38.4</v>
      </c>
      <c r="AF119" s="62">
        <v>25.2</v>
      </c>
      <c r="AG119" s="55">
        <v>75</v>
      </c>
      <c r="AH119" s="12">
        <f t="shared" si="51"/>
        <v>51.1</v>
      </c>
      <c r="AI119" s="11">
        <f t="shared" si="52"/>
        <v>13.4</v>
      </c>
    </row>
    <row r="120" spans="1:35" x14ac:dyDescent="0.25">
      <c r="A120" s="57" t="s">
        <v>142</v>
      </c>
      <c r="B120" s="61">
        <v>77.599999999999994</v>
      </c>
      <c r="C120" s="61">
        <v>76</v>
      </c>
      <c r="D120" s="61">
        <v>60.9</v>
      </c>
      <c r="E120" s="61">
        <v>57.7</v>
      </c>
      <c r="F120" s="61">
        <v>52.9</v>
      </c>
      <c r="G120" s="61">
        <v>46.1</v>
      </c>
      <c r="H120" s="61">
        <v>62.6</v>
      </c>
      <c r="I120" s="61">
        <v>65.8</v>
      </c>
      <c r="J120" s="61">
        <v>40.9</v>
      </c>
      <c r="K120" s="61">
        <v>45.1</v>
      </c>
      <c r="L120" s="61">
        <v>43.7</v>
      </c>
      <c r="M120" s="61">
        <v>22.2</v>
      </c>
      <c r="N120" s="61">
        <v>34.700000000000003</v>
      </c>
      <c r="O120" s="61">
        <v>43.3</v>
      </c>
      <c r="P120" s="61">
        <v>28.1</v>
      </c>
      <c r="Q120" s="61">
        <v>18.3</v>
      </c>
      <c r="R120" s="61">
        <v>41</v>
      </c>
      <c r="S120" s="61">
        <v>19.600000000000001</v>
      </c>
      <c r="T120" s="61">
        <v>22</v>
      </c>
      <c r="U120" s="61">
        <v>17.600000000000001</v>
      </c>
      <c r="V120" s="61">
        <v>20.5</v>
      </c>
      <c r="W120" s="61">
        <v>26.3</v>
      </c>
      <c r="X120" s="61">
        <v>52</v>
      </c>
      <c r="Y120" s="61">
        <v>67.2</v>
      </c>
      <c r="Z120" s="61">
        <v>52.7</v>
      </c>
      <c r="AA120" s="61">
        <v>53.5</v>
      </c>
      <c r="AB120" s="61">
        <v>58</v>
      </c>
      <c r="AC120" s="61">
        <v>63.6</v>
      </c>
      <c r="AD120" s="61">
        <v>72.900000000000006</v>
      </c>
      <c r="AE120" s="61">
        <v>59.4</v>
      </c>
      <c r="AF120" s="61">
        <v>45.1</v>
      </c>
      <c r="AG120" s="55">
        <v>240</v>
      </c>
      <c r="AH120" s="12">
        <f t="shared" si="51"/>
        <v>77.599999999999994</v>
      </c>
      <c r="AI120" s="11">
        <f t="shared" si="52"/>
        <v>17.600000000000001</v>
      </c>
    </row>
    <row r="121" spans="1:35" x14ac:dyDescent="0.25">
      <c r="A121" s="57" t="s">
        <v>141</v>
      </c>
      <c r="B121" s="61">
        <f>-59.8-72</f>
        <v>-131.80000000000001</v>
      </c>
      <c r="C121" s="61">
        <f>-58.8-70.6</f>
        <v>-129.39999999999998</v>
      </c>
      <c r="D121" s="61">
        <f>-51.7-63</f>
        <v>-114.7</v>
      </c>
      <c r="E121" s="61">
        <f>-47-57</f>
        <v>-104</v>
      </c>
      <c r="F121" s="61">
        <f>-42-48</f>
        <v>-90</v>
      </c>
      <c r="G121" s="61">
        <f>-39-34</f>
        <v>-73</v>
      </c>
      <c r="H121" s="61">
        <f>-43.6-51.5</f>
        <v>-95.1</v>
      </c>
      <c r="I121" s="61">
        <f>-42-50</f>
        <v>-92</v>
      </c>
      <c r="J121" s="61">
        <f>-22-27.1</f>
        <v>-49.1</v>
      </c>
      <c r="K121" s="61">
        <v>-45</v>
      </c>
      <c r="L121" s="61">
        <f>-20-24</f>
        <v>-44</v>
      </c>
      <c r="M121" s="61">
        <v>-30</v>
      </c>
      <c r="N121" s="61">
        <v>-29.3</v>
      </c>
      <c r="O121" s="61">
        <v>-55</v>
      </c>
      <c r="P121" s="61">
        <v>-58</v>
      </c>
      <c r="Q121" s="61">
        <v>-71</v>
      </c>
      <c r="R121" s="61">
        <v>-81</v>
      </c>
      <c r="S121" s="61">
        <v>-46.8</v>
      </c>
      <c r="T121" s="61">
        <v>-48</v>
      </c>
      <c r="U121" s="61">
        <v>-38.299999999999997</v>
      </c>
      <c r="V121" s="61">
        <v>-40</v>
      </c>
      <c r="W121" s="61">
        <v>-45</v>
      </c>
      <c r="X121" s="61">
        <f>-32.4-35.1</f>
        <v>-67.5</v>
      </c>
      <c r="Y121" s="61">
        <v>-44</v>
      </c>
      <c r="Z121" s="61">
        <v>-56</v>
      </c>
      <c r="AA121" s="61">
        <v>-62</v>
      </c>
      <c r="AB121" s="61">
        <v>-55</v>
      </c>
      <c r="AC121" s="61">
        <v>-131.6</v>
      </c>
      <c r="AD121" s="61">
        <v>-150</v>
      </c>
      <c r="AE121" s="61">
        <v>-148</v>
      </c>
      <c r="AF121" s="61">
        <v>-137</v>
      </c>
      <c r="AG121" s="55">
        <v>240</v>
      </c>
      <c r="AH121" s="12">
        <f t="shared" si="51"/>
        <v>-29.3</v>
      </c>
      <c r="AI121" s="11">
        <f t="shared" si="52"/>
        <v>-150</v>
      </c>
    </row>
    <row r="122" spans="1:35" ht="15.75" thickBot="1" x14ac:dyDescent="0.3">
      <c r="A122" s="57" t="s">
        <v>140</v>
      </c>
      <c r="B122" s="61">
        <v>21.4</v>
      </c>
      <c r="C122" s="61">
        <v>21.7</v>
      </c>
      <c r="D122" s="61">
        <v>22.9</v>
      </c>
      <c r="E122" s="61">
        <v>19.8</v>
      </c>
      <c r="F122" s="61">
        <v>14.2</v>
      </c>
      <c r="G122" s="61">
        <v>16.7</v>
      </c>
      <c r="H122" s="61">
        <v>8.1</v>
      </c>
      <c r="I122" s="61">
        <v>10.7</v>
      </c>
      <c r="J122" s="61">
        <v>-6.2</v>
      </c>
      <c r="K122" s="61">
        <v>18.100000000000001</v>
      </c>
      <c r="L122" s="61">
        <v>19.7</v>
      </c>
      <c r="M122" s="61">
        <v>-3.9</v>
      </c>
      <c r="N122" s="61">
        <v>-10.7</v>
      </c>
      <c r="O122" s="61">
        <v>-0.3</v>
      </c>
      <c r="P122" s="61">
        <v>-4.5999999999999996</v>
      </c>
      <c r="Q122" s="61">
        <v>10.199999999999999</v>
      </c>
      <c r="R122" s="61">
        <v>4.5999999999999996</v>
      </c>
      <c r="S122" s="61">
        <v>-6.6</v>
      </c>
      <c r="T122" s="61">
        <v>-13.2</v>
      </c>
      <c r="U122" s="61">
        <v>-15.8</v>
      </c>
      <c r="V122" s="61">
        <v>-10.7</v>
      </c>
      <c r="W122" s="61">
        <v>-11.5</v>
      </c>
      <c r="X122" s="61">
        <v>-3.5</v>
      </c>
      <c r="Y122" s="61">
        <v>15.3</v>
      </c>
      <c r="Z122" s="61">
        <v>31</v>
      </c>
      <c r="AA122" s="61">
        <v>29.2</v>
      </c>
      <c r="AB122" s="61">
        <v>27.1</v>
      </c>
      <c r="AC122" s="61">
        <v>25</v>
      </c>
      <c r="AD122" s="61">
        <v>20</v>
      </c>
      <c r="AE122" s="61">
        <v>18</v>
      </c>
      <c r="AF122" s="61">
        <v>18.399999999999999</v>
      </c>
      <c r="AG122" s="55">
        <v>60</v>
      </c>
      <c r="AH122" s="12">
        <f t="shared" si="51"/>
        <v>31</v>
      </c>
      <c r="AI122" s="11">
        <f t="shared" si="52"/>
        <v>-15.8</v>
      </c>
    </row>
    <row r="123" spans="1:35" x14ac:dyDescent="0.25">
      <c r="A123" s="59" t="s">
        <v>139</v>
      </c>
      <c r="B123" s="58">
        <v>-9.3000000000000007</v>
      </c>
      <c r="C123" s="58">
        <v>-18.5</v>
      </c>
      <c r="D123" s="58">
        <v>-27.5</v>
      </c>
      <c r="E123" s="58">
        <v>-28.5</v>
      </c>
      <c r="F123" s="58">
        <v>-26.6</v>
      </c>
      <c r="G123" s="58">
        <v>-12.4</v>
      </c>
      <c r="H123" s="58">
        <v>13.4</v>
      </c>
      <c r="I123" s="58">
        <v>36</v>
      </c>
      <c r="J123" s="58">
        <v>71.2</v>
      </c>
      <c r="K123" s="58">
        <v>70.2</v>
      </c>
      <c r="L123" s="58">
        <v>66.900000000000006</v>
      </c>
      <c r="M123" s="58">
        <v>111.1</v>
      </c>
      <c r="N123" s="58">
        <v>110.9</v>
      </c>
      <c r="O123" s="58">
        <v>80.2</v>
      </c>
      <c r="P123" s="58">
        <v>92</v>
      </c>
      <c r="Q123" s="58">
        <v>77.7</v>
      </c>
      <c r="R123" s="58">
        <v>69</v>
      </c>
      <c r="S123" s="58">
        <v>76.5</v>
      </c>
      <c r="T123" s="58">
        <v>98.8</v>
      </c>
      <c r="U123" s="58">
        <v>103.6</v>
      </c>
      <c r="V123" s="58">
        <v>125.6</v>
      </c>
      <c r="W123" s="58">
        <v>109.6</v>
      </c>
      <c r="X123" s="58">
        <v>115.7</v>
      </c>
      <c r="Y123" s="58">
        <v>131</v>
      </c>
      <c r="Z123" s="58">
        <v>163.30000000000001</v>
      </c>
      <c r="AA123" s="58">
        <v>164.7</v>
      </c>
      <c r="AB123" s="58">
        <v>141.19999999999999</v>
      </c>
      <c r="AC123" s="58">
        <v>126.3</v>
      </c>
      <c r="AD123" s="58">
        <v>94.1</v>
      </c>
      <c r="AE123" s="58">
        <v>62.4</v>
      </c>
      <c r="AF123" s="58">
        <v>40.6</v>
      </c>
      <c r="AG123" s="60">
        <v>120</v>
      </c>
      <c r="AH123" s="12">
        <f t="shared" si="51"/>
        <v>164.7</v>
      </c>
      <c r="AI123" s="11">
        <f t="shared" si="52"/>
        <v>-28.5</v>
      </c>
    </row>
    <row r="124" spans="1:35" x14ac:dyDescent="0.25">
      <c r="A124" s="57" t="s">
        <v>138</v>
      </c>
      <c r="B124" s="58">
        <v>22.2</v>
      </c>
      <c r="C124" s="58">
        <v>16.5</v>
      </c>
      <c r="D124" s="58">
        <v>12</v>
      </c>
      <c r="E124" s="58">
        <v>10.7</v>
      </c>
      <c r="F124" s="58">
        <v>11.3</v>
      </c>
      <c r="G124" s="58">
        <v>18.3</v>
      </c>
      <c r="H124" s="58">
        <v>31.2</v>
      </c>
      <c r="I124" s="58">
        <v>43</v>
      </c>
      <c r="J124" s="58">
        <v>66</v>
      </c>
      <c r="K124" s="58">
        <v>59.3</v>
      </c>
      <c r="L124" s="58">
        <v>58.4</v>
      </c>
      <c r="M124" s="58">
        <v>79.099999999999994</v>
      </c>
      <c r="N124" s="58">
        <v>78.5</v>
      </c>
      <c r="O124" s="58">
        <v>63.5</v>
      </c>
      <c r="P124" s="58">
        <v>70.2</v>
      </c>
      <c r="Q124" s="58">
        <v>62.5</v>
      </c>
      <c r="R124" s="58">
        <v>57.7</v>
      </c>
      <c r="S124" s="58">
        <v>58.4</v>
      </c>
      <c r="T124" s="58">
        <v>68.400000000000006</v>
      </c>
      <c r="U124" s="58">
        <v>70</v>
      </c>
      <c r="V124" s="58">
        <v>80.5</v>
      </c>
      <c r="W124" s="58">
        <v>72.8</v>
      </c>
      <c r="X124" s="58">
        <v>80.8</v>
      </c>
      <c r="Y124" s="58">
        <v>73.5</v>
      </c>
      <c r="Z124" s="58">
        <v>97.5</v>
      </c>
      <c r="AA124" s="58">
        <v>98.1</v>
      </c>
      <c r="AB124" s="58">
        <v>94.3</v>
      </c>
      <c r="AC124" s="58">
        <v>87.4</v>
      </c>
      <c r="AD124" s="58">
        <v>72.3</v>
      </c>
      <c r="AE124" s="58">
        <v>56.8</v>
      </c>
      <c r="AF124" s="58">
        <v>45.9</v>
      </c>
      <c r="AG124" s="60"/>
      <c r="AH124" s="12">
        <f t="shared" si="51"/>
        <v>98.1</v>
      </c>
      <c r="AI124" s="11">
        <f t="shared" si="52"/>
        <v>10.7</v>
      </c>
    </row>
    <row r="125" spans="1:35" x14ac:dyDescent="0.25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51"/>
        <v>0</v>
      </c>
      <c r="AI125" s="11">
        <f t="shared" si="52"/>
        <v>0</v>
      </c>
    </row>
    <row r="126" spans="1:35" ht="15.75" thickBot="1" x14ac:dyDescent="0.3">
      <c r="A126" s="57" t="s">
        <v>136</v>
      </c>
      <c r="B126" s="58">
        <v>-5.2</v>
      </c>
      <c r="C126" s="58">
        <v>-11.3</v>
      </c>
      <c r="D126" s="58">
        <v>-0.8</v>
      </c>
      <c r="E126" s="58">
        <v>13.1</v>
      </c>
      <c r="F126" s="58">
        <v>29.4</v>
      </c>
      <c r="G126" s="58">
        <v>39</v>
      </c>
      <c r="H126" s="58">
        <v>25.4</v>
      </c>
      <c r="I126" s="58">
        <v>45</v>
      </c>
      <c r="J126" s="58">
        <v>104</v>
      </c>
      <c r="K126" s="58">
        <v>92.7</v>
      </c>
      <c r="L126" s="58">
        <v>95</v>
      </c>
      <c r="M126" s="58">
        <v>111</v>
      </c>
      <c r="N126" s="58">
        <v>106.8</v>
      </c>
      <c r="O126" s="58">
        <v>88.4</v>
      </c>
      <c r="P126" s="58">
        <v>99.8</v>
      </c>
      <c r="Q126" s="58">
        <v>101</v>
      </c>
      <c r="R126" s="58">
        <v>89.1</v>
      </c>
      <c r="S126" s="58">
        <v>91.5</v>
      </c>
      <c r="T126" s="58">
        <v>96.1</v>
      </c>
      <c r="U126" s="58">
        <v>86.9</v>
      </c>
      <c r="V126" s="58">
        <v>88.7</v>
      </c>
      <c r="W126" s="58">
        <v>82.7</v>
      </c>
      <c r="X126" s="58">
        <v>62.5</v>
      </c>
      <c r="Y126" s="58">
        <v>42.9</v>
      </c>
      <c r="Z126" s="58">
        <v>30.1</v>
      </c>
      <c r="AA126" s="58">
        <v>21.5</v>
      </c>
      <c r="AB126" s="58">
        <v>10.5</v>
      </c>
      <c r="AC126" s="58">
        <v>10.9</v>
      </c>
      <c r="AD126" s="58">
        <v>3.4</v>
      </c>
      <c r="AE126" s="58">
        <v>5.6</v>
      </c>
      <c r="AF126" s="58">
        <v>18.5</v>
      </c>
      <c r="AG126" s="55"/>
      <c r="AH126" s="12">
        <f>MAX(B126:AF126)</f>
        <v>111</v>
      </c>
      <c r="AI126" s="11">
        <f>MIN(B126:AF126)</f>
        <v>-11.3</v>
      </c>
    </row>
    <row r="127" spans="1:35" x14ac:dyDescent="0.25">
      <c r="A127" s="59" t="s">
        <v>135</v>
      </c>
      <c r="B127" s="58">
        <v>-116.5</v>
      </c>
      <c r="C127" s="58">
        <v>-86.9</v>
      </c>
      <c r="D127" s="58">
        <v>-89.1</v>
      </c>
      <c r="E127" s="58">
        <v>-93.3</v>
      </c>
      <c r="F127" s="58">
        <v>-124.5</v>
      </c>
      <c r="G127" s="58">
        <v>-119.1</v>
      </c>
      <c r="H127" s="58">
        <v>-106.4</v>
      </c>
      <c r="I127" s="58">
        <v>-119.1</v>
      </c>
      <c r="J127" s="58">
        <v>13</v>
      </c>
      <c r="K127" s="58">
        <v>0</v>
      </c>
      <c r="L127" s="58">
        <v>6</v>
      </c>
      <c r="M127" s="58">
        <v>28.7</v>
      </c>
      <c r="N127" s="58">
        <v>28.7</v>
      </c>
      <c r="O127" s="58">
        <v>14.5</v>
      </c>
      <c r="P127" s="58">
        <v>14.8</v>
      </c>
      <c r="Q127" s="58">
        <v>11.2</v>
      </c>
      <c r="R127" s="58">
        <v>7.2</v>
      </c>
      <c r="S127" s="58">
        <v>10.5</v>
      </c>
      <c r="T127" s="58">
        <v>23.2</v>
      </c>
      <c r="U127" s="58">
        <v>28.4</v>
      </c>
      <c r="V127" s="58">
        <v>39.5</v>
      </c>
      <c r="W127" s="58">
        <v>28.8</v>
      </c>
      <c r="X127" s="58">
        <v>8.5</v>
      </c>
      <c r="Y127" s="58">
        <v>-145.4</v>
      </c>
      <c r="Z127" s="58">
        <v>-161.1</v>
      </c>
      <c r="AA127" s="58">
        <v>-153.80000000000001</v>
      </c>
      <c r="AB127" s="58">
        <v>-111</v>
      </c>
      <c r="AC127" s="58">
        <v>-119.1</v>
      </c>
      <c r="AD127" s="58">
        <v>-118.9</v>
      </c>
      <c r="AE127" s="58">
        <v>-114.9</v>
      </c>
      <c r="AF127" s="58">
        <v>-129.9</v>
      </c>
      <c r="AG127" s="55"/>
      <c r="AH127" s="12">
        <f>MAX(B127:AF127)</f>
        <v>39.5</v>
      </c>
      <c r="AI127" s="11">
        <f>MIN(B127:AF127)</f>
        <v>-161.1</v>
      </c>
    </row>
    <row r="128" spans="1:35" x14ac:dyDescent="0.25">
      <c r="A128" s="57" t="s">
        <v>134</v>
      </c>
      <c r="B128" s="56">
        <v>-11</v>
      </c>
      <c r="C128" s="56">
        <v>-3.2</v>
      </c>
      <c r="D128" s="56">
        <v>-6.3</v>
      </c>
      <c r="E128" s="56"/>
      <c r="F128" s="56">
        <v>-0.3</v>
      </c>
      <c r="G128" s="56">
        <v>-3.5</v>
      </c>
      <c r="H128" s="56">
        <v>0</v>
      </c>
      <c r="I128" s="56">
        <v>-4.4000000000000004</v>
      </c>
      <c r="J128" s="56">
        <v>-14.5</v>
      </c>
      <c r="K128" s="56">
        <v>-21.6</v>
      </c>
      <c r="L128" s="56">
        <v>-22</v>
      </c>
      <c r="M128" s="56">
        <v>-37.799999999999997</v>
      </c>
      <c r="N128" s="56">
        <v>-14.6</v>
      </c>
      <c r="O128" s="56">
        <v>-17.8</v>
      </c>
      <c r="P128" s="56">
        <v>-12</v>
      </c>
      <c r="Q128" s="56">
        <v>-9.3000000000000007</v>
      </c>
      <c r="R128" s="56">
        <v>-11.7</v>
      </c>
      <c r="S128" s="56">
        <v>-18.899999999999999</v>
      </c>
      <c r="T128" s="56">
        <v>-22</v>
      </c>
      <c r="U128" s="56"/>
      <c r="V128" s="56">
        <v>-28.4</v>
      </c>
      <c r="W128" s="56">
        <v>-36.700000000000003</v>
      </c>
      <c r="X128" s="56">
        <v>-41.8</v>
      </c>
      <c r="Y128" s="56">
        <v>-42.4</v>
      </c>
      <c r="Z128" s="56">
        <v>-40</v>
      </c>
      <c r="AA128" s="56">
        <v>-34.700000000000003</v>
      </c>
      <c r="AB128" s="56">
        <v>-36.799999999999997</v>
      </c>
      <c r="AC128" s="56">
        <v>-27.5</v>
      </c>
      <c r="AD128" s="56">
        <v>-21.9</v>
      </c>
      <c r="AE128" s="56">
        <v>-12.7</v>
      </c>
      <c r="AF128" s="56">
        <v>-43.7</v>
      </c>
      <c r="AG128" s="55"/>
      <c r="AH128" s="12">
        <f>MAX(B128:AF128)</f>
        <v>0</v>
      </c>
      <c r="AI128" s="11">
        <f>MIN(B128:AF128)</f>
        <v>-43.7</v>
      </c>
    </row>
    <row r="129" spans="1:37" x14ac:dyDescent="0.25">
      <c r="A129" s="57" t="s">
        <v>133</v>
      </c>
      <c r="B129" s="56">
        <v>82.9</v>
      </c>
      <c r="C129" s="56">
        <v>54.3</v>
      </c>
      <c r="D129" s="56">
        <v>51.3</v>
      </c>
      <c r="E129" s="56"/>
      <c r="F129" s="56">
        <v>55.2</v>
      </c>
      <c r="G129" s="56">
        <v>54.1</v>
      </c>
      <c r="H129" s="56">
        <v>52.8</v>
      </c>
      <c r="I129" s="56">
        <v>59.7</v>
      </c>
      <c r="J129" s="56">
        <v>85</v>
      </c>
      <c r="K129" s="56">
        <v>84</v>
      </c>
      <c r="L129" s="56">
        <v>77.3</v>
      </c>
      <c r="M129" s="56">
        <v>96.7</v>
      </c>
      <c r="N129" s="56">
        <v>92</v>
      </c>
      <c r="O129" s="56">
        <v>89.6</v>
      </c>
      <c r="P129" s="56">
        <v>89.4</v>
      </c>
      <c r="Q129" s="56">
        <v>94.8</v>
      </c>
      <c r="R129" s="56">
        <v>95.5</v>
      </c>
      <c r="S129" s="56">
        <v>93.1</v>
      </c>
      <c r="T129" s="56">
        <v>100</v>
      </c>
      <c r="U129" s="56">
        <v>106.1</v>
      </c>
      <c r="V129" s="56">
        <v>98.2</v>
      </c>
      <c r="W129" s="56">
        <v>91.7</v>
      </c>
      <c r="X129" s="56">
        <v>95</v>
      </c>
      <c r="Y129" s="56">
        <v>102.1</v>
      </c>
      <c r="Z129" s="56">
        <v>96.4</v>
      </c>
      <c r="AA129" s="56">
        <v>96.2</v>
      </c>
      <c r="AB129" s="56">
        <v>93.8</v>
      </c>
      <c r="AC129" s="56">
        <v>94.5</v>
      </c>
      <c r="AD129" s="56">
        <v>95.7</v>
      </c>
      <c r="AE129" s="56">
        <v>85.1</v>
      </c>
      <c r="AF129" s="56">
        <v>99.3</v>
      </c>
      <c r="AG129" s="55"/>
      <c r="AH129" s="12">
        <f>MAX(B129:AF129)</f>
        <v>106.1</v>
      </c>
      <c r="AI129" s="11">
        <f>MIN(B129:AF129)</f>
        <v>51.3</v>
      </c>
    </row>
    <row r="130" spans="1:37" ht="15.75" thickBot="1" x14ac:dyDescent="0.3">
      <c r="A130" s="57" t="s">
        <v>132</v>
      </c>
      <c r="B130" s="56">
        <v>95.6</v>
      </c>
      <c r="C130" s="56">
        <v>70.7</v>
      </c>
      <c r="D130" s="56">
        <v>62.8</v>
      </c>
      <c r="E130" s="56"/>
      <c r="F130" s="56">
        <v>67.2</v>
      </c>
      <c r="G130" s="56">
        <v>66.099999999999994</v>
      </c>
      <c r="H130" s="56">
        <v>65.099999999999994</v>
      </c>
      <c r="I130" s="56">
        <v>71.599999999999994</v>
      </c>
      <c r="J130" s="56">
        <v>88</v>
      </c>
      <c r="K130" s="56">
        <v>86</v>
      </c>
      <c r="L130" s="56">
        <v>82.8</v>
      </c>
      <c r="M130" s="56">
        <v>94.1</v>
      </c>
      <c r="N130" s="56">
        <v>92</v>
      </c>
      <c r="O130" s="56">
        <v>94.5</v>
      </c>
      <c r="P130" s="56">
        <v>93.6</v>
      </c>
      <c r="Q130" s="56">
        <v>95.2</v>
      </c>
      <c r="R130" s="56">
        <v>96.7</v>
      </c>
      <c r="S130" s="56">
        <v>98</v>
      </c>
      <c r="T130" s="56">
        <v>101.2</v>
      </c>
      <c r="U130" s="56">
        <v>112.4</v>
      </c>
      <c r="V130" s="56">
        <v>98.3</v>
      </c>
      <c r="W130" s="56">
        <v>95.5</v>
      </c>
      <c r="X130" s="56">
        <v>100.3</v>
      </c>
      <c r="Y130" s="56">
        <v>104.3</v>
      </c>
      <c r="Z130" s="56">
        <v>106.7</v>
      </c>
      <c r="AA130" s="56">
        <v>104.1</v>
      </c>
      <c r="AB130" s="56">
        <v>106.1</v>
      </c>
      <c r="AC130" s="56">
        <v>105.7</v>
      </c>
      <c r="AD130" s="56">
        <v>102.9</v>
      </c>
      <c r="AE130" s="56">
        <v>94.6</v>
      </c>
      <c r="AF130" s="56">
        <v>104.4</v>
      </c>
      <c r="AG130" s="55"/>
      <c r="AH130" s="12">
        <f>MAX(B130:AF130)</f>
        <v>112.4</v>
      </c>
      <c r="AI130" s="11">
        <f>MIN(B130:AF130)</f>
        <v>62.8</v>
      </c>
    </row>
    <row r="131" spans="1:37" x14ac:dyDescent="0.25">
      <c r="A131" s="54" t="s">
        <v>131</v>
      </c>
      <c r="B131" s="52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25">
      <c r="A132" s="47" t="s">
        <v>130</v>
      </c>
      <c r="B132" s="50">
        <v>1983.11</v>
      </c>
      <c r="C132" s="51">
        <v>1983.02</v>
      </c>
      <c r="D132" s="51">
        <v>1983.2</v>
      </c>
      <c r="E132" s="51">
        <v>1983.35</v>
      </c>
      <c r="F132" s="51">
        <v>1983.33</v>
      </c>
      <c r="G132" s="51">
        <v>1983.12</v>
      </c>
      <c r="H132" s="51"/>
      <c r="I132" s="51">
        <v>1982.92</v>
      </c>
      <c r="J132" s="51"/>
      <c r="K132" s="51">
        <v>1983.12</v>
      </c>
      <c r="L132" s="51"/>
      <c r="M132" s="51">
        <v>1983.55</v>
      </c>
      <c r="N132" s="51">
        <v>1983.92</v>
      </c>
      <c r="O132" s="51">
        <v>1984.28</v>
      </c>
      <c r="P132" s="51">
        <v>1984.55</v>
      </c>
      <c r="Q132" s="51">
        <v>1984.85</v>
      </c>
      <c r="R132" s="51">
        <v>1985.12</v>
      </c>
      <c r="S132" s="51">
        <v>1985.42</v>
      </c>
      <c r="T132" s="51">
        <v>1985.68</v>
      </c>
      <c r="U132" s="51">
        <v>1985.95</v>
      </c>
      <c r="V132" s="51">
        <v>1986.22</v>
      </c>
      <c r="W132" s="51"/>
      <c r="X132" s="51">
        <v>1986.45</v>
      </c>
      <c r="Y132" s="51"/>
      <c r="Z132" s="51">
        <v>1985.9</v>
      </c>
      <c r="AA132" s="51"/>
      <c r="AB132" s="51">
        <v>1985.1</v>
      </c>
      <c r="AC132" s="51"/>
      <c r="AD132" s="51">
        <v>1984.48</v>
      </c>
      <c r="AE132" s="51">
        <v>1983.96</v>
      </c>
      <c r="AF132" s="50">
        <v>1983.57</v>
      </c>
      <c r="AG132" s="44"/>
      <c r="AH132" s="12"/>
      <c r="AI132" s="11"/>
    </row>
    <row r="133" spans="1:37" x14ac:dyDescent="0.25">
      <c r="A133" s="47" t="s">
        <v>129</v>
      </c>
      <c r="B133" s="48">
        <v>521.35</v>
      </c>
      <c r="C133" s="49">
        <v>521.34</v>
      </c>
      <c r="D133" s="49">
        <v>521.34</v>
      </c>
      <c r="E133" s="49">
        <v>521.4</v>
      </c>
      <c r="F133" s="49">
        <v>521.5</v>
      </c>
      <c r="G133" s="49"/>
      <c r="H133" s="49"/>
      <c r="I133" s="49">
        <v>521.83000000000004</v>
      </c>
      <c r="J133" s="49"/>
      <c r="K133" s="49">
        <v>521.92999999999995</v>
      </c>
      <c r="L133" s="49"/>
      <c r="M133" s="49">
        <v>522.03</v>
      </c>
      <c r="N133" s="49">
        <v>522.08000000000004</v>
      </c>
      <c r="O133" s="49">
        <v>522.08000000000004</v>
      </c>
      <c r="P133" s="49">
        <v>522.04</v>
      </c>
      <c r="Q133" s="49">
        <v>522.08799999999997</v>
      </c>
      <c r="R133" s="49">
        <v>522.21</v>
      </c>
      <c r="S133" s="49">
        <v>522.44000000000005</v>
      </c>
      <c r="T133" s="49">
        <v>522.66</v>
      </c>
      <c r="U133" s="49">
        <v>522.9</v>
      </c>
      <c r="V133" s="49">
        <v>523.16</v>
      </c>
      <c r="W133" s="49"/>
      <c r="X133" s="49">
        <v>523.4</v>
      </c>
      <c r="Y133" s="49"/>
      <c r="Z133" s="49">
        <v>523.34</v>
      </c>
      <c r="AA133" s="49"/>
      <c r="AB133" s="49">
        <v>523.22</v>
      </c>
      <c r="AC133" s="49"/>
      <c r="AD133" s="49">
        <v>523.12</v>
      </c>
      <c r="AE133" s="49">
        <v>523.02</v>
      </c>
      <c r="AF133" s="48">
        <v>522.91999999999996</v>
      </c>
      <c r="AG133" s="44"/>
      <c r="AH133" s="12"/>
      <c r="AI133" s="11"/>
    </row>
    <row r="134" spans="1:37" x14ac:dyDescent="0.25">
      <c r="A134" s="47" t="s">
        <v>128</v>
      </c>
      <c r="B134" s="48">
        <v>624.19000000000005</v>
      </c>
      <c r="C134" s="49">
        <v>623.57000000000005</v>
      </c>
      <c r="D134" s="49">
        <v>623.22</v>
      </c>
      <c r="E134" s="49">
        <v>623.20000000000005</v>
      </c>
      <c r="F134" s="49">
        <v>623.29</v>
      </c>
      <c r="G134" s="49">
        <v>623.64</v>
      </c>
      <c r="H134" s="49"/>
      <c r="I134" s="49">
        <v>623.75</v>
      </c>
      <c r="J134" s="49"/>
      <c r="K134" s="49">
        <v>623.77</v>
      </c>
      <c r="L134" s="49"/>
      <c r="M134" s="49">
        <v>623.73</v>
      </c>
      <c r="N134" s="49">
        <v>623.66999999999996</v>
      </c>
      <c r="O134" s="49">
        <v>623.4</v>
      </c>
      <c r="P134" s="49">
        <v>623.19000000000005</v>
      </c>
      <c r="Q134" s="49">
        <v>623.22</v>
      </c>
      <c r="R134" s="49">
        <v>623.39</v>
      </c>
      <c r="S134" s="49">
        <v>623.70000000000005</v>
      </c>
      <c r="T134" s="49">
        <v>624.21</v>
      </c>
      <c r="U134" s="49">
        <v>624.70000000000005</v>
      </c>
      <c r="V134" s="49">
        <v>625.11</v>
      </c>
      <c r="W134" s="49"/>
      <c r="X134" s="49">
        <v>625.20000000000005</v>
      </c>
      <c r="Y134" s="49"/>
      <c r="Z134" s="49">
        <v>625</v>
      </c>
      <c r="AA134" s="49"/>
      <c r="AB134" s="49">
        <v>624.74</v>
      </c>
      <c r="AC134" s="49"/>
      <c r="AD134" s="49">
        <v>624.29999999999995</v>
      </c>
      <c r="AE134" s="49">
        <v>624.29</v>
      </c>
      <c r="AF134" s="48">
        <v>624.19000000000005</v>
      </c>
      <c r="AG134" s="44"/>
      <c r="AH134" s="12"/>
      <c r="AI134" s="11"/>
    </row>
    <row r="135" spans="1:37" x14ac:dyDescent="0.25">
      <c r="A135" s="47" t="s">
        <v>127</v>
      </c>
      <c r="B135" s="48">
        <v>335.89</v>
      </c>
      <c r="C135" s="49">
        <v>335.8</v>
      </c>
      <c r="D135" s="49">
        <v>335.66</v>
      </c>
      <c r="E135" s="49">
        <v>335.59</v>
      </c>
      <c r="F135" s="49">
        <v>335.67</v>
      </c>
      <c r="G135" s="49"/>
      <c r="H135" s="49"/>
      <c r="I135" s="49">
        <v>336.04</v>
      </c>
      <c r="J135" s="49"/>
      <c r="K135" s="49">
        <v>336.06</v>
      </c>
      <c r="L135" s="49"/>
      <c r="M135" s="49">
        <v>336.02</v>
      </c>
      <c r="N135" s="49">
        <v>336.05</v>
      </c>
      <c r="O135" s="49">
        <v>335.97</v>
      </c>
      <c r="P135" s="49">
        <v>335.85</v>
      </c>
      <c r="Q135" s="49">
        <v>335.98</v>
      </c>
      <c r="R135" s="49">
        <v>336.15</v>
      </c>
      <c r="S135" s="49">
        <v>336.35</v>
      </c>
      <c r="T135" s="49">
        <v>336.62</v>
      </c>
      <c r="U135" s="49">
        <v>336.84</v>
      </c>
      <c r="V135" s="49">
        <v>337.03</v>
      </c>
      <c r="W135" s="49"/>
      <c r="X135" s="49">
        <v>337.22</v>
      </c>
      <c r="Y135" s="49"/>
      <c r="Z135" s="49">
        <v>337.05</v>
      </c>
      <c r="AA135" s="49"/>
      <c r="AB135" s="49">
        <v>336.67</v>
      </c>
      <c r="AC135" s="49"/>
      <c r="AD135" s="49">
        <v>336.22</v>
      </c>
      <c r="AE135" s="49">
        <v>335.71</v>
      </c>
      <c r="AF135" s="48">
        <v>335.41</v>
      </c>
      <c r="AG135" s="44"/>
      <c r="AH135" s="12"/>
      <c r="AI135" s="11"/>
    </row>
    <row r="136" spans="1:37" x14ac:dyDescent="0.25">
      <c r="A136" s="47" t="s">
        <v>126</v>
      </c>
      <c r="B136" s="48">
        <v>885.1</v>
      </c>
      <c r="C136" s="49">
        <v>886</v>
      </c>
      <c r="D136" s="49">
        <v>886.9</v>
      </c>
      <c r="E136" s="49">
        <v>887.6</v>
      </c>
      <c r="F136" s="49">
        <v>887.9</v>
      </c>
      <c r="G136" s="49"/>
      <c r="H136" s="49"/>
      <c r="I136" s="49">
        <v>887.9</v>
      </c>
      <c r="J136" s="49"/>
      <c r="K136" s="49">
        <v>887.4</v>
      </c>
      <c r="L136" s="49"/>
      <c r="M136" s="49">
        <v>886.9</v>
      </c>
      <c r="N136" s="49">
        <v>886.8</v>
      </c>
      <c r="O136" s="49">
        <v>887</v>
      </c>
      <c r="P136" s="49">
        <v>887.1</v>
      </c>
      <c r="Q136" s="49">
        <v>887.2</v>
      </c>
      <c r="R136" s="49">
        <v>887</v>
      </c>
      <c r="S136" s="49">
        <v>886.2</v>
      </c>
      <c r="T136" s="49">
        <v>885.3</v>
      </c>
      <c r="U136" s="49">
        <v>884.2</v>
      </c>
      <c r="V136" s="49">
        <v>883.6</v>
      </c>
      <c r="W136" s="49"/>
      <c r="X136" s="49"/>
      <c r="Y136" s="49"/>
      <c r="Z136" s="49">
        <v>883.8</v>
      </c>
      <c r="AA136" s="49"/>
      <c r="AB136" s="49">
        <v>882</v>
      </c>
      <c r="AC136" s="49"/>
      <c r="AD136" s="49">
        <v>882.1</v>
      </c>
      <c r="AE136" s="49">
        <v>882.3</v>
      </c>
      <c r="AF136" s="48">
        <v>883.2</v>
      </c>
      <c r="AG136" s="44"/>
      <c r="AH136" s="12"/>
      <c r="AI136" s="11"/>
    </row>
    <row r="137" spans="1:37" ht="15.75" thickBot="1" x14ac:dyDescent="0.3">
      <c r="A137" s="47" t="s">
        <v>125</v>
      </c>
      <c r="B137" s="45">
        <v>1511.93</v>
      </c>
      <c r="C137" s="46"/>
      <c r="D137" s="46">
        <v>1511.88</v>
      </c>
      <c r="E137" s="46"/>
      <c r="F137" s="46"/>
      <c r="G137" s="46"/>
      <c r="H137" s="46"/>
      <c r="I137" s="46"/>
      <c r="J137" s="46"/>
      <c r="K137" s="46">
        <v>1511.78</v>
      </c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>
        <v>1511.67</v>
      </c>
      <c r="AC137" s="46"/>
      <c r="AD137" s="46"/>
      <c r="AE137" s="46"/>
      <c r="AF137" s="45"/>
      <c r="AG137" s="44"/>
      <c r="AH137" s="12"/>
      <c r="AI137" s="11"/>
    </row>
    <row r="138" spans="1:37" ht="15.75" thickBot="1" x14ac:dyDescent="0.3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25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25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25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25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25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25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25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25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25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25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25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25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25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25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25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25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25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25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25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25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25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25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25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25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25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25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25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25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25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25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25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25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25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25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25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25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25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25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25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25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25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25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25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25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25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25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25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25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25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25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25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25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25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25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25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25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25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25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25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25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25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25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25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25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25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25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25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25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25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25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25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25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25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25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25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25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25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25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25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25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25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25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25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25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25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25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25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25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25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25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25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25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25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25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25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25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25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25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25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25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25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25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25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25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.75" thickBot="1" x14ac:dyDescent="0.3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.75" thickBot="1" x14ac:dyDescent="0.3">
      <c r="A244" s="31" t="s">
        <v>17</v>
      </c>
      <c r="B244" s="30">
        <f t="shared" ref="B244:AG244" si="124">SUM(B139:B243)</f>
        <v>0</v>
      </c>
      <c r="C244" s="14">
        <f t="shared" si="124"/>
        <v>0</v>
      </c>
      <c r="D244" s="14">
        <f t="shared" si="124"/>
        <v>0</v>
      </c>
      <c r="E244" s="14">
        <f t="shared" si="124"/>
        <v>0</v>
      </c>
      <c r="F244" s="14">
        <f t="shared" si="124"/>
        <v>0</v>
      </c>
      <c r="G244" s="14">
        <f t="shared" si="124"/>
        <v>0</v>
      </c>
      <c r="H244" s="14">
        <f t="shared" si="124"/>
        <v>0</v>
      </c>
      <c r="I244" s="14">
        <f t="shared" si="124"/>
        <v>0</v>
      </c>
      <c r="J244" s="14">
        <f t="shared" si="124"/>
        <v>0</v>
      </c>
      <c r="K244" s="14">
        <f t="shared" si="124"/>
        <v>0</v>
      </c>
      <c r="L244" s="14">
        <f t="shared" si="124"/>
        <v>0</v>
      </c>
      <c r="M244" s="14">
        <f t="shared" si="124"/>
        <v>0</v>
      </c>
      <c r="N244" s="14">
        <f t="shared" si="124"/>
        <v>0</v>
      </c>
      <c r="O244" s="14">
        <f t="shared" si="124"/>
        <v>0</v>
      </c>
      <c r="P244" s="14">
        <f t="shared" si="124"/>
        <v>0</v>
      </c>
      <c r="Q244" s="14">
        <f t="shared" si="124"/>
        <v>0</v>
      </c>
      <c r="R244" s="14">
        <f t="shared" si="124"/>
        <v>0</v>
      </c>
      <c r="S244" s="14">
        <f t="shared" si="124"/>
        <v>0</v>
      </c>
      <c r="T244" s="14">
        <f t="shared" si="124"/>
        <v>0</v>
      </c>
      <c r="U244" s="14">
        <f t="shared" si="124"/>
        <v>0</v>
      </c>
      <c r="V244" s="14">
        <f t="shared" si="124"/>
        <v>0</v>
      </c>
      <c r="W244" s="14">
        <f t="shared" si="124"/>
        <v>0</v>
      </c>
      <c r="X244" s="14">
        <f t="shared" si="124"/>
        <v>0</v>
      </c>
      <c r="Y244" s="14">
        <f t="shared" si="124"/>
        <v>0</v>
      </c>
      <c r="Z244" s="14">
        <f t="shared" si="124"/>
        <v>0</v>
      </c>
      <c r="AA244" s="14">
        <f t="shared" si="124"/>
        <v>0</v>
      </c>
      <c r="AB244" s="14">
        <f t="shared" si="124"/>
        <v>0</v>
      </c>
      <c r="AC244" s="14">
        <f t="shared" si="124"/>
        <v>0</v>
      </c>
      <c r="AD244" s="14">
        <f t="shared" si="124"/>
        <v>0</v>
      </c>
      <c r="AE244" s="14">
        <f t="shared" si="124"/>
        <v>0</v>
      </c>
      <c r="AF244" s="29">
        <f t="shared" si="124"/>
        <v>0</v>
      </c>
      <c r="AG244" s="28">
        <f t="shared" si="124"/>
        <v>412.72299999999984</v>
      </c>
      <c r="AH244" s="12"/>
      <c r="AI244" s="11"/>
      <c r="AK244" s="19"/>
    </row>
    <row r="245" spans="1:37" ht="15.75" thickBot="1" x14ac:dyDescent="0.3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25">
      <c r="A246" s="25" t="s">
        <v>16</v>
      </c>
      <c r="B246" s="24">
        <f t="shared" ref="B246:B251" si="125">AF246</f>
        <v>0.3</v>
      </c>
      <c r="C246" s="24">
        <v>0.3</v>
      </c>
      <c r="D246" s="24">
        <f t="shared" ref="D246:AF251" si="126">C246</f>
        <v>0.3</v>
      </c>
      <c r="E246" s="24">
        <f t="shared" si="126"/>
        <v>0.3</v>
      </c>
      <c r="F246" s="24">
        <f t="shared" si="126"/>
        <v>0.3</v>
      </c>
      <c r="G246" s="24">
        <f t="shared" si="126"/>
        <v>0.3</v>
      </c>
      <c r="H246" s="24">
        <f t="shared" si="126"/>
        <v>0.3</v>
      </c>
      <c r="I246" s="24">
        <f t="shared" si="126"/>
        <v>0.3</v>
      </c>
      <c r="J246" s="24">
        <f t="shared" si="126"/>
        <v>0.3</v>
      </c>
      <c r="K246" s="24">
        <f t="shared" si="126"/>
        <v>0.3</v>
      </c>
      <c r="L246" s="24">
        <f t="shared" si="126"/>
        <v>0.3</v>
      </c>
      <c r="M246" s="24">
        <f t="shared" si="126"/>
        <v>0.3</v>
      </c>
      <c r="N246" s="24">
        <f t="shared" si="126"/>
        <v>0.3</v>
      </c>
      <c r="O246" s="24">
        <f t="shared" si="126"/>
        <v>0.3</v>
      </c>
      <c r="P246" s="24">
        <f t="shared" si="126"/>
        <v>0.3</v>
      </c>
      <c r="Q246" s="24">
        <f t="shared" si="126"/>
        <v>0.3</v>
      </c>
      <c r="R246" s="24">
        <f t="shared" si="126"/>
        <v>0.3</v>
      </c>
      <c r="S246" s="24">
        <f t="shared" si="126"/>
        <v>0.3</v>
      </c>
      <c r="T246" s="24">
        <f t="shared" si="126"/>
        <v>0.3</v>
      </c>
      <c r="U246" s="24">
        <f t="shared" si="126"/>
        <v>0.3</v>
      </c>
      <c r="V246" s="24">
        <f t="shared" si="126"/>
        <v>0.3</v>
      </c>
      <c r="W246" s="24">
        <f t="shared" si="126"/>
        <v>0.3</v>
      </c>
      <c r="X246" s="24">
        <f t="shared" si="126"/>
        <v>0.3</v>
      </c>
      <c r="Y246" s="24">
        <f t="shared" si="126"/>
        <v>0.3</v>
      </c>
      <c r="Z246" s="24">
        <f t="shared" si="126"/>
        <v>0.3</v>
      </c>
      <c r="AA246" s="24">
        <f t="shared" si="126"/>
        <v>0.3</v>
      </c>
      <c r="AB246" s="24">
        <f t="shared" si="126"/>
        <v>0.3</v>
      </c>
      <c r="AC246" s="24">
        <f t="shared" si="126"/>
        <v>0.3</v>
      </c>
      <c r="AD246" s="24">
        <f t="shared" si="126"/>
        <v>0.3</v>
      </c>
      <c r="AE246" s="24">
        <f t="shared" si="126"/>
        <v>0.3</v>
      </c>
      <c r="AF246" s="24">
        <f t="shared" si="126"/>
        <v>0.3</v>
      </c>
      <c r="AG246" s="23">
        <v>2.4</v>
      </c>
      <c r="AH246" s="12"/>
      <c r="AI246" s="11"/>
      <c r="AK246" s="19"/>
    </row>
    <row r="247" spans="1:37" x14ac:dyDescent="0.25">
      <c r="A247" s="22" t="s">
        <v>15</v>
      </c>
      <c r="B247" s="21">
        <f t="shared" si="125"/>
        <v>0.4</v>
      </c>
      <c r="C247" s="21">
        <v>0.4</v>
      </c>
      <c r="D247" s="21">
        <f t="shared" si="126"/>
        <v>0.4</v>
      </c>
      <c r="E247" s="21">
        <f t="shared" si="126"/>
        <v>0.4</v>
      </c>
      <c r="F247" s="21">
        <f t="shared" si="126"/>
        <v>0.4</v>
      </c>
      <c r="G247" s="21">
        <f t="shared" si="126"/>
        <v>0.4</v>
      </c>
      <c r="H247" s="21">
        <f t="shared" si="126"/>
        <v>0.4</v>
      </c>
      <c r="I247" s="21">
        <f t="shared" si="126"/>
        <v>0.4</v>
      </c>
      <c r="J247" s="21">
        <f t="shared" si="126"/>
        <v>0.4</v>
      </c>
      <c r="K247" s="21">
        <f t="shared" si="126"/>
        <v>0.4</v>
      </c>
      <c r="L247" s="21">
        <f t="shared" si="126"/>
        <v>0.4</v>
      </c>
      <c r="M247" s="21">
        <f t="shared" si="126"/>
        <v>0.4</v>
      </c>
      <c r="N247" s="21">
        <f t="shared" si="126"/>
        <v>0.4</v>
      </c>
      <c r="O247" s="21">
        <f t="shared" si="126"/>
        <v>0.4</v>
      </c>
      <c r="P247" s="21">
        <f t="shared" si="126"/>
        <v>0.4</v>
      </c>
      <c r="Q247" s="21">
        <f t="shared" si="126"/>
        <v>0.4</v>
      </c>
      <c r="R247" s="21">
        <f t="shared" si="126"/>
        <v>0.4</v>
      </c>
      <c r="S247" s="21">
        <f t="shared" si="126"/>
        <v>0.4</v>
      </c>
      <c r="T247" s="21">
        <f t="shared" si="126"/>
        <v>0.4</v>
      </c>
      <c r="U247" s="21">
        <f t="shared" si="126"/>
        <v>0.4</v>
      </c>
      <c r="V247" s="21">
        <f t="shared" si="126"/>
        <v>0.4</v>
      </c>
      <c r="W247" s="21">
        <f t="shared" si="126"/>
        <v>0.4</v>
      </c>
      <c r="X247" s="21">
        <f t="shared" si="126"/>
        <v>0.4</v>
      </c>
      <c r="Y247" s="21">
        <f t="shared" si="126"/>
        <v>0.4</v>
      </c>
      <c r="Z247" s="21">
        <f t="shared" si="126"/>
        <v>0.4</v>
      </c>
      <c r="AA247" s="21">
        <f t="shared" si="126"/>
        <v>0.4</v>
      </c>
      <c r="AB247" s="21">
        <f t="shared" si="126"/>
        <v>0.4</v>
      </c>
      <c r="AC247" s="21">
        <f t="shared" si="126"/>
        <v>0.4</v>
      </c>
      <c r="AD247" s="21">
        <f t="shared" si="126"/>
        <v>0.4</v>
      </c>
      <c r="AE247" s="21">
        <f t="shared" si="126"/>
        <v>0.4</v>
      </c>
      <c r="AF247" s="21">
        <f t="shared" si="126"/>
        <v>0.4</v>
      </c>
      <c r="AG247" s="20">
        <v>2</v>
      </c>
      <c r="AH247" s="12"/>
      <c r="AI247" s="11"/>
      <c r="AK247" s="19"/>
    </row>
    <row r="248" spans="1:37" x14ac:dyDescent="0.25">
      <c r="A248" s="22" t="s">
        <v>14</v>
      </c>
      <c r="B248" s="21">
        <f t="shared" si="125"/>
        <v>1.5</v>
      </c>
      <c r="C248" s="21">
        <v>1.5</v>
      </c>
      <c r="D248" s="21">
        <f t="shared" si="126"/>
        <v>1.5</v>
      </c>
      <c r="E248" s="21">
        <f t="shared" si="126"/>
        <v>1.5</v>
      </c>
      <c r="F248" s="21">
        <f t="shared" si="126"/>
        <v>1.5</v>
      </c>
      <c r="G248" s="21">
        <f t="shared" si="126"/>
        <v>1.5</v>
      </c>
      <c r="H248" s="21">
        <f t="shared" si="126"/>
        <v>1.5</v>
      </c>
      <c r="I248" s="21">
        <f t="shared" si="126"/>
        <v>1.5</v>
      </c>
      <c r="J248" s="21">
        <f t="shared" si="126"/>
        <v>1.5</v>
      </c>
      <c r="K248" s="21">
        <f t="shared" si="126"/>
        <v>1.5</v>
      </c>
      <c r="L248" s="21">
        <f t="shared" si="126"/>
        <v>1.5</v>
      </c>
      <c r="M248" s="21">
        <f t="shared" si="126"/>
        <v>1.5</v>
      </c>
      <c r="N248" s="21">
        <f t="shared" si="126"/>
        <v>1.5</v>
      </c>
      <c r="O248" s="21">
        <f t="shared" si="126"/>
        <v>1.5</v>
      </c>
      <c r="P248" s="21">
        <f t="shared" si="126"/>
        <v>1.5</v>
      </c>
      <c r="Q248" s="21">
        <f t="shared" si="126"/>
        <v>1.5</v>
      </c>
      <c r="R248" s="21">
        <f t="shared" si="126"/>
        <v>1.5</v>
      </c>
      <c r="S248" s="21">
        <f t="shared" si="126"/>
        <v>1.5</v>
      </c>
      <c r="T248" s="21">
        <f t="shared" si="126"/>
        <v>1.5</v>
      </c>
      <c r="U248" s="21">
        <f t="shared" si="126"/>
        <v>1.5</v>
      </c>
      <c r="V248" s="21">
        <f t="shared" si="126"/>
        <v>1.5</v>
      </c>
      <c r="W248" s="21">
        <f t="shared" si="126"/>
        <v>1.5</v>
      </c>
      <c r="X248" s="21">
        <f t="shared" si="126"/>
        <v>1.5</v>
      </c>
      <c r="Y248" s="21">
        <f t="shared" si="126"/>
        <v>1.5</v>
      </c>
      <c r="Z248" s="21">
        <f t="shared" si="126"/>
        <v>1.5</v>
      </c>
      <c r="AA248" s="21">
        <f t="shared" si="126"/>
        <v>1.5</v>
      </c>
      <c r="AB248" s="21">
        <f t="shared" si="126"/>
        <v>1.5</v>
      </c>
      <c r="AC248" s="21">
        <f t="shared" si="126"/>
        <v>1.5</v>
      </c>
      <c r="AD248" s="21">
        <f t="shared" si="126"/>
        <v>1.5</v>
      </c>
      <c r="AE248" s="21">
        <f t="shared" si="126"/>
        <v>1.5</v>
      </c>
      <c r="AF248" s="21">
        <f t="shared" si="126"/>
        <v>1.5</v>
      </c>
      <c r="AG248" s="20">
        <v>1.5</v>
      </c>
      <c r="AH248" s="12"/>
      <c r="AI248" s="11"/>
      <c r="AK248" s="19"/>
    </row>
    <row r="249" spans="1:37" x14ac:dyDescent="0.25">
      <c r="A249" s="22" t="s">
        <v>13</v>
      </c>
      <c r="B249" s="21">
        <f t="shared" si="125"/>
        <v>0.3</v>
      </c>
      <c r="C249" s="21">
        <v>0.3</v>
      </c>
      <c r="D249" s="21">
        <f t="shared" si="126"/>
        <v>0.3</v>
      </c>
      <c r="E249" s="21">
        <f t="shared" si="126"/>
        <v>0.3</v>
      </c>
      <c r="F249" s="21">
        <f t="shared" si="126"/>
        <v>0.3</v>
      </c>
      <c r="G249" s="21">
        <f t="shared" si="126"/>
        <v>0.3</v>
      </c>
      <c r="H249" s="21">
        <f t="shared" si="126"/>
        <v>0.3</v>
      </c>
      <c r="I249" s="21">
        <f t="shared" si="126"/>
        <v>0.3</v>
      </c>
      <c r="J249" s="21">
        <f t="shared" si="126"/>
        <v>0.3</v>
      </c>
      <c r="K249" s="21">
        <f t="shared" si="126"/>
        <v>0.3</v>
      </c>
      <c r="L249" s="21">
        <f t="shared" si="126"/>
        <v>0.3</v>
      </c>
      <c r="M249" s="21">
        <f t="shared" si="126"/>
        <v>0.3</v>
      </c>
      <c r="N249" s="21">
        <f t="shared" si="126"/>
        <v>0.3</v>
      </c>
      <c r="O249" s="21">
        <f t="shared" si="126"/>
        <v>0.3</v>
      </c>
      <c r="P249" s="21">
        <f t="shared" si="126"/>
        <v>0.3</v>
      </c>
      <c r="Q249" s="21">
        <f t="shared" si="126"/>
        <v>0.3</v>
      </c>
      <c r="R249" s="21">
        <f t="shared" si="126"/>
        <v>0.3</v>
      </c>
      <c r="S249" s="21">
        <f t="shared" si="126"/>
        <v>0.3</v>
      </c>
      <c r="T249" s="21">
        <f t="shared" si="126"/>
        <v>0.3</v>
      </c>
      <c r="U249" s="21">
        <f t="shared" si="126"/>
        <v>0.3</v>
      </c>
      <c r="V249" s="21">
        <f t="shared" si="126"/>
        <v>0.3</v>
      </c>
      <c r="W249" s="21">
        <f t="shared" si="126"/>
        <v>0.3</v>
      </c>
      <c r="X249" s="21">
        <f t="shared" si="126"/>
        <v>0.3</v>
      </c>
      <c r="Y249" s="21">
        <f t="shared" si="126"/>
        <v>0.3</v>
      </c>
      <c r="Z249" s="21">
        <f t="shared" si="126"/>
        <v>0.3</v>
      </c>
      <c r="AA249" s="21">
        <f t="shared" si="126"/>
        <v>0.3</v>
      </c>
      <c r="AB249" s="21">
        <f t="shared" si="126"/>
        <v>0.3</v>
      </c>
      <c r="AC249" s="21">
        <f t="shared" si="126"/>
        <v>0.3</v>
      </c>
      <c r="AD249" s="21">
        <f t="shared" si="126"/>
        <v>0.3</v>
      </c>
      <c r="AE249" s="21">
        <f t="shared" si="126"/>
        <v>0.3</v>
      </c>
      <c r="AF249" s="21">
        <f t="shared" si="126"/>
        <v>0.3</v>
      </c>
      <c r="AG249" s="20">
        <v>1</v>
      </c>
      <c r="AH249" s="12"/>
      <c r="AI249" s="11"/>
      <c r="AK249" s="19"/>
    </row>
    <row r="250" spans="1:37" x14ac:dyDescent="0.25">
      <c r="A250" s="22" t="s">
        <v>12</v>
      </c>
      <c r="B250" s="21">
        <f t="shared" si="125"/>
        <v>0.4</v>
      </c>
      <c r="C250" s="21">
        <v>0.4</v>
      </c>
      <c r="D250" s="21">
        <f t="shared" si="126"/>
        <v>0.4</v>
      </c>
      <c r="E250" s="21">
        <f t="shared" si="126"/>
        <v>0.4</v>
      </c>
      <c r="F250" s="21">
        <f t="shared" si="126"/>
        <v>0.4</v>
      </c>
      <c r="G250" s="21">
        <f t="shared" si="126"/>
        <v>0.4</v>
      </c>
      <c r="H250" s="21">
        <f t="shared" si="126"/>
        <v>0.4</v>
      </c>
      <c r="I250" s="21">
        <f t="shared" si="126"/>
        <v>0.4</v>
      </c>
      <c r="J250" s="21">
        <f t="shared" si="126"/>
        <v>0.4</v>
      </c>
      <c r="K250" s="21">
        <f t="shared" si="126"/>
        <v>0.4</v>
      </c>
      <c r="L250" s="21">
        <f t="shared" si="126"/>
        <v>0.4</v>
      </c>
      <c r="M250" s="21">
        <f t="shared" si="126"/>
        <v>0.4</v>
      </c>
      <c r="N250" s="21">
        <f t="shared" si="126"/>
        <v>0.4</v>
      </c>
      <c r="O250" s="21">
        <f t="shared" si="126"/>
        <v>0.4</v>
      </c>
      <c r="P250" s="21">
        <f t="shared" si="126"/>
        <v>0.4</v>
      </c>
      <c r="Q250" s="21">
        <f t="shared" si="126"/>
        <v>0.4</v>
      </c>
      <c r="R250" s="21">
        <f t="shared" si="126"/>
        <v>0.4</v>
      </c>
      <c r="S250" s="21">
        <f t="shared" si="126"/>
        <v>0.4</v>
      </c>
      <c r="T250" s="21">
        <f t="shared" si="126"/>
        <v>0.4</v>
      </c>
      <c r="U250" s="21">
        <f t="shared" si="126"/>
        <v>0.4</v>
      </c>
      <c r="V250" s="21">
        <f t="shared" si="126"/>
        <v>0.4</v>
      </c>
      <c r="W250" s="21">
        <f t="shared" si="126"/>
        <v>0.4</v>
      </c>
      <c r="X250" s="21">
        <f t="shared" si="126"/>
        <v>0.4</v>
      </c>
      <c r="Y250" s="21">
        <f t="shared" si="126"/>
        <v>0.4</v>
      </c>
      <c r="Z250" s="21">
        <f t="shared" si="126"/>
        <v>0.4</v>
      </c>
      <c r="AA250" s="21">
        <f t="shared" si="126"/>
        <v>0.4</v>
      </c>
      <c r="AB250" s="21">
        <f t="shared" si="126"/>
        <v>0.4</v>
      </c>
      <c r="AC250" s="21">
        <f t="shared" si="126"/>
        <v>0.4</v>
      </c>
      <c r="AD250" s="21">
        <f t="shared" si="126"/>
        <v>0.4</v>
      </c>
      <c r="AE250" s="21">
        <f t="shared" si="126"/>
        <v>0.4</v>
      </c>
      <c r="AF250" s="21">
        <f t="shared" si="126"/>
        <v>0.4</v>
      </c>
      <c r="AG250" s="20">
        <v>1</v>
      </c>
      <c r="AH250" s="12"/>
      <c r="AI250" s="11"/>
      <c r="AK250" s="19"/>
    </row>
    <row r="251" spans="1:37" ht="15.75" thickBot="1" x14ac:dyDescent="0.3">
      <c r="A251" s="18" t="s">
        <v>11</v>
      </c>
      <c r="B251" s="17">
        <f t="shared" si="125"/>
        <v>0.64</v>
      </c>
      <c r="C251" s="17">
        <v>0.64</v>
      </c>
      <c r="D251" s="17">
        <f t="shared" si="126"/>
        <v>0.64</v>
      </c>
      <c r="E251" s="17">
        <f t="shared" si="126"/>
        <v>0.64</v>
      </c>
      <c r="F251" s="17">
        <f t="shared" si="126"/>
        <v>0.64</v>
      </c>
      <c r="G251" s="17">
        <f t="shared" si="126"/>
        <v>0.64</v>
      </c>
      <c r="H251" s="17">
        <f t="shared" si="126"/>
        <v>0.64</v>
      </c>
      <c r="I251" s="17">
        <f t="shared" si="126"/>
        <v>0.64</v>
      </c>
      <c r="J251" s="17">
        <f t="shared" si="126"/>
        <v>0.64</v>
      </c>
      <c r="K251" s="17">
        <f t="shared" si="126"/>
        <v>0.64</v>
      </c>
      <c r="L251" s="17">
        <f t="shared" si="126"/>
        <v>0.64</v>
      </c>
      <c r="M251" s="17">
        <f t="shared" si="126"/>
        <v>0.64</v>
      </c>
      <c r="N251" s="17">
        <f t="shared" si="126"/>
        <v>0.64</v>
      </c>
      <c r="O251" s="17">
        <f t="shared" si="126"/>
        <v>0.64</v>
      </c>
      <c r="P251" s="17">
        <f t="shared" si="126"/>
        <v>0.64</v>
      </c>
      <c r="Q251" s="17">
        <f t="shared" si="126"/>
        <v>0.64</v>
      </c>
      <c r="R251" s="17">
        <f t="shared" si="126"/>
        <v>0.64</v>
      </c>
      <c r="S251" s="17">
        <f t="shared" si="126"/>
        <v>0.64</v>
      </c>
      <c r="T251" s="17">
        <f t="shared" si="126"/>
        <v>0.64</v>
      </c>
      <c r="U251" s="17">
        <f t="shared" si="126"/>
        <v>0.64</v>
      </c>
      <c r="V251" s="17">
        <f t="shared" si="126"/>
        <v>0.64</v>
      </c>
      <c r="W251" s="17">
        <f t="shared" si="126"/>
        <v>0.64</v>
      </c>
      <c r="X251" s="17">
        <f t="shared" si="126"/>
        <v>0.64</v>
      </c>
      <c r="Y251" s="17">
        <f t="shared" si="126"/>
        <v>0.64</v>
      </c>
      <c r="Z251" s="17">
        <f t="shared" si="126"/>
        <v>0.64</v>
      </c>
      <c r="AA251" s="17">
        <f t="shared" si="126"/>
        <v>0.64</v>
      </c>
      <c r="AB251" s="17">
        <f t="shared" si="126"/>
        <v>0.64</v>
      </c>
      <c r="AC251" s="17">
        <f t="shared" si="126"/>
        <v>0.64</v>
      </c>
      <c r="AD251" s="17">
        <f t="shared" si="126"/>
        <v>0.64</v>
      </c>
      <c r="AE251" s="17">
        <f t="shared" si="126"/>
        <v>0.64</v>
      </c>
      <c r="AF251" s="17">
        <f t="shared" si="126"/>
        <v>0.64</v>
      </c>
      <c r="AG251" s="16">
        <v>0.66</v>
      </c>
      <c r="AH251" s="12"/>
      <c r="AI251" s="11"/>
    </row>
    <row r="252" spans="1:37" ht="15.75" thickBot="1" x14ac:dyDescent="0.3">
      <c r="A252" s="15" t="s">
        <v>10</v>
      </c>
      <c r="B252" s="14">
        <f t="shared" ref="B252:AG252" si="127">SUM(B246:B251)</f>
        <v>3.54</v>
      </c>
      <c r="C252" s="14">
        <f t="shared" si="127"/>
        <v>3.54</v>
      </c>
      <c r="D252" s="14">
        <f t="shared" si="127"/>
        <v>3.54</v>
      </c>
      <c r="E252" s="14">
        <f t="shared" si="127"/>
        <v>3.54</v>
      </c>
      <c r="F252" s="14">
        <f t="shared" si="127"/>
        <v>3.54</v>
      </c>
      <c r="G252" s="14">
        <f t="shared" si="127"/>
        <v>3.54</v>
      </c>
      <c r="H252" s="14">
        <f t="shared" si="127"/>
        <v>3.54</v>
      </c>
      <c r="I252" s="14">
        <f t="shared" si="127"/>
        <v>3.54</v>
      </c>
      <c r="J252" s="14">
        <f t="shared" si="127"/>
        <v>3.54</v>
      </c>
      <c r="K252" s="14">
        <f t="shared" si="127"/>
        <v>3.54</v>
      </c>
      <c r="L252" s="14">
        <f t="shared" si="127"/>
        <v>3.54</v>
      </c>
      <c r="M252" s="14">
        <f t="shared" si="127"/>
        <v>3.54</v>
      </c>
      <c r="N252" s="14">
        <f t="shared" si="127"/>
        <v>3.54</v>
      </c>
      <c r="O252" s="14">
        <f t="shared" si="127"/>
        <v>3.54</v>
      </c>
      <c r="P252" s="14">
        <f t="shared" si="127"/>
        <v>3.54</v>
      </c>
      <c r="Q252" s="14">
        <f t="shared" si="127"/>
        <v>3.54</v>
      </c>
      <c r="R252" s="14">
        <f t="shared" si="127"/>
        <v>3.54</v>
      </c>
      <c r="S252" s="14">
        <f t="shared" si="127"/>
        <v>3.54</v>
      </c>
      <c r="T252" s="14">
        <f t="shared" si="127"/>
        <v>3.54</v>
      </c>
      <c r="U252" s="14">
        <f t="shared" si="127"/>
        <v>3.54</v>
      </c>
      <c r="V252" s="14">
        <f t="shared" si="127"/>
        <v>3.54</v>
      </c>
      <c r="W252" s="14">
        <f t="shared" si="127"/>
        <v>3.54</v>
      </c>
      <c r="X252" s="14">
        <f t="shared" si="127"/>
        <v>3.54</v>
      </c>
      <c r="Y252" s="14">
        <f t="shared" si="127"/>
        <v>3.54</v>
      </c>
      <c r="Z252" s="14">
        <f t="shared" si="127"/>
        <v>3.54</v>
      </c>
      <c r="AA252" s="14">
        <f t="shared" si="127"/>
        <v>3.54</v>
      </c>
      <c r="AB252" s="14">
        <f t="shared" si="127"/>
        <v>3.54</v>
      </c>
      <c r="AC252" s="14">
        <f t="shared" si="127"/>
        <v>3.54</v>
      </c>
      <c r="AD252" s="14">
        <f t="shared" si="127"/>
        <v>3.54</v>
      </c>
      <c r="AE252" s="14">
        <f t="shared" si="127"/>
        <v>3.54</v>
      </c>
      <c r="AF252" s="14">
        <f t="shared" si="127"/>
        <v>3.54</v>
      </c>
      <c r="AG252" s="13">
        <f t="shared" si="127"/>
        <v>8.56</v>
      </c>
      <c r="AH252" s="12"/>
      <c r="AI252" s="11"/>
    </row>
    <row r="253" spans="1:37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25">
      <c r="A256" s="9" t="s">
        <v>9</v>
      </c>
      <c r="B256" s="8">
        <f>MAX(G99:N99)</f>
        <v>1645.94</v>
      </c>
      <c r="C256" s="7">
        <f>INDEX(G9:N9,1,MATCH(MAX(G99:N99),G99:N99,0))</f>
        <v>0.33333333333333331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25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2080/10/8)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25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25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25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25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25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25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25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25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25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25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25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25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25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25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3337" priority="115">
      <formula>$AH11=0</formula>
    </cfRule>
  </conditionalFormatting>
  <conditionalFormatting sqref="A132:A253">
    <cfRule type="expression" dxfId="3336" priority="116">
      <formula>$AH132=0</formula>
    </cfRule>
  </conditionalFormatting>
  <conditionalFormatting sqref="B8">
    <cfRule type="expression" dxfId="3335" priority="170">
      <formula>AND(C$9&gt;=14/24,C$9&lt;20/24)</formula>
    </cfRule>
    <cfRule type="expression" dxfId="3334" priority="173">
      <formula>C$9&gt;=20/24</formula>
    </cfRule>
    <cfRule type="expression" dxfId="3333" priority="172">
      <formula>C$9&lt;8/24</formula>
    </cfRule>
    <cfRule type="expression" dxfId="3332" priority="171">
      <formula>AND(C$9&gt;=8/24,C$9&lt;14/24)</formula>
    </cfRule>
  </conditionalFormatting>
  <conditionalFormatting sqref="B11:D26 M11:AF26 E12:L26 B27:AF52">
    <cfRule type="expression" dxfId="3331" priority="9">
      <formula>B11&gt;$AG11</formula>
    </cfRule>
    <cfRule type="expression" dxfId="3330" priority="12">
      <formula>AND(B$9&gt;=8/24,B$9&lt;14/24)</formula>
    </cfRule>
    <cfRule type="expression" dxfId="3329" priority="13">
      <formula>B$9&lt;8/24</formula>
    </cfRule>
    <cfRule type="expression" dxfId="3328" priority="10">
      <formula>B$9&gt;=20/24</formula>
    </cfRule>
    <cfRule type="expression" dxfId="3327" priority="11">
      <formula>AND(B$9&gt;=14/24,B$9&lt;20/24)</formula>
    </cfRule>
  </conditionalFormatting>
  <conditionalFormatting sqref="B59:D68">
    <cfRule type="expression" dxfId="3326" priority="20">
      <formula>B$9&lt;8/24</formula>
    </cfRule>
    <cfRule type="expression" dxfId="3325" priority="17">
      <formula>B$9&gt;=20/24</formula>
    </cfRule>
    <cfRule type="expression" dxfId="3324" priority="18">
      <formula>AND(B$9&gt;=14/24,B$9&lt;20/24)</formula>
    </cfRule>
    <cfRule type="expression" dxfId="3323" priority="19">
      <formula>AND(B$9&gt;=8/24,B$9&lt;14/24)</formula>
    </cfRule>
  </conditionalFormatting>
  <conditionalFormatting sqref="B69:N74 C77:C91 B77:B99 B101:AF117 B119:AF137">
    <cfRule type="expression" dxfId="3322" priority="5">
      <formula>B$9&gt;=20/24</formula>
    </cfRule>
    <cfRule type="expression" dxfId="3321" priority="6">
      <formula>AND(B$9&gt;=14/24,B$9&lt;20/24)</formula>
    </cfRule>
    <cfRule type="expression" dxfId="3320" priority="8">
      <formula>B$9&lt;8/24</formula>
    </cfRule>
    <cfRule type="expression" dxfId="3319" priority="7">
      <formula>AND(B$9&gt;=8/24,B$9&lt;14/24)</formula>
    </cfRule>
  </conditionalFormatting>
  <conditionalFormatting sqref="B53:Y55">
    <cfRule type="expression" dxfId="3318" priority="26">
      <formula>B53&gt;$AG53</formula>
    </cfRule>
  </conditionalFormatting>
  <conditionalFormatting sqref="B9:AF10 E11 O69:AF74 D77:R91 S77:AF99 C92:R99 B244:AF244 B246:B252">
    <cfRule type="expression" dxfId="3317" priority="68">
      <formula>AND(B$9&gt;=14/24,B$9&lt;20/24)</formula>
    </cfRule>
    <cfRule type="expression" dxfId="3316" priority="69">
      <formula>AND(B$9&gt;=8/24,B$9&lt;14/24)</formula>
    </cfRule>
    <cfRule type="expression" dxfId="3315" priority="70">
      <formula>B$9&lt;8/24</formula>
    </cfRule>
  </conditionalFormatting>
  <conditionalFormatting sqref="B53:AF54">
    <cfRule type="expression" dxfId="3314" priority="2">
      <formula>AND(B$9&gt;=14/24,B$9&lt;20/24)</formula>
    </cfRule>
    <cfRule type="expression" dxfId="3313" priority="3">
      <formula>AND(B$9&gt;=8/24,B$9&lt;14/24)</formula>
    </cfRule>
    <cfRule type="expression" dxfId="3312" priority="1">
      <formula>B$9&gt;=20/24</formula>
    </cfRule>
  </conditionalFormatting>
  <conditionalFormatting sqref="D246:AF252">
    <cfRule type="expression" dxfId="3311" priority="155">
      <formula>D$9&gt;=20/24</formula>
    </cfRule>
    <cfRule type="expression" dxfId="3310" priority="156">
      <formula>AND(D$9&gt;=14/24,D$9&lt;20/24)</formula>
    </cfRule>
    <cfRule type="expression" dxfId="3309" priority="157">
      <formula>AND(D$9&gt;=8/24,D$9&lt;14/24)</formula>
    </cfRule>
    <cfRule type="expression" dxfId="3308" priority="158">
      <formula>D$9&lt;8/24</formula>
    </cfRule>
  </conditionalFormatting>
  <conditionalFormatting sqref="E11 O69:AF74 D77:R91 S77:AF99 B9:AF10 C92:R99 B244:AF244 B246:B252">
    <cfRule type="expression" dxfId="3307" priority="67">
      <formula>B$9&gt;=20/24</formula>
    </cfRule>
  </conditionalFormatting>
  <conditionalFormatting sqref="E11 Z56:AF57 S57:Y80 AB58:AF61 Z58:AA80 AB62:AG62 AB63:AF80 D75:R80 AG80">
    <cfRule type="expression" dxfId="3306" priority="66">
      <formula>D11&gt;$AG11</formula>
    </cfRule>
  </conditionalFormatting>
  <conditionalFormatting sqref="E55:E56 B55:D57 F55:J55">
    <cfRule type="expression" dxfId="3305" priority="14">
      <formula>B$9&gt;=20/24</formula>
    </cfRule>
  </conditionalFormatting>
  <conditionalFormatting sqref="E63:I68">
    <cfRule type="expression" dxfId="3304" priority="21">
      <formula>E$9&gt;=20/24</formula>
    </cfRule>
    <cfRule type="expression" dxfId="3303" priority="22">
      <formula>AND(E$9&gt;=14/24,E$9&lt;20/24)</formula>
    </cfRule>
    <cfRule type="expression" dxfId="3302" priority="23">
      <formula>AND(E$9&gt;=8/24,E$9&lt;14/24)</formula>
    </cfRule>
    <cfRule type="expression" dxfId="3301" priority="24">
      <formula>E$9&lt;8/24</formula>
    </cfRule>
  </conditionalFormatting>
  <conditionalFormatting sqref="E11:L11">
    <cfRule type="expression" dxfId="3300" priority="85">
      <formula>E$9&gt;=20/24</formula>
    </cfRule>
    <cfRule type="expression" dxfId="3299" priority="87">
      <formula>AND(E$9&gt;=8/24,E$9&lt;14/24)</formula>
    </cfRule>
    <cfRule type="expression" dxfId="3298" priority="86">
      <formula>AND(E$9&gt;=14/24,E$9&lt;20/24)</formula>
    </cfRule>
    <cfRule type="expression" dxfId="3297" priority="84">
      <formula>E11&gt;$AG11</formula>
    </cfRule>
    <cfRule type="expression" dxfId="3296" priority="88">
      <formula>E$9&lt;8/24</formula>
    </cfRule>
  </conditionalFormatting>
  <conditionalFormatting sqref="E56:Y56 D56:D74 B56:C80 E57:R74">
    <cfRule type="expression" dxfId="3295" priority="4">
      <formula>B56&gt;$AG56</formula>
    </cfRule>
  </conditionalFormatting>
  <conditionalFormatting sqref="E59:AF62">
    <cfRule type="expression" dxfId="3294" priority="96">
      <formula>E$9&lt;8/24</formula>
    </cfRule>
    <cfRule type="expression" dxfId="3293" priority="95">
      <formula>AND(E$9&gt;=8/24,E$9&lt;14/24)</formula>
    </cfRule>
    <cfRule type="expression" dxfId="3292" priority="94">
      <formula>AND(E$9&gt;=14/24,E$9&lt;20/24)</formula>
    </cfRule>
    <cfRule type="expression" dxfId="3291" priority="93">
      <formula>E$9&gt;=20/24</formula>
    </cfRule>
  </conditionalFormatting>
  <conditionalFormatting sqref="F53:J55 E53:E56 B53:D57 K53:Y54">
    <cfRule type="expression" dxfId="3290" priority="25">
      <formula>B$9&lt;8/24</formula>
    </cfRule>
  </conditionalFormatting>
  <conditionalFormatting sqref="F55:J55 E55:E56 B55:D57">
    <cfRule type="expression" dxfId="3289" priority="16">
      <formula>AND(B$9&gt;=8/24,B$9&lt;14/24)</formula>
    </cfRule>
    <cfRule type="expression" dxfId="3288" priority="15">
      <formula>AND(B$9&gt;=14/24,B$9&lt;20/24)</formula>
    </cfRule>
  </conditionalFormatting>
  <conditionalFormatting sqref="F63:L65">
    <cfRule type="expression" dxfId="3287" priority="109">
      <formula>AND(F$9&gt;=8/24,F$9&lt;14/24)</formula>
    </cfRule>
    <cfRule type="expression" dxfId="3286" priority="108">
      <formula>AND(F$9&gt;=14/24,F$9&lt;20/24)</formula>
    </cfRule>
    <cfRule type="expression" dxfId="3285" priority="107">
      <formula>F$9&gt;=20/24</formula>
    </cfRule>
    <cfRule type="expression" dxfId="3284" priority="110">
      <formula>F$9&lt;8/24</formula>
    </cfRule>
  </conditionalFormatting>
  <conditionalFormatting sqref="J64:J67 K67">
    <cfRule type="expression" dxfId="3283" priority="81">
      <formula>AND(J$9&gt;=14/24,J$9&lt;20/24)</formula>
    </cfRule>
    <cfRule type="expression" dxfId="3282" priority="83">
      <formula>J$9&lt;8/24</formula>
    </cfRule>
    <cfRule type="expression" dxfId="3281" priority="82">
      <formula>AND(J$9&gt;=8/24,J$9&lt;14/24)</formula>
    </cfRule>
    <cfRule type="expression" dxfId="3280" priority="80">
      <formula>J$9&gt;=20/24</formula>
    </cfRule>
  </conditionalFormatting>
  <conditionalFormatting sqref="J68:W68">
    <cfRule type="expression" dxfId="3279" priority="77">
      <formula>AND(J$9&gt;=8/24,J$9&lt;14/24)</formula>
    </cfRule>
    <cfRule type="expression" dxfId="3278" priority="76">
      <formula>AND(J$9&gt;=14/24,J$9&lt;20/24)</formula>
    </cfRule>
    <cfRule type="expression" dxfId="3277" priority="75">
      <formula>J$9&gt;=20/24</formula>
    </cfRule>
    <cfRule type="expression" dxfId="3276" priority="78">
      <formula>J$9&lt;8/24</formula>
    </cfRule>
  </conditionalFormatting>
  <conditionalFormatting sqref="K55:O55 P55:Y57 F56:O56 E57:O57">
    <cfRule type="expression" dxfId="3275" priority="79">
      <formula>E$9&lt;8/24</formula>
    </cfRule>
  </conditionalFormatting>
  <conditionalFormatting sqref="K55:X55 Y55:AF57 F56:O56 P56:X57 E57:O57">
    <cfRule type="expression" dxfId="3274" priority="74">
      <formula>AND(E$9&gt;=8/24,E$9&lt;14/24)</formula>
    </cfRule>
    <cfRule type="expression" dxfId="3273" priority="73">
      <formula>AND(E$9&gt;=14/24,E$9&lt;20/24)</formula>
    </cfRule>
  </conditionalFormatting>
  <conditionalFormatting sqref="M8 S8 AB8">
    <cfRule type="expression" dxfId="3272" priority="163">
      <formula>AND(N$9&gt;=8/24,N$9&lt;14/24)</formula>
    </cfRule>
    <cfRule type="expression" dxfId="3271" priority="162">
      <formula>AND(N$9&gt;=14/24,N$9&lt;20/24)</formula>
    </cfRule>
    <cfRule type="expression" dxfId="3270" priority="164">
      <formula>N$9&lt;8/24</formula>
    </cfRule>
  </conditionalFormatting>
  <conditionalFormatting sqref="M63:W67">
    <cfRule type="expression" dxfId="3269" priority="113">
      <formula>AND(M$9&gt;=8/24,M$9&lt;14/24)</formula>
    </cfRule>
    <cfRule type="expression" dxfId="3268" priority="111">
      <formula>M$9&gt;=20/24</formula>
    </cfRule>
    <cfRule type="expression" dxfId="3267" priority="112">
      <formula>AND(M$9&gt;=14/24,M$9&lt;20/24)</formula>
    </cfRule>
    <cfRule type="expression" dxfId="3266" priority="114">
      <formula>M$9&lt;8/24</formula>
    </cfRule>
  </conditionalFormatting>
  <conditionalFormatting sqref="O3:P3">
    <cfRule type="iconSet" priority="159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265" priority="161">
      <formula>N$9&gt;=20/24</formula>
    </cfRule>
  </conditionalFormatting>
  <conditionalFormatting sqref="S8">
    <cfRule type="expression" dxfId="3264" priority="151">
      <formula>U$9&lt;8/24</formula>
    </cfRule>
    <cfRule type="expression" dxfId="3263" priority="148">
      <formula>U$9&gt;=20/24</formula>
    </cfRule>
    <cfRule type="expression" dxfId="3262" priority="150">
      <formula>AND(U$9&gt;=8/24,U$9&lt;14/24)</formula>
    </cfRule>
    <cfRule type="expression" dxfId="3261" priority="149">
      <formula>AND(U$9&gt;=14/24,U$9&lt;20/24)</formula>
    </cfRule>
  </conditionalFormatting>
  <conditionalFormatting sqref="V3 AB3">
    <cfRule type="iconSet" priority="160">
      <iconSet iconSet="3TrafficLights2" reverse="1">
        <cfvo type="percent" val="0"/>
        <cfvo type="num" val="1"/>
        <cfvo type="num" val="1"/>
      </iconSet>
    </cfRule>
  </conditionalFormatting>
  <conditionalFormatting sqref="X63:AF68">
    <cfRule type="expression" dxfId="3260" priority="97">
      <formula>X$9&gt;=20/24</formula>
    </cfRule>
    <cfRule type="expression" dxfId="3259" priority="98">
      <formula>AND(X$9&gt;=14/24,X$9&lt;20/24)</formula>
    </cfRule>
    <cfRule type="expression" dxfId="3258" priority="99">
      <formula>AND(X$9&gt;=8/24,X$9&lt;14/24)</formula>
    </cfRule>
    <cfRule type="expression" dxfId="3257" priority="100">
      <formula>X$9&lt;8/24</formula>
    </cfRule>
  </conditionalFormatting>
  <conditionalFormatting sqref="Y55:AF57 P56:X57 K55:X55 F56:O56 E57:O57">
    <cfRule type="expression" dxfId="3256" priority="72">
      <formula>E$9&gt;=20/24</formula>
    </cfRule>
  </conditionalFormatting>
  <conditionalFormatting sqref="Z53:AF55">
    <cfRule type="expression" dxfId="3255" priority="102">
      <formula>Z53&gt;$AG53</formula>
    </cfRule>
  </conditionalFormatting>
  <conditionalFormatting sqref="Z53:AF57">
    <cfRule type="expression" dxfId="3254" priority="101">
      <formula>Z$9&lt;8/24</formula>
    </cfRule>
  </conditionalFormatting>
  <conditionalFormatting sqref="AB8">
    <cfRule type="expression" dxfId="3253" priority="146">
      <formula>AND(AD$9&gt;=8/24,AD$9&lt;14/24)</formula>
    </cfRule>
    <cfRule type="expression" dxfId="3252" priority="145">
      <formula>AND(AD$9&gt;=14/24,AD$9&lt;20/24)</formula>
    </cfRule>
    <cfRule type="expression" dxfId="3251" priority="144">
      <formula>AD$9&gt;=20/24</formula>
    </cfRule>
    <cfRule type="expression" dxfId="3250" priority="147">
      <formula>AD$9&lt;8/24</formula>
    </cfRule>
  </conditionalFormatting>
  <conditionalFormatting sqref="AG58">
    <cfRule type="expression" dxfId="3249" priority="139">
      <formula>AG58&gt;$AG58</formula>
    </cfRule>
  </conditionalFormatting>
  <conditionalFormatting sqref="AG62">
    <cfRule type="expression" dxfId="3248" priority="124">
      <formula>AND(AG$9&gt;=8/24,AG$9&lt;14/24)</formula>
    </cfRule>
    <cfRule type="expression" dxfId="3247" priority="122">
      <formula>AG$9&gt;=20/24</formula>
    </cfRule>
    <cfRule type="expression" dxfId="3246" priority="123">
      <formula>AND(AG$9&gt;=14/24,AG$9&lt;20/24)</formula>
    </cfRule>
    <cfRule type="expression" dxfId="3245" priority="125">
      <formula>AG$9&lt;8/24</formula>
    </cfRule>
  </conditionalFormatting>
  <conditionalFormatting sqref="AG75:AG76">
    <cfRule type="expression" dxfId="3244" priority="117">
      <formula>AG75&gt;$AG75</formula>
    </cfRule>
  </conditionalFormatting>
  <conditionalFormatting sqref="AG80">
    <cfRule type="expression" dxfId="3243" priority="118">
      <formula>AG$9&gt;=20/24</formula>
    </cfRule>
    <cfRule type="expression" dxfId="3242" priority="120">
      <formula>AND(AG$9&gt;=8/24,AG$9&lt;14/24)</formula>
    </cfRule>
    <cfRule type="expression" dxfId="3241" priority="121">
      <formula>AG$9&lt;8/24</formula>
    </cfRule>
    <cfRule type="expression" dxfId="3240" priority="119">
      <formula>AND(AG$9&gt;=14/24,AG$9&lt;20/24)</formula>
    </cfRule>
  </conditionalFormatting>
  <conditionalFormatting sqref="AG97">
    <cfRule type="expression" dxfId="3239" priority="143">
      <formula>AG$9&lt;8/24</formula>
    </cfRule>
    <cfRule type="expression" dxfId="3238" priority="140">
      <formula>AG$9&gt;=20/24</formula>
    </cfRule>
    <cfRule type="expression" dxfId="3237" priority="142">
      <formula>AND(AG$9&gt;=8/24,AG$9&lt;14/24)</formula>
    </cfRule>
    <cfRule type="expression" dxfId="3236" priority="141">
      <formula>AND(AG$9&gt;=14/24,AG$9&lt;20/24)</formula>
    </cfRule>
  </conditionalFormatting>
  <conditionalFormatting sqref="AL4:AL6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37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36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6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53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235" priority="167">
      <formula>AND(AJ$9&gt;=8/24,AJ$9&lt;14/24)</formula>
    </cfRule>
    <cfRule type="expression" dxfId="3234" priority="166">
      <formula>AND(AJ$9&gt;=14/24,AJ$9&lt;20/24)</formula>
    </cfRule>
    <cfRule type="expression" dxfId="3233" priority="165">
      <formula>AJ$9&gt;=20/24</formula>
    </cfRule>
    <cfRule type="expression" dxfId="3232" priority="168">
      <formula>AJ$9&lt;8/24</formula>
    </cfRule>
  </conditionalFormatting>
  <conditionalFormatting sqref="AL88:AN88 AL94:AN94">
    <cfRule type="expression" dxfId="3231" priority="132">
      <formula>AL$9&gt;=20/24</formula>
    </cfRule>
    <cfRule type="expression" dxfId="3230" priority="134">
      <formula>AND(AL$9&gt;=8/24,AL$9&lt;14/24)</formula>
    </cfRule>
    <cfRule type="expression" dxfId="3229" priority="135">
      <formula>AL$9&lt;8/24</formula>
    </cfRule>
    <cfRule type="expression" dxfId="3228" priority="133">
      <formula>AND(AL$9&gt;=14/24,AL$9&lt;20/24)</formula>
    </cfRule>
  </conditionalFormatting>
  <conditionalFormatting sqref="AM15:AM21 AN16:AR21">
    <cfRule type="expression" dxfId="3227" priority="39">
      <formula>AX$9&gt;=20/24</formula>
    </cfRule>
    <cfRule type="expression" dxfId="3226" priority="40">
      <formula>AND(AX$9&gt;=14/24,AX$9&lt;20/24)</formula>
    </cfRule>
    <cfRule type="expression" dxfId="3225" priority="41">
      <formula>AND(AX$9&gt;=8/24,AX$9&lt;14/24)</formula>
    </cfRule>
    <cfRule type="expression" dxfId="3224" priority="42">
      <formula>AX$9&lt;8/24</formula>
    </cfRule>
  </conditionalFormatting>
  <conditionalFormatting sqref="AN89:AN92">
    <cfRule type="expression" dxfId="3223" priority="131">
      <formula>AN$9&lt;8/24</formula>
    </cfRule>
    <cfRule type="expression" dxfId="3222" priority="130">
      <formula>AND(AN$9&gt;=8/24,AN$9&lt;14/24)</formula>
    </cfRule>
    <cfRule type="expression" dxfId="3221" priority="128">
      <formula>AN$9&gt;=20/24</formula>
    </cfRule>
    <cfRule type="expression" dxfId="3220" priority="129">
      <formula>AND(AN$9&gt;=14/24,AN$9&lt;20/24)</formula>
    </cfRule>
  </conditionalFormatting>
  <conditionalFormatting sqref="AN15:AR15">
    <cfRule type="expression" dxfId="3219" priority="27">
      <formula>U$9&gt;=20/24</formula>
    </cfRule>
    <cfRule type="expression" dxfId="3218" priority="28">
      <formula>AND(U$9&gt;=14/24,U$9&lt;20/24)</formula>
    </cfRule>
    <cfRule type="expression" dxfId="3217" priority="29">
      <formula>AND(U$9&gt;=8/24,U$9&lt;14/24)</formula>
    </cfRule>
    <cfRule type="expression" dxfId="3216" priority="30">
      <formula>U$9&lt;8/24</formula>
    </cfRule>
  </conditionalFormatting>
  <conditionalFormatting sqref="AS15">
    <cfRule type="expression" dxfId="3215" priority="38">
      <formula>AA$9&lt;8/24</formula>
    </cfRule>
    <cfRule type="expression" dxfId="3214" priority="37">
      <formula>AND(AA$9&gt;=8/24,AA$9&lt;14/24)</formula>
    </cfRule>
    <cfRule type="expression" dxfId="3213" priority="36">
      <formula>AND(AA$9&gt;=14/24,AA$9&lt;20/24)</formula>
    </cfRule>
    <cfRule type="expression" dxfId="3212" priority="35">
      <formula>AA$9&gt;=20/24</formula>
    </cfRule>
  </conditionalFormatting>
  <conditionalFormatting sqref="AS16:AS21">
    <cfRule type="expression" dxfId="3211" priority="44">
      <formula>AND(BE$9&gt;=14/24,BE$9&lt;20/24)</formula>
    </cfRule>
    <cfRule type="expression" dxfId="3210" priority="46">
      <formula>BE$9&lt;8/24</formula>
    </cfRule>
    <cfRule type="expression" dxfId="3209" priority="45">
      <formula>AND(BE$9&gt;=8/24,BE$9&lt;14/24)</formula>
    </cfRule>
    <cfRule type="expression" dxfId="3208" priority="43">
      <formula>BE$9&gt;=20/24</formula>
    </cfRule>
  </conditionalFormatting>
  <conditionalFormatting sqref="AT15 AX15:BJ15">
    <cfRule type="expression" dxfId="3207" priority="50">
      <formula>AC$9&lt;8/24</formula>
    </cfRule>
    <cfRule type="expression" dxfId="3206" priority="47">
      <formula>AC$9&gt;=20/24</formula>
    </cfRule>
    <cfRule type="expression" dxfId="3205" priority="48">
      <formula>AND(AC$9&gt;=14/24,AC$9&lt;20/24)</formula>
    </cfRule>
    <cfRule type="expression" dxfId="3204" priority="49">
      <formula>AND(AC$9&gt;=8/24,AC$9&lt;14/24)</formula>
    </cfRule>
  </conditionalFormatting>
  <conditionalFormatting sqref="AT16:AT21">
    <cfRule type="expression" dxfId="3203" priority="51">
      <formula>BG$9&gt;=20/24</formula>
    </cfRule>
    <cfRule type="expression" dxfId="3202" priority="54">
      <formula>BG$9&lt;8/24</formula>
    </cfRule>
    <cfRule type="expression" dxfId="3201" priority="53">
      <formula>AND(BG$9&gt;=8/24,BG$9&lt;14/24)</formula>
    </cfRule>
    <cfRule type="expression" dxfId="3200" priority="52">
      <formula>AND(BG$9&gt;=14/24,BG$9&lt;20/24)</formula>
    </cfRule>
  </conditionalFormatting>
  <conditionalFormatting sqref="AU15:AV15">
    <cfRule type="expression" dxfId="3199" priority="58">
      <formula>AE$9&lt;8/24</formula>
    </cfRule>
    <cfRule type="expression" dxfId="3198" priority="57">
      <formula>AND(AE$9&gt;=8/24,AE$9&lt;14/24)</formula>
    </cfRule>
    <cfRule type="expression" dxfId="3197" priority="56">
      <formula>AND(AE$9&gt;=14/24,AE$9&lt;20/24)</formula>
    </cfRule>
    <cfRule type="expression" dxfId="3196" priority="55">
      <formula>AE$9&gt;=20/24</formula>
    </cfRule>
  </conditionalFormatting>
  <conditionalFormatting sqref="AU16:BJ21">
    <cfRule type="expression" dxfId="3195" priority="60">
      <formula>AND(BI$9&gt;=14/24,BI$9&lt;20/24)</formula>
    </cfRule>
    <cfRule type="expression" dxfId="3194" priority="61">
      <formula>AND(BI$9&gt;=8/24,BI$9&lt;14/24)</formula>
    </cfRule>
    <cfRule type="expression" dxfId="3193" priority="59">
      <formula>BI$9&gt;=20/24</formula>
    </cfRule>
    <cfRule type="expression" dxfId="3192" priority="62">
      <formula>BI$9&lt;8/24</formula>
    </cfRule>
  </conditionalFormatting>
  <conditionalFormatting sqref="AW15">
    <cfRule type="expression" dxfId="3191" priority="33">
      <formula>AND(B$9&gt;=8/24,B$9&lt;14/24)</formula>
    </cfRule>
    <cfRule type="expression" dxfId="3190" priority="32">
      <formula>AND(B$9&gt;=14/24,B$9&lt;20/24)</formula>
    </cfRule>
    <cfRule type="expression" dxfId="3189" priority="31">
      <formula>B$9&gt;=20/24</formula>
    </cfRule>
    <cfRule type="expression" dxfId="3188" priority="34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8C447-9E23-4295-B045-553EF1B6397F}">
  <dimension ref="A1:CJ294"/>
  <sheetViews>
    <sheetView zoomScale="106" workbookViewId="0">
      <pane xSplit="1" ySplit="10" topLeftCell="B79" activePane="bottomRight" state="frozen"/>
      <selection activeCell="B83" sqref="B83:J83"/>
      <selection pane="topRight" activeCell="B83" sqref="B83:J83"/>
      <selection pane="bottomLeft" activeCell="B83" sqref="B83:J83"/>
      <selection pane="bottomRight" activeCell="B83" sqref="B83:J83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20.25" hidden="1" x14ac:dyDescent="0.2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9.5" hidden="1" thickBot="1" x14ac:dyDescent="0.3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3">
      <c r="A4" s="162" t="s">
        <v>273</v>
      </c>
      <c r="B4" s="205" t="str">
        <f ca="1">"2080/"&amp;"10/"&amp;INT(MID(CELL("filename",D6),FIND("]",CELL("filename",D6))+1,200))</f>
        <v>2080/10/9</v>
      </c>
      <c r="C4" s="205"/>
      <c r="D4" s="205"/>
      <c r="E4" s="206" t="str">
        <f ca="1">"2080/"&amp;"10/"&amp;INT(MID(CELL("filename",G6),FIND("]",CELL("filename",G6))+1,200))</f>
        <v>2080/10/9</v>
      </c>
      <c r="F4" s="206"/>
      <c r="G4" s="206"/>
      <c r="H4" s="206" t="str">
        <f ca="1">TEXT(E4,"dddd")</f>
        <v>Wednesday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3">
      <c r="A5" s="158"/>
      <c r="B5" s="161">
        <f t="shared" ref="B5:AE5" si="0">C92</f>
        <v>121.69999999999999</v>
      </c>
      <c r="C5" s="161">
        <f t="shared" si="0"/>
        <v>192</v>
      </c>
      <c r="D5" s="161">
        <f t="shared" si="0"/>
        <v>148.80000000000001</v>
      </c>
      <c r="E5" s="161">
        <f t="shared" si="0"/>
        <v>169.7</v>
      </c>
      <c r="F5" s="161">
        <f t="shared" si="0"/>
        <v>188.4</v>
      </c>
      <c r="G5" s="161">
        <f t="shared" si="0"/>
        <v>129</v>
      </c>
      <c r="H5" s="161">
        <f t="shared" si="0"/>
        <v>154.69999999999999</v>
      </c>
      <c r="I5" s="161">
        <f t="shared" si="0"/>
        <v>592</v>
      </c>
      <c r="J5" s="161">
        <f t="shared" si="0"/>
        <v>575.49999999999989</v>
      </c>
      <c r="K5" s="161">
        <f t="shared" si="0"/>
        <v>602.70000000000005</v>
      </c>
      <c r="L5" s="161">
        <f t="shared" si="0"/>
        <v>606.70000000000005</v>
      </c>
      <c r="M5" s="161">
        <f t="shared" si="0"/>
        <v>782</v>
      </c>
      <c r="N5" s="161">
        <f t="shared" si="0"/>
        <v>834.1</v>
      </c>
      <c r="O5" s="161">
        <f t="shared" si="0"/>
        <v>815.5</v>
      </c>
      <c r="P5" s="161">
        <f t="shared" si="0"/>
        <v>787.6</v>
      </c>
      <c r="Q5" s="161">
        <f t="shared" si="0"/>
        <v>808.7</v>
      </c>
      <c r="R5" s="161">
        <f t="shared" si="0"/>
        <v>792</v>
      </c>
      <c r="S5" s="161">
        <f t="shared" si="0"/>
        <v>819</v>
      </c>
      <c r="T5" s="161">
        <f t="shared" si="0"/>
        <v>819</v>
      </c>
      <c r="U5" s="161">
        <f t="shared" si="0"/>
        <v>757.99999999999989</v>
      </c>
      <c r="V5" s="161">
        <f t="shared" si="0"/>
        <v>698.59999999999991</v>
      </c>
      <c r="W5" s="161">
        <f t="shared" si="0"/>
        <v>538.80000000000007</v>
      </c>
      <c r="X5" s="161">
        <f t="shared" si="0"/>
        <v>68.099999999999994</v>
      </c>
      <c r="Y5" s="161">
        <f t="shared" si="0"/>
        <v>191.3</v>
      </c>
      <c r="Z5" s="161">
        <f t="shared" si="0"/>
        <v>147</v>
      </c>
      <c r="AA5" s="161">
        <f t="shared" si="0"/>
        <v>121.7</v>
      </c>
      <c r="AB5" s="161">
        <f t="shared" si="0"/>
        <v>111.9</v>
      </c>
      <c r="AC5" s="161">
        <f t="shared" si="0"/>
        <v>114</v>
      </c>
      <c r="AD5" s="161">
        <f t="shared" si="0"/>
        <v>167</v>
      </c>
      <c r="AE5" s="161">
        <f t="shared" si="0"/>
        <v>85</v>
      </c>
      <c r="AF5" s="161">
        <f>B92</f>
        <v>100.4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3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1732MW at 7:30hr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5" thickBot="1" x14ac:dyDescent="0.3">
      <c r="A7" s="151" t="str">
        <f>"Base Load="&amp;ROUND(MIN($B$7:$AF$7),0)</f>
        <v>Base Load=1419</v>
      </c>
      <c r="B7" s="150">
        <f t="shared" ref="B7:AF7" si="1">B100</f>
        <v>1537.54</v>
      </c>
      <c r="C7" s="150">
        <f t="shared" si="1"/>
        <v>1477.04</v>
      </c>
      <c r="D7" s="150">
        <f t="shared" si="1"/>
        <v>1438.54</v>
      </c>
      <c r="E7" s="150">
        <f t="shared" si="1"/>
        <v>1419.5399999999997</v>
      </c>
      <c r="F7" s="150">
        <f t="shared" si="1"/>
        <v>1419.4399999999998</v>
      </c>
      <c r="G7" s="150">
        <f t="shared" si="1"/>
        <v>1438.1399999999999</v>
      </c>
      <c r="H7" s="150">
        <f t="shared" si="1"/>
        <v>1467.84</v>
      </c>
      <c r="I7" s="150">
        <f t="shared" si="1"/>
        <v>1535.84</v>
      </c>
      <c r="J7" s="150">
        <f t="shared" si="1"/>
        <v>1609.04</v>
      </c>
      <c r="K7" s="150">
        <f t="shared" si="1"/>
        <v>1682.54</v>
      </c>
      <c r="L7" s="150">
        <f t="shared" si="1"/>
        <v>1731.6399999999999</v>
      </c>
      <c r="M7" s="150">
        <f t="shared" si="1"/>
        <v>1665.04</v>
      </c>
      <c r="N7" s="150">
        <f t="shared" si="1"/>
        <v>1684.74</v>
      </c>
      <c r="O7" s="150">
        <f t="shared" si="1"/>
        <v>1756.44</v>
      </c>
      <c r="P7" s="150">
        <f t="shared" si="1"/>
        <v>1767.84</v>
      </c>
      <c r="Q7" s="150">
        <f t="shared" si="1"/>
        <v>1703.04</v>
      </c>
      <c r="R7" s="150">
        <f t="shared" si="1"/>
        <v>1735.04</v>
      </c>
      <c r="S7" s="150">
        <f t="shared" si="1"/>
        <v>1692.4399999999998</v>
      </c>
      <c r="T7" s="150">
        <f t="shared" si="1"/>
        <v>1727.0399999999997</v>
      </c>
      <c r="U7" s="150">
        <f t="shared" si="1"/>
        <v>1726.6399999999999</v>
      </c>
      <c r="V7" s="150">
        <f t="shared" si="1"/>
        <v>1666.8399999999997</v>
      </c>
      <c r="W7" s="150">
        <f t="shared" si="1"/>
        <v>1628.3399999999997</v>
      </c>
      <c r="X7" s="150">
        <f t="shared" si="1"/>
        <v>1510.54</v>
      </c>
      <c r="Y7" s="150">
        <f t="shared" si="1"/>
        <v>1776.3399999999997</v>
      </c>
      <c r="Z7" s="150">
        <f t="shared" si="1"/>
        <v>1916.84</v>
      </c>
      <c r="AA7" s="150">
        <f t="shared" si="1"/>
        <v>1872.54</v>
      </c>
      <c r="AB7" s="150">
        <f t="shared" si="1"/>
        <v>1839.54</v>
      </c>
      <c r="AC7" s="150">
        <f t="shared" si="1"/>
        <v>1796.04</v>
      </c>
      <c r="AD7" s="150">
        <f t="shared" si="1"/>
        <v>1771.1399999999999</v>
      </c>
      <c r="AE7" s="150">
        <f t="shared" si="1"/>
        <v>1661.1399999999999</v>
      </c>
      <c r="AF7" s="150">
        <f t="shared" si="1"/>
        <v>1532.44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7.25" thickTop="1" thickBot="1" x14ac:dyDescent="0.3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1916.84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2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1916.84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.75" thickBot="1" x14ac:dyDescent="0.3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25">
      <c r="A11" s="89" t="s">
        <v>264</v>
      </c>
      <c r="B11" s="102">
        <v>22.5</v>
      </c>
      <c r="C11" s="102">
        <v>21.3</v>
      </c>
      <c r="D11" s="102">
        <v>21.3</v>
      </c>
      <c r="E11" s="102">
        <v>21.3</v>
      </c>
      <c r="F11" s="102">
        <v>21.3</v>
      </c>
      <c r="G11" s="102">
        <v>21.3</v>
      </c>
      <c r="H11" s="102">
        <v>21.3</v>
      </c>
      <c r="I11" s="102">
        <v>21.3</v>
      </c>
      <c r="J11" s="102">
        <v>21.3</v>
      </c>
      <c r="K11" s="102">
        <v>21.3</v>
      </c>
      <c r="L11" s="102">
        <v>21.3</v>
      </c>
      <c r="M11" s="102">
        <v>21.3</v>
      </c>
      <c r="N11" s="102">
        <v>21</v>
      </c>
      <c r="O11" s="102">
        <v>21</v>
      </c>
      <c r="P11" s="102">
        <v>24.8</v>
      </c>
      <c r="Q11" s="102">
        <v>23.9</v>
      </c>
      <c r="R11" s="102">
        <v>22.2</v>
      </c>
      <c r="S11" s="102">
        <v>22.2</v>
      </c>
      <c r="T11" s="102">
        <v>22.2</v>
      </c>
      <c r="U11" s="102">
        <v>22.2</v>
      </c>
      <c r="V11" s="102">
        <v>22.2</v>
      </c>
      <c r="W11" s="102">
        <v>22.2</v>
      </c>
      <c r="X11" s="102">
        <v>22.2</v>
      </c>
      <c r="Y11" s="102">
        <v>22.2</v>
      </c>
      <c r="Z11" s="102">
        <v>22.2</v>
      </c>
      <c r="AA11" s="102">
        <v>22.2</v>
      </c>
      <c r="AB11" s="102">
        <v>23.6</v>
      </c>
      <c r="AC11" s="102">
        <v>23.6</v>
      </c>
      <c r="AD11" s="102">
        <v>23.6</v>
      </c>
      <c r="AE11" s="102">
        <v>23.6</v>
      </c>
      <c r="AF11" s="102">
        <v>23.6</v>
      </c>
      <c r="AG11" s="140">
        <v>86</v>
      </c>
      <c r="AH11" s="12">
        <f t="shared" ref="AH11:AH16" si="2">MAX(B11:AF11)</f>
        <v>24.8</v>
      </c>
      <c r="AI11" s="11">
        <f t="shared" ref="AI11:AI16" si="3">MIN(B11:AF11)</f>
        <v>21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25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>
        <v>11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>
        <v>11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09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25">
      <c r="A13" s="89" t="s">
        <v>262</v>
      </c>
      <c r="B13" s="102">
        <v>18</v>
      </c>
      <c r="C13" s="102">
        <v>18</v>
      </c>
      <c r="D13" s="102">
        <v>18</v>
      </c>
      <c r="E13" s="102">
        <v>18</v>
      </c>
      <c r="F13" s="102">
        <v>18</v>
      </c>
      <c r="G13" s="102">
        <v>18</v>
      </c>
      <c r="H13" s="102">
        <v>18</v>
      </c>
      <c r="I13" s="102">
        <v>18</v>
      </c>
      <c r="J13" s="102">
        <v>18</v>
      </c>
      <c r="K13" s="102">
        <v>18</v>
      </c>
      <c r="L13" s="102">
        <v>18</v>
      </c>
      <c r="M13" s="102">
        <v>18</v>
      </c>
      <c r="N13" s="102">
        <v>16</v>
      </c>
      <c r="O13" s="102">
        <v>16</v>
      </c>
      <c r="P13" s="102">
        <v>15.5</v>
      </c>
      <c r="Q13" s="102">
        <v>14.8</v>
      </c>
      <c r="R13" s="102">
        <v>14.2</v>
      </c>
      <c r="S13" s="102">
        <v>14.2</v>
      </c>
      <c r="T13" s="102">
        <v>14.2</v>
      </c>
      <c r="U13" s="102">
        <v>14.2</v>
      </c>
      <c r="V13" s="102">
        <v>14.2</v>
      </c>
      <c r="W13" s="102">
        <v>14.2</v>
      </c>
      <c r="X13" s="102">
        <v>14.2</v>
      </c>
      <c r="Y13" s="102">
        <v>14.2</v>
      </c>
      <c r="Z13" s="102">
        <v>14.2</v>
      </c>
      <c r="AA13" s="102">
        <v>14.2</v>
      </c>
      <c r="AB13" s="102">
        <v>14.2</v>
      </c>
      <c r="AC13" s="102">
        <v>14.2</v>
      </c>
      <c r="AD13" s="102">
        <v>14.2</v>
      </c>
      <c r="AE13" s="102">
        <v>14.2</v>
      </c>
      <c r="AF13" s="102">
        <v>14.2</v>
      </c>
      <c r="AG13" s="130">
        <v>54</v>
      </c>
      <c r="AH13" s="12">
        <f t="shared" si="2"/>
        <v>18</v>
      </c>
      <c r="AI13" s="11">
        <f t="shared" si="3"/>
        <v>14.2</v>
      </c>
      <c r="AK13" s="19"/>
      <c r="AL13" s="6" t="str">
        <f ca="1">"Daily Load Curve(Excluding of Export) of Nepal ("&amp;A4&amp;" "&amp;B4&amp;")"</f>
        <v>Daily Load Curve(Excluding of Export) of Nepal (Nepali Date: 2080/10/9)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.75" thickBot="1" x14ac:dyDescent="0.3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.75" thickTop="1" x14ac:dyDescent="0.25">
      <c r="A15" s="89" t="s">
        <v>260</v>
      </c>
      <c r="B15" s="102">
        <v>50</v>
      </c>
      <c r="C15" s="102">
        <v>50</v>
      </c>
      <c r="D15" s="102">
        <v>50</v>
      </c>
      <c r="E15" s="102">
        <v>50</v>
      </c>
      <c r="F15" s="102">
        <v>50</v>
      </c>
      <c r="G15" s="102">
        <v>50</v>
      </c>
      <c r="H15" s="102">
        <v>50</v>
      </c>
      <c r="I15" s="102">
        <v>50</v>
      </c>
      <c r="J15" s="102">
        <v>50</v>
      </c>
      <c r="K15" s="102">
        <v>50</v>
      </c>
      <c r="L15" s="102">
        <v>50</v>
      </c>
      <c r="M15" s="102">
        <v>50</v>
      </c>
      <c r="N15" s="102">
        <v>50</v>
      </c>
      <c r="O15" s="102">
        <v>50</v>
      </c>
      <c r="P15" s="102">
        <v>50</v>
      </c>
      <c r="Q15" s="102">
        <v>47.1</v>
      </c>
      <c r="R15" s="102">
        <v>44</v>
      </c>
      <c r="S15" s="102">
        <v>44</v>
      </c>
      <c r="T15" s="102">
        <v>44</v>
      </c>
      <c r="U15" s="102">
        <v>44</v>
      </c>
      <c r="V15" s="102">
        <v>44</v>
      </c>
      <c r="W15" s="102">
        <v>44</v>
      </c>
      <c r="X15" s="102">
        <v>44</v>
      </c>
      <c r="Y15" s="102">
        <v>44</v>
      </c>
      <c r="Z15" s="123">
        <v>44</v>
      </c>
      <c r="AA15" s="123">
        <v>44</v>
      </c>
      <c r="AB15" s="123">
        <v>44</v>
      </c>
      <c r="AC15" s="123">
        <v>44</v>
      </c>
      <c r="AD15" s="123">
        <v>44</v>
      </c>
      <c r="AE15" s="123">
        <v>44</v>
      </c>
      <c r="AF15" s="123">
        <v>44</v>
      </c>
      <c r="AG15" s="130">
        <v>50</v>
      </c>
      <c r="AH15" s="12">
        <f t="shared" si="2"/>
        <v>50</v>
      </c>
      <c r="AI15" s="11">
        <f t="shared" si="3"/>
        <v>44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25">
      <c r="A16" s="89" t="s">
        <v>258</v>
      </c>
      <c r="B16" s="102">
        <v>15.2</v>
      </c>
      <c r="C16" s="102">
        <v>15.2</v>
      </c>
      <c r="D16" s="102">
        <v>15.2</v>
      </c>
      <c r="E16" s="102">
        <v>15.2</v>
      </c>
      <c r="F16" s="102">
        <v>15.2</v>
      </c>
      <c r="G16" s="102">
        <v>15.2</v>
      </c>
      <c r="H16" s="102">
        <v>15.2</v>
      </c>
      <c r="I16" s="102">
        <v>15.2</v>
      </c>
      <c r="J16" s="102">
        <v>15.2</v>
      </c>
      <c r="K16" s="102">
        <v>15.2</v>
      </c>
      <c r="L16" s="102">
        <v>15.2</v>
      </c>
      <c r="M16" s="102">
        <v>15.2</v>
      </c>
      <c r="N16" s="102">
        <v>15.2</v>
      </c>
      <c r="O16" s="102">
        <v>15.2</v>
      </c>
      <c r="P16" s="102">
        <v>15.2</v>
      </c>
      <c r="Q16" s="102">
        <v>15.8</v>
      </c>
      <c r="R16" s="102">
        <v>15.1</v>
      </c>
      <c r="S16" s="102">
        <v>15.1</v>
      </c>
      <c r="T16" s="102">
        <v>15.1</v>
      </c>
      <c r="U16" s="102">
        <v>15.1</v>
      </c>
      <c r="V16" s="102">
        <v>15.1</v>
      </c>
      <c r="W16" s="102">
        <v>15.1</v>
      </c>
      <c r="X16" s="102">
        <v>15.1</v>
      </c>
      <c r="Y16" s="102">
        <v>15.1</v>
      </c>
      <c r="Z16" s="102">
        <v>15.1</v>
      </c>
      <c r="AA16" s="102">
        <v>15.1</v>
      </c>
      <c r="AB16" s="102">
        <v>15.1</v>
      </c>
      <c r="AC16" s="102">
        <v>15.1</v>
      </c>
      <c r="AD16" s="102">
        <v>15.1</v>
      </c>
      <c r="AE16" s="102">
        <v>15.1</v>
      </c>
      <c r="AF16" s="102">
        <v>15.1</v>
      </c>
      <c r="AG16" s="130">
        <v>45</v>
      </c>
      <c r="AH16" s="12">
        <f t="shared" si="2"/>
        <v>15.8</v>
      </c>
      <c r="AI16" s="11">
        <f t="shared" si="3"/>
        <v>15.1</v>
      </c>
      <c r="AK16" s="19"/>
      <c r="AL16" s="135" t="s">
        <v>7</v>
      </c>
      <c r="AM16" s="134">
        <f t="shared" ref="AM16:AR16" si="4">B58</f>
        <v>575.09999999999991</v>
      </c>
      <c r="AN16" s="134">
        <f t="shared" si="4"/>
        <v>573.89999999999986</v>
      </c>
      <c r="AO16" s="134">
        <f t="shared" si="4"/>
        <v>573.89999999999986</v>
      </c>
      <c r="AP16" s="134">
        <f t="shared" si="4"/>
        <v>573.89999999999986</v>
      </c>
      <c r="AQ16" s="134">
        <f t="shared" si="4"/>
        <v>573.89999999999986</v>
      </c>
      <c r="AR16" s="134">
        <f t="shared" si="4"/>
        <v>573.89999999999986</v>
      </c>
      <c r="AS16" s="134">
        <f>I58</f>
        <v>573.89999999999986</v>
      </c>
      <c r="AT16" s="134">
        <f>K58</f>
        <v>573.89999999999986</v>
      </c>
      <c r="AU16" s="134">
        <f t="shared" ref="AU16:BD16" si="5">M58</f>
        <v>573.89999999999986</v>
      </c>
      <c r="AV16" s="134">
        <f t="shared" si="5"/>
        <v>571.59999999999991</v>
      </c>
      <c r="AW16" s="134">
        <f t="shared" si="5"/>
        <v>571.59999999999991</v>
      </c>
      <c r="AX16" s="134">
        <f t="shared" si="5"/>
        <v>574.89999999999986</v>
      </c>
      <c r="AY16" s="134">
        <f t="shared" si="5"/>
        <v>571</v>
      </c>
      <c r="AZ16" s="134">
        <f t="shared" si="5"/>
        <v>562.39999999999986</v>
      </c>
      <c r="BA16" s="134">
        <f t="shared" si="5"/>
        <v>562.39999999999986</v>
      </c>
      <c r="BB16" s="134">
        <f t="shared" si="5"/>
        <v>562.39999999999986</v>
      </c>
      <c r="BC16" s="134">
        <f t="shared" si="5"/>
        <v>562.39999999999986</v>
      </c>
      <c r="BD16" s="134">
        <f t="shared" si="5"/>
        <v>562.39999999999986</v>
      </c>
      <c r="BE16" s="133">
        <f>X58</f>
        <v>562.39999999999986</v>
      </c>
      <c r="BF16" s="133">
        <f>Z58</f>
        <v>562.39999999999986</v>
      </c>
      <c r="BG16" s="133">
        <f>AB58</f>
        <v>563.79999999999995</v>
      </c>
      <c r="BH16" s="133">
        <f>AD58</f>
        <v>563.79999999999995</v>
      </c>
      <c r="BI16" s="133">
        <f>AE58</f>
        <v>563.79999999999995</v>
      </c>
      <c r="BJ16" s="133">
        <f>AF58</f>
        <v>563.79999999999995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25">
      <c r="A17" s="89" t="s">
        <v>257</v>
      </c>
      <c r="B17" s="102">
        <v>21</v>
      </c>
      <c r="C17" s="102">
        <v>21</v>
      </c>
      <c r="D17" s="102">
        <v>21</v>
      </c>
      <c r="E17" s="102">
        <v>21</v>
      </c>
      <c r="F17" s="102">
        <v>21</v>
      </c>
      <c r="G17" s="102">
        <v>21</v>
      </c>
      <c r="H17" s="102">
        <v>21</v>
      </c>
      <c r="I17" s="102">
        <v>21</v>
      </c>
      <c r="J17" s="102">
        <v>21</v>
      </c>
      <c r="K17" s="102">
        <v>21</v>
      </c>
      <c r="L17" s="102">
        <v>21</v>
      </c>
      <c r="M17" s="102">
        <v>21</v>
      </c>
      <c r="N17" s="102">
        <v>21</v>
      </c>
      <c r="O17" s="102">
        <v>21</v>
      </c>
      <c r="P17" s="102">
        <v>21</v>
      </c>
      <c r="Q17" s="102">
        <v>21</v>
      </c>
      <c r="R17" s="102">
        <v>21</v>
      </c>
      <c r="S17" s="102">
        <v>21</v>
      </c>
      <c r="T17" s="102">
        <v>21</v>
      </c>
      <c r="U17" s="102">
        <v>21</v>
      </c>
      <c r="V17" s="102">
        <v>21</v>
      </c>
      <c r="W17" s="102">
        <v>21</v>
      </c>
      <c r="X17" s="102">
        <v>21</v>
      </c>
      <c r="Y17" s="102">
        <v>21</v>
      </c>
      <c r="Z17" s="102">
        <v>21</v>
      </c>
      <c r="AA17" s="102">
        <v>21</v>
      </c>
      <c r="AB17" s="102">
        <v>21</v>
      </c>
      <c r="AC17" s="102">
        <v>21</v>
      </c>
      <c r="AD17" s="102">
        <v>21</v>
      </c>
      <c r="AE17" s="102">
        <v>21</v>
      </c>
      <c r="AF17" s="102">
        <v>21</v>
      </c>
      <c r="AG17" s="130">
        <v>44</v>
      </c>
      <c r="AH17" s="12">
        <f>MAX(B17:AG17)</f>
        <v>44</v>
      </c>
      <c r="AI17" s="11">
        <f>MIN(B17:AG17)</f>
        <v>21</v>
      </c>
      <c r="AK17" s="19"/>
      <c r="AL17" s="135" t="s">
        <v>256</v>
      </c>
      <c r="AM17" s="134">
        <f t="shared" ref="AM17:AR17" si="6">B62</f>
        <v>304.10000000000002</v>
      </c>
      <c r="AN17" s="134">
        <f t="shared" si="6"/>
        <v>243.6</v>
      </c>
      <c r="AO17" s="134">
        <f t="shared" si="6"/>
        <v>143.9</v>
      </c>
      <c r="AP17" s="134">
        <f t="shared" si="6"/>
        <v>143.9</v>
      </c>
      <c r="AQ17" s="134">
        <f t="shared" si="6"/>
        <v>141.5</v>
      </c>
      <c r="AR17" s="134">
        <f t="shared" si="6"/>
        <v>141.5</v>
      </c>
      <c r="AS17" s="134">
        <f>I62</f>
        <v>193.5</v>
      </c>
      <c r="AT17" s="134">
        <f>K62</f>
        <v>41.5</v>
      </c>
      <c r="AU17" s="134">
        <f t="shared" ref="AU17:BD17" si="7">M62</f>
        <v>41.6</v>
      </c>
      <c r="AV17" s="134">
        <f t="shared" si="7"/>
        <v>41.6</v>
      </c>
      <c r="AW17" s="134">
        <f t="shared" si="7"/>
        <v>43.4</v>
      </c>
      <c r="AX17" s="134">
        <f t="shared" si="7"/>
        <v>43.4</v>
      </c>
      <c r="AY17" s="134">
        <f t="shared" si="7"/>
        <v>43.8</v>
      </c>
      <c r="AZ17" s="134">
        <f t="shared" si="7"/>
        <v>43.8</v>
      </c>
      <c r="BA17" s="134">
        <f t="shared" si="7"/>
        <v>43.8</v>
      </c>
      <c r="BB17" s="134">
        <f t="shared" si="7"/>
        <v>43.8</v>
      </c>
      <c r="BC17" s="134">
        <f t="shared" si="7"/>
        <v>43.8</v>
      </c>
      <c r="BD17" s="134">
        <f t="shared" si="7"/>
        <v>43.8</v>
      </c>
      <c r="BE17" s="133">
        <f>X62</f>
        <v>43.8</v>
      </c>
      <c r="BF17" s="133">
        <f>Z62</f>
        <v>501.90000000000003</v>
      </c>
      <c r="BG17" s="133">
        <f>AB62</f>
        <v>477.2</v>
      </c>
      <c r="BH17" s="133">
        <f>AD62</f>
        <v>416.5</v>
      </c>
      <c r="BI17" s="133">
        <f>AE62</f>
        <v>273.5</v>
      </c>
      <c r="BJ17" s="133">
        <f>AF62</f>
        <v>243.5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25">
      <c r="A18" s="89" t="s">
        <v>255</v>
      </c>
      <c r="B18" s="102">
        <v>14.5</v>
      </c>
      <c r="C18" s="102">
        <v>14.5</v>
      </c>
      <c r="D18" s="102">
        <v>14.5</v>
      </c>
      <c r="E18" s="102">
        <v>14.5</v>
      </c>
      <c r="F18" s="102">
        <v>14.5</v>
      </c>
      <c r="G18" s="102">
        <v>14.5</v>
      </c>
      <c r="H18" s="102">
        <v>14.5</v>
      </c>
      <c r="I18" s="102">
        <v>14.5</v>
      </c>
      <c r="J18" s="102">
        <v>14.5</v>
      </c>
      <c r="K18" s="102">
        <v>14.5</v>
      </c>
      <c r="L18" s="102">
        <v>14.5</v>
      </c>
      <c r="M18" s="102">
        <v>14.5</v>
      </c>
      <c r="N18" s="102">
        <v>14.5</v>
      </c>
      <c r="O18" s="102">
        <v>14.5</v>
      </c>
      <c r="P18" s="102">
        <v>14.5</v>
      </c>
      <c r="Q18" s="102">
        <v>14.5</v>
      </c>
      <c r="R18" s="102">
        <v>13.8</v>
      </c>
      <c r="S18" s="102">
        <v>13.8</v>
      </c>
      <c r="T18" s="102">
        <v>13.8</v>
      </c>
      <c r="U18" s="102">
        <v>13.8</v>
      </c>
      <c r="V18" s="102">
        <v>13.8</v>
      </c>
      <c r="W18" s="102">
        <v>13.8</v>
      </c>
      <c r="X18" s="102">
        <v>13.8</v>
      </c>
      <c r="Y18" s="102">
        <v>13.8</v>
      </c>
      <c r="Z18" s="102">
        <v>13.8</v>
      </c>
      <c r="AA18" s="102">
        <v>13.8</v>
      </c>
      <c r="AB18" s="102">
        <v>13.8</v>
      </c>
      <c r="AC18" s="102">
        <v>13.8</v>
      </c>
      <c r="AD18" s="102">
        <v>13.8</v>
      </c>
      <c r="AE18" s="102">
        <v>13.8</v>
      </c>
      <c r="AF18" s="102">
        <v>13.8</v>
      </c>
      <c r="AG18" s="130">
        <v>42</v>
      </c>
      <c r="AH18" s="12">
        <f t="shared" ref="AH18:AH81" si="8">MAX(B18:AF18)</f>
        <v>14.5</v>
      </c>
      <c r="AI18" s="11">
        <f t="shared" ref="AI18:AI81" si="9">MIN(B18:AF18)</f>
        <v>13.8</v>
      </c>
      <c r="AK18" s="19"/>
      <c r="AL18" s="135" t="s">
        <v>254</v>
      </c>
      <c r="AM18" s="134">
        <f t="shared" ref="AM18:AR18" si="10">B76</f>
        <v>281.14000000000004</v>
      </c>
      <c r="AN18" s="134">
        <f t="shared" si="10"/>
        <v>260.64000000000004</v>
      </c>
      <c r="AO18" s="134">
        <f t="shared" si="10"/>
        <v>251.64000000000001</v>
      </c>
      <c r="AP18" s="134">
        <f t="shared" si="10"/>
        <v>275.84000000000003</v>
      </c>
      <c r="AQ18" s="134">
        <f t="shared" si="10"/>
        <v>276.44</v>
      </c>
      <c r="AR18" s="134">
        <f t="shared" si="10"/>
        <v>276.44</v>
      </c>
      <c r="AS18" s="134">
        <f>I76</f>
        <v>344.64</v>
      </c>
      <c r="AT18" s="134">
        <f>K76</f>
        <v>345.74000000000007</v>
      </c>
      <c r="AU18" s="134">
        <f t="shared" ref="AU18:BD18" si="11">M76</f>
        <v>342.84</v>
      </c>
      <c r="AV18" s="134">
        <f t="shared" si="11"/>
        <v>269.44</v>
      </c>
      <c r="AW18" s="134">
        <f t="shared" si="11"/>
        <v>278.04000000000008</v>
      </c>
      <c r="AX18" s="134">
        <f t="shared" si="11"/>
        <v>286.54000000000002</v>
      </c>
      <c r="AY18" s="134">
        <f t="shared" si="11"/>
        <v>252.33999999999997</v>
      </c>
      <c r="AZ18" s="134">
        <f t="shared" si="11"/>
        <v>270.74</v>
      </c>
      <c r="BA18" s="134">
        <f t="shared" si="11"/>
        <v>244.84</v>
      </c>
      <c r="BB18" s="134">
        <f t="shared" si="11"/>
        <v>252.43999999999997</v>
      </c>
      <c r="BC18" s="134">
        <f t="shared" si="11"/>
        <v>252.04</v>
      </c>
      <c r="BD18" s="134">
        <f t="shared" si="11"/>
        <v>253.23999999999998</v>
      </c>
      <c r="BE18" s="133">
        <f>X76</f>
        <v>314.94000000000005</v>
      </c>
      <c r="BF18" s="133">
        <f>Z76</f>
        <v>387.74000000000007</v>
      </c>
      <c r="BG18" s="133">
        <f>AB76</f>
        <v>380.04</v>
      </c>
      <c r="BH18" s="133">
        <f>AD76</f>
        <v>380.04</v>
      </c>
      <c r="BI18" s="133">
        <f>AE76</f>
        <v>380.04</v>
      </c>
      <c r="BJ18" s="133">
        <f>AF76</f>
        <v>343.34000000000003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25">
      <c r="A19" s="89" t="s">
        <v>253</v>
      </c>
      <c r="B19" s="102">
        <v>24.9</v>
      </c>
      <c r="C19" s="102">
        <v>24.9</v>
      </c>
      <c r="D19" s="102">
        <v>24.9</v>
      </c>
      <c r="E19" s="102">
        <v>24.9</v>
      </c>
      <c r="F19" s="102">
        <v>24.9</v>
      </c>
      <c r="G19" s="102">
        <v>24.9</v>
      </c>
      <c r="H19" s="102">
        <v>24.9</v>
      </c>
      <c r="I19" s="102">
        <v>24.9</v>
      </c>
      <c r="J19" s="102">
        <v>24.9</v>
      </c>
      <c r="K19" s="102">
        <v>24.9</v>
      </c>
      <c r="L19" s="102">
        <v>24.9</v>
      </c>
      <c r="M19" s="102">
        <v>24.9</v>
      </c>
      <c r="N19" s="102">
        <v>24.9</v>
      </c>
      <c r="O19" s="102">
        <v>24.9</v>
      </c>
      <c r="P19" s="102">
        <v>24.9</v>
      </c>
      <c r="Q19" s="102">
        <v>24.9</v>
      </c>
      <c r="R19" s="102">
        <v>23.1</v>
      </c>
      <c r="S19" s="102">
        <v>23.1</v>
      </c>
      <c r="T19" s="102">
        <v>23.1</v>
      </c>
      <c r="U19" s="102">
        <v>23.1</v>
      </c>
      <c r="V19" s="102">
        <v>23.1</v>
      </c>
      <c r="W19" s="102">
        <v>23.1</v>
      </c>
      <c r="X19" s="102">
        <v>23.1</v>
      </c>
      <c r="Y19" s="102">
        <v>23.1</v>
      </c>
      <c r="Z19" s="102">
        <v>23.1</v>
      </c>
      <c r="AA19" s="102">
        <v>23.1</v>
      </c>
      <c r="AB19" s="102">
        <v>23.1</v>
      </c>
      <c r="AC19" s="102">
        <v>23.1</v>
      </c>
      <c r="AD19" s="102">
        <v>23.1</v>
      </c>
      <c r="AE19" s="102">
        <v>23.1</v>
      </c>
      <c r="AF19" s="102">
        <v>23.1</v>
      </c>
      <c r="AG19" s="130">
        <v>38.46</v>
      </c>
      <c r="AH19" s="12">
        <f t="shared" si="8"/>
        <v>24.9</v>
      </c>
      <c r="AI19" s="11">
        <f t="shared" si="9"/>
        <v>23.1</v>
      </c>
      <c r="AK19" s="19"/>
      <c r="AL19" s="135" t="s">
        <v>252</v>
      </c>
      <c r="AM19" s="134">
        <f t="shared" ref="AM19:AR19" si="12">B92</f>
        <v>100.4</v>
      </c>
      <c r="AN19" s="134">
        <f t="shared" si="12"/>
        <v>121.69999999999999</v>
      </c>
      <c r="AO19" s="134">
        <f t="shared" si="12"/>
        <v>192</v>
      </c>
      <c r="AP19" s="134">
        <f t="shared" si="12"/>
        <v>148.80000000000001</v>
      </c>
      <c r="AQ19" s="134">
        <f t="shared" si="12"/>
        <v>169.7</v>
      </c>
      <c r="AR19" s="134">
        <f t="shared" si="12"/>
        <v>188.4</v>
      </c>
      <c r="AS19" s="134">
        <f>I92</f>
        <v>154.69999999999999</v>
      </c>
      <c r="AT19" s="134">
        <f>K92</f>
        <v>575.49999999999989</v>
      </c>
      <c r="AU19" s="134">
        <f t="shared" ref="AU19:BD19" si="13">M92</f>
        <v>606.70000000000005</v>
      </c>
      <c r="AV19" s="134">
        <f t="shared" si="13"/>
        <v>782</v>
      </c>
      <c r="AW19" s="134">
        <f t="shared" si="13"/>
        <v>834.1</v>
      </c>
      <c r="AX19" s="134">
        <f t="shared" si="13"/>
        <v>815.5</v>
      </c>
      <c r="AY19" s="134">
        <f t="shared" si="13"/>
        <v>787.6</v>
      </c>
      <c r="AZ19" s="134">
        <f t="shared" si="13"/>
        <v>808.7</v>
      </c>
      <c r="BA19" s="134">
        <f t="shared" si="13"/>
        <v>792</v>
      </c>
      <c r="BB19" s="134">
        <f t="shared" si="13"/>
        <v>819</v>
      </c>
      <c r="BC19" s="134">
        <f t="shared" si="13"/>
        <v>819</v>
      </c>
      <c r="BD19" s="134">
        <f t="shared" si="13"/>
        <v>757.99999999999989</v>
      </c>
      <c r="BE19" s="133">
        <f>X92</f>
        <v>538.80000000000007</v>
      </c>
      <c r="BF19" s="133">
        <f>Z92</f>
        <v>191.3</v>
      </c>
      <c r="BG19" s="133">
        <f>AB92</f>
        <v>121.7</v>
      </c>
      <c r="BH19" s="133">
        <f>AD92</f>
        <v>114</v>
      </c>
      <c r="BI19" s="133">
        <f>AE92</f>
        <v>167</v>
      </c>
      <c r="BJ19" s="133">
        <f>AF92</f>
        <v>85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25">
      <c r="A20" s="89" t="s">
        <v>251</v>
      </c>
      <c r="B20" s="102">
        <v>27</v>
      </c>
      <c r="C20" s="102">
        <v>27</v>
      </c>
      <c r="D20" s="102">
        <v>27</v>
      </c>
      <c r="E20" s="102">
        <v>27</v>
      </c>
      <c r="F20" s="102">
        <v>27</v>
      </c>
      <c r="G20" s="102">
        <v>27</v>
      </c>
      <c r="H20" s="102">
        <v>27</v>
      </c>
      <c r="I20" s="102">
        <v>27</v>
      </c>
      <c r="J20" s="102">
        <v>27</v>
      </c>
      <c r="K20" s="102">
        <v>27</v>
      </c>
      <c r="L20" s="102">
        <v>27</v>
      </c>
      <c r="M20" s="102">
        <v>27</v>
      </c>
      <c r="N20" s="102">
        <v>27</v>
      </c>
      <c r="O20" s="102">
        <v>27</v>
      </c>
      <c r="P20" s="102">
        <v>27</v>
      </c>
      <c r="Q20" s="102">
        <v>27</v>
      </c>
      <c r="R20" s="102">
        <v>27</v>
      </c>
      <c r="S20" s="102">
        <v>27</v>
      </c>
      <c r="T20" s="102">
        <v>27</v>
      </c>
      <c r="U20" s="102">
        <v>27</v>
      </c>
      <c r="V20" s="102">
        <v>27</v>
      </c>
      <c r="W20" s="102">
        <v>27</v>
      </c>
      <c r="X20" s="102">
        <v>27</v>
      </c>
      <c r="Y20" s="102">
        <v>27</v>
      </c>
      <c r="Z20" s="102">
        <v>27</v>
      </c>
      <c r="AA20" s="102">
        <v>27</v>
      </c>
      <c r="AB20" s="102">
        <v>27</v>
      </c>
      <c r="AC20" s="102">
        <v>27</v>
      </c>
      <c r="AD20" s="102">
        <v>27</v>
      </c>
      <c r="AE20" s="102">
        <v>27</v>
      </c>
      <c r="AF20" s="102">
        <v>27</v>
      </c>
      <c r="AG20" s="130">
        <v>38.46</v>
      </c>
      <c r="AH20" s="12">
        <f t="shared" si="8"/>
        <v>27</v>
      </c>
      <c r="AI20" s="11">
        <f t="shared" si="9"/>
        <v>27</v>
      </c>
      <c r="AK20" s="19"/>
      <c r="AL20" s="135" t="s">
        <v>250</v>
      </c>
      <c r="AM20" s="134">
        <f t="shared" ref="AM20:AR20" si="14">B80</f>
        <v>96.8</v>
      </c>
      <c r="AN20" s="134">
        <f t="shared" si="14"/>
        <v>97.199999999999989</v>
      </c>
      <c r="AO20" s="134">
        <f t="shared" si="14"/>
        <v>97.1</v>
      </c>
      <c r="AP20" s="134">
        <f t="shared" si="14"/>
        <v>97.1</v>
      </c>
      <c r="AQ20" s="134">
        <f t="shared" si="14"/>
        <v>77.900000000000006</v>
      </c>
      <c r="AR20" s="134">
        <f t="shared" si="14"/>
        <v>77.900000000000006</v>
      </c>
      <c r="AS20" s="134">
        <f>I80</f>
        <v>89.1</v>
      </c>
      <c r="AT20" s="134">
        <f>K80</f>
        <v>65.900000000000006</v>
      </c>
      <c r="AU20" s="134">
        <f t="shared" ref="AU20:BD20" si="15">M80</f>
        <v>100</v>
      </c>
      <c r="AV20" s="134">
        <f t="shared" si="15"/>
        <v>20.099999999999998</v>
      </c>
      <c r="AW20" s="134">
        <f t="shared" si="15"/>
        <v>29.3</v>
      </c>
      <c r="AX20" s="134">
        <f t="shared" si="15"/>
        <v>47.5</v>
      </c>
      <c r="AY20" s="134">
        <f t="shared" si="15"/>
        <v>48.3</v>
      </c>
      <c r="AZ20" s="134">
        <f t="shared" si="15"/>
        <v>49.400000000000006</v>
      </c>
      <c r="BA20" s="134">
        <f t="shared" si="15"/>
        <v>49.400000000000006</v>
      </c>
      <c r="BB20" s="134">
        <f t="shared" si="15"/>
        <v>49.400000000000006</v>
      </c>
      <c r="BC20" s="134">
        <f t="shared" si="15"/>
        <v>49.400000000000006</v>
      </c>
      <c r="BD20" s="134">
        <f t="shared" si="15"/>
        <v>49.400000000000006</v>
      </c>
      <c r="BE20" s="133">
        <f>X80</f>
        <v>50.6</v>
      </c>
      <c r="BF20" s="133">
        <f>Z80</f>
        <v>73.5</v>
      </c>
      <c r="BG20" s="133">
        <f>AB80</f>
        <v>96.8</v>
      </c>
      <c r="BH20" s="133">
        <f>AD80</f>
        <v>96.8</v>
      </c>
      <c r="BI20" s="133">
        <f>AE80</f>
        <v>96.8</v>
      </c>
      <c r="BJ20" s="133">
        <f>AF80</f>
        <v>96.8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25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>
        <v>11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>
        <v>11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11</v>
      </c>
      <c r="AG21" s="130">
        <v>36</v>
      </c>
      <c r="AH21" s="12">
        <f t="shared" si="8"/>
        <v>11</v>
      </c>
      <c r="AI21" s="11">
        <f t="shared" si="9"/>
        <v>11</v>
      </c>
      <c r="AK21" s="19"/>
      <c r="AL21" s="135" t="s">
        <v>248</v>
      </c>
      <c r="AM21" s="134">
        <f t="shared" ref="AM21:AR21" si="16">B98</f>
        <v>180</v>
      </c>
      <c r="AN21" s="134">
        <f t="shared" si="16"/>
        <v>180</v>
      </c>
      <c r="AO21" s="134">
        <f t="shared" si="16"/>
        <v>180</v>
      </c>
      <c r="AP21" s="134">
        <f t="shared" si="16"/>
        <v>180</v>
      </c>
      <c r="AQ21" s="134">
        <f t="shared" si="16"/>
        <v>180</v>
      </c>
      <c r="AR21" s="134">
        <f t="shared" si="16"/>
        <v>180</v>
      </c>
      <c r="AS21" s="134">
        <f>I98</f>
        <v>180</v>
      </c>
      <c r="AT21" s="134">
        <f>K98</f>
        <v>80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200</v>
      </c>
      <c r="BG21" s="133">
        <f>AB98</f>
        <v>200</v>
      </c>
      <c r="BH21" s="133">
        <f>AD98</f>
        <v>200</v>
      </c>
      <c r="BI21" s="133">
        <f>AE98</f>
        <v>180</v>
      </c>
      <c r="BJ21" s="133">
        <f>AF98</f>
        <v>200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25">
      <c r="A22" s="89" t="s">
        <v>247</v>
      </c>
      <c r="B22" s="102">
        <v>12</v>
      </c>
      <c r="C22" s="102">
        <v>12</v>
      </c>
      <c r="D22" s="102">
        <v>12</v>
      </c>
      <c r="E22" s="102">
        <v>12</v>
      </c>
      <c r="F22" s="102">
        <v>12</v>
      </c>
      <c r="G22" s="102">
        <v>12</v>
      </c>
      <c r="H22" s="102">
        <v>12</v>
      </c>
      <c r="I22" s="102">
        <v>12</v>
      </c>
      <c r="J22" s="102">
        <v>12</v>
      </c>
      <c r="K22" s="102">
        <v>12</v>
      </c>
      <c r="L22" s="102">
        <v>12</v>
      </c>
      <c r="M22" s="102">
        <v>12</v>
      </c>
      <c r="N22" s="102">
        <v>12</v>
      </c>
      <c r="O22" s="102">
        <v>12</v>
      </c>
      <c r="P22" s="102">
        <v>12</v>
      </c>
      <c r="Q22" s="102">
        <v>12</v>
      </c>
      <c r="R22" s="102">
        <v>12</v>
      </c>
      <c r="S22" s="102">
        <v>12</v>
      </c>
      <c r="T22" s="102">
        <v>12</v>
      </c>
      <c r="U22" s="102">
        <v>12</v>
      </c>
      <c r="V22" s="102">
        <v>12</v>
      </c>
      <c r="W22" s="102">
        <v>12</v>
      </c>
      <c r="X22" s="102">
        <v>12</v>
      </c>
      <c r="Y22" s="102">
        <v>12</v>
      </c>
      <c r="Z22" s="102">
        <v>12</v>
      </c>
      <c r="AA22" s="102">
        <v>12</v>
      </c>
      <c r="AB22" s="102">
        <v>12</v>
      </c>
      <c r="AC22" s="102">
        <v>12</v>
      </c>
      <c r="AD22" s="102">
        <v>12</v>
      </c>
      <c r="AE22" s="102">
        <v>12</v>
      </c>
      <c r="AF22" s="102">
        <v>12</v>
      </c>
      <c r="AG22" s="88">
        <v>30</v>
      </c>
      <c r="AH22" s="12">
        <f t="shared" si="8"/>
        <v>12</v>
      </c>
      <c r="AI22" s="11">
        <f t="shared" si="9"/>
        <v>12</v>
      </c>
      <c r="AK22" s="19"/>
      <c r="AL22" s="132" t="s">
        <v>246</v>
      </c>
      <c r="AM22" s="131">
        <f t="shared" ref="AM22:BJ22" si="18">SUM(AM16:AM21)</f>
        <v>1537.54</v>
      </c>
      <c r="AN22" s="131">
        <f t="shared" si="18"/>
        <v>1477.04</v>
      </c>
      <c r="AO22" s="131">
        <f t="shared" si="18"/>
        <v>1438.5399999999997</v>
      </c>
      <c r="AP22" s="131">
        <f t="shared" si="18"/>
        <v>1419.5399999999997</v>
      </c>
      <c r="AQ22" s="131">
        <f t="shared" si="18"/>
        <v>1419.44</v>
      </c>
      <c r="AR22" s="131">
        <f t="shared" si="18"/>
        <v>1438.14</v>
      </c>
      <c r="AS22" s="131">
        <f t="shared" si="18"/>
        <v>1535.84</v>
      </c>
      <c r="AT22" s="131">
        <f t="shared" si="18"/>
        <v>1682.54</v>
      </c>
      <c r="AU22" s="131">
        <f t="shared" si="18"/>
        <v>1665.04</v>
      </c>
      <c r="AV22" s="131">
        <f t="shared" si="18"/>
        <v>1684.7399999999998</v>
      </c>
      <c r="AW22" s="131">
        <f t="shared" si="18"/>
        <v>1756.4399999999998</v>
      </c>
      <c r="AX22" s="131">
        <f t="shared" si="18"/>
        <v>1767.84</v>
      </c>
      <c r="AY22" s="131">
        <f t="shared" si="18"/>
        <v>1703.0399999999997</v>
      </c>
      <c r="AZ22" s="131">
        <f t="shared" si="18"/>
        <v>1735.04</v>
      </c>
      <c r="BA22" s="131">
        <f t="shared" si="18"/>
        <v>1692.44</v>
      </c>
      <c r="BB22" s="131">
        <f t="shared" si="18"/>
        <v>1727.04</v>
      </c>
      <c r="BC22" s="131">
        <f t="shared" si="18"/>
        <v>1726.6399999999999</v>
      </c>
      <c r="BD22" s="131">
        <f t="shared" si="18"/>
        <v>1666.8399999999997</v>
      </c>
      <c r="BE22" s="131">
        <f t="shared" si="18"/>
        <v>1510.54</v>
      </c>
      <c r="BF22" s="131">
        <f t="shared" si="18"/>
        <v>1916.84</v>
      </c>
      <c r="BG22" s="131">
        <f t="shared" si="18"/>
        <v>1839.54</v>
      </c>
      <c r="BH22" s="131">
        <f t="shared" si="18"/>
        <v>1771.1399999999999</v>
      </c>
      <c r="BI22" s="131">
        <f t="shared" si="18"/>
        <v>1661.1399999999999</v>
      </c>
      <c r="BJ22" s="131">
        <f t="shared" si="18"/>
        <v>1532.4399999999998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25">
      <c r="A23" s="89" t="s">
        <v>245</v>
      </c>
      <c r="B23" s="102">
        <v>9</v>
      </c>
      <c r="C23" s="102">
        <v>9</v>
      </c>
      <c r="D23" s="102">
        <v>9</v>
      </c>
      <c r="E23" s="102">
        <v>9</v>
      </c>
      <c r="F23" s="102">
        <v>9</v>
      </c>
      <c r="G23" s="102">
        <v>9</v>
      </c>
      <c r="H23" s="102">
        <v>9</v>
      </c>
      <c r="I23" s="102">
        <v>9</v>
      </c>
      <c r="J23" s="102">
        <v>9</v>
      </c>
      <c r="K23" s="102">
        <v>9</v>
      </c>
      <c r="L23" s="102">
        <v>9</v>
      </c>
      <c r="M23" s="102">
        <v>9</v>
      </c>
      <c r="N23" s="102">
        <v>9</v>
      </c>
      <c r="O23" s="102">
        <v>9</v>
      </c>
      <c r="P23" s="102">
        <v>9</v>
      </c>
      <c r="Q23" s="102">
        <v>9</v>
      </c>
      <c r="R23" s="102">
        <v>9</v>
      </c>
      <c r="S23" s="102">
        <v>9</v>
      </c>
      <c r="T23" s="102">
        <v>9</v>
      </c>
      <c r="U23" s="102">
        <v>9</v>
      </c>
      <c r="V23" s="102">
        <v>9</v>
      </c>
      <c r="W23" s="102">
        <v>9</v>
      </c>
      <c r="X23" s="102">
        <v>9</v>
      </c>
      <c r="Y23" s="102">
        <v>9</v>
      </c>
      <c r="Z23" s="102">
        <v>9</v>
      </c>
      <c r="AA23" s="102">
        <v>9</v>
      </c>
      <c r="AB23" s="102">
        <v>9</v>
      </c>
      <c r="AC23" s="102">
        <v>9</v>
      </c>
      <c r="AD23" s="102">
        <v>9</v>
      </c>
      <c r="AE23" s="102">
        <v>9</v>
      </c>
      <c r="AF23" s="102">
        <v>9</v>
      </c>
      <c r="AG23" s="130">
        <v>24.2</v>
      </c>
      <c r="AH23" s="12">
        <f t="shared" si="8"/>
        <v>9</v>
      </c>
      <c r="AI23" s="11">
        <f t="shared" si="9"/>
        <v>9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25">
      <c r="A24" s="89" t="s">
        <v>244</v>
      </c>
      <c r="B24" s="102">
        <v>8.3000000000000007</v>
      </c>
      <c r="C24" s="102">
        <v>8.3000000000000007</v>
      </c>
      <c r="D24" s="102">
        <v>8.3000000000000007</v>
      </c>
      <c r="E24" s="102">
        <v>8.3000000000000007</v>
      </c>
      <c r="F24" s="102">
        <v>8.3000000000000007</v>
      </c>
      <c r="G24" s="102">
        <v>8.3000000000000007</v>
      </c>
      <c r="H24" s="102">
        <v>8.3000000000000007</v>
      </c>
      <c r="I24" s="102">
        <v>8.3000000000000007</v>
      </c>
      <c r="J24" s="102">
        <v>8.3000000000000007</v>
      </c>
      <c r="K24" s="102">
        <v>8.3000000000000007</v>
      </c>
      <c r="L24" s="102">
        <v>8.3000000000000007</v>
      </c>
      <c r="M24" s="102">
        <v>8.3000000000000007</v>
      </c>
      <c r="N24" s="102">
        <v>8.3000000000000007</v>
      </c>
      <c r="O24" s="102">
        <v>8.3000000000000007</v>
      </c>
      <c r="P24" s="102">
        <v>8.3000000000000007</v>
      </c>
      <c r="Q24" s="102">
        <v>8.3000000000000007</v>
      </c>
      <c r="R24" s="102">
        <v>8.3000000000000007</v>
      </c>
      <c r="S24" s="102">
        <v>8.3000000000000007</v>
      </c>
      <c r="T24" s="102">
        <v>8.3000000000000007</v>
      </c>
      <c r="U24" s="102">
        <v>8.3000000000000007</v>
      </c>
      <c r="V24" s="102">
        <v>8.3000000000000007</v>
      </c>
      <c r="W24" s="102">
        <v>8.3000000000000007</v>
      </c>
      <c r="X24" s="102">
        <v>8.3000000000000007</v>
      </c>
      <c r="Y24" s="102">
        <v>8.3000000000000007</v>
      </c>
      <c r="Z24" s="102">
        <v>8.3000000000000007</v>
      </c>
      <c r="AA24" s="102">
        <v>8.3000000000000007</v>
      </c>
      <c r="AB24" s="102">
        <v>8.3000000000000007</v>
      </c>
      <c r="AC24" s="102">
        <v>8.3000000000000007</v>
      </c>
      <c r="AD24" s="102">
        <v>8.3000000000000007</v>
      </c>
      <c r="AE24" s="102">
        <v>8.3000000000000007</v>
      </c>
      <c r="AF24" s="102">
        <v>8.3000000000000007</v>
      </c>
      <c r="AG24" s="130">
        <v>28</v>
      </c>
      <c r="AH24" s="12">
        <f t="shared" si="8"/>
        <v>8.3000000000000007</v>
      </c>
      <c r="AI24" s="11">
        <f t="shared" si="9"/>
        <v>8.3000000000000007</v>
      </c>
      <c r="AK24" s="19"/>
      <c r="AL24" s="132" t="s">
        <v>243</v>
      </c>
      <c r="AM24" s="131">
        <f t="shared" ref="AM24:BJ24" si="21">AM22+AM23</f>
        <v>1537.54</v>
      </c>
      <c r="AN24" s="131">
        <f t="shared" si="21"/>
        <v>1477.04</v>
      </c>
      <c r="AO24" s="131">
        <f t="shared" si="21"/>
        <v>1438.5399999999997</v>
      </c>
      <c r="AP24" s="131">
        <f t="shared" si="21"/>
        <v>1419.5399999999997</v>
      </c>
      <c r="AQ24" s="131">
        <f t="shared" si="21"/>
        <v>1419.44</v>
      </c>
      <c r="AR24" s="131">
        <f t="shared" si="21"/>
        <v>1438.14</v>
      </c>
      <c r="AS24" s="131">
        <f t="shared" si="21"/>
        <v>1535.84</v>
      </c>
      <c r="AT24" s="131">
        <f t="shared" si="21"/>
        <v>1682.54</v>
      </c>
      <c r="AU24" s="131">
        <f t="shared" si="21"/>
        <v>1665.04</v>
      </c>
      <c r="AV24" s="131">
        <f t="shared" si="21"/>
        <v>1684.7399999999998</v>
      </c>
      <c r="AW24" s="131">
        <f t="shared" si="21"/>
        <v>1756.4399999999998</v>
      </c>
      <c r="AX24" s="131">
        <f t="shared" si="21"/>
        <v>1767.84</v>
      </c>
      <c r="AY24" s="131">
        <f t="shared" si="21"/>
        <v>1703.0399999999997</v>
      </c>
      <c r="AZ24" s="131">
        <f t="shared" si="21"/>
        <v>1735.04</v>
      </c>
      <c r="BA24" s="131">
        <f t="shared" si="21"/>
        <v>1692.44</v>
      </c>
      <c r="BB24" s="131">
        <f t="shared" si="21"/>
        <v>1727.04</v>
      </c>
      <c r="BC24" s="131">
        <f t="shared" si="21"/>
        <v>1726.6399999999999</v>
      </c>
      <c r="BD24" s="131">
        <f t="shared" si="21"/>
        <v>1666.8399999999997</v>
      </c>
      <c r="BE24" s="131">
        <f t="shared" si="21"/>
        <v>1510.54</v>
      </c>
      <c r="BF24" s="131">
        <f t="shared" si="21"/>
        <v>1916.84</v>
      </c>
      <c r="BG24" s="131">
        <f t="shared" si="21"/>
        <v>1839.54</v>
      </c>
      <c r="BH24" s="131">
        <f t="shared" si="21"/>
        <v>1771.1399999999999</v>
      </c>
      <c r="BI24" s="131">
        <f t="shared" si="21"/>
        <v>1661.1399999999999</v>
      </c>
      <c r="BJ24" s="131">
        <f t="shared" si="21"/>
        <v>1532.4399999999998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25">
      <c r="A25" s="89" t="s">
        <v>242</v>
      </c>
      <c r="B25" s="102">
        <v>9</v>
      </c>
      <c r="C25" s="102">
        <v>9</v>
      </c>
      <c r="D25" s="102">
        <v>9</v>
      </c>
      <c r="E25" s="102">
        <v>9</v>
      </c>
      <c r="F25" s="102">
        <v>9</v>
      </c>
      <c r="G25" s="102">
        <v>9</v>
      </c>
      <c r="H25" s="102">
        <v>9</v>
      </c>
      <c r="I25" s="102">
        <v>9</v>
      </c>
      <c r="J25" s="102">
        <v>9</v>
      </c>
      <c r="K25" s="102">
        <v>9</v>
      </c>
      <c r="L25" s="102">
        <v>9</v>
      </c>
      <c r="M25" s="102">
        <v>9</v>
      </c>
      <c r="N25" s="102">
        <v>9</v>
      </c>
      <c r="O25" s="102">
        <v>9</v>
      </c>
      <c r="P25" s="102">
        <v>9</v>
      </c>
      <c r="Q25" s="102">
        <v>9</v>
      </c>
      <c r="R25" s="102">
        <v>9</v>
      </c>
      <c r="S25" s="102">
        <v>9</v>
      </c>
      <c r="T25" s="102">
        <v>9</v>
      </c>
      <c r="U25" s="102">
        <v>9</v>
      </c>
      <c r="V25" s="102">
        <v>9</v>
      </c>
      <c r="W25" s="102">
        <v>9</v>
      </c>
      <c r="X25" s="102">
        <v>9</v>
      </c>
      <c r="Y25" s="102">
        <v>9</v>
      </c>
      <c r="Z25" s="102">
        <v>9</v>
      </c>
      <c r="AA25" s="102">
        <v>9</v>
      </c>
      <c r="AB25" s="102">
        <v>9</v>
      </c>
      <c r="AC25" s="102">
        <v>9</v>
      </c>
      <c r="AD25" s="102">
        <v>9</v>
      </c>
      <c r="AE25" s="102">
        <v>9</v>
      </c>
      <c r="AF25" s="102">
        <v>9</v>
      </c>
      <c r="AG25" s="88">
        <v>30</v>
      </c>
      <c r="AH25" s="12">
        <f t="shared" si="8"/>
        <v>9</v>
      </c>
      <c r="AI25" s="11">
        <f t="shared" si="9"/>
        <v>9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25">
      <c r="A26" s="89" t="s">
        <v>241</v>
      </c>
      <c r="B26" s="102">
        <v>13.1</v>
      </c>
      <c r="C26" s="102">
        <v>13.1</v>
      </c>
      <c r="D26" s="102">
        <v>13.1</v>
      </c>
      <c r="E26" s="102">
        <v>13.1</v>
      </c>
      <c r="F26" s="102">
        <v>13.1</v>
      </c>
      <c r="G26" s="102">
        <v>13.1</v>
      </c>
      <c r="H26" s="102">
        <v>13.1</v>
      </c>
      <c r="I26" s="102">
        <v>13.1</v>
      </c>
      <c r="J26" s="102">
        <v>13.1</v>
      </c>
      <c r="K26" s="102">
        <v>13.1</v>
      </c>
      <c r="L26" s="102">
        <v>13.1</v>
      </c>
      <c r="M26" s="102">
        <v>13.1</v>
      </c>
      <c r="N26" s="102">
        <v>13.1</v>
      </c>
      <c r="O26" s="102">
        <v>13.1</v>
      </c>
      <c r="P26" s="102">
        <v>13.1</v>
      </c>
      <c r="Q26" s="102">
        <v>13.1</v>
      </c>
      <c r="R26" s="102">
        <v>13.1</v>
      </c>
      <c r="S26" s="102">
        <v>13.1</v>
      </c>
      <c r="T26" s="102">
        <v>13.1</v>
      </c>
      <c r="U26" s="102">
        <v>13.1</v>
      </c>
      <c r="V26" s="102">
        <v>13.1</v>
      </c>
      <c r="W26" s="102">
        <v>13.1</v>
      </c>
      <c r="X26" s="102">
        <v>13.1</v>
      </c>
      <c r="Y26" s="102">
        <v>13.1</v>
      </c>
      <c r="Z26" s="102">
        <v>13.1</v>
      </c>
      <c r="AA26" s="102">
        <v>13.1</v>
      </c>
      <c r="AB26" s="102">
        <v>13.1</v>
      </c>
      <c r="AC26" s="102">
        <v>13.1</v>
      </c>
      <c r="AD26" s="102">
        <v>13.1</v>
      </c>
      <c r="AE26" s="102">
        <v>13.1</v>
      </c>
      <c r="AF26" s="102">
        <v>13.1</v>
      </c>
      <c r="AG26" s="130">
        <v>25</v>
      </c>
      <c r="AH26" s="12">
        <f t="shared" si="8"/>
        <v>13.1</v>
      </c>
      <c r="AI26" s="11">
        <f t="shared" si="9"/>
        <v>13.1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25">
      <c r="A27" s="89" t="s">
        <v>240</v>
      </c>
      <c r="B27" s="102">
        <v>15.2</v>
      </c>
      <c r="C27" s="102">
        <v>15.2</v>
      </c>
      <c r="D27" s="102">
        <v>15.2</v>
      </c>
      <c r="E27" s="102">
        <v>15.2</v>
      </c>
      <c r="F27" s="102">
        <v>15.2</v>
      </c>
      <c r="G27" s="102">
        <v>15.2</v>
      </c>
      <c r="H27" s="102">
        <v>15.2</v>
      </c>
      <c r="I27" s="102">
        <v>15.2</v>
      </c>
      <c r="J27" s="102">
        <v>15.2</v>
      </c>
      <c r="K27" s="102">
        <v>15.2</v>
      </c>
      <c r="L27" s="102">
        <v>15.2</v>
      </c>
      <c r="M27" s="102">
        <v>15.2</v>
      </c>
      <c r="N27" s="102">
        <v>15.2</v>
      </c>
      <c r="O27" s="102">
        <v>15.2</v>
      </c>
      <c r="P27" s="102">
        <v>15.2</v>
      </c>
      <c r="Q27" s="102">
        <v>15.2</v>
      </c>
      <c r="R27" s="102">
        <v>15.2</v>
      </c>
      <c r="S27" s="102">
        <v>15.2</v>
      </c>
      <c r="T27" s="102">
        <v>15.2</v>
      </c>
      <c r="U27" s="102">
        <v>15.2</v>
      </c>
      <c r="V27" s="102">
        <v>15.2</v>
      </c>
      <c r="W27" s="102">
        <v>15.2</v>
      </c>
      <c r="X27" s="102">
        <v>15.2</v>
      </c>
      <c r="Y27" s="102">
        <v>15.2</v>
      </c>
      <c r="Z27" s="102">
        <v>15.2</v>
      </c>
      <c r="AA27" s="102">
        <v>15.2</v>
      </c>
      <c r="AB27" s="102">
        <v>15.2</v>
      </c>
      <c r="AC27" s="102">
        <v>15.2</v>
      </c>
      <c r="AD27" s="102">
        <v>15.2</v>
      </c>
      <c r="AE27" s="102">
        <v>15.2</v>
      </c>
      <c r="AF27" s="102">
        <v>15.2</v>
      </c>
      <c r="AG27" s="130">
        <v>25</v>
      </c>
      <c r="AH27" s="12">
        <f t="shared" si="8"/>
        <v>15.2</v>
      </c>
      <c r="AI27" s="11">
        <f t="shared" si="9"/>
        <v>15.2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25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25">
      <c r="A29" s="89" t="s">
        <v>238</v>
      </c>
      <c r="B29" s="102">
        <v>10.7</v>
      </c>
      <c r="C29" s="102">
        <v>10.7</v>
      </c>
      <c r="D29" s="102">
        <v>10.7</v>
      </c>
      <c r="E29" s="102">
        <v>10.7</v>
      </c>
      <c r="F29" s="102">
        <v>10.7</v>
      </c>
      <c r="G29" s="102">
        <v>10.7</v>
      </c>
      <c r="H29" s="102">
        <v>10.7</v>
      </c>
      <c r="I29" s="102">
        <v>10.7</v>
      </c>
      <c r="J29" s="102">
        <v>10.7</v>
      </c>
      <c r="K29" s="102">
        <v>10.7</v>
      </c>
      <c r="L29" s="102">
        <v>10.7</v>
      </c>
      <c r="M29" s="102">
        <v>10.7</v>
      </c>
      <c r="N29" s="102">
        <v>10.7</v>
      </c>
      <c r="O29" s="102">
        <v>10.7</v>
      </c>
      <c r="P29" s="102">
        <v>10.7</v>
      </c>
      <c r="Q29" s="102">
        <v>10.7</v>
      </c>
      <c r="R29" s="102">
        <v>10.7</v>
      </c>
      <c r="S29" s="102">
        <v>10.7</v>
      </c>
      <c r="T29" s="102">
        <v>10.7</v>
      </c>
      <c r="U29" s="102">
        <v>10.7</v>
      </c>
      <c r="V29" s="102">
        <v>10.7</v>
      </c>
      <c r="W29" s="102">
        <v>10.7</v>
      </c>
      <c r="X29" s="102">
        <v>10.7</v>
      </c>
      <c r="Y29" s="102">
        <v>10.7</v>
      </c>
      <c r="Z29" s="102">
        <v>10.7</v>
      </c>
      <c r="AA29" s="102">
        <v>10.7</v>
      </c>
      <c r="AB29" s="102">
        <v>10.7</v>
      </c>
      <c r="AC29" s="102">
        <v>10.7</v>
      </c>
      <c r="AD29" s="102">
        <v>10.7</v>
      </c>
      <c r="AE29" s="102">
        <v>10.7</v>
      </c>
      <c r="AF29" s="102">
        <v>10.7</v>
      </c>
      <c r="AG29" s="130">
        <v>25</v>
      </c>
      <c r="AH29" s="12">
        <f t="shared" si="8"/>
        <v>10.7</v>
      </c>
      <c r="AI29" s="11">
        <f t="shared" si="9"/>
        <v>10.7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25">
      <c r="A30" s="89" t="s">
        <v>237</v>
      </c>
      <c r="B30" s="102">
        <v>5.2</v>
      </c>
      <c r="C30" s="102">
        <v>5.2</v>
      </c>
      <c r="D30" s="102">
        <v>5.2</v>
      </c>
      <c r="E30" s="102">
        <v>5.2</v>
      </c>
      <c r="F30" s="102">
        <v>5.2</v>
      </c>
      <c r="G30" s="102">
        <v>5.2</v>
      </c>
      <c r="H30" s="102">
        <v>5.2</v>
      </c>
      <c r="I30" s="102">
        <v>5.2</v>
      </c>
      <c r="J30" s="102">
        <v>5.2</v>
      </c>
      <c r="K30" s="102">
        <v>5.2</v>
      </c>
      <c r="L30" s="102">
        <v>5.2</v>
      </c>
      <c r="M30" s="102">
        <v>5.2</v>
      </c>
      <c r="N30" s="102">
        <v>5.2</v>
      </c>
      <c r="O30" s="102">
        <v>5.2</v>
      </c>
      <c r="P30" s="102">
        <v>5.2</v>
      </c>
      <c r="Q30" s="102">
        <v>5.2</v>
      </c>
      <c r="R30" s="102">
        <v>5.2</v>
      </c>
      <c r="S30" s="102">
        <v>5.2</v>
      </c>
      <c r="T30" s="102">
        <v>5.2</v>
      </c>
      <c r="U30" s="102">
        <v>5.2</v>
      </c>
      <c r="V30" s="102">
        <v>5.2</v>
      </c>
      <c r="W30" s="102">
        <v>5.2</v>
      </c>
      <c r="X30" s="102">
        <v>5.2</v>
      </c>
      <c r="Y30" s="102">
        <v>5.2</v>
      </c>
      <c r="Z30" s="102">
        <v>5.2</v>
      </c>
      <c r="AA30" s="102">
        <v>5.2</v>
      </c>
      <c r="AB30" s="102">
        <v>5.2</v>
      </c>
      <c r="AC30" s="102">
        <v>5.2</v>
      </c>
      <c r="AD30" s="102">
        <v>5.2</v>
      </c>
      <c r="AE30" s="102">
        <v>5.2</v>
      </c>
      <c r="AF30" s="102">
        <v>5.2</v>
      </c>
      <c r="AG30" s="130">
        <v>23.5</v>
      </c>
      <c r="AH30" s="12">
        <f t="shared" si="8"/>
        <v>5.2</v>
      </c>
      <c r="AI30" s="11">
        <f t="shared" si="9"/>
        <v>5.2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25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25">
      <c r="A32" s="89" t="s">
        <v>235</v>
      </c>
      <c r="B32" s="102">
        <v>5.5</v>
      </c>
      <c r="C32" s="102">
        <v>5.5</v>
      </c>
      <c r="D32" s="102">
        <v>5.5</v>
      </c>
      <c r="E32" s="102">
        <v>5.5</v>
      </c>
      <c r="F32" s="102">
        <v>5.5</v>
      </c>
      <c r="G32" s="102">
        <v>5.5</v>
      </c>
      <c r="H32" s="102">
        <v>5.5</v>
      </c>
      <c r="I32" s="102">
        <v>5.5</v>
      </c>
      <c r="J32" s="102">
        <v>5.5</v>
      </c>
      <c r="K32" s="102">
        <v>5.5</v>
      </c>
      <c r="L32" s="102">
        <v>5.5</v>
      </c>
      <c r="M32" s="102">
        <v>5.5</v>
      </c>
      <c r="N32" s="102">
        <v>5.5</v>
      </c>
      <c r="O32" s="102">
        <v>5.5</v>
      </c>
      <c r="P32" s="102">
        <v>5.5</v>
      </c>
      <c r="Q32" s="102">
        <v>5.5</v>
      </c>
      <c r="R32" s="102">
        <v>5.5</v>
      </c>
      <c r="S32" s="102">
        <v>5.5</v>
      </c>
      <c r="T32" s="102">
        <v>5.5</v>
      </c>
      <c r="U32" s="102">
        <v>5.5</v>
      </c>
      <c r="V32" s="102">
        <v>5.5</v>
      </c>
      <c r="W32" s="102">
        <v>5.5</v>
      </c>
      <c r="X32" s="102">
        <v>5.5</v>
      </c>
      <c r="Y32" s="102">
        <v>5.5</v>
      </c>
      <c r="Z32" s="102">
        <v>5.5</v>
      </c>
      <c r="AA32" s="102">
        <v>5.5</v>
      </c>
      <c r="AB32" s="102">
        <v>5.5</v>
      </c>
      <c r="AC32" s="102">
        <v>5.5</v>
      </c>
      <c r="AD32" s="102">
        <v>5.5</v>
      </c>
      <c r="AE32" s="102">
        <v>5.5</v>
      </c>
      <c r="AF32" s="102">
        <v>5.5</v>
      </c>
      <c r="AG32" s="130">
        <v>22.1</v>
      </c>
      <c r="AH32" s="12">
        <f t="shared" si="8"/>
        <v>5.5</v>
      </c>
      <c r="AI32" s="11">
        <f t="shared" si="9"/>
        <v>5.5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25">
      <c r="A33" s="89" t="s">
        <v>234</v>
      </c>
      <c r="B33" s="102">
        <v>8</v>
      </c>
      <c r="C33" s="102">
        <v>8</v>
      </c>
      <c r="D33" s="102">
        <v>8</v>
      </c>
      <c r="E33" s="102">
        <v>8</v>
      </c>
      <c r="F33" s="102">
        <v>8</v>
      </c>
      <c r="G33" s="102">
        <v>8</v>
      </c>
      <c r="H33" s="102">
        <v>8</v>
      </c>
      <c r="I33" s="102">
        <v>8</v>
      </c>
      <c r="J33" s="102">
        <v>8</v>
      </c>
      <c r="K33" s="102">
        <v>8</v>
      </c>
      <c r="L33" s="102">
        <v>8</v>
      </c>
      <c r="M33" s="102">
        <v>8</v>
      </c>
      <c r="N33" s="102">
        <v>8</v>
      </c>
      <c r="O33" s="102">
        <v>8</v>
      </c>
      <c r="P33" s="102">
        <v>8</v>
      </c>
      <c r="Q33" s="102">
        <v>8</v>
      </c>
      <c r="R33" s="102">
        <v>8</v>
      </c>
      <c r="S33" s="102">
        <v>8</v>
      </c>
      <c r="T33" s="102">
        <v>8</v>
      </c>
      <c r="U33" s="102">
        <v>8</v>
      </c>
      <c r="V33" s="102">
        <v>8</v>
      </c>
      <c r="W33" s="102">
        <v>8</v>
      </c>
      <c r="X33" s="102">
        <v>8</v>
      </c>
      <c r="Y33" s="102">
        <v>8</v>
      </c>
      <c r="Z33" s="102">
        <v>8</v>
      </c>
      <c r="AA33" s="102">
        <v>8</v>
      </c>
      <c r="AB33" s="102">
        <v>8</v>
      </c>
      <c r="AC33" s="102">
        <v>8</v>
      </c>
      <c r="AD33" s="102">
        <v>8</v>
      </c>
      <c r="AE33" s="102">
        <v>8</v>
      </c>
      <c r="AF33" s="102">
        <v>8</v>
      </c>
      <c r="AG33" s="130">
        <v>22</v>
      </c>
      <c r="AH33" s="12">
        <f t="shared" si="8"/>
        <v>8</v>
      </c>
      <c r="AI33" s="11">
        <f t="shared" si="9"/>
        <v>8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25">
      <c r="A34" s="89" t="s">
        <v>233</v>
      </c>
      <c r="B34" s="102">
        <v>10</v>
      </c>
      <c r="C34" s="102">
        <v>10</v>
      </c>
      <c r="D34" s="102">
        <v>10</v>
      </c>
      <c r="E34" s="102">
        <v>10</v>
      </c>
      <c r="F34" s="102">
        <v>10</v>
      </c>
      <c r="G34" s="102">
        <v>10</v>
      </c>
      <c r="H34" s="102">
        <v>10</v>
      </c>
      <c r="I34" s="102">
        <v>10</v>
      </c>
      <c r="J34" s="102">
        <v>10</v>
      </c>
      <c r="K34" s="102">
        <v>10</v>
      </c>
      <c r="L34" s="102">
        <v>10</v>
      </c>
      <c r="M34" s="102">
        <v>10</v>
      </c>
      <c r="N34" s="102">
        <v>10</v>
      </c>
      <c r="O34" s="102">
        <v>10</v>
      </c>
      <c r="P34" s="102">
        <v>10</v>
      </c>
      <c r="Q34" s="102">
        <v>10</v>
      </c>
      <c r="R34" s="102">
        <v>10</v>
      </c>
      <c r="S34" s="102">
        <v>10</v>
      </c>
      <c r="T34" s="102">
        <v>10</v>
      </c>
      <c r="U34" s="102">
        <v>10</v>
      </c>
      <c r="V34" s="102">
        <v>10</v>
      </c>
      <c r="W34" s="102">
        <v>10</v>
      </c>
      <c r="X34" s="102">
        <v>10</v>
      </c>
      <c r="Y34" s="102">
        <v>10</v>
      </c>
      <c r="Z34" s="102">
        <v>10</v>
      </c>
      <c r="AA34" s="102">
        <v>10</v>
      </c>
      <c r="AB34" s="102">
        <v>10</v>
      </c>
      <c r="AC34" s="102">
        <v>10</v>
      </c>
      <c r="AD34" s="102">
        <v>10</v>
      </c>
      <c r="AE34" s="102">
        <v>10</v>
      </c>
      <c r="AF34" s="102">
        <v>10</v>
      </c>
      <c r="AG34" s="130">
        <v>22</v>
      </c>
      <c r="AH34" s="12">
        <f t="shared" si="8"/>
        <v>10</v>
      </c>
      <c r="AI34" s="11">
        <f t="shared" si="9"/>
        <v>10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25">
      <c r="A35" s="89" t="s">
        <v>232</v>
      </c>
      <c r="B35" s="102">
        <v>9.4</v>
      </c>
      <c r="C35" s="102">
        <v>9.4</v>
      </c>
      <c r="D35" s="102">
        <v>9.4</v>
      </c>
      <c r="E35" s="102">
        <v>9.4</v>
      </c>
      <c r="F35" s="102">
        <v>9.4</v>
      </c>
      <c r="G35" s="102">
        <v>9.4</v>
      </c>
      <c r="H35" s="102">
        <v>9.4</v>
      </c>
      <c r="I35" s="102">
        <v>9.4</v>
      </c>
      <c r="J35" s="102">
        <v>9.4</v>
      </c>
      <c r="K35" s="102">
        <v>9.4</v>
      </c>
      <c r="L35" s="102">
        <v>9.4</v>
      </c>
      <c r="M35" s="102">
        <v>9.4</v>
      </c>
      <c r="N35" s="102">
        <v>9.4</v>
      </c>
      <c r="O35" s="102">
        <v>9.4</v>
      </c>
      <c r="P35" s="102">
        <v>9.4</v>
      </c>
      <c r="Q35" s="102">
        <v>9.4</v>
      </c>
      <c r="R35" s="102">
        <v>9.4</v>
      </c>
      <c r="S35" s="102">
        <v>9.4</v>
      </c>
      <c r="T35" s="102">
        <v>9.4</v>
      </c>
      <c r="U35" s="102">
        <v>9.4</v>
      </c>
      <c r="V35" s="102">
        <v>9.4</v>
      </c>
      <c r="W35" s="102">
        <v>9.4</v>
      </c>
      <c r="X35" s="102">
        <v>9.4</v>
      </c>
      <c r="Y35" s="102">
        <v>9.4</v>
      </c>
      <c r="Z35" s="102">
        <v>9.4</v>
      </c>
      <c r="AA35" s="102">
        <v>9.4</v>
      </c>
      <c r="AB35" s="102">
        <v>9.4</v>
      </c>
      <c r="AC35" s="102">
        <v>9.4</v>
      </c>
      <c r="AD35" s="102">
        <v>9.4</v>
      </c>
      <c r="AE35" s="102">
        <v>9.4</v>
      </c>
      <c r="AF35" s="102">
        <v>9.4</v>
      </c>
      <c r="AG35" s="130">
        <v>20</v>
      </c>
      <c r="AH35" s="12">
        <f t="shared" si="8"/>
        <v>9.4</v>
      </c>
      <c r="AI35" s="11">
        <f t="shared" si="9"/>
        <v>9.4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25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25">
      <c r="A37" s="89" t="s">
        <v>230</v>
      </c>
      <c r="B37" s="102">
        <v>0</v>
      </c>
      <c r="C37" s="102">
        <v>0</v>
      </c>
      <c r="D37" s="102">
        <v>0</v>
      </c>
      <c r="E37" s="102">
        <v>0</v>
      </c>
      <c r="F37" s="102">
        <v>0</v>
      </c>
      <c r="G37" s="102">
        <v>0</v>
      </c>
      <c r="H37" s="102">
        <v>0</v>
      </c>
      <c r="I37" s="102">
        <v>0</v>
      </c>
      <c r="J37" s="102">
        <v>0</v>
      </c>
      <c r="K37" s="102">
        <v>0</v>
      </c>
      <c r="L37" s="102">
        <v>0</v>
      </c>
      <c r="M37" s="102">
        <v>0</v>
      </c>
      <c r="N37" s="102">
        <v>0</v>
      </c>
      <c r="O37" s="102">
        <v>0</v>
      </c>
      <c r="P37" s="102">
        <v>0</v>
      </c>
      <c r="Q37" s="102">
        <v>0</v>
      </c>
      <c r="R37" s="102">
        <v>0</v>
      </c>
      <c r="S37" s="102">
        <v>0</v>
      </c>
      <c r="T37" s="102">
        <v>0</v>
      </c>
      <c r="U37" s="102">
        <v>0</v>
      </c>
      <c r="V37" s="102">
        <v>0</v>
      </c>
      <c r="W37" s="102">
        <v>0</v>
      </c>
      <c r="X37" s="102">
        <v>0</v>
      </c>
      <c r="Y37" s="102">
        <v>0</v>
      </c>
      <c r="Z37" s="102">
        <v>0</v>
      </c>
      <c r="AA37" s="102">
        <v>0</v>
      </c>
      <c r="AB37" s="102">
        <v>0</v>
      </c>
      <c r="AC37" s="102">
        <v>0</v>
      </c>
      <c r="AD37" s="102">
        <v>0</v>
      </c>
      <c r="AE37" s="102">
        <v>0</v>
      </c>
      <c r="AF37" s="102">
        <v>0</v>
      </c>
      <c r="AG37" s="130">
        <v>18</v>
      </c>
      <c r="AH37" s="12">
        <f t="shared" si="8"/>
        <v>0</v>
      </c>
      <c r="AI37" s="11">
        <f t="shared" si="9"/>
        <v>0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25">
      <c r="A38" s="89" t="s">
        <v>229</v>
      </c>
      <c r="B38" s="102">
        <v>7</v>
      </c>
      <c r="C38" s="102">
        <v>7</v>
      </c>
      <c r="D38" s="102">
        <v>7</v>
      </c>
      <c r="E38" s="102">
        <v>7</v>
      </c>
      <c r="F38" s="102">
        <v>7</v>
      </c>
      <c r="G38" s="102">
        <v>7</v>
      </c>
      <c r="H38" s="102">
        <v>7</v>
      </c>
      <c r="I38" s="102">
        <v>7</v>
      </c>
      <c r="J38" s="102">
        <v>7</v>
      </c>
      <c r="K38" s="102">
        <v>7</v>
      </c>
      <c r="L38" s="102">
        <v>7</v>
      </c>
      <c r="M38" s="102">
        <v>7</v>
      </c>
      <c r="N38" s="102">
        <v>7</v>
      </c>
      <c r="O38" s="102">
        <v>7</v>
      </c>
      <c r="P38" s="102">
        <v>7</v>
      </c>
      <c r="Q38" s="102">
        <v>7</v>
      </c>
      <c r="R38" s="102">
        <v>7</v>
      </c>
      <c r="S38" s="102">
        <v>7</v>
      </c>
      <c r="T38" s="102">
        <v>7</v>
      </c>
      <c r="U38" s="102">
        <v>7</v>
      </c>
      <c r="V38" s="102">
        <v>7</v>
      </c>
      <c r="W38" s="102">
        <v>7</v>
      </c>
      <c r="X38" s="102">
        <v>7</v>
      </c>
      <c r="Y38" s="102">
        <v>7</v>
      </c>
      <c r="Z38" s="102">
        <v>7</v>
      </c>
      <c r="AA38" s="102">
        <v>7</v>
      </c>
      <c r="AB38" s="102">
        <v>7</v>
      </c>
      <c r="AC38" s="102">
        <v>7</v>
      </c>
      <c r="AD38" s="102">
        <v>7</v>
      </c>
      <c r="AE38" s="102">
        <v>7</v>
      </c>
      <c r="AF38" s="102">
        <v>7</v>
      </c>
      <c r="AG38" s="130">
        <v>14.9</v>
      </c>
      <c r="AH38" s="12">
        <f t="shared" si="8"/>
        <v>7</v>
      </c>
      <c r="AI38" s="11">
        <f t="shared" si="9"/>
        <v>7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25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25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25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25">
      <c r="A42" s="89" t="s">
        <v>225</v>
      </c>
      <c r="B42" s="102">
        <v>6</v>
      </c>
      <c r="C42" s="102">
        <v>6</v>
      </c>
      <c r="D42" s="102">
        <v>6</v>
      </c>
      <c r="E42" s="102">
        <v>6</v>
      </c>
      <c r="F42" s="102">
        <v>6</v>
      </c>
      <c r="G42" s="102">
        <v>6</v>
      </c>
      <c r="H42" s="102">
        <v>6</v>
      </c>
      <c r="I42" s="102">
        <v>6</v>
      </c>
      <c r="J42" s="102">
        <v>6</v>
      </c>
      <c r="K42" s="102">
        <v>6</v>
      </c>
      <c r="L42" s="102">
        <v>6</v>
      </c>
      <c r="M42" s="102">
        <v>6</v>
      </c>
      <c r="N42" s="102">
        <v>6</v>
      </c>
      <c r="O42" s="102">
        <v>6</v>
      </c>
      <c r="P42" s="102">
        <v>6</v>
      </c>
      <c r="Q42" s="102">
        <v>6</v>
      </c>
      <c r="R42" s="102">
        <v>6</v>
      </c>
      <c r="S42" s="102">
        <v>6</v>
      </c>
      <c r="T42" s="102">
        <v>6</v>
      </c>
      <c r="U42" s="102">
        <v>6</v>
      </c>
      <c r="V42" s="102">
        <v>6</v>
      </c>
      <c r="W42" s="102">
        <v>6</v>
      </c>
      <c r="X42" s="102">
        <v>6</v>
      </c>
      <c r="Y42" s="102">
        <v>6</v>
      </c>
      <c r="Z42" s="102">
        <v>6</v>
      </c>
      <c r="AA42" s="102">
        <v>6</v>
      </c>
      <c r="AB42" s="102">
        <v>6</v>
      </c>
      <c r="AC42" s="102">
        <v>6</v>
      </c>
      <c r="AD42" s="102">
        <v>6</v>
      </c>
      <c r="AE42" s="102">
        <v>6</v>
      </c>
      <c r="AF42" s="102">
        <v>6</v>
      </c>
      <c r="AG42" s="130">
        <v>13.6</v>
      </c>
      <c r="AH42" s="12">
        <f t="shared" si="8"/>
        <v>6</v>
      </c>
      <c r="AI42" s="11">
        <f t="shared" si="9"/>
        <v>6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25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25">
      <c r="A44" s="89" t="s">
        <v>223</v>
      </c>
      <c r="B44" s="102">
        <v>6.4</v>
      </c>
      <c r="C44" s="102">
        <v>6.4</v>
      </c>
      <c r="D44" s="102">
        <v>6.4</v>
      </c>
      <c r="E44" s="102">
        <v>6.4</v>
      </c>
      <c r="F44" s="102">
        <v>6.4</v>
      </c>
      <c r="G44" s="102">
        <v>6.4</v>
      </c>
      <c r="H44" s="102">
        <v>6.4</v>
      </c>
      <c r="I44" s="102">
        <v>6.4</v>
      </c>
      <c r="J44" s="102">
        <v>6.4</v>
      </c>
      <c r="K44" s="102">
        <v>6.4</v>
      </c>
      <c r="L44" s="102">
        <v>6.4</v>
      </c>
      <c r="M44" s="102">
        <v>6.4</v>
      </c>
      <c r="N44" s="102">
        <v>6.4</v>
      </c>
      <c r="O44" s="102">
        <v>6.4</v>
      </c>
      <c r="P44" s="102">
        <v>6.4</v>
      </c>
      <c r="Q44" s="102">
        <v>6.4</v>
      </c>
      <c r="R44" s="102">
        <v>6.4</v>
      </c>
      <c r="S44" s="102">
        <v>6.4</v>
      </c>
      <c r="T44" s="102">
        <v>6.4</v>
      </c>
      <c r="U44" s="102">
        <v>6.4</v>
      </c>
      <c r="V44" s="102">
        <v>6.4</v>
      </c>
      <c r="W44" s="102">
        <v>6.4</v>
      </c>
      <c r="X44" s="102">
        <v>6.4</v>
      </c>
      <c r="Y44" s="102">
        <v>6.4</v>
      </c>
      <c r="Z44" s="102">
        <v>6.4</v>
      </c>
      <c r="AA44" s="102">
        <v>6.4</v>
      </c>
      <c r="AB44" s="102">
        <v>6.4</v>
      </c>
      <c r="AC44" s="102">
        <v>6.4</v>
      </c>
      <c r="AD44" s="102">
        <v>6.4</v>
      </c>
      <c r="AE44" s="102">
        <v>6.4</v>
      </c>
      <c r="AF44" s="102">
        <v>6.4</v>
      </c>
      <c r="AG44" s="130">
        <v>12</v>
      </c>
      <c r="AH44" s="12">
        <f t="shared" si="8"/>
        <v>6.4</v>
      </c>
      <c r="AI44" s="11">
        <f t="shared" si="9"/>
        <v>6.4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25">
      <c r="A45" s="89" t="s">
        <v>222</v>
      </c>
      <c r="B45" s="102">
        <v>9</v>
      </c>
      <c r="C45" s="102">
        <v>9</v>
      </c>
      <c r="D45" s="102">
        <v>9</v>
      </c>
      <c r="E45" s="102">
        <v>9</v>
      </c>
      <c r="F45" s="102">
        <v>9</v>
      </c>
      <c r="G45" s="102">
        <v>9</v>
      </c>
      <c r="H45" s="102">
        <v>9</v>
      </c>
      <c r="I45" s="102">
        <v>9</v>
      </c>
      <c r="J45" s="102">
        <v>9</v>
      </c>
      <c r="K45" s="102">
        <v>9</v>
      </c>
      <c r="L45" s="102">
        <v>9</v>
      </c>
      <c r="M45" s="102">
        <v>9</v>
      </c>
      <c r="N45" s="102">
        <v>9</v>
      </c>
      <c r="O45" s="102">
        <v>9</v>
      </c>
      <c r="P45" s="102">
        <v>9</v>
      </c>
      <c r="Q45" s="102">
        <v>9</v>
      </c>
      <c r="R45" s="102">
        <v>9</v>
      </c>
      <c r="S45" s="102">
        <v>9</v>
      </c>
      <c r="T45" s="102">
        <v>9</v>
      </c>
      <c r="U45" s="102">
        <v>9</v>
      </c>
      <c r="V45" s="102">
        <v>9</v>
      </c>
      <c r="W45" s="102">
        <v>9</v>
      </c>
      <c r="X45" s="102">
        <v>9</v>
      </c>
      <c r="Y45" s="102">
        <v>9</v>
      </c>
      <c r="Z45" s="102">
        <v>9</v>
      </c>
      <c r="AA45" s="102">
        <v>9</v>
      </c>
      <c r="AB45" s="102">
        <v>9</v>
      </c>
      <c r="AC45" s="102">
        <v>9</v>
      </c>
      <c r="AD45" s="102">
        <v>9</v>
      </c>
      <c r="AE45" s="102">
        <v>9</v>
      </c>
      <c r="AF45" s="102">
        <v>9</v>
      </c>
      <c r="AG45" s="130">
        <v>12</v>
      </c>
      <c r="AH45" s="12">
        <f t="shared" si="8"/>
        <v>9</v>
      </c>
      <c r="AI45" s="11">
        <f t="shared" si="9"/>
        <v>9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25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25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25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25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25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25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25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25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25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25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25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.75" thickBot="1" x14ac:dyDescent="0.3">
      <c r="A57" s="124" t="s">
        <v>210</v>
      </c>
      <c r="B57" s="122">
        <v>22.4</v>
      </c>
      <c r="C57" s="122">
        <f>7.1+18.2</f>
        <v>25.299999999999997</v>
      </c>
      <c r="D57" s="122">
        <f>7.1+18.2</f>
        <v>25.299999999999997</v>
      </c>
      <c r="E57" s="122">
        <f>7.1+18.2</f>
        <v>25.299999999999997</v>
      </c>
      <c r="F57" s="122">
        <f>7.1+18.2</f>
        <v>25.299999999999997</v>
      </c>
      <c r="G57" s="122"/>
      <c r="H57" s="122"/>
      <c r="I57" s="122">
        <f>26+18</f>
        <v>44</v>
      </c>
      <c r="J57" s="122"/>
      <c r="K57" s="123">
        <v>48.6</v>
      </c>
      <c r="L57" s="123">
        <v>46.6</v>
      </c>
      <c r="M57" s="123">
        <v>46.6</v>
      </c>
      <c r="N57" s="123">
        <v>46.6</v>
      </c>
      <c r="O57" s="123"/>
      <c r="P57" s="123">
        <v>58</v>
      </c>
      <c r="Q57" s="123">
        <v>57.2</v>
      </c>
      <c r="R57" s="123">
        <v>49.2</v>
      </c>
      <c r="S57" s="123">
        <v>49.2</v>
      </c>
      <c r="T57" s="123">
        <v>54</v>
      </c>
      <c r="U57" s="123">
        <v>47</v>
      </c>
      <c r="V57" s="123">
        <v>47</v>
      </c>
      <c r="W57" s="123">
        <v>47</v>
      </c>
      <c r="X57" s="123">
        <v>47</v>
      </c>
      <c r="Y57" s="123">
        <v>34</v>
      </c>
      <c r="Z57" s="122">
        <v>33.799999999999997</v>
      </c>
      <c r="AA57" s="122"/>
      <c r="AB57" s="122"/>
      <c r="AC57" s="122"/>
      <c r="AD57" s="122"/>
      <c r="AE57" s="122"/>
      <c r="AF57" s="122"/>
      <c r="AG57" s="86">
        <v>240</v>
      </c>
      <c r="AH57" s="12">
        <f t="shared" si="8"/>
        <v>58</v>
      </c>
      <c r="AI57" s="11">
        <f t="shared" si="9"/>
        <v>22.4</v>
      </c>
      <c r="AK57" s="19"/>
    </row>
    <row r="58" spans="1:88" ht="15.75" thickBot="1" x14ac:dyDescent="0.3">
      <c r="A58" s="121" t="s">
        <v>209</v>
      </c>
      <c r="B58" s="76">
        <f t="shared" ref="B58:AB58" si="22">SUM(B11:B56)</f>
        <v>575.09999999999991</v>
      </c>
      <c r="C58" s="76">
        <f t="shared" si="22"/>
        <v>573.89999999999986</v>
      </c>
      <c r="D58" s="76">
        <f t="shared" si="22"/>
        <v>573.89999999999986</v>
      </c>
      <c r="E58" s="76">
        <f t="shared" si="22"/>
        <v>573.89999999999986</v>
      </c>
      <c r="F58" s="76">
        <f t="shared" si="22"/>
        <v>573.89999999999986</v>
      </c>
      <c r="G58" s="76">
        <f t="shared" si="22"/>
        <v>573.89999999999986</v>
      </c>
      <c r="H58" s="76">
        <f t="shared" si="22"/>
        <v>573.89999999999986</v>
      </c>
      <c r="I58" s="76">
        <f t="shared" si="22"/>
        <v>573.89999999999986</v>
      </c>
      <c r="J58" s="76">
        <f t="shared" si="22"/>
        <v>573.89999999999986</v>
      </c>
      <c r="K58" s="76">
        <f>SUM(K11:K56)</f>
        <v>573.89999999999986</v>
      </c>
      <c r="L58" s="76">
        <f t="shared" si="22"/>
        <v>573.89999999999986</v>
      </c>
      <c r="M58" s="76">
        <f t="shared" si="22"/>
        <v>573.89999999999986</v>
      </c>
      <c r="N58" s="76">
        <f t="shared" ref="N58" si="23">SUM(N11:N56)</f>
        <v>571.59999999999991</v>
      </c>
      <c r="O58" s="76">
        <f t="shared" si="22"/>
        <v>571.59999999999991</v>
      </c>
      <c r="P58" s="76">
        <f t="shared" ref="P58" si="24">SUM(P11:P56)</f>
        <v>574.89999999999986</v>
      </c>
      <c r="Q58" s="76">
        <f t="shared" si="22"/>
        <v>571</v>
      </c>
      <c r="R58" s="76">
        <f t="shared" si="22"/>
        <v>562.39999999999986</v>
      </c>
      <c r="S58" s="76">
        <f t="shared" si="22"/>
        <v>562.39999999999986</v>
      </c>
      <c r="T58" s="76">
        <f t="shared" ref="T58:U58" si="25">SUM(T11:T56)</f>
        <v>562.39999999999986</v>
      </c>
      <c r="U58" s="76">
        <f t="shared" si="25"/>
        <v>562.39999999999986</v>
      </c>
      <c r="V58" s="76">
        <f t="shared" ref="V58:W58" si="26">SUM(V11:V56)</f>
        <v>562.39999999999986</v>
      </c>
      <c r="W58" s="76">
        <f t="shared" si="26"/>
        <v>562.39999999999986</v>
      </c>
      <c r="X58" s="76">
        <f t="shared" ref="X58:Z58" si="27">SUM(X11:X56)</f>
        <v>562.39999999999986</v>
      </c>
      <c r="Y58" s="76">
        <f t="shared" si="27"/>
        <v>562.39999999999986</v>
      </c>
      <c r="Z58" s="76">
        <f t="shared" si="27"/>
        <v>562.39999999999986</v>
      </c>
      <c r="AA58" s="76">
        <f t="shared" ref="AA58" si="28">SUM(AA11:AA56)</f>
        <v>562.39999999999986</v>
      </c>
      <c r="AB58" s="76">
        <f t="shared" si="22"/>
        <v>563.79999999999995</v>
      </c>
      <c r="AC58" s="76">
        <f t="shared" ref="AC58:AE58" si="29">SUM(AC11:AC56)</f>
        <v>563.79999999999995</v>
      </c>
      <c r="AD58" s="76">
        <f t="shared" si="29"/>
        <v>563.79999999999995</v>
      </c>
      <c r="AE58" s="76">
        <f t="shared" si="29"/>
        <v>563.79999999999995</v>
      </c>
      <c r="AF58" s="76">
        <f t="shared" ref="AF58" si="30">SUM(AF11:AF56)</f>
        <v>563.79999999999995</v>
      </c>
      <c r="AG58" s="93">
        <f>SUM(AG14:AG56)</f>
        <v>1042.4000000000001</v>
      </c>
      <c r="AH58" s="12">
        <f t="shared" si="8"/>
        <v>575.09999999999991</v>
      </c>
      <c r="AI58" s="11">
        <f t="shared" si="9"/>
        <v>562.39999999999986</v>
      </c>
      <c r="AK58" s="19"/>
    </row>
    <row r="59" spans="1:88" x14ac:dyDescent="0.25">
      <c r="A59" s="120" t="s">
        <v>208</v>
      </c>
      <c r="B59" s="102">
        <v>261.10000000000002</v>
      </c>
      <c r="C59" s="102">
        <v>200</v>
      </c>
      <c r="D59" s="102">
        <v>100</v>
      </c>
      <c r="E59" s="102">
        <v>100</v>
      </c>
      <c r="F59" s="102">
        <v>100</v>
      </c>
      <c r="G59" s="102">
        <v>100</v>
      </c>
      <c r="H59" s="102">
        <v>120</v>
      </c>
      <c r="I59" s="102">
        <v>152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19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19">
        <v>0</v>
      </c>
      <c r="X59" s="119">
        <v>0</v>
      </c>
      <c r="Y59" s="119">
        <v>435</v>
      </c>
      <c r="Z59" s="102">
        <v>458.1</v>
      </c>
      <c r="AA59" s="102">
        <v>458.1</v>
      </c>
      <c r="AB59" s="102">
        <v>433.7</v>
      </c>
      <c r="AC59" s="102">
        <v>400</v>
      </c>
      <c r="AD59" s="102">
        <v>373</v>
      </c>
      <c r="AE59" s="102">
        <v>230</v>
      </c>
      <c r="AF59" s="102">
        <v>200</v>
      </c>
      <c r="AG59" s="88">
        <v>456</v>
      </c>
      <c r="AH59" s="12">
        <f t="shared" si="8"/>
        <v>458.1</v>
      </c>
      <c r="AI59" s="11">
        <f t="shared" si="9"/>
        <v>0</v>
      </c>
      <c r="AK59" s="19"/>
    </row>
    <row r="60" spans="1:88" x14ac:dyDescent="0.25">
      <c r="A60" s="118" t="s">
        <v>207</v>
      </c>
      <c r="B60" s="70">
        <v>20.6</v>
      </c>
      <c r="C60" s="70">
        <v>21.2</v>
      </c>
      <c r="D60" s="70">
        <v>21.5</v>
      </c>
      <c r="E60" s="70">
        <v>21.5</v>
      </c>
      <c r="F60" s="70">
        <v>21.5</v>
      </c>
      <c r="G60" s="70">
        <v>21.5</v>
      </c>
      <c r="H60" s="70">
        <v>21.5</v>
      </c>
      <c r="I60" s="70">
        <v>21.5</v>
      </c>
      <c r="J60" s="70">
        <v>21.5</v>
      </c>
      <c r="K60" s="70">
        <v>21.5</v>
      </c>
      <c r="L60" s="70">
        <v>21.5</v>
      </c>
      <c r="M60" s="70">
        <v>21.5</v>
      </c>
      <c r="N60" s="70">
        <v>21.5</v>
      </c>
      <c r="O60" s="70">
        <v>20.9</v>
      </c>
      <c r="P60" s="70">
        <v>20.9</v>
      </c>
      <c r="Q60" s="70">
        <v>21.3</v>
      </c>
      <c r="R60" s="70">
        <v>22.3</v>
      </c>
      <c r="S60" s="70">
        <v>22.3</v>
      </c>
      <c r="T60" s="70">
        <v>22.3</v>
      </c>
      <c r="U60" s="70">
        <v>22.3</v>
      </c>
      <c r="V60" s="70">
        <v>22.3</v>
      </c>
      <c r="W60" s="70">
        <v>22.3</v>
      </c>
      <c r="X60" s="70">
        <v>22.3</v>
      </c>
      <c r="Y60" s="70">
        <v>22.3</v>
      </c>
      <c r="Z60" s="70">
        <v>22.3</v>
      </c>
      <c r="AA60" s="70">
        <v>22.3</v>
      </c>
      <c r="AB60" s="70">
        <v>22</v>
      </c>
      <c r="AC60" s="70">
        <v>22</v>
      </c>
      <c r="AD60" s="70">
        <v>22</v>
      </c>
      <c r="AE60" s="70">
        <v>22</v>
      </c>
      <c r="AF60" s="70">
        <v>22</v>
      </c>
      <c r="AG60" s="86">
        <v>60</v>
      </c>
      <c r="AH60" s="12">
        <f t="shared" si="8"/>
        <v>22.3</v>
      </c>
      <c r="AI60" s="11">
        <f t="shared" si="9"/>
        <v>20.6</v>
      </c>
      <c r="AK60" s="19"/>
    </row>
    <row r="61" spans="1:88" ht="15.75" thickBot="1" x14ac:dyDescent="0.3">
      <c r="A61" s="117" t="s">
        <v>206</v>
      </c>
      <c r="B61" s="110">
        <v>22.4</v>
      </c>
      <c r="C61" s="110">
        <v>22.4</v>
      </c>
      <c r="D61" s="110">
        <v>22.4</v>
      </c>
      <c r="E61" s="110">
        <v>22.4</v>
      </c>
      <c r="F61" s="110">
        <v>20</v>
      </c>
      <c r="G61" s="110">
        <v>20</v>
      </c>
      <c r="H61" s="110">
        <v>20</v>
      </c>
      <c r="I61" s="110">
        <v>20</v>
      </c>
      <c r="J61" s="110">
        <v>20</v>
      </c>
      <c r="K61" s="110">
        <v>20</v>
      </c>
      <c r="L61" s="110">
        <v>20</v>
      </c>
      <c r="M61" s="110">
        <v>20.100000000000001</v>
      </c>
      <c r="N61" s="110">
        <v>20.100000000000001</v>
      </c>
      <c r="O61" s="110">
        <v>22.5</v>
      </c>
      <c r="P61" s="110">
        <v>22.5</v>
      </c>
      <c r="Q61" s="110">
        <v>22.5</v>
      </c>
      <c r="R61" s="110">
        <v>21.5</v>
      </c>
      <c r="S61" s="110">
        <v>21.5</v>
      </c>
      <c r="T61" s="110">
        <v>21.5</v>
      </c>
      <c r="U61" s="110">
        <v>21.5</v>
      </c>
      <c r="V61" s="110">
        <v>21.5</v>
      </c>
      <c r="W61" s="110">
        <v>21.5</v>
      </c>
      <c r="X61" s="110">
        <v>21.5</v>
      </c>
      <c r="Y61" s="110">
        <v>21.5</v>
      </c>
      <c r="Z61" s="110">
        <v>21.5</v>
      </c>
      <c r="AA61" s="110">
        <v>21.5</v>
      </c>
      <c r="AB61" s="110">
        <v>21.5</v>
      </c>
      <c r="AC61" s="110">
        <v>21.5</v>
      </c>
      <c r="AD61" s="110">
        <v>21.5</v>
      </c>
      <c r="AE61" s="110">
        <v>21.5</v>
      </c>
      <c r="AF61" s="110">
        <v>21.5</v>
      </c>
      <c r="AG61" s="109">
        <v>22.1</v>
      </c>
      <c r="AH61" s="12">
        <f t="shared" si="8"/>
        <v>22.5</v>
      </c>
      <c r="AI61" s="11">
        <f t="shared" si="9"/>
        <v>20</v>
      </c>
      <c r="AK61" s="19"/>
    </row>
    <row r="62" spans="1:88" ht="15.75" thickBot="1" x14ac:dyDescent="0.3">
      <c r="A62" s="116" t="s">
        <v>205</v>
      </c>
      <c r="B62" s="76">
        <f t="shared" ref="B62:AG62" si="31">SUM(B59:B61)</f>
        <v>304.10000000000002</v>
      </c>
      <c r="C62" s="76">
        <f t="shared" si="31"/>
        <v>243.6</v>
      </c>
      <c r="D62" s="76">
        <f t="shared" si="31"/>
        <v>143.9</v>
      </c>
      <c r="E62" s="76">
        <f t="shared" si="31"/>
        <v>143.9</v>
      </c>
      <c r="F62" s="76">
        <f t="shared" si="31"/>
        <v>141.5</v>
      </c>
      <c r="G62" s="76">
        <f t="shared" si="31"/>
        <v>141.5</v>
      </c>
      <c r="H62" s="76">
        <f t="shared" si="31"/>
        <v>161.5</v>
      </c>
      <c r="I62" s="76">
        <f t="shared" si="31"/>
        <v>193.5</v>
      </c>
      <c r="J62" s="76">
        <f t="shared" si="31"/>
        <v>41.5</v>
      </c>
      <c r="K62" s="76">
        <f t="shared" si="31"/>
        <v>41.5</v>
      </c>
      <c r="L62" s="76">
        <f t="shared" si="31"/>
        <v>41.5</v>
      </c>
      <c r="M62" s="76">
        <f t="shared" si="31"/>
        <v>41.6</v>
      </c>
      <c r="N62" s="76">
        <f t="shared" si="31"/>
        <v>41.6</v>
      </c>
      <c r="O62" s="76">
        <f t="shared" si="31"/>
        <v>43.4</v>
      </c>
      <c r="P62" s="76">
        <f t="shared" si="31"/>
        <v>43.4</v>
      </c>
      <c r="Q62" s="76">
        <f t="shared" si="31"/>
        <v>43.8</v>
      </c>
      <c r="R62" s="76">
        <f t="shared" si="31"/>
        <v>43.8</v>
      </c>
      <c r="S62" s="76">
        <f t="shared" si="31"/>
        <v>43.8</v>
      </c>
      <c r="T62" s="76">
        <f t="shared" ref="T62:U62" si="32">SUM(T59:T61)</f>
        <v>43.8</v>
      </c>
      <c r="U62" s="76">
        <f t="shared" si="32"/>
        <v>43.8</v>
      </c>
      <c r="V62" s="76">
        <f t="shared" ref="V62:W62" si="33">SUM(V59:V61)</f>
        <v>43.8</v>
      </c>
      <c r="W62" s="76">
        <f t="shared" si="33"/>
        <v>43.8</v>
      </c>
      <c r="X62" s="76">
        <f t="shared" ref="X62:Z62" si="34">SUM(X59:X61)</f>
        <v>43.8</v>
      </c>
      <c r="Y62" s="76">
        <f t="shared" si="34"/>
        <v>478.8</v>
      </c>
      <c r="Z62" s="76">
        <f t="shared" si="34"/>
        <v>501.90000000000003</v>
      </c>
      <c r="AA62" s="76">
        <f t="shared" ref="AA62" si="35">SUM(AA59:AA61)</f>
        <v>501.90000000000003</v>
      </c>
      <c r="AB62" s="76">
        <f t="shared" si="31"/>
        <v>477.2</v>
      </c>
      <c r="AC62" s="76">
        <f t="shared" ref="AC62:AE62" si="36">SUM(AC59:AC61)</f>
        <v>443.5</v>
      </c>
      <c r="AD62" s="76">
        <f t="shared" si="36"/>
        <v>416.5</v>
      </c>
      <c r="AE62" s="76">
        <f t="shared" si="36"/>
        <v>273.5</v>
      </c>
      <c r="AF62" s="76">
        <f t="shared" ref="AF62" si="37">SUM(AF59:AF61)</f>
        <v>243.5</v>
      </c>
      <c r="AG62" s="93">
        <f t="shared" si="31"/>
        <v>538.1</v>
      </c>
      <c r="AH62" s="12">
        <f t="shared" si="8"/>
        <v>501.90000000000003</v>
      </c>
      <c r="AI62" s="11">
        <f t="shared" si="9"/>
        <v>41.5</v>
      </c>
      <c r="AK62" s="19"/>
    </row>
    <row r="63" spans="1:88" x14ac:dyDescent="0.25">
      <c r="A63" s="89" t="s">
        <v>204</v>
      </c>
      <c r="B63" s="102">
        <v>90.4</v>
      </c>
      <c r="C63" s="102">
        <v>90.4</v>
      </c>
      <c r="D63" s="102">
        <v>80.900000000000006</v>
      </c>
      <c r="E63" s="102">
        <v>90</v>
      </c>
      <c r="F63" s="102">
        <v>80</v>
      </c>
      <c r="G63" s="102">
        <v>80</v>
      </c>
      <c r="H63" s="102">
        <v>97</v>
      </c>
      <c r="I63" s="102">
        <v>107</v>
      </c>
      <c r="J63" s="102">
        <v>94</v>
      </c>
      <c r="K63" s="102">
        <v>122.4</v>
      </c>
      <c r="L63" s="102">
        <v>122.4</v>
      </c>
      <c r="M63" s="102">
        <v>110.1</v>
      </c>
      <c r="N63" s="102">
        <v>62.5</v>
      </c>
      <c r="O63" s="102">
        <v>61.7</v>
      </c>
      <c r="P63" s="102">
        <v>61.9</v>
      </c>
      <c r="Q63" s="102">
        <v>61.9</v>
      </c>
      <c r="R63" s="102">
        <v>70.7</v>
      </c>
      <c r="S63" s="102">
        <v>62.3</v>
      </c>
      <c r="T63" s="102">
        <v>70.400000000000006</v>
      </c>
      <c r="U63" s="102">
        <v>81.099999999999994</v>
      </c>
      <c r="V63" s="102">
        <v>81.099999999999994</v>
      </c>
      <c r="W63" s="102">
        <v>101.1</v>
      </c>
      <c r="X63" s="102">
        <v>143.9</v>
      </c>
      <c r="Y63" s="102">
        <v>144.6</v>
      </c>
      <c r="Z63" s="102">
        <v>144.6</v>
      </c>
      <c r="AA63" s="102">
        <v>144.6</v>
      </c>
      <c r="AB63" s="102">
        <v>144</v>
      </c>
      <c r="AC63" s="102">
        <v>144</v>
      </c>
      <c r="AD63" s="102">
        <v>144</v>
      </c>
      <c r="AE63" s="102">
        <v>144</v>
      </c>
      <c r="AF63" s="102">
        <v>140</v>
      </c>
      <c r="AG63" s="88">
        <v>144</v>
      </c>
      <c r="AH63" s="12">
        <f t="shared" si="8"/>
        <v>144.6</v>
      </c>
      <c r="AI63" s="11">
        <f t="shared" si="9"/>
        <v>61.7</v>
      </c>
      <c r="AK63" s="19"/>
    </row>
    <row r="64" spans="1:88" x14ac:dyDescent="0.25">
      <c r="A64" s="87" t="s">
        <v>203</v>
      </c>
      <c r="B64" s="70">
        <v>45</v>
      </c>
      <c r="C64" s="70">
        <v>34.6</v>
      </c>
      <c r="D64" s="70">
        <v>34.9</v>
      </c>
      <c r="E64" s="70">
        <v>34.9</v>
      </c>
      <c r="F64" s="70">
        <v>34.9</v>
      </c>
      <c r="G64" s="70">
        <v>34.9</v>
      </c>
      <c r="H64" s="70">
        <v>60</v>
      </c>
      <c r="I64" s="70">
        <v>60.2</v>
      </c>
      <c r="J64" s="70">
        <v>50</v>
      </c>
      <c r="K64" s="70">
        <v>50</v>
      </c>
      <c r="L64" s="70">
        <v>50</v>
      </c>
      <c r="M64" s="70">
        <v>59.1</v>
      </c>
      <c r="N64" s="70">
        <v>47</v>
      </c>
      <c r="O64" s="70">
        <v>48.3</v>
      </c>
      <c r="P64" s="70">
        <v>48.3</v>
      </c>
      <c r="Q64" s="70">
        <v>24.7</v>
      </c>
      <c r="R64" s="70">
        <v>35.200000000000003</v>
      </c>
      <c r="S64" s="70">
        <v>25</v>
      </c>
      <c r="T64" s="70">
        <v>30.3</v>
      </c>
      <c r="U64" s="70">
        <v>34.700000000000003</v>
      </c>
      <c r="V64" s="70">
        <v>35.299999999999997</v>
      </c>
      <c r="W64" s="70">
        <v>51.3</v>
      </c>
      <c r="X64" s="70">
        <v>49.4</v>
      </c>
      <c r="Y64" s="70">
        <v>69.7</v>
      </c>
      <c r="Z64" s="102">
        <v>69.7</v>
      </c>
      <c r="AA64" s="102">
        <v>69.7</v>
      </c>
      <c r="AB64" s="102">
        <v>59.4</v>
      </c>
      <c r="AC64" s="102">
        <v>59.4</v>
      </c>
      <c r="AD64" s="102">
        <v>59.4</v>
      </c>
      <c r="AE64" s="102">
        <v>59.4</v>
      </c>
      <c r="AF64" s="102">
        <v>55</v>
      </c>
      <c r="AG64" s="86">
        <v>70</v>
      </c>
      <c r="AH64" s="12">
        <f t="shared" si="8"/>
        <v>69.7</v>
      </c>
      <c r="AI64" s="11">
        <f t="shared" si="9"/>
        <v>24.7</v>
      </c>
      <c r="AK64" s="19"/>
    </row>
    <row r="65" spans="1:75" x14ac:dyDescent="0.25">
      <c r="A65" s="87" t="s">
        <v>202</v>
      </c>
      <c r="B65" s="70">
        <v>43.4</v>
      </c>
      <c r="C65" s="70">
        <v>31.8</v>
      </c>
      <c r="D65" s="70">
        <v>32</v>
      </c>
      <c r="E65" s="70">
        <v>47.1</v>
      </c>
      <c r="F65" s="70">
        <v>47.1</v>
      </c>
      <c r="G65" s="70">
        <v>47.1</v>
      </c>
      <c r="H65" s="70">
        <v>43.5</v>
      </c>
      <c r="I65" s="70">
        <v>43.6</v>
      </c>
      <c r="J65" s="70">
        <v>31.5</v>
      </c>
      <c r="K65" s="70">
        <v>54.6</v>
      </c>
      <c r="L65" s="70">
        <v>54.6</v>
      </c>
      <c r="M65" s="70">
        <v>49.8</v>
      </c>
      <c r="N65" s="70">
        <v>34.799999999999997</v>
      </c>
      <c r="O65" s="70">
        <v>34.799999999999997</v>
      </c>
      <c r="P65" s="70">
        <v>34.4</v>
      </c>
      <c r="Q65" s="70">
        <v>21.7</v>
      </c>
      <c r="R65" s="70">
        <v>22.1</v>
      </c>
      <c r="S65" s="70">
        <v>16</v>
      </c>
      <c r="T65" s="70">
        <v>16.399999999999999</v>
      </c>
      <c r="U65" s="70">
        <v>21.8</v>
      </c>
      <c r="V65" s="70">
        <v>22</v>
      </c>
      <c r="W65" s="70">
        <v>22</v>
      </c>
      <c r="X65" s="70">
        <v>22.9</v>
      </c>
      <c r="Y65" s="70">
        <v>36.299999999999997</v>
      </c>
      <c r="Z65" s="102">
        <v>64.900000000000006</v>
      </c>
      <c r="AA65" s="102">
        <v>64.900000000000006</v>
      </c>
      <c r="AB65" s="102">
        <v>68</v>
      </c>
      <c r="AC65" s="102">
        <v>68</v>
      </c>
      <c r="AD65" s="102">
        <v>68</v>
      </c>
      <c r="AE65" s="102">
        <v>68</v>
      </c>
      <c r="AF65" s="102">
        <v>50</v>
      </c>
      <c r="AG65" s="86">
        <v>69</v>
      </c>
      <c r="AH65" s="12">
        <f t="shared" si="8"/>
        <v>68</v>
      </c>
      <c r="AI65" s="11">
        <f t="shared" si="9"/>
        <v>16</v>
      </c>
      <c r="AK65" s="19"/>
    </row>
    <row r="66" spans="1:75" x14ac:dyDescent="0.25">
      <c r="A66" s="87" t="s">
        <v>201</v>
      </c>
      <c r="B66" s="70">
        <v>60.4</v>
      </c>
      <c r="C66" s="70">
        <v>60.4</v>
      </c>
      <c r="D66" s="70">
        <v>60.4</v>
      </c>
      <c r="E66" s="70">
        <v>60.4</v>
      </c>
      <c r="F66" s="70">
        <v>60.4</v>
      </c>
      <c r="G66" s="70">
        <v>60.4</v>
      </c>
      <c r="H66" s="70">
        <v>60.4</v>
      </c>
      <c r="I66" s="70">
        <v>60.4</v>
      </c>
      <c r="J66" s="70">
        <v>60.4</v>
      </c>
      <c r="K66" s="70">
        <v>60.4</v>
      </c>
      <c r="L66" s="70">
        <v>60.4</v>
      </c>
      <c r="M66" s="70">
        <v>60.4</v>
      </c>
      <c r="N66" s="70">
        <v>60.5</v>
      </c>
      <c r="O66" s="70">
        <v>60.4</v>
      </c>
      <c r="P66" s="70">
        <v>60.4</v>
      </c>
      <c r="Q66" s="70">
        <v>60.4</v>
      </c>
      <c r="R66" s="70">
        <v>60</v>
      </c>
      <c r="S66" s="70">
        <v>60</v>
      </c>
      <c r="T66" s="70">
        <v>57.4</v>
      </c>
      <c r="U66" s="70">
        <v>55.4</v>
      </c>
      <c r="V66" s="70">
        <v>55.4</v>
      </c>
      <c r="W66" s="70">
        <v>55.4</v>
      </c>
      <c r="X66" s="70">
        <v>55.2</v>
      </c>
      <c r="Y66" s="70">
        <v>55.2</v>
      </c>
      <c r="Z66" s="102">
        <v>55.2</v>
      </c>
      <c r="AA66" s="102">
        <v>55.2</v>
      </c>
      <c r="AB66" s="102">
        <v>55.2</v>
      </c>
      <c r="AC66" s="102">
        <v>55.2</v>
      </c>
      <c r="AD66" s="102">
        <v>55.2</v>
      </c>
      <c r="AE66" s="102">
        <v>55.2</v>
      </c>
      <c r="AF66" s="102">
        <v>55.2</v>
      </c>
      <c r="AG66" s="86">
        <v>60</v>
      </c>
      <c r="AH66" s="12">
        <f t="shared" si="8"/>
        <v>60.5</v>
      </c>
      <c r="AI66" s="11">
        <f t="shared" si="9"/>
        <v>55.2</v>
      </c>
      <c r="AK66" s="19"/>
    </row>
    <row r="67" spans="1:75" x14ac:dyDescent="0.25">
      <c r="A67" s="87" t="s">
        <v>200</v>
      </c>
      <c r="B67" s="102">
        <v>0</v>
      </c>
      <c r="C67" s="102">
        <v>0</v>
      </c>
      <c r="D67" s="102">
        <v>0</v>
      </c>
      <c r="E67" s="102">
        <v>0</v>
      </c>
      <c r="F67" s="102">
        <v>10</v>
      </c>
      <c r="G67" s="102">
        <v>10</v>
      </c>
      <c r="H67" s="70">
        <v>23</v>
      </c>
      <c r="I67" s="70">
        <v>29</v>
      </c>
      <c r="J67" s="70">
        <v>14.3</v>
      </c>
      <c r="K67" s="70">
        <v>14.3</v>
      </c>
      <c r="L67" s="70">
        <v>14.3</v>
      </c>
      <c r="M67" s="70">
        <v>15</v>
      </c>
      <c r="N67" s="70">
        <v>10.7</v>
      </c>
      <c r="O67" s="70">
        <v>14.9</v>
      </c>
      <c r="P67" s="70">
        <v>22</v>
      </c>
      <c r="Q67" s="70">
        <v>22.9</v>
      </c>
      <c r="R67" s="70">
        <v>23.2</v>
      </c>
      <c r="S67" s="70">
        <v>23.2</v>
      </c>
      <c r="T67" s="70">
        <v>23.2</v>
      </c>
      <c r="U67" s="70">
        <v>10.3</v>
      </c>
      <c r="V67" s="70">
        <v>14.1</v>
      </c>
      <c r="W67" s="70">
        <v>0</v>
      </c>
      <c r="X67" s="70">
        <v>0</v>
      </c>
      <c r="Y67" s="70">
        <v>0</v>
      </c>
      <c r="Z67" s="102">
        <v>9.8000000000000007</v>
      </c>
      <c r="AA67" s="102">
        <v>9.8000000000000007</v>
      </c>
      <c r="AB67" s="102">
        <v>10.3</v>
      </c>
      <c r="AC67" s="102">
        <v>10.3</v>
      </c>
      <c r="AD67" s="102">
        <v>10.3</v>
      </c>
      <c r="AE67" s="102">
        <v>10.3</v>
      </c>
      <c r="AF67" s="102">
        <v>0</v>
      </c>
      <c r="AG67" s="86">
        <v>30</v>
      </c>
      <c r="AH67" s="12">
        <f t="shared" si="8"/>
        <v>29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25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0.4</v>
      </c>
      <c r="J68" s="102">
        <v>1.5</v>
      </c>
      <c r="K68" s="102">
        <v>2.6</v>
      </c>
      <c r="L68" s="102">
        <v>2.6</v>
      </c>
      <c r="M68" s="70">
        <v>6.9</v>
      </c>
      <c r="N68" s="70">
        <v>10.3</v>
      </c>
      <c r="O68" s="70">
        <v>14.3</v>
      </c>
      <c r="P68" s="70">
        <v>15.9</v>
      </c>
      <c r="Q68" s="70">
        <v>17.100000000000001</v>
      </c>
      <c r="R68" s="70">
        <v>16</v>
      </c>
      <c r="S68" s="70">
        <v>14.8</v>
      </c>
      <c r="T68" s="70">
        <v>11.2</v>
      </c>
      <c r="U68" s="70">
        <v>5.2</v>
      </c>
      <c r="V68" s="70">
        <v>1.8</v>
      </c>
      <c r="W68" s="70">
        <v>0.8</v>
      </c>
      <c r="X68" s="70">
        <v>0</v>
      </c>
      <c r="Y68" s="70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17.100000000000001</v>
      </c>
      <c r="AI68" s="11">
        <f t="shared" si="9"/>
        <v>0</v>
      </c>
      <c r="AK68" s="19"/>
      <c r="AY68" s="1" t="s">
        <v>198</v>
      </c>
      <c r="AZ68" s="78">
        <f>ROUND(C81,0)</f>
        <v>33</v>
      </c>
      <c r="BA68" s="83">
        <f t="shared" ref="BA68:BD72" si="38">D81</f>
        <v>28.9</v>
      </c>
      <c r="BB68" s="83">
        <f t="shared" si="38"/>
        <v>29</v>
      </c>
      <c r="BC68" s="83">
        <f t="shared" si="38"/>
        <v>35.799999999999997</v>
      </c>
      <c r="BD68" s="83">
        <f t="shared" si="38"/>
        <v>37.4</v>
      </c>
      <c r="BE68" s="78">
        <f>I81</f>
        <v>38</v>
      </c>
      <c r="BF68" s="78">
        <f>K81</f>
        <v>65.3</v>
      </c>
      <c r="BG68" s="78">
        <f t="shared" ref="BG68:BP72" si="39">M81</f>
        <v>66</v>
      </c>
      <c r="BH68" s="78">
        <f t="shared" si="39"/>
        <v>72.7</v>
      </c>
      <c r="BI68" s="78">
        <f t="shared" si="39"/>
        <v>69</v>
      </c>
      <c r="BJ68" s="78">
        <f t="shared" si="39"/>
        <v>66.900000000000006</v>
      </c>
      <c r="BK68" s="78">
        <f t="shared" si="39"/>
        <v>68.400000000000006</v>
      </c>
      <c r="BL68" s="78">
        <f t="shared" si="39"/>
        <v>70.5</v>
      </c>
      <c r="BM68" s="78">
        <f t="shared" si="39"/>
        <v>70</v>
      </c>
      <c r="BN68" s="78">
        <f t="shared" si="39"/>
        <v>70</v>
      </c>
      <c r="BO68" s="78">
        <f t="shared" si="39"/>
        <v>70</v>
      </c>
      <c r="BP68" s="78">
        <f t="shared" si="39"/>
        <v>55.8</v>
      </c>
      <c r="BQ68" s="78">
        <f>X81</f>
        <v>52.3</v>
      </c>
      <c r="BR68" s="78">
        <f>Z81</f>
        <v>19.7</v>
      </c>
      <c r="BS68" s="83">
        <f>AB81</f>
        <v>16.899999999999999</v>
      </c>
      <c r="BT68" s="83">
        <f t="shared" ref="BT68:BV72" si="40">AD81</f>
        <v>9</v>
      </c>
      <c r="BU68" s="83">
        <f t="shared" si="40"/>
        <v>8</v>
      </c>
      <c r="BV68" s="83">
        <f t="shared" si="40"/>
        <v>10</v>
      </c>
      <c r="BW68" s="83">
        <f>B81</f>
        <v>32.6</v>
      </c>
    </row>
    <row r="69" spans="1:75" x14ac:dyDescent="0.25">
      <c r="A69" s="87" t="s">
        <v>197</v>
      </c>
      <c r="B69" s="70">
        <v>15</v>
      </c>
      <c r="C69" s="70">
        <v>15</v>
      </c>
      <c r="D69" s="70">
        <v>15</v>
      </c>
      <c r="E69" s="70">
        <v>15</v>
      </c>
      <c r="F69" s="70">
        <v>15</v>
      </c>
      <c r="G69" s="70">
        <v>15</v>
      </c>
      <c r="H69" s="70">
        <v>15</v>
      </c>
      <c r="I69" s="70">
        <v>15</v>
      </c>
      <c r="J69" s="70">
        <v>15</v>
      </c>
      <c r="K69" s="70">
        <v>15</v>
      </c>
      <c r="L69" s="70">
        <v>15</v>
      </c>
      <c r="M69" s="70">
        <v>15</v>
      </c>
      <c r="N69" s="70">
        <v>15</v>
      </c>
      <c r="O69" s="70">
        <v>15</v>
      </c>
      <c r="P69" s="70">
        <v>15</v>
      </c>
      <c r="Q69" s="70">
        <v>15</v>
      </c>
      <c r="R69" s="70">
        <v>15</v>
      </c>
      <c r="S69" s="70">
        <v>15</v>
      </c>
      <c r="T69" s="70">
        <v>15</v>
      </c>
      <c r="U69" s="70">
        <v>15</v>
      </c>
      <c r="V69" s="70">
        <v>15</v>
      </c>
      <c r="W69" s="70">
        <v>15</v>
      </c>
      <c r="X69" s="70">
        <v>15</v>
      </c>
      <c r="Y69" s="70">
        <v>15</v>
      </c>
      <c r="Z69" s="70">
        <v>15</v>
      </c>
      <c r="AA69" s="70">
        <v>15</v>
      </c>
      <c r="AB69" s="70">
        <v>15</v>
      </c>
      <c r="AC69" s="70">
        <v>15</v>
      </c>
      <c r="AD69" s="70">
        <v>15</v>
      </c>
      <c r="AE69" s="70">
        <v>15</v>
      </c>
      <c r="AF69" s="70">
        <v>15</v>
      </c>
      <c r="AG69" s="86">
        <v>24</v>
      </c>
      <c r="AH69" s="12">
        <f t="shared" si="8"/>
        <v>15</v>
      </c>
      <c r="AI69" s="11">
        <f t="shared" si="9"/>
        <v>15</v>
      </c>
      <c r="AK69" s="19"/>
      <c r="AY69" s="1" t="s">
        <v>196</v>
      </c>
      <c r="AZ69" s="78">
        <f>ROUND(C82,0)</f>
        <v>0</v>
      </c>
      <c r="BA69" s="83">
        <f t="shared" si="38"/>
        <v>0</v>
      </c>
      <c r="BB69" s="83">
        <f t="shared" si="38"/>
        <v>0</v>
      </c>
      <c r="BC69" s="83">
        <f t="shared" si="38"/>
        <v>0</v>
      </c>
      <c r="BD69" s="83">
        <f t="shared" si="38"/>
        <v>0</v>
      </c>
      <c r="BE69" s="78">
        <f>I82</f>
        <v>0</v>
      </c>
      <c r="BF69" s="78">
        <f>K82</f>
        <v>0</v>
      </c>
      <c r="BG69" s="78">
        <f t="shared" si="39"/>
        <v>0</v>
      </c>
      <c r="BH69" s="78">
        <f t="shared" si="39"/>
        <v>0</v>
      </c>
      <c r="BI69" s="78">
        <f t="shared" si="39"/>
        <v>0</v>
      </c>
      <c r="BJ69" s="78">
        <f t="shared" si="39"/>
        <v>0</v>
      </c>
      <c r="BK69" s="78">
        <f t="shared" si="39"/>
        <v>0</v>
      </c>
      <c r="BL69" s="78">
        <f t="shared" si="39"/>
        <v>0</v>
      </c>
      <c r="BM69" s="78">
        <f t="shared" si="39"/>
        <v>0</v>
      </c>
      <c r="BN69" s="78">
        <f t="shared" si="39"/>
        <v>0</v>
      </c>
      <c r="BO69" s="78">
        <f t="shared" si="39"/>
        <v>0</v>
      </c>
      <c r="BP69" s="78">
        <f t="shared" si="39"/>
        <v>0</v>
      </c>
      <c r="BQ69" s="78">
        <f>X82</f>
        <v>0</v>
      </c>
      <c r="BR69" s="78">
        <f>Z82</f>
        <v>0</v>
      </c>
      <c r="BS69" s="83">
        <f>AB82</f>
        <v>0</v>
      </c>
      <c r="BT69" s="83">
        <f t="shared" si="40"/>
        <v>0</v>
      </c>
      <c r="BU69" s="83">
        <f t="shared" si="40"/>
        <v>0</v>
      </c>
      <c r="BV69" s="83">
        <f t="shared" si="40"/>
        <v>0</v>
      </c>
      <c r="BW69" s="83">
        <f>B82</f>
        <v>0</v>
      </c>
    </row>
    <row r="70" spans="1:75" x14ac:dyDescent="0.25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41</v>
      </c>
      <c r="BA70" s="83">
        <f t="shared" si="38"/>
        <v>122</v>
      </c>
      <c r="BB70" s="83">
        <f t="shared" si="38"/>
        <v>74.3</v>
      </c>
      <c r="BC70" s="83">
        <f t="shared" si="38"/>
        <v>92</v>
      </c>
      <c r="BD70" s="83">
        <f t="shared" si="38"/>
        <v>114</v>
      </c>
      <c r="BE70" s="78">
        <f>I83</f>
        <v>76.400000000000006</v>
      </c>
      <c r="BF70" s="78">
        <f>K83</f>
        <v>455.4</v>
      </c>
      <c r="BG70" s="78">
        <f t="shared" si="39"/>
        <v>491</v>
      </c>
      <c r="BH70" s="78">
        <f t="shared" si="39"/>
        <v>496</v>
      </c>
      <c r="BI70" s="78">
        <f t="shared" si="39"/>
        <v>526</v>
      </c>
      <c r="BJ70" s="78">
        <f t="shared" si="39"/>
        <v>491</v>
      </c>
      <c r="BK70" s="78">
        <f t="shared" si="39"/>
        <v>511</v>
      </c>
      <c r="BL70" s="78">
        <f t="shared" si="39"/>
        <v>507</v>
      </c>
      <c r="BM70" s="78">
        <f t="shared" si="39"/>
        <v>501</v>
      </c>
      <c r="BN70" s="78">
        <f t="shared" si="39"/>
        <v>526</v>
      </c>
      <c r="BO70" s="78">
        <f t="shared" si="39"/>
        <v>526</v>
      </c>
      <c r="BP70" s="78">
        <f t="shared" si="39"/>
        <v>500.1</v>
      </c>
      <c r="BQ70" s="78">
        <f>X83</f>
        <v>448.6</v>
      </c>
      <c r="BR70" s="78">
        <f>Z83</f>
        <v>135.4</v>
      </c>
      <c r="BS70" s="83">
        <f>AB83</f>
        <v>70</v>
      </c>
      <c r="BT70" s="83">
        <f t="shared" si="40"/>
        <v>70</v>
      </c>
      <c r="BU70" s="83">
        <f t="shared" si="40"/>
        <v>120</v>
      </c>
      <c r="BV70" s="83">
        <f t="shared" si="40"/>
        <v>35</v>
      </c>
      <c r="BW70" s="83">
        <f>B83</f>
        <v>20.3</v>
      </c>
    </row>
    <row r="71" spans="1:75" s="115" customFormat="1" x14ac:dyDescent="0.25">
      <c r="A71" s="87" t="s">
        <v>193</v>
      </c>
      <c r="B71" s="70">
        <v>11.6</v>
      </c>
      <c r="C71" s="70">
        <v>11.6</v>
      </c>
      <c r="D71" s="70">
        <v>11.6</v>
      </c>
      <c r="E71" s="70">
        <v>11.6</v>
      </c>
      <c r="F71" s="70">
        <v>11.6</v>
      </c>
      <c r="G71" s="70">
        <v>11.6</v>
      </c>
      <c r="H71" s="70">
        <v>11.6</v>
      </c>
      <c r="I71" s="70">
        <v>11.6</v>
      </c>
      <c r="J71" s="70">
        <v>11.6</v>
      </c>
      <c r="K71" s="70">
        <v>11.6</v>
      </c>
      <c r="L71" s="70">
        <v>11.6</v>
      </c>
      <c r="M71" s="70">
        <v>11.7</v>
      </c>
      <c r="N71" s="70">
        <v>12.1</v>
      </c>
      <c r="O71" s="70">
        <v>12.1</v>
      </c>
      <c r="P71" s="70">
        <v>12.1</v>
      </c>
      <c r="Q71" s="70">
        <v>12.1</v>
      </c>
      <c r="R71" s="70">
        <v>12</v>
      </c>
      <c r="S71" s="70">
        <v>12</v>
      </c>
      <c r="T71" s="70">
        <v>12</v>
      </c>
      <c r="U71" s="70">
        <v>12</v>
      </c>
      <c r="V71" s="70">
        <v>12</v>
      </c>
      <c r="W71" s="70">
        <v>12</v>
      </c>
      <c r="X71" s="70">
        <v>12</v>
      </c>
      <c r="Y71" s="70">
        <v>12</v>
      </c>
      <c r="Z71" s="70">
        <v>12</v>
      </c>
      <c r="AA71" s="70">
        <v>12</v>
      </c>
      <c r="AB71" s="70">
        <v>11.6</v>
      </c>
      <c r="AC71" s="70">
        <v>11.6</v>
      </c>
      <c r="AD71" s="70">
        <v>11.6</v>
      </c>
      <c r="AE71" s="70">
        <v>11.6</v>
      </c>
      <c r="AF71" s="70">
        <v>11.6</v>
      </c>
      <c r="AG71" s="86">
        <v>14.1</v>
      </c>
      <c r="AH71" s="12">
        <f t="shared" si="8"/>
        <v>12.1</v>
      </c>
      <c r="AI71" s="11">
        <f t="shared" si="9"/>
        <v>11.6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38"/>
        <v>0</v>
      </c>
      <c r="BB71" s="83">
        <f t="shared" si="38"/>
        <v>0</v>
      </c>
      <c r="BC71" s="83">
        <f t="shared" si="38"/>
        <v>0</v>
      </c>
      <c r="BD71" s="83">
        <f t="shared" si="38"/>
        <v>0</v>
      </c>
      <c r="BE71" s="78">
        <f>I84</f>
        <v>0</v>
      </c>
      <c r="BF71" s="78">
        <f>K84</f>
        <v>0</v>
      </c>
      <c r="BG71" s="78">
        <f t="shared" si="39"/>
        <v>0</v>
      </c>
      <c r="BH71" s="78">
        <f t="shared" si="39"/>
        <v>42.3</v>
      </c>
      <c r="BI71" s="78">
        <f t="shared" si="39"/>
        <v>54</v>
      </c>
      <c r="BJ71" s="78">
        <f t="shared" si="39"/>
        <v>52.5</v>
      </c>
      <c r="BK71" s="78">
        <f t="shared" si="39"/>
        <v>41.9</v>
      </c>
      <c r="BL71" s="78">
        <f t="shared" si="39"/>
        <v>54.6</v>
      </c>
      <c r="BM71" s="78">
        <f t="shared" si="39"/>
        <v>45</v>
      </c>
      <c r="BN71" s="78">
        <f t="shared" si="39"/>
        <v>38.700000000000003</v>
      </c>
      <c r="BO71" s="78">
        <f t="shared" si="39"/>
        <v>38.700000000000003</v>
      </c>
      <c r="BP71" s="78">
        <f t="shared" si="39"/>
        <v>46.9</v>
      </c>
      <c r="BQ71" s="78">
        <f>X84</f>
        <v>0</v>
      </c>
      <c r="BR71" s="78">
        <f>Z84</f>
        <v>0</v>
      </c>
      <c r="BS71" s="83">
        <f>AB84</f>
        <v>0</v>
      </c>
      <c r="BT71" s="83">
        <f t="shared" si="40"/>
        <v>0</v>
      </c>
      <c r="BU71" s="83">
        <f t="shared" si="40"/>
        <v>0</v>
      </c>
      <c r="BV71" s="83">
        <f t="shared" si="40"/>
        <v>0</v>
      </c>
      <c r="BW71" s="83">
        <f>B84</f>
        <v>0</v>
      </c>
    </row>
    <row r="72" spans="1:75" x14ac:dyDescent="0.25">
      <c r="A72" s="111" t="s">
        <v>191</v>
      </c>
      <c r="B72" s="70">
        <v>5.8</v>
      </c>
      <c r="C72" s="70">
        <v>7.3</v>
      </c>
      <c r="D72" s="70">
        <v>7.3</v>
      </c>
      <c r="E72" s="70">
        <v>7.3</v>
      </c>
      <c r="F72" s="70">
        <v>7.9</v>
      </c>
      <c r="G72" s="70">
        <v>7.9</v>
      </c>
      <c r="H72" s="70">
        <v>7.9</v>
      </c>
      <c r="I72" s="70">
        <v>7.9</v>
      </c>
      <c r="J72" s="70">
        <v>5.3</v>
      </c>
      <c r="K72" s="70">
        <v>5.3</v>
      </c>
      <c r="L72" s="70">
        <v>5.3</v>
      </c>
      <c r="M72" s="70">
        <v>5.3</v>
      </c>
      <c r="N72" s="70">
        <v>7</v>
      </c>
      <c r="O72" s="70">
        <v>7</v>
      </c>
      <c r="P72" s="70">
        <v>7</v>
      </c>
      <c r="Q72" s="70">
        <v>7</v>
      </c>
      <c r="R72" s="70">
        <v>7</v>
      </c>
      <c r="S72" s="70">
        <v>7</v>
      </c>
      <c r="T72" s="70">
        <v>7</v>
      </c>
      <c r="U72" s="70">
        <v>7</v>
      </c>
      <c r="V72" s="70">
        <v>7</v>
      </c>
      <c r="W72" s="70">
        <v>7</v>
      </c>
      <c r="X72" s="70">
        <v>7</v>
      </c>
      <c r="Y72" s="70">
        <v>7</v>
      </c>
      <c r="Z72" s="70">
        <v>7</v>
      </c>
      <c r="AA72" s="70">
        <v>7</v>
      </c>
      <c r="AB72" s="70">
        <v>7</v>
      </c>
      <c r="AC72" s="70">
        <v>7</v>
      </c>
      <c r="AD72" s="70">
        <v>7</v>
      </c>
      <c r="AE72" s="70">
        <v>7</v>
      </c>
      <c r="AF72" s="70">
        <v>7</v>
      </c>
      <c r="AG72" s="86">
        <v>14</v>
      </c>
      <c r="AH72" s="12">
        <f t="shared" si="8"/>
        <v>7.9</v>
      </c>
      <c r="AI72" s="11">
        <f t="shared" si="9"/>
        <v>5.3</v>
      </c>
      <c r="AK72" s="19"/>
      <c r="AY72" s="1" t="s">
        <v>190</v>
      </c>
      <c r="AZ72" s="78">
        <f>ROUND(C85,0)</f>
        <v>0</v>
      </c>
      <c r="BA72" s="83">
        <f t="shared" si="38"/>
        <v>0</v>
      </c>
      <c r="BB72" s="83">
        <f t="shared" si="38"/>
        <v>0</v>
      </c>
      <c r="BC72" s="83">
        <f t="shared" si="38"/>
        <v>0</v>
      </c>
      <c r="BD72" s="83">
        <f t="shared" si="38"/>
        <v>0</v>
      </c>
      <c r="BE72" s="78">
        <f>I85</f>
        <v>0</v>
      </c>
      <c r="BF72" s="78">
        <f>K85</f>
        <v>0</v>
      </c>
      <c r="BG72" s="78">
        <f t="shared" si="39"/>
        <v>0</v>
      </c>
      <c r="BH72" s="78">
        <f t="shared" si="39"/>
        <v>124.6</v>
      </c>
      <c r="BI72" s="78">
        <f t="shared" si="39"/>
        <v>134.6</v>
      </c>
      <c r="BJ72" s="78">
        <f t="shared" si="39"/>
        <v>151</v>
      </c>
      <c r="BK72" s="78">
        <f t="shared" si="39"/>
        <v>113.2</v>
      </c>
      <c r="BL72" s="78">
        <f t="shared" si="39"/>
        <v>128.1</v>
      </c>
      <c r="BM72" s="78">
        <f t="shared" si="39"/>
        <v>127</v>
      </c>
      <c r="BN72" s="78">
        <f t="shared" si="39"/>
        <v>127.5</v>
      </c>
      <c r="BO72" s="78">
        <f t="shared" si="39"/>
        <v>127.5</v>
      </c>
      <c r="BP72" s="78">
        <f t="shared" si="39"/>
        <v>109.9</v>
      </c>
      <c r="BQ72" s="78">
        <f>X85</f>
        <v>0</v>
      </c>
      <c r="BR72" s="78">
        <f>Z85</f>
        <v>0</v>
      </c>
      <c r="BS72" s="83">
        <f>AB85</f>
        <v>0</v>
      </c>
      <c r="BT72" s="83">
        <f t="shared" si="40"/>
        <v>0</v>
      </c>
      <c r="BU72" s="83">
        <f t="shared" si="40"/>
        <v>0</v>
      </c>
      <c r="BV72" s="83">
        <f t="shared" si="40"/>
        <v>0</v>
      </c>
      <c r="BW72" s="83">
        <f>B85</f>
        <v>0</v>
      </c>
    </row>
    <row r="73" spans="1:75" x14ac:dyDescent="0.25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8"/>
        <v>4</v>
      </c>
      <c r="AI73" s="11">
        <f t="shared" si="9"/>
        <v>4</v>
      </c>
      <c r="AK73" s="19"/>
      <c r="AY73" s="1" t="s">
        <v>188</v>
      </c>
      <c r="AZ73" s="78">
        <f>ROUND(C91,0)</f>
        <v>48</v>
      </c>
      <c r="BA73" s="78">
        <f>D91</f>
        <v>41.1</v>
      </c>
      <c r="BB73" s="78">
        <f>E91</f>
        <v>45.5</v>
      </c>
      <c r="BC73" s="78">
        <f>F91</f>
        <v>41.9</v>
      </c>
      <c r="BD73" s="78">
        <f>G91</f>
        <v>37</v>
      </c>
      <c r="BE73" s="78">
        <f>I91</f>
        <v>40.299999999999997</v>
      </c>
      <c r="BF73" s="78">
        <f>K91</f>
        <v>54.8</v>
      </c>
      <c r="BG73" s="78">
        <f t="shared" ref="BG73:BP73" si="41">M91</f>
        <v>49.7</v>
      </c>
      <c r="BH73" s="78">
        <f t="shared" si="41"/>
        <v>46.4</v>
      </c>
      <c r="BI73" s="78">
        <f t="shared" si="41"/>
        <v>50.5</v>
      </c>
      <c r="BJ73" s="78">
        <f t="shared" si="41"/>
        <v>54.1</v>
      </c>
      <c r="BK73" s="78">
        <f t="shared" si="41"/>
        <v>53.1</v>
      </c>
      <c r="BL73" s="78">
        <f t="shared" si="41"/>
        <v>48.5</v>
      </c>
      <c r="BM73" s="78">
        <f t="shared" si="41"/>
        <v>49</v>
      </c>
      <c r="BN73" s="78">
        <f t="shared" si="41"/>
        <v>56.8</v>
      </c>
      <c r="BO73" s="78">
        <f t="shared" si="41"/>
        <v>56.8</v>
      </c>
      <c r="BP73" s="78">
        <f t="shared" si="41"/>
        <v>45.3</v>
      </c>
      <c r="BQ73" s="78">
        <f>X91</f>
        <v>37.9</v>
      </c>
      <c r="BR73" s="78">
        <f>Z91</f>
        <v>36.200000000000003</v>
      </c>
      <c r="BS73" s="78">
        <f>AB91</f>
        <v>34.799999999999997</v>
      </c>
      <c r="BT73" s="78">
        <f>AD91</f>
        <v>35</v>
      </c>
      <c r="BU73" s="78">
        <f>AE91</f>
        <v>39</v>
      </c>
      <c r="BV73" s="78">
        <f>AF91</f>
        <v>40</v>
      </c>
      <c r="BW73" s="78">
        <f>B91</f>
        <v>47.5</v>
      </c>
    </row>
    <row r="74" spans="1:75" x14ac:dyDescent="0.25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.75" thickBot="1" x14ac:dyDescent="0.3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3.54</v>
      </c>
      <c r="Z75" s="113">
        <v>3.54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3.54</v>
      </c>
      <c r="AK75" s="19"/>
      <c r="AZ75" s="78">
        <f t="shared" ref="AZ75:BW80" si="42">VALUE(AZ68)</f>
        <v>33</v>
      </c>
      <c r="BA75" s="78">
        <f t="shared" si="42"/>
        <v>28.9</v>
      </c>
      <c r="BB75" s="78">
        <f t="shared" si="42"/>
        <v>29</v>
      </c>
      <c r="BC75" s="78">
        <f t="shared" si="42"/>
        <v>35.799999999999997</v>
      </c>
      <c r="BD75" s="78">
        <f t="shared" si="42"/>
        <v>37.4</v>
      </c>
      <c r="BE75" s="78">
        <f t="shared" si="42"/>
        <v>38</v>
      </c>
      <c r="BF75" s="78">
        <f t="shared" si="42"/>
        <v>65.3</v>
      </c>
      <c r="BG75" s="78">
        <f t="shared" si="42"/>
        <v>66</v>
      </c>
      <c r="BH75" s="78">
        <f t="shared" si="42"/>
        <v>72.7</v>
      </c>
      <c r="BI75" s="78">
        <f t="shared" si="42"/>
        <v>69</v>
      </c>
      <c r="BJ75" s="78">
        <f t="shared" si="42"/>
        <v>66.900000000000006</v>
      </c>
      <c r="BK75" s="78">
        <f t="shared" si="42"/>
        <v>68.400000000000006</v>
      </c>
      <c r="BL75" s="78">
        <f t="shared" si="42"/>
        <v>70.5</v>
      </c>
      <c r="BM75" s="78">
        <f t="shared" si="42"/>
        <v>70</v>
      </c>
      <c r="BN75" s="78">
        <f t="shared" si="42"/>
        <v>70</v>
      </c>
      <c r="BO75" s="78">
        <f t="shared" si="42"/>
        <v>70</v>
      </c>
      <c r="BP75" s="78">
        <f t="shared" si="42"/>
        <v>55.8</v>
      </c>
      <c r="BQ75" s="78">
        <f t="shared" si="42"/>
        <v>52.3</v>
      </c>
      <c r="BR75" s="78">
        <f t="shared" si="42"/>
        <v>19.7</v>
      </c>
      <c r="BS75" s="78">
        <f t="shared" si="42"/>
        <v>16.899999999999999</v>
      </c>
      <c r="BT75" s="78">
        <f t="shared" si="42"/>
        <v>9</v>
      </c>
      <c r="BU75" s="78">
        <f t="shared" si="42"/>
        <v>8</v>
      </c>
      <c r="BV75" s="78">
        <f t="shared" si="42"/>
        <v>10</v>
      </c>
      <c r="BW75" s="78">
        <f t="shared" si="42"/>
        <v>32.6</v>
      </c>
    </row>
    <row r="76" spans="1:75" ht="15.75" thickBot="1" x14ac:dyDescent="0.3">
      <c r="A76" s="77" t="s">
        <v>186</v>
      </c>
      <c r="B76" s="76">
        <f t="shared" ref="B76:AG76" si="43">SUM(B63:B75)</f>
        <v>281.14000000000004</v>
      </c>
      <c r="C76" s="76">
        <f t="shared" si="43"/>
        <v>260.64000000000004</v>
      </c>
      <c r="D76" s="76">
        <f t="shared" si="43"/>
        <v>251.64000000000001</v>
      </c>
      <c r="E76" s="76">
        <f t="shared" si="43"/>
        <v>275.84000000000003</v>
      </c>
      <c r="F76" s="76">
        <f t="shared" si="43"/>
        <v>276.44</v>
      </c>
      <c r="G76" s="76">
        <f t="shared" si="43"/>
        <v>276.44</v>
      </c>
      <c r="H76" s="76">
        <f t="shared" si="43"/>
        <v>327.94</v>
      </c>
      <c r="I76" s="76">
        <f t="shared" si="43"/>
        <v>344.64</v>
      </c>
      <c r="J76" s="76">
        <f t="shared" si="43"/>
        <v>293.1400000000001</v>
      </c>
      <c r="K76" s="76">
        <f t="shared" si="43"/>
        <v>345.74000000000007</v>
      </c>
      <c r="L76" s="76">
        <f t="shared" si="43"/>
        <v>345.74000000000007</v>
      </c>
      <c r="M76" s="76">
        <f t="shared" si="43"/>
        <v>342.84</v>
      </c>
      <c r="N76" s="76">
        <f t="shared" si="43"/>
        <v>269.44</v>
      </c>
      <c r="O76" s="76">
        <f t="shared" si="43"/>
        <v>278.04000000000008</v>
      </c>
      <c r="P76" s="76">
        <f t="shared" si="43"/>
        <v>286.54000000000002</v>
      </c>
      <c r="Q76" s="76">
        <f t="shared" si="43"/>
        <v>252.33999999999997</v>
      </c>
      <c r="R76" s="76">
        <f t="shared" si="43"/>
        <v>270.74</v>
      </c>
      <c r="S76" s="76">
        <f t="shared" si="43"/>
        <v>244.84</v>
      </c>
      <c r="T76" s="76">
        <f t="shared" ref="T76:U76" si="44">SUM(T63:T75)</f>
        <v>252.43999999999997</v>
      </c>
      <c r="U76" s="76">
        <f t="shared" si="44"/>
        <v>252.04</v>
      </c>
      <c r="V76" s="76">
        <f t="shared" ref="V76:W76" si="45">SUM(V63:V75)</f>
        <v>253.23999999999998</v>
      </c>
      <c r="W76" s="76">
        <f t="shared" si="45"/>
        <v>274.14000000000004</v>
      </c>
      <c r="X76" s="76">
        <f t="shared" ref="X76:Z76" si="46">SUM(X63:X75)</f>
        <v>314.94000000000005</v>
      </c>
      <c r="Y76" s="76">
        <f t="shared" si="46"/>
        <v>349.34000000000003</v>
      </c>
      <c r="Z76" s="76">
        <f t="shared" si="46"/>
        <v>387.74000000000007</v>
      </c>
      <c r="AA76" s="76">
        <f t="shared" ref="AA76" si="47">SUM(AA63:AA75)</f>
        <v>387.74000000000007</v>
      </c>
      <c r="AB76" s="76">
        <f t="shared" si="43"/>
        <v>380.04</v>
      </c>
      <c r="AC76" s="76">
        <f t="shared" ref="AC76:AE76" si="48">SUM(AC63:AC75)</f>
        <v>380.04</v>
      </c>
      <c r="AD76" s="76">
        <f t="shared" si="48"/>
        <v>380.04</v>
      </c>
      <c r="AE76" s="76">
        <f t="shared" si="48"/>
        <v>380.04</v>
      </c>
      <c r="AF76" s="76">
        <f t="shared" ref="AF76" si="49">SUM(AF63:AF75)</f>
        <v>343.34000000000003</v>
      </c>
      <c r="AG76" s="93">
        <f t="shared" si="43"/>
        <v>489.91</v>
      </c>
      <c r="AH76" s="12">
        <f t="shared" si="8"/>
        <v>387.74000000000007</v>
      </c>
      <c r="AI76" s="11">
        <f t="shared" si="9"/>
        <v>244.84</v>
      </c>
      <c r="AK76" s="19"/>
      <c r="AZ76" s="78">
        <f t="shared" si="42"/>
        <v>0</v>
      </c>
      <c r="BA76" s="78">
        <f t="shared" si="42"/>
        <v>0</v>
      </c>
      <c r="BB76" s="78">
        <f t="shared" si="42"/>
        <v>0</v>
      </c>
      <c r="BC76" s="78">
        <f t="shared" si="42"/>
        <v>0</v>
      </c>
      <c r="BD76" s="78">
        <f t="shared" si="42"/>
        <v>0</v>
      </c>
      <c r="BE76" s="78">
        <f t="shared" si="42"/>
        <v>0</v>
      </c>
      <c r="BF76" s="78">
        <f t="shared" si="42"/>
        <v>0</v>
      </c>
      <c r="BG76" s="78">
        <f t="shared" si="42"/>
        <v>0</v>
      </c>
      <c r="BH76" s="78">
        <f t="shared" si="42"/>
        <v>0</v>
      </c>
      <c r="BI76" s="78">
        <f t="shared" si="42"/>
        <v>0</v>
      </c>
      <c r="BJ76" s="78">
        <f t="shared" si="42"/>
        <v>0</v>
      </c>
      <c r="BK76" s="78">
        <f t="shared" si="42"/>
        <v>0</v>
      </c>
      <c r="BL76" s="78">
        <f t="shared" si="42"/>
        <v>0</v>
      </c>
      <c r="BM76" s="78">
        <f t="shared" si="42"/>
        <v>0</v>
      </c>
      <c r="BN76" s="78">
        <f t="shared" si="42"/>
        <v>0</v>
      </c>
      <c r="BO76" s="78">
        <f t="shared" si="42"/>
        <v>0</v>
      </c>
      <c r="BP76" s="78">
        <f t="shared" si="42"/>
        <v>0</v>
      </c>
      <c r="BQ76" s="78">
        <f t="shared" si="42"/>
        <v>0</v>
      </c>
      <c r="BR76" s="78">
        <f t="shared" si="42"/>
        <v>0</v>
      </c>
      <c r="BS76" s="78">
        <f t="shared" si="42"/>
        <v>0</v>
      </c>
      <c r="BT76" s="78">
        <f t="shared" si="42"/>
        <v>0</v>
      </c>
      <c r="BU76" s="78">
        <f t="shared" si="42"/>
        <v>0</v>
      </c>
      <c r="BV76" s="78">
        <f t="shared" si="42"/>
        <v>0</v>
      </c>
      <c r="BW76" s="78">
        <f t="shared" si="42"/>
        <v>0</v>
      </c>
    </row>
    <row r="77" spans="1:75" x14ac:dyDescent="0.25">
      <c r="A77" s="89" t="s">
        <v>185</v>
      </c>
      <c r="B77" s="102">
        <v>59.4</v>
      </c>
      <c r="C77" s="102">
        <v>59.3</v>
      </c>
      <c r="D77" s="102">
        <v>59.2</v>
      </c>
      <c r="E77" s="102">
        <v>59.2</v>
      </c>
      <c r="F77" s="102">
        <v>49.2</v>
      </c>
      <c r="G77" s="102">
        <v>49.2</v>
      </c>
      <c r="H77" s="102">
        <v>58.4</v>
      </c>
      <c r="I77" s="102">
        <v>60</v>
      </c>
      <c r="J77" s="102">
        <v>19.399999999999999</v>
      </c>
      <c r="K77" s="102">
        <v>44.6</v>
      </c>
      <c r="L77" s="102">
        <v>49</v>
      </c>
      <c r="M77" s="102">
        <v>59.9</v>
      </c>
      <c r="N77" s="102">
        <v>13.7</v>
      </c>
      <c r="O77" s="102">
        <v>20.100000000000001</v>
      </c>
      <c r="P77" s="102">
        <v>29.3</v>
      </c>
      <c r="Q77" s="102">
        <v>30</v>
      </c>
      <c r="R77" s="102">
        <v>30</v>
      </c>
      <c r="S77" s="102">
        <v>30</v>
      </c>
      <c r="T77" s="102">
        <v>30</v>
      </c>
      <c r="U77" s="102">
        <v>30</v>
      </c>
      <c r="V77" s="102">
        <v>30</v>
      </c>
      <c r="W77" s="102">
        <v>30</v>
      </c>
      <c r="X77" s="102">
        <v>30</v>
      </c>
      <c r="Y77" s="102">
        <v>40.4</v>
      </c>
      <c r="Z77" s="102">
        <v>48.9</v>
      </c>
      <c r="AA77" s="102">
        <v>48.9</v>
      </c>
      <c r="AB77" s="102">
        <v>59.3</v>
      </c>
      <c r="AC77" s="102">
        <v>59.3</v>
      </c>
      <c r="AD77" s="102">
        <v>59.3</v>
      </c>
      <c r="AE77" s="102">
        <v>59.3</v>
      </c>
      <c r="AF77" s="102">
        <v>59.3</v>
      </c>
      <c r="AG77" s="88">
        <v>60</v>
      </c>
      <c r="AH77" s="12">
        <f t="shared" si="8"/>
        <v>60</v>
      </c>
      <c r="AI77" s="11">
        <f t="shared" si="9"/>
        <v>13.7</v>
      </c>
      <c r="AK77" s="19"/>
      <c r="AZ77" s="78">
        <f t="shared" si="42"/>
        <v>41</v>
      </c>
      <c r="BA77" s="78">
        <f t="shared" si="42"/>
        <v>122</v>
      </c>
      <c r="BB77" s="78">
        <f t="shared" si="42"/>
        <v>74.3</v>
      </c>
      <c r="BC77" s="78">
        <f t="shared" si="42"/>
        <v>92</v>
      </c>
      <c r="BD77" s="78">
        <f t="shared" si="42"/>
        <v>114</v>
      </c>
      <c r="BE77" s="78">
        <f t="shared" si="42"/>
        <v>76.400000000000006</v>
      </c>
      <c r="BF77" s="78">
        <f t="shared" si="42"/>
        <v>455.4</v>
      </c>
      <c r="BG77" s="78">
        <f t="shared" si="42"/>
        <v>491</v>
      </c>
      <c r="BH77" s="78">
        <f t="shared" si="42"/>
        <v>496</v>
      </c>
      <c r="BI77" s="78">
        <f t="shared" si="42"/>
        <v>526</v>
      </c>
      <c r="BJ77" s="78">
        <f t="shared" si="42"/>
        <v>491</v>
      </c>
      <c r="BK77" s="78">
        <f t="shared" si="42"/>
        <v>511</v>
      </c>
      <c r="BL77" s="78">
        <f t="shared" si="42"/>
        <v>507</v>
      </c>
      <c r="BM77" s="78">
        <f t="shared" si="42"/>
        <v>501</v>
      </c>
      <c r="BN77" s="78">
        <f t="shared" si="42"/>
        <v>526</v>
      </c>
      <c r="BO77" s="78">
        <f t="shared" si="42"/>
        <v>526</v>
      </c>
      <c r="BP77" s="78">
        <f t="shared" si="42"/>
        <v>500.1</v>
      </c>
      <c r="BQ77" s="78">
        <f t="shared" si="42"/>
        <v>448.6</v>
      </c>
      <c r="BR77" s="78">
        <f t="shared" si="42"/>
        <v>135.4</v>
      </c>
      <c r="BS77" s="78">
        <f t="shared" si="42"/>
        <v>70</v>
      </c>
      <c r="BT77" s="78">
        <f t="shared" si="42"/>
        <v>70</v>
      </c>
      <c r="BU77" s="78">
        <f t="shared" si="42"/>
        <v>120</v>
      </c>
      <c r="BV77" s="78">
        <f t="shared" si="42"/>
        <v>35</v>
      </c>
      <c r="BW77" s="78">
        <f t="shared" si="42"/>
        <v>20.3</v>
      </c>
    </row>
    <row r="78" spans="1:75" x14ac:dyDescent="0.25">
      <c r="A78" s="87" t="s">
        <v>184</v>
      </c>
      <c r="B78" s="70">
        <v>27.4</v>
      </c>
      <c r="C78" s="70">
        <v>27.8</v>
      </c>
      <c r="D78" s="70">
        <v>27.8</v>
      </c>
      <c r="E78" s="70">
        <v>27.8</v>
      </c>
      <c r="F78" s="70">
        <v>21</v>
      </c>
      <c r="G78" s="70">
        <v>21</v>
      </c>
      <c r="H78" s="70">
        <v>27.2</v>
      </c>
      <c r="I78" s="70">
        <v>21.3</v>
      </c>
      <c r="J78" s="70">
        <v>6.7</v>
      </c>
      <c r="K78" s="70">
        <v>15.6</v>
      </c>
      <c r="L78" s="70">
        <v>28.4</v>
      </c>
      <c r="M78" s="70">
        <v>29.4</v>
      </c>
      <c r="N78" s="70">
        <v>4.7</v>
      </c>
      <c r="O78" s="70">
        <v>6.7</v>
      </c>
      <c r="P78" s="70">
        <v>13.3</v>
      </c>
      <c r="Q78" s="70">
        <v>13.4</v>
      </c>
      <c r="R78" s="70">
        <v>14.2</v>
      </c>
      <c r="S78" s="70">
        <v>14.2</v>
      </c>
      <c r="T78" s="70">
        <v>14.2</v>
      </c>
      <c r="U78" s="70">
        <v>14.2</v>
      </c>
      <c r="V78" s="70">
        <v>14.2</v>
      </c>
      <c r="W78" s="70">
        <v>14.2</v>
      </c>
      <c r="X78" s="70">
        <v>15.1</v>
      </c>
      <c r="Y78" s="70">
        <v>20</v>
      </c>
      <c r="Z78" s="70">
        <v>18</v>
      </c>
      <c r="AA78" s="70">
        <v>18</v>
      </c>
      <c r="AB78" s="70">
        <v>27.5</v>
      </c>
      <c r="AC78" s="70">
        <v>27.5</v>
      </c>
      <c r="AD78" s="70">
        <v>27.5</v>
      </c>
      <c r="AE78" s="70">
        <v>27.5</v>
      </c>
      <c r="AF78" s="70">
        <v>27.5</v>
      </c>
      <c r="AG78" s="86">
        <v>32</v>
      </c>
      <c r="AH78" s="12">
        <f t="shared" si="8"/>
        <v>29.4</v>
      </c>
      <c r="AI78" s="11">
        <f t="shared" si="9"/>
        <v>4.7</v>
      </c>
      <c r="AK78" s="19"/>
      <c r="AZ78" s="78">
        <f t="shared" si="42"/>
        <v>0</v>
      </c>
      <c r="BA78" s="78">
        <f t="shared" si="42"/>
        <v>0</v>
      </c>
      <c r="BB78" s="78">
        <f t="shared" si="42"/>
        <v>0</v>
      </c>
      <c r="BC78" s="78">
        <f t="shared" si="42"/>
        <v>0</v>
      </c>
      <c r="BD78" s="78">
        <f t="shared" si="42"/>
        <v>0</v>
      </c>
      <c r="BE78" s="78">
        <f t="shared" si="42"/>
        <v>0</v>
      </c>
      <c r="BF78" s="78">
        <f t="shared" si="42"/>
        <v>0</v>
      </c>
      <c r="BG78" s="78">
        <f t="shared" si="42"/>
        <v>0</v>
      </c>
      <c r="BH78" s="78">
        <f t="shared" si="42"/>
        <v>42.3</v>
      </c>
      <c r="BI78" s="78">
        <f t="shared" si="42"/>
        <v>54</v>
      </c>
      <c r="BJ78" s="78">
        <f t="shared" si="42"/>
        <v>52.5</v>
      </c>
      <c r="BK78" s="78">
        <f t="shared" si="42"/>
        <v>41.9</v>
      </c>
      <c r="BL78" s="78">
        <f t="shared" si="42"/>
        <v>54.6</v>
      </c>
      <c r="BM78" s="78">
        <f t="shared" si="42"/>
        <v>45</v>
      </c>
      <c r="BN78" s="78">
        <f t="shared" si="42"/>
        <v>38.700000000000003</v>
      </c>
      <c r="BO78" s="78">
        <f t="shared" si="42"/>
        <v>38.700000000000003</v>
      </c>
      <c r="BP78" s="78">
        <f t="shared" si="42"/>
        <v>46.9</v>
      </c>
      <c r="BQ78" s="78">
        <f t="shared" si="42"/>
        <v>0</v>
      </c>
      <c r="BR78" s="78">
        <f t="shared" si="42"/>
        <v>0</v>
      </c>
      <c r="BS78" s="78">
        <f t="shared" si="42"/>
        <v>0</v>
      </c>
      <c r="BT78" s="78">
        <f t="shared" si="42"/>
        <v>0</v>
      </c>
      <c r="BU78" s="78">
        <f t="shared" si="42"/>
        <v>0</v>
      </c>
      <c r="BV78" s="78">
        <f t="shared" si="42"/>
        <v>0</v>
      </c>
      <c r="BW78" s="78">
        <f t="shared" si="42"/>
        <v>0</v>
      </c>
    </row>
    <row r="79" spans="1:75" ht="15.75" thickBot="1" x14ac:dyDescent="0.3">
      <c r="A79" s="111" t="s">
        <v>183</v>
      </c>
      <c r="B79" s="110">
        <v>10</v>
      </c>
      <c r="C79" s="110">
        <v>10.1</v>
      </c>
      <c r="D79" s="110">
        <v>10.1</v>
      </c>
      <c r="E79" s="110">
        <v>10.1</v>
      </c>
      <c r="F79" s="110">
        <v>7.7</v>
      </c>
      <c r="G79" s="110">
        <v>7.7</v>
      </c>
      <c r="H79" s="110">
        <v>9.9</v>
      </c>
      <c r="I79" s="110">
        <v>7.8</v>
      </c>
      <c r="J79" s="110">
        <v>2.4</v>
      </c>
      <c r="K79" s="110">
        <v>5.7</v>
      </c>
      <c r="L79" s="110">
        <v>10.4</v>
      </c>
      <c r="M79" s="110">
        <v>10.7</v>
      </c>
      <c r="N79" s="110">
        <v>1.7</v>
      </c>
      <c r="O79" s="110">
        <v>2.5</v>
      </c>
      <c r="P79" s="110">
        <v>4.9000000000000004</v>
      </c>
      <c r="Q79" s="110">
        <v>4.9000000000000004</v>
      </c>
      <c r="R79" s="110">
        <v>5.2</v>
      </c>
      <c r="S79" s="110">
        <v>5.2</v>
      </c>
      <c r="T79" s="110">
        <v>5.2</v>
      </c>
      <c r="U79" s="110">
        <v>5.2</v>
      </c>
      <c r="V79" s="110">
        <v>5.2</v>
      </c>
      <c r="W79" s="110">
        <v>5.2</v>
      </c>
      <c r="X79" s="110">
        <v>5.5</v>
      </c>
      <c r="Y79" s="110">
        <v>7.3</v>
      </c>
      <c r="Z79" s="110">
        <v>6.6</v>
      </c>
      <c r="AA79" s="110">
        <v>6.6</v>
      </c>
      <c r="AB79" s="110">
        <v>10</v>
      </c>
      <c r="AC79" s="110">
        <v>10</v>
      </c>
      <c r="AD79" s="110">
        <v>10</v>
      </c>
      <c r="AE79" s="110">
        <v>10</v>
      </c>
      <c r="AF79" s="110">
        <v>10</v>
      </c>
      <c r="AG79" s="109">
        <v>14</v>
      </c>
      <c r="AH79" s="12">
        <f t="shared" si="8"/>
        <v>10.7</v>
      </c>
      <c r="AI79" s="11">
        <f t="shared" si="9"/>
        <v>1.7</v>
      </c>
      <c r="AK79" s="19"/>
      <c r="AZ79" s="78">
        <f t="shared" si="42"/>
        <v>0</v>
      </c>
      <c r="BA79" s="78">
        <f t="shared" si="42"/>
        <v>0</v>
      </c>
      <c r="BB79" s="78">
        <f t="shared" si="42"/>
        <v>0</v>
      </c>
      <c r="BC79" s="78">
        <f t="shared" si="42"/>
        <v>0</v>
      </c>
      <c r="BD79" s="78">
        <f t="shared" si="42"/>
        <v>0</v>
      </c>
      <c r="BE79" s="78">
        <f t="shared" si="42"/>
        <v>0</v>
      </c>
      <c r="BF79" s="78">
        <f t="shared" si="42"/>
        <v>0</v>
      </c>
      <c r="BG79" s="78">
        <f t="shared" si="42"/>
        <v>0</v>
      </c>
      <c r="BH79" s="78">
        <f t="shared" si="42"/>
        <v>124.6</v>
      </c>
      <c r="BI79" s="78">
        <f t="shared" si="42"/>
        <v>134.6</v>
      </c>
      <c r="BJ79" s="78">
        <f t="shared" si="42"/>
        <v>151</v>
      </c>
      <c r="BK79" s="78">
        <f t="shared" si="42"/>
        <v>113.2</v>
      </c>
      <c r="BL79" s="78">
        <f t="shared" si="42"/>
        <v>128.1</v>
      </c>
      <c r="BM79" s="78">
        <f t="shared" si="42"/>
        <v>127</v>
      </c>
      <c r="BN79" s="78">
        <f t="shared" si="42"/>
        <v>127.5</v>
      </c>
      <c r="BO79" s="78">
        <f t="shared" si="42"/>
        <v>127.5</v>
      </c>
      <c r="BP79" s="78">
        <f t="shared" si="42"/>
        <v>109.9</v>
      </c>
      <c r="BQ79" s="78">
        <f t="shared" si="42"/>
        <v>0</v>
      </c>
      <c r="BR79" s="78">
        <f t="shared" si="42"/>
        <v>0</v>
      </c>
      <c r="BS79" s="78">
        <f t="shared" si="42"/>
        <v>0</v>
      </c>
      <c r="BT79" s="78">
        <f t="shared" si="42"/>
        <v>0</v>
      </c>
      <c r="BU79" s="78">
        <f t="shared" si="42"/>
        <v>0</v>
      </c>
      <c r="BV79" s="78">
        <f t="shared" si="42"/>
        <v>0</v>
      </c>
      <c r="BW79" s="78">
        <f t="shared" si="42"/>
        <v>0</v>
      </c>
    </row>
    <row r="80" spans="1:75" ht="15.75" thickBot="1" x14ac:dyDescent="0.3">
      <c r="A80" s="77" t="s">
        <v>182</v>
      </c>
      <c r="B80" s="76">
        <f t="shared" ref="B80:AB80" si="50">B77+B78+B79</f>
        <v>96.8</v>
      </c>
      <c r="C80" s="76">
        <f t="shared" si="50"/>
        <v>97.199999999999989</v>
      </c>
      <c r="D80" s="76">
        <f t="shared" si="50"/>
        <v>97.1</v>
      </c>
      <c r="E80" s="76">
        <f t="shared" si="50"/>
        <v>97.1</v>
      </c>
      <c r="F80" s="76">
        <f t="shared" si="50"/>
        <v>77.900000000000006</v>
      </c>
      <c r="G80" s="76">
        <f t="shared" si="50"/>
        <v>77.900000000000006</v>
      </c>
      <c r="H80" s="76">
        <f t="shared" si="50"/>
        <v>95.5</v>
      </c>
      <c r="I80" s="76">
        <f t="shared" si="50"/>
        <v>89.1</v>
      </c>
      <c r="J80" s="76">
        <f t="shared" si="50"/>
        <v>28.499999999999996</v>
      </c>
      <c r="K80" s="76">
        <f t="shared" si="50"/>
        <v>65.900000000000006</v>
      </c>
      <c r="L80" s="76">
        <f t="shared" si="50"/>
        <v>87.800000000000011</v>
      </c>
      <c r="M80" s="76">
        <f t="shared" si="50"/>
        <v>100</v>
      </c>
      <c r="N80" s="76">
        <f t="shared" si="50"/>
        <v>20.099999999999998</v>
      </c>
      <c r="O80" s="76">
        <f t="shared" si="50"/>
        <v>29.3</v>
      </c>
      <c r="P80" s="76">
        <f t="shared" si="50"/>
        <v>47.5</v>
      </c>
      <c r="Q80" s="76">
        <f t="shared" si="50"/>
        <v>48.3</v>
      </c>
      <c r="R80" s="76">
        <f t="shared" si="50"/>
        <v>49.400000000000006</v>
      </c>
      <c r="S80" s="76">
        <f t="shared" si="50"/>
        <v>49.400000000000006</v>
      </c>
      <c r="T80" s="76">
        <f t="shared" ref="T80:U80" si="51">T77+T78+T79</f>
        <v>49.400000000000006</v>
      </c>
      <c r="U80" s="76">
        <f t="shared" si="51"/>
        <v>49.400000000000006</v>
      </c>
      <c r="V80" s="76">
        <f t="shared" ref="V80:W80" si="52">V77+V78+V79</f>
        <v>49.400000000000006</v>
      </c>
      <c r="W80" s="76">
        <f t="shared" si="52"/>
        <v>49.400000000000006</v>
      </c>
      <c r="X80" s="76">
        <f t="shared" ref="X80:Z80" si="53">X77+X78+X79</f>
        <v>50.6</v>
      </c>
      <c r="Y80" s="76">
        <f t="shared" si="53"/>
        <v>67.7</v>
      </c>
      <c r="Z80" s="76">
        <f t="shared" si="53"/>
        <v>73.5</v>
      </c>
      <c r="AA80" s="76">
        <f t="shared" ref="AA80" si="54">AA77+AA78+AA79</f>
        <v>73.5</v>
      </c>
      <c r="AB80" s="76">
        <f t="shared" si="50"/>
        <v>96.8</v>
      </c>
      <c r="AC80" s="76">
        <f t="shared" ref="AC80:AE80" si="55">AC77+AC78+AC79</f>
        <v>96.8</v>
      </c>
      <c r="AD80" s="76">
        <f t="shared" si="55"/>
        <v>96.8</v>
      </c>
      <c r="AE80" s="76">
        <f t="shared" si="55"/>
        <v>96.8</v>
      </c>
      <c r="AF80" s="76">
        <f t="shared" ref="AF80" si="56">AF77+AF78+AF79</f>
        <v>96.8</v>
      </c>
      <c r="AG80" s="93">
        <f>SUM(AG77:AG79)</f>
        <v>106</v>
      </c>
      <c r="AH80" s="12">
        <f t="shared" si="8"/>
        <v>100</v>
      </c>
      <c r="AI80" s="11">
        <f t="shared" si="9"/>
        <v>20.099999999999998</v>
      </c>
      <c r="AK80" s="19"/>
      <c r="AZ80" s="78">
        <f t="shared" si="42"/>
        <v>48</v>
      </c>
      <c r="BA80" s="78">
        <f t="shared" si="42"/>
        <v>41.1</v>
      </c>
      <c r="BB80" s="78">
        <f t="shared" si="42"/>
        <v>45.5</v>
      </c>
      <c r="BC80" s="78">
        <f t="shared" si="42"/>
        <v>41.9</v>
      </c>
      <c r="BD80" s="78">
        <f t="shared" si="42"/>
        <v>37</v>
      </c>
      <c r="BE80" s="78">
        <f t="shared" si="42"/>
        <v>40.299999999999997</v>
      </c>
      <c r="BF80" s="78">
        <f t="shared" si="42"/>
        <v>54.8</v>
      </c>
      <c r="BG80" s="78">
        <f t="shared" si="42"/>
        <v>49.7</v>
      </c>
      <c r="BH80" s="78">
        <f t="shared" si="42"/>
        <v>46.4</v>
      </c>
      <c r="BI80" s="78">
        <f t="shared" si="42"/>
        <v>50.5</v>
      </c>
      <c r="BJ80" s="78">
        <f t="shared" si="42"/>
        <v>54.1</v>
      </c>
      <c r="BK80" s="78">
        <f t="shared" si="42"/>
        <v>53.1</v>
      </c>
      <c r="BL80" s="78">
        <f t="shared" si="42"/>
        <v>48.5</v>
      </c>
      <c r="BM80" s="78">
        <f t="shared" si="42"/>
        <v>49</v>
      </c>
      <c r="BN80" s="78">
        <f t="shared" si="42"/>
        <v>56.8</v>
      </c>
      <c r="BO80" s="78">
        <f t="shared" si="42"/>
        <v>56.8</v>
      </c>
      <c r="BP80" s="78">
        <f t="shared" si="42"/>
        <v>45.3</v>
      </c>
      <c r="BQ80" s="78">
        <f t="shared" si="42"/>
        <v>37.9</v>
      </c>
      <c r="BR80" s="78">
        <f t="shared" si="42"/>
        <v>36.200000000000003</v>
      </c>
      <c r="BS80" s="78">
        <f t="shared" si="42"/>
        <v>34.799999999999997</v>
      </c>
      <c r="BT80" s="78">
        <f t="shared" si="42"/>
        <v>35</v>
      </c>
      <c r="BU80" s="78">
        <f t="shared" si="42"/>
        <v>39</v>
      </c>
      <c r="BV80" s="78">
        <f t="shared" si="42"/>
        <v>40</v>
      </c>
      <c r="BW80" s="78">
        <f t="shared" si="42"/>
        <v>47.5</v>
      </c>
    </row>
    <row r="81" spans="1:64" x14ac:dyDescent="0.25">
      <c r="A81" s="89" t="s">
        <v>157</v>
      </c>
      <c r="B81" s="102">
        <v>32.6</v>
      </c>
      <c r="C81" s="102">
        <v>33.299999999999997</v>
      </c>
      <c r="D81" s="102">
        <v>28.9</v>
      </c>
      <c r="E81" s="102">
        <v>29</v>
      </c>
      <c r="F81" s="102">
        <v>35.799999999999997</v>
      </c>
      <c r="G81" s="102">
        <v>37.4</v>
      </c>
      <c r="H81" s="102">
        <v>20.2</v>
      </c>
      <c r="I81" s="102">
        <v>38</v>
      </c>
      <c r="J81" s="102">
        <v>63.5</v>
      </c>
      <c r="K81" s="102">
        <v>65.3</v>
      </c>
      <c r="L81" s="102">
        <v>66.5</v>
      </c>
      <c r="M81" s="102">
        <v>66</v>
      </c>
      <c r="N81" s="102">
        <v>72.7</v>
      </c>
      <c r="O81" s="102">
        <v>69</v>
      </c>
      <c r="P81" s="102">
        <v>66.900000000000006</v>
      </c>
      <c r="Q81" s="102">
        <v>68.400000000000006</v>
      </c>
      <c r="R81" s="102">
        <v>70.5</v>
      </c>
      <c r="S81" s="102">
        <v>70</v>
      </c>
      <c r="T81" s="102">
        <v>70</v>
      </c>
      <c r="U81" s="102">
        <v>70</v>
      </c>
      <c r="V81" s="102">
        <v>55.8</v>
      </c>
      <c r="W81" s="102">
        <v>54.8</v>
      </c>
      <c r="X81" s="102">
        <v>52.3</v>
      </c>
      <c r="Y81" s="102">
        <v>22.1</v>
      </c>
      <c r="Z81" s="102">
        <v>19.7</v>
      </c>
      <c r="AA81" s="102">
        <v>27.2</v>
      </c>
      <c r="AB81" s="102">
        <v>16.899999999999999</v>
      </c>
      <c r="AC81" s="102">
        <v>16.899999999999999</v>
      </c>
      <c r="AD81" s="102">
        <v>9</v>
      </c>
      <c r="AE81" s="102">
        <v>8</v>
      </c>
      <c r="AF81" s="102">
        <v>10</v>
      </c>
      <c r="AG81" s="88"/>
      <c r="AH81" s="12">
        <f t="shared" si="8"/>
        <v>72.7</v>
      </c>
      <c r="AI81" s="11">
        <f t="shared" si="9"/>
        <v>8</v>
      </c>
      <c r="AK81" s="19"/>
      <c r="AY81" s="78"/>
    </row>
    <row r="82" spans="1:64" x14ac:dyDescent="0.25">
      <c r="A82" s="87" t="s">
        <v>160</v>
      </c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12">
        <f t="shared" ref="AH82:AH125" si="57">MAX(B82:AF82)</f>
        <v>0</v>
      </c>
      <c r="AI82" s="11">
        <f t="shared" ref="AI82:AI125" si="58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25">
      <c r="A83" s="87" t="s">
        <v>181</v>
      </c>
      <c r="B83" s="70">
        <v>20.3</v>
      </c>
      <c r="C83" s="70">
        <v>40.5</v>
      </c>
      <c r="D83" s="70">
        <v>122</v>
      </c>
      <c r="E83" s="70">
        <v>74.3</v>
      </c>
      <c r="F83" s="70">
        <v>92</v>
      </c>
      <c r="G83" s="70">
        <v>114</v>
      </c>
      <c r="H83" s="70">
        <v>72.099999999999994</v>
      </c>
      <c r="I83" s="70">
        <v>76.400000000000006</v>
      </c>
      <c r="J83" s="70">
        <v>487</v>
      </c>
      <c r="K83" s="70">
        <v>455.4</v>
      </c>
      <c r="L83" s="70">
        <v>485</v>
      </c>
      <c r="M83" s="70">
        <v>491</v>
      </c>
      <c r="N83" s="70">
        <v>496</v>
      </c>
      <c r="O83" s="70">
        <v>526</v>
      </c>
      <c r="P83" s="70">
        <v>491</v>
      </c>
      <c r="Q83" s="70">
        <v>511</v>
      </c>
      <c r="R83" s="70">
        <v>507</v>
      </c>
      <c r="S83" s="70">
        <v>501</v>
      </c>
      <c r="T83" s="70">
        <v>526</v>
      </c>
      <c r="U83" s="70">
        <v>526</v>
      </c>
      <c r="V83" s="70">
        <v>500.1</v>
      </c>
      <c r="W83" s="70">
        <v>469.1</v>
      </c>
      <c r="X83" s="70">
        <v>448.6</v>
      </c>
      <c r="Y83" s="70">
        <v>11.1</v>
      </c>
      <c r="Z83" s="70">
        <v>135.4</v>
      </c>
      <c r="AA83" s="70">
        <v>83.3</v>
      </c>
      <c r="AB83" s="70">
        <v>70</v>
      </c>
      <c r="AC83" s="70">
        <v>60</v>
      </c>
      <c r="AD83" s="70">
        <v>70</v>
      </c>
      <c r="AE83" s="70">
        <v>120</v>
      </c>
      <c r="AF83" s="70">
        <v>35</v>
      </c>
      <c r="AG83" s="96"/>
      <c r="AH83" s="12">
        <f t="shared" si="57"/>
        <v>526</v>
      </c>
      <c r="AI83" s="11">
        <f t="shared" si="58"/>
        <v>11.1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25">
      <c r="A84" s="87" t="s">
        <v>161</v>
      </c>
      <c r="B84" s="70">
        <v>0</v>
      </c>
      <c r="C84" s="70"/>
      <c r="D84" s="70"/>
      <c r="E84" s="85"/>
      <c r="F84" s="85"/>
      <c r="G84" s="85"/>
      <c r="H84" s="85"/>
      <c r="I84" s="85"/>
      <c r="J84" s="85"/>
      <c r="K84" s="85"/>
      <c r="L84" s="85"/>
      <c r="M84" s="85"/>
      <c r="N84" s="85">
        <v>42.3</v>
      </c>
      <c r="O84" s="85">
        <v>54</v>
      </c>
      <c r="P84" s="85">
        <v>52.5</v>
      </c>
      <c r="Q84" s="85">
        <v>41.9</v>
      </c>
      <c r="R84" s="85">
        <v>54.6</v>
      </c>
      <c r="S84" s="85">
        <v>45</v>
      </c>
      <c r="T84" s="85">
        <v>38.700000000000003</v>
      </c>
      <c r="U84" s="85">
        <v>38.700000000000003</v>
      </c>
      <c r="V84" s="85">
        <v>46.9</v>
      </c>
      <c r="W84" s="85">
        <v>40.299999999999997</v>
      </c>
      <c r="X84" s="85">
        <v>0</v>
      </c>
      <c r="Y84" s="85">
        <v>0</v>
      </c>
      <c r="Z84" s="85">
        <v>0</v>
      </c>
      <c r="AA84" s="85">
        <v>0</v>
      </c>
      <c r="AB84" s="85">
        <v>0</v>
      </c>
      <c r="AC84" s="85">
        <v>0</v>
      </c>
      <c r="AD84" s="85">
        <v>0</v>
      </c>
      <c r="AE84" s="85">
        <v>0</v>
      </c>
      <c r="AF84" s="85">
        <v>0</v>
      </c>
      <c r="AG84" s="96"/>
      <c r="AH84" s="12">
        <f t="shared" si="57"/>
        <v>54.6</v>
      </c>
      <c r="AI84" s="11">
        <f t="shared" si="58"/>
        <v>0</v>
      </c>
      <c r="AK84" s="19"/>
      <c r="AY84" s="78"/>
      <c r="BF84" s="83"/>
      <c r="BG84" s="78">
        <f t="array" ref="BG84:BL107">TRANSPOSE(AZ68:BW73)</f>
        <v>33</v>
      </c>
      <c r="BH84" s="78">
        <v>0</v>
      </c>
      <c r="BI84" s="78">
        <v>41</v>
      </c>
      <c r="BJ84" s="78">
        <v>0</v>
      </c>
      <c r="BK84" s="78">
        <v>0</v>
      </c>
      <c r="BL84" s="78">
        <v>48</v>
      </c>
    </row>
    <row r="85" spans="1:64" x14ac:dyDescent="0.25">
      <c r="A85" s="87" t="s">
        <v>180</v>
      </c>
      <c r="B85" s="102">
        <v>0</v>
      </c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>
        <v>124.6</v>
      </c>
      <c r="O85" s="102">
        <v>134.6</v>
      </c>
      <c r="P85" s="102">
        <v>151</v>
      </c>
      <c r="Q85" s="102">
        <v>113.2</v>
      </c>
      <c r="R85" s="102">
        <v>128.1</v>
      </c>
      <c r="S85" s="102">
        <v>127</v>
      </c>
      <c r="T85" s="102">
        <v>127.5</v>
      </c>
      <c r="U85" s="102">
        <v>127.5</v>
      </c>
      <c r="V85" s="102">
        <v>109.9</v>
      </c>
      <c r="W85" s="102">
        <v>93.8</v>
      </c>
      <c r="X85" s="102">
        <v>0</v>
      </c>
      <c r="Y85" s="102">
        <v>0</v>
      </c>
      <c r="Z85" s="102">
        <v>0</v>
      </c>
      <c r="AA85" s="102">
        <v>0</v>
      </c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57"/>
        <v>151</v>
      </c>
      <c r="AI85" s="11">
        <f t="shared" si="58"/>
        <v>0</v>
      </c>
      <c r="AK85" s="19"/>
      <c r="AY85" s="78"/>
      <c r="BF85" s="83"/>
      <c r="BG85" s="78">
        <v>28.9</v>
      </c>
      <c r="BH85" s="78">
        <v>0</v>
      </c>
      <c r="BI85" s="78">
        <v>122</v>
      </c>
      <c r="BJ85" s="78">
        <v>0</v>
      </c>
      <c r="BK85" s="78">
        <v>0</v>
      </c>
      <c r="BL85" s="78">
        <v>41.1</v>
      </c>
    </row>
    <row r="86" spans="1:64" x14ac:dyDescent="0.25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57"/>
        <v>0</v>
      </c>
      <c r="AI86" s="11">
        <f t="shared" si="58"/>
        <v>0</v>
      </c>
      <c r="AK86" s="19"/>
      <c r="AY86" s="78"/>
      <c r="BF86" s="83"/>
      <c r="BG86" s="78">
        <v>29</v>
      </c>
      <c r="BH86" s="78">
        <v>0</v>
      </c>
      <c r="BI86" s="78">
        <v>74.3</v>
      </c>
      <c r="BJ86" s="78">
        <v>0</v>
      </c>
      <c r="BK86" s="78">
        <v>0</v>
      </c>
      <c r="BL86" s="78">
        <v>45.5</v>
      </c>
    </row>
    <row r="87" spans="1:64" ht="15.75" thickBot="1" x14ac:dyDescent="0.3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57"/>
        <v>0</v>
      </c>
      <c r="AI87" s="11">
        <f t="shared" si="58"/>
        <v>0</v>
      </c>
      <c r="AK87" s="19"/>
      <c r="AL87" s="108" t="s">
        <v>177</v>
      </c>
      <c r="AM87" s="108"/>
      <c r="AY87" s="78"/>
      <c r="BF87" s="78"/>
      <c r="BG87" s="78">
        <v>35.799999999999997</v>
      </c>
      <c r="BH87" s="78">
        <v>0</v>
      </c>
      <c r="BI87" s="78">
        <v>92</v>
      </c>
      <c r="BJ87" s="78">
        <v>0</v>
      </c>
      <c r="BK87" s="78">
        <v>0</v>
      </c>
      <c r="BL87" s="78">
        <v>41.9</v>
      </c>
    </row>
    <row r="88" spans="1:64" x14ac:dyDescent="0.25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57"/>
        <v>0</v>
      </c>
      <c r="AI88" s="11">
        <f t="shared" si="58"/>
        <v>0</v>
      </c>
      <c r="AK88" s="107"/>
      <c r="AL88" s="106"/>
      <c r="AM88" s="106"/>
      <c r="AN88" s="105"/>
      <c r="AY88" s="78"/>
      <c r="BF88" s="78"/>
      <c r="BG88" s="78">
        <v>37.4</v>
      </c>
      <c r="BH88" s="78">
        <v>0</v>
      </c>
      <c r="BI88" s="78">
        <v>114</v>
      </c>
      <c r="BJ88" s="78">
        <v>0</v>
      </c>
      <c r="BK88" s="78">
        <v>0</v>
      </c>
      <c r="BL88" s="78">
        <v>37</v>
      </c>
    </row>
    <row r="89" spans="1:64" x14ac:dyDescent="0.25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57"/>
        <v>0</v>
      </c>
      <c r="AI89" s="11">
        <f t="shared" si="58"/>
        <v>0</v>
      </c>
      <c r="AK89" s="104" t="s">
        <v>174</v>
      </c>
      <c r="AL89" s="70"/>
      <c r="AM89" s="85"/>
      <c r="AN89" s="103"/>
      <c r="AY89" s="78"/>
      <c r="BF89" s="78"/>
      <c r="BG89" s="78">
        <v>38</v>
      </c>
      <c r="BH89" s="78">
        <v>0</v>
      </c>
      <c r="BI89" s="78">
        <v>76.400000000000006</v>
      </c>
      <c r="BJ89" s="78">
        <v>0</v>
      </c>
      <c r="BK89" s="78">
        <v>0</v>
      </c>
      <c r="BL89" s="78">
        <v>40.299999999999997</v>
      </c>
    </row>
    <row r="90" spans="1:64" x14ac:dyDescent="0.25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57"/>
        <v>0</v>
      </c>
      <c r="AI90" s="11">
        <f t="shared" si="58"/>
        <v>0</v>
      </c>
      <c r="AK90" s="104" t="s">
        <v>172</v>
      </c>
      <c r="AL90" s="85"/>
      <c r="AM90" s="85"/>
      <c r="AN90" s="103"/>
      <c r="AY90" s="78"/>
      <c r="BF90" s="78"/>
      <c r="BG90" s="78">
        <v>65.3</v>
      </c>
      <c r="BH90" s="78">
        <v>0</v>
      </c>
      <c r="BI90" s="78">
        <v>455.4</v>
      </c>
      <c r="BJ90" s="78">
        <v>0</v>
      </c>
      <c r="BK90" s="78">
        <v>0</v>
      </c>
      <c r="BL90" s="78">
        <v>54.8</v>
      </c>
    </row>
    <row r="91" spans="1:64" ht="15.75" thickBot="1" x14ac:dyDescent="0.3">
      <c r="A91" s="82" t="s">
        <v>171</v>
      </c>
      <c r="B91" s="97">
        <v>47.5</v>
      </c>
      <c r="C91" s="97">
        <v>47.9</v>
      </c>
      <c r="D91" s="97">
        <v>41.1</v>
      </c>
      <c r="E91" s="97">
        <v>45.5</v>
      </c>
      <c r="F91" s="97">
        <v>41.9</v>
      </c>
      <c r="G91" s="97">
        <v>37</v>
      </c>
      <c r="H91" s="97">
        <v>36.700000000000003</v>
      </c>
      <c r="I91" s="97">
        <v>40.299999999999997</v>
      </c>
      <c r="J91" s="97">
        <v>41.5</v>
      </c>
      <c r="K91" s="97">
        <v>54.8</v>
      </c>
      <c r="L91" s="97">
        <v>51.2</v>
      </c>
      <c r="M91" s="97">
        <v>49.7</v>
      </c>
      <c r="N91" s="97">
        <v>46.4</v>
      </c>
      <c r="O91" s="97">
        <v>50.5</v>
      </c>
      <c r="P91" s="97">
        <v>54.1</v>
      </c>
      <c r="Q91" s="97">
        <v>53.1</v>
      </c>
      <c r="R91" s="97">
        <v>48.5</v>
      </c>
      <c r="S91" s="97">
        <v>49</v>
      </c>
      <c r="T91" s="97">
        <v>56.8</v>
      </c>
      <c r="U91" s="97">
        <v>56.8</v>
      </c>
      <c r="V91" s="97">
        <v>45.3</v>
      </c>
      <c r="W91" s="97">
        <v>40.6</v>
      </c>
      <c r="X91" s="97">
        <v>37.9</v>
      </c>
      <c r="Y91" s="97">
        <v>34.9</v>
      </c>
      <c r="Z91" s="97">
        <v>36.200000000000003</v>
      </c>
      <c r="AA91" s="97">
        <v>36.5</v>
      </c>
      <c r="AB91" s="97">
        <v>34.799999999999997</v>
      </c>
      <c r="AC91" s="97">
        <v>35</v>
      </c>
      <c r="AD91" s="97">
        <v>35</v>
      </c>
      <c r="AE91" s="97">
        <v>39</v>
      </c>
      <c r="AF91" s="97">
        <v>40</v>
      </c>
      <c r="AG91" s="80"/>
      <c r="AH91" s="12">
        <f t="shared" si="57"/>
        <v>56.8</v>
      </c>
      <c r="AI91" s="11">
        <f t="shared" si="58"/>
        <v>34.799999999999997</v>
      </c>
      <c r="AK91" s="98"/>
      <c r="AL91" s="102"/>
      <c r="AM91" s="102"/>
      <c r="AN91" s="101"/>
      <c r="AY91" s="78"/>
      <c r="BF91" s="78"/>
      <c r="BG91" s="78">
        <v>66</v>
      </c>
      <c r="BH91" s="78">
        <v>0</v>
      </c>
      <c r="BI91" s="78">
        <v>491</v>
      </c>
      <c r="BJ91" s="78">
        <v>0</v>
      </c>
      <c r="BK91" s="78">
        <v>0</v>
      </c>
      <c r="BL91" s="78">
        <v>49.7</v>
      </c>
    </row>
    <row r="92" spans="1:64" ht="15.75" thickBot="1" x14ac:dyDescent="0.3">
      <c r="A92" s="77" t="s">
        <v>170</v>
      </c>
      <c r="B92" s="76">
        <f t="shared" ref="B92:AB92" si="59">SUMIF(B81:B91,"&gt;0")</f>
        <v>100.4</v>
      </c>
      <c r="C92" s="76">
        <f t="shared" si="59"/>
        <v>121.69999999999999</v>
      </c>
      <c r="D92" s="76">
        <f t="shared" si="59"/>
        <v>192</v>
      </c>
      <c r="E92" s="76">
        <f t="shared" si="59"/>
        <v>148.80000000000001</v>
      </c>
      <c r="F92" s="76">
        <f t="shared" si="59"/>
        <v>169.7</v>
      </c>
      <c r="G92" s="76">
        <f t="shared" si="59"/>
        <v>188.4</v>
      </c>
      <c r="H92" s="76">
        <f t="shared" si="59"/>
        <v>129</v>
      </c>
      <c r="I92" s="76">
        <f t="shared" si="59"/>
        <v>154.69999999999999</v>
      </c>
      <c r="J92" s="76">
        <f t="shared" si="59"/>
        <v>592</v>
      </c>
      <c r="K92" s="76">
        <f t="shared" si="59"/>
        <v>575.49999999999989</v>
      </c>
      <c r="L92" s="76">
        <f t="shared" si="59"/>
        <v>602.70000000000005</v>
      </c>
      <c r="M92" s="76">
        <f t="shared" si="59"/>
        <v>606.70000000000005</v>
      </c>
      <c r="N92" s="76">
        <f t="shared" si="59"/>
        <v>782</v>
      </c>
      <c r="O92" s="76">
        <f t="shared" si="59"/>
        <v>834.1</v>
      </c>
      <c r="P92" s="76">
        <f>SUMIF(P81:P91,"&gt;0")</f>
        <v>815.5</v>
      </c>
      <c r="Q92" s="76">
        <f t="shared" si="59"/>
        <v>787.6</v>
      </c>
      <c r="R92" s="76">
        <f t="shared" si="59"/>
        <v>808.7</v>
      </c>
      <c r="S92" s="76">
        <f t="shared" si="59"/>
        <v>792</v>
      </c>
      <c r="T92" s="76">
        <f t="shared" ref="T92:U92" si="60">SUMIF(T81:T91,"&gt;0")</f>
        <v>819</v>
      </c>
      <c r="U92" s="76">
        <f t="shared" si="60"/>
        <v>819</v>
      </c>
      <c r="V92" s="76">
        <f t="shared" ref="V92:W92" si="61">SUMIF(V81:V91,"&gt;0")</f>
        <v>757.99999999999989</v>
      </c>
      <c r="W92" s="76">
        <f t="shared" si="61"/>
        <v>698.59999999999991</v>
      </c>
      <c r="X92" s="76">
        <f t="shared" ref="X92:Z92" si="62">SUMIF(X81:X91,"&gt;0")</f>
        <v>538.80000000000007</v>
      </c>
      <c r="Y92" s="76">
        <f t="shared" si="62"/>
        <v>68.099999999999994</v>
      </c>
      <c r="Z92" s="76">
        <f t="shared" si="62"/>
        <v>191.3</v>
      </c>
      <c r="AA92" s="76">
        <f t="shared" ref="AA92" si="63">SUMIF(AA81:AA91,"&gt;0")</f>
        <v>147</v>
      </c>
      <c r="AB92" s="76">
        <f t="shared" si="59"/>
        <v>121.7</v>
      </c>
      <c r="AC92" s="76">
        <f t="shared" ref="AC92:AE92" si="64">SUMIF(AC81:AC91,"&gt;0")</f>
        <v>111.9</v>
      </c>
      <c r="AD92" s="76">
        <f t="shared" si="64"/>
        <v>114</v>
      </c>
      <c r="AE92" s="76">
        <f t="shared" si="64"/>
        <v>167</v>
      </c>
      <c r="AF92" s="76">
        <f t="shared" ref="AF92" si="65">SUMIF(AF81:AF91,"&gt;0")</f>
        <v>85</v>
      </c>
      <c r="AG92" s="75">
        <f>SUM(AG81:AG91)</f>
        <v>0</v>
      </c>
      <c r="AH92" s="12">
        <f t="shared" si="57"/>
        <v>834.1</v>
      </c>
      <c r="AI92" s="11">
        <f t="shared" si="58"/>
        <v>68.099999999999994</v>
      </c>
      <c r="AK92" s="98"/>
      <c r="AL92" s="97"/>
      <c r="AM92" s="100"/>
      <c r="AN92" s="220"/>
      <c r="AY92" s="78"/>
      <c r="BF92" s="78"/>
      <c r="BG92" s="78">
        <v>72.7</v>
      </c>
      <c r="BH92" s="78">
        <v>0</v>
      </c>
      <c r="BI92" s="78">
        <v>496</v>
      </c>
      <c r="BJ92" s="78">
        <v>42.3</v>
      </c>
      <c r="BK92" s="78">
        <v>124.6</v>
      </c>
      <c r="BL92" s="78">
        <v>46.4</v>
      </c>
    </row>
    <row r="93" spans="1:64" x14ac:dyDescent="0.25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57"/>
        <v>0</v>
      </c>
      <c r="AI93" s="11">
        <f t="shared" si="58"/>
        <v>0</v>
      </c>
      <c r="AK93" s="98"/>
      <c r="AL93" s="97"/>
      <c r="AM93" s="97"/>
      <c r="AN93" s="221"/>
      <c r="BF93" s="78"/>
      <c r="BG93" s="78">
        <v>69</v>
      </c>
      <c r="BH93" s="78">
        <v>0</v>
      </c>
      <c r="BI93" s="78">
        <v>526</v>
      </c>
      <c r="BJ93" s="78">
        <v>54</v>
      </c>
      <c r="BK93" s="78">
        <v>134.6</v>
      </c>
      <c r="BL93" s="78">
        <v>50.5</v>
      </c>
    </row>
    <row r="94" spans="1:64" ht="15.75" thickBot="1" x14ac:dyDescent="0.3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57"/>
        <v>0</v>
      </c>
      <c r="AI94" s="11">
        <f t="shared" si="58"/>
        <v>0</v>
      </c>
      <c r="AK94" s="95"/>
      <c r="AL94" s="67"/>
      <c r="AM94" s="67"/>
      <c r="AN94" s="94"/>
      <c r="BF94" s="78"/>
      <c r="BG94" s="78">
        <v>66.900000000000006</v>
      </c>
      <c r="BH94" s="78">
        <v>0</v>
      </c>
      <c r="BI94" s="78">
        <v>491</v>
      </c>
      <c r="BJ94" s="78">
        <v>52.5</v>
      </c>
      <c r="BK94" s="78">
        <v>151</v>
      </c>
      <c r="BL94" s="78">
        <v>54.1</v>
      </c>
    </row>
    <row r="95" spans="1:64" ht="15.75" thickBot="1" x14ac:dyDescent="0.3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57"/>
        <v>0</v>
      </c>
      <c r="AI95" s="11">
        <f t="shared" si="58"/>
        <v>0</v>
      </c>
      <c r="BF95" s="78"/>
      <c r="BG95" s="78">
        <v>68.400000000000006</v>
      </c>
      <c r="BH95" s="78">
        <v>0</v>
      </c>
      <c r="BI95" s="78">
        <v>511</v>
      </c>
      <c r="BJ95" s="78">
        <v>41.9</v>
      </c>
      <c r="BK95" s="78">
        <v>113.2</v>
      </c>
      <c r="BL95" s="78">
        <v>53.1</v>
      </c>
    </row>
    <row r="96" spans="1:64" ht="15.75" thickBot="1" x14ac:dyDescent="0.3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57"/>
        <v>0</v>
      </c>
      <c r="AI96" s="11">
        <f t="shared" si="58"/>
        <v>0</v>
      </c>
      <c r="BF96" s="78"/>
      <c r="BG96" s="78">
        <v>70.5</v>
      </c>
      <c r="BH96" s="78">
        <v>0</v>
      </c>
      <c r="BI96" s="78">
        <v>507</v>
      </c>
      <c r="BJ96" s="78">
        <v>54.6</v>
      </c>
      <c r="BK96" s="78">
        <v>128.1</v>
      </c>
      <c r="BL96" s="78">
        <v>48.5</v>
      </c>
    </row>
    <row r="97" spans="1:64" ht="15.75" thickBot="1" x14ac:dyDescent="0.3">
      <c r="A97" s="77" t="s">
        <v>165</v>
      </c>
      <c r="B97" s="90">
        <f t="shared" ref="B97:AG97" si="66">B58+B62+B80+B76+B92+B96</f>
        <v>1357.54</v>
      </c>
      <c r="C97" s="90">
        <f t="shared" si="66"/>
        <v>1297.04</v>
      </c>
      <c r="D97" s="90">
        <f t="shared" si="66"/>
        <v>1258.54</v>
      </c>
      <c r="E97" s="90">
        <f t="shared" si="66"/>
        <v>1239.5399999999997</v>
      </c>
      <c r="F97" s="90">
        <f t="shared" si="66"/>
        <v>1239.4399999999998</v>
      </c>
      <c r="G97" s="90">
        <f t="shared" si="66"/>
        <v>1258.1399999999999</v>
      </c>
      <c r="H97" s="90">
        <f t="shared" si="66"/>
        <v>1287.8399999999999</v>
      </c>
      <c r="I97" s="90">
        <f t="shared" si="66"/>
        <v>1355.84</v>
      </c>
      <c r="J97" s="90">
        <f t="shared" si="66"/>
        <v>1529.04</v>
      </c>
      <c r="K97" s="90">
        <f t="shared" si="66"/>
        <v>1602.54</v>
      </c>
      <c r="L97" s="90">
        <f t="shared" si="66"/>
        <v>1651.6399999999999</v>
      </c>
      <c r="M97" s="90">
        <f t="shared" si="66"/>
        <v>1665.04</v>
      </c>
      <c r="N97" s="90">
        <f t="shared" si="66"/>
        <v>1684.74</v>
      </c>
      <c r="O97" s="90">
        <f t="shared" si="66"/>
        <v>1756.44</v>
      </c>
      <c r="P97" s="90">
        <f t="shared" si="66"/>
        <v>1767.84</v>
      </c>
      <c r="Q97" s="90">
        <f t="shared" si="66"/>
        <v>1703.04</v>
      </c>
      <c r="R97" s="90">
        <f t="shared" si="66"/>
        <v>1735.04</v>
      </c>
      <c r="S97" s="90">
        <f t="shared" si="66"/>
        <v>1692.4399999999998</v>
      </c>
      <c r="T97" s="90">
        <f t="shared" ref="T97:U97" si="67">T58+T62+T80+T76+T92+T96</f>
        <v>1727.0399999999997</v>
      </c>
      <c r="U97" s="90">
        <f t="shared" si="67"/>
        <v>1726.6399999999999</v>
      </c>
      <c r="V97" s="90">
        <f t="shared" ref="V97:W97" si="68">V58+V62+V80+V76+V92+V96</f>
        <v>1666.8399999999997</v>
      </c>
      <c r="W97" s="90">
        <f t="shared" si="68"/>
        <v>1628.3399999999997</v>
      </c>
      <c r="X97" s="90">
        <f t="shared" ref="X97:Z97" si="69">X58+X62+X80+X76+X92+X96</f>
        <v>1510.54</v>
      </c>
      <c r="Y97" s="90">
        <f t="shared" si="69"/>
        <v>1526.3399999999997</v>
      </c>
      <c r="Z97" s="90">
        <f t="shared" si="69"/>
        <v>1716.84</v>
      </c>
      <c r="AA97" s="90">
        <f t="shared" ref="AA97" si="70">AA58+AA62+AA80+AA76+AA92+AA96</f>
        <v>1672.54</v>
      </c>
      <c r="AB97" s="90">
        <f t="shared" si="66"/>
        <v>1639.54</v>
      </c>
      <c r="AC97" s="90">
        <f t="shared" ref="AC97:AE97" si="71">AC58+AC62+AC80+AC76+AC92+AC96</f>
        <v>1596.04</v>
      </c>
      <c r="AD97" s="90">
        <f t="shared" si="71"/>
        <v>1571.1399999999999</v>
      </c>
      <c r="AE97" s="90">
        <f t="shared" si="71"/>
        <v>1481.1399999999999</v>
      </c>
      <c r="AF97" s="90">
        <f t="shared" ref="AF97" si="72">AF58+AF62+AF80+AF76+AF92+AF96</f>
        <v>1332.44</v>
      </c>
      <c r="AG97" s="93">
        <f t="shared" si="66"/>
        <v>2231.81</v>
      </c>
      <c r="AH97" s="12">
        <f t="shared" si="57"/>
        <v>1767.84</v>
      </c>
      <c r="AI97" s="11">
        <f t="shared" si="58"/>
        <v>1239.4399999999998</v>
      </c>
      <c r="BF97" s="78"/>
      <c r="BG97" s="78">
        <v>70</v>
      </c>
      <c r="BH97" s="78">
        <v>0</v>
      </c>
      <c r="BI97" s="78">
        <v>501</v>
      </c>
      <c r="BJ97" s="78">
        <v>45</v>
      </c>
      <c r="BK97" s="78">
        <v>127</v>
      </c>
      <c r="BL97" s="78">
        <v>49</v>
      </c>
    </row>
    <row r="98" spans="1:64" ht="15.75" thickBot="1" x14ac:dyDescent="0.3">
      <c r="A98" s="92" t="s">
        <v>164</v>
      </c>
      <c r="B98" s="91">
        <v>180</v>
      </c>
      <c r="C98" s="91">
        <v>180</v>
      </c>
      <c r="D98" s="91">
        <v>180</v>
      </c>
      <c r="E98" s="91">
        <v>180</v>
      </c>
      <c r="F98" s="91">
        <v>180</v>
      </c>
      <c r="G98" s="91">
        <v>180</v>
      </c>
      <c r="H98" s="91">
        <v>180</v>
      </c>
      <c r="I98" s="91">
        <v>180</v>
      </c>
      <c r="J98" s="91">
        <v>80</v>
      </c>
      <c r="K98" s="91">
        <v>80</v>
      </c>
      <c r="L98" s="91">
        <v>80</v>
      </c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>
        <v>250</v>
      </c>
      <c r="Z98" s="91">
        <v>200</v>
      </c>
      <c r="AA98" s="91">
        <v>200</v>
      </c>
      <c r="AB98" s="91">
        <v>200</v>
      </c>
      <c r="AC98" s="91">
        <v>200</v>
      </c>
      <c r="AD98" s="91">
        <v>200</v>
      </c>
      <c r="AE98" s="91">
        <v>180</v>
      </c>
      <c r="AF98" s="91">
        <v>200</v>
      </c>
      <c r="AG98" s="75"/>
      <c r="AH98" s="12">
        <f t="shared" si="57"/>
        <v>250</v>
      </c>
      <c r="AI98" s="11">
        <f t="shared" si="58"/>
        <v>80</v>
      </c>
      <c r="BF98" s="78"/>
      <c r="BG98" s="78">
        <v>70</v>
      </c>
      <c r="BH98" s="78">
        <v>0</v>
      </c>
      <c r="BI98" s="78">
        <v>526</v>
      </c>
      <c r="BJ98" s="78">
        <v>38.700000000000003</v>
      </c>
      <c r="BK98" s="78">
        <v>127.5</v>
      </c>
      <c r="BL98" s="78">
        <v>56.8</v>
      </c>
    </row>
    <row r="99" spans="1:64" ht="15.75" thickBot="1" x14ac:dyDescent="0.3">
      <c r="A99" s="77" t="s">
        <v>163</v>
      </c>
      <c r="B99" s="90">
        <f t="shared" ref="B99:AB99" si="73">B97+B98</f>
        <v>1537.54</v>
      </c>
      <c r="C99" s="90">
        <f t="shared" si="73"/>
        <v>1477.04</v>
      </c>
      <c r="D99" s="90">
        <f t="shared" si="73"/>
        <v>1438.54</v>
      </c>
      <c r="E99" s="90">
        <f t="shared" si="73"/>
        <v>1419.5399999999997</v>
      </c>
      <c r="F99" s="90">
        <f t="shared" si="73"/>
        <v>1419.4399999999998</v>
      </c>
      <c r="G99" s="90">
        <f t="shared" si="73"/>
        <v>1438.1399999999999</v>
      </c>
      <c r="H99" s="90">
        <f t="shared" si="73"/>
        <v>1467.84</v>
      </c>
      <c r="I99" s="90">
        <f t="shared" si="73"/>
        <v>1535.84</v>
      </c>
      <c r="J99" s="90">
        <f t="shared" si="73"/>
        <v>1609.04</v>
      </c>
      <c r="K99" s="90">
        <f t="shared" si="73"/>
        <v>1682.54</v>
      </c>
      <c r="L99" s="90">
        <f t="shared" si="73"/>
        <v>1731.6399999999999</v>
      </c>
      <c r="M99" s="90">
        <f t="shared" si="73"/>
        <v>1665.04</v>
      </c>
      <c r="N99" s="90">
        <f t="shared" si="73"/>
        <v>1684.74</v>
      </c>
      <c r="O99" s="90">
        <f t="shared" si="73"/>
        <v>1756.44</v>
      </c>
      <c r="P99" s="90">
        <f t="shared" si="73"/>
        <v>1767.84</v>
      </c>
      <c r="Q99" s="90">
        <f t="shared" si="73"/>
        <v>1703.04</v>
      </c>
      <c r="R99" s="90">
        <f t="shared" si="73"/>
        <v>1735.04</v>
      </c>
      <c r="S99" s="90">
        <f t="shared" si="73"/>
        <v>1692.4399999999998</v>
      </c>
      <c r="T99" s="90">
        <f t="shared" ref="T99:U99" si="74">T97+T98</f>
        <v>1727.0399999999997</v>
      </c>
      <c r="U99" s="90">
        <f t="shared" si="74"/>
        <v>1726.6399999999999</v>
      </c>
      <c r="V99" s="90">
        <f t="shared" ref="V99:W99" si="75">V97+V98</f>
        <v>1666.8399999999997</v>
      </c>
      <c r="W99" s="90">
        <f t="shared" si="75"/>
        <v>1628.3399999999997</v>
      </c>
      <c r="X99" s="90">
        <f t="shared" ref="X99:Z99" si="76">X97+X98</f>
        <v>1510.54</v>
      </c>
      <c r="Y99" s="90">
        <f t="shared" si="76"/>
        <v>1776.3399999999997</v>
      </c>
      <c r="Z99" s="90">
        <f t="shared" si="76"/>
        <v>1916.84</v>
      </c>
      <c r="AA99" s="90">
        <f t="shared" ref="AA99" si="77">AA97+AA98</f>
        <v>1872.54</v>
      </c>
      <c r="AB99" s="90">
        <f t="shared" si="73"/>
        <v>1839.54</v>
      </c>
      <c r="AC99" s="90">
        <f t="shared" ref="AC99:AE99" si="78">AC97+AC98</f>
        <v>1796.04</v>
      </c>
      <c r="AD99" s="90">
        <f t="shared" si="78"/>
        <v>1771.1399999999999</v>
      </c>
      <c r="AE99" s="90">
        <f t="shared" si="78"/>
        <v>1661.1399999999999</v>
      </c>
      <c r="AF99" s="90">
        <f t="shared" ref="AF99" si="79">AF97+AF98</f>
        <v>1532.44</v>
      </c>
      <c r="AG99" s="75">
        <f>AG96+AG92+AG80+AG76+AG58+AG98</f>
        <v>1693.71</v>
      </c>
      <c r="AH99" s="12">
        <f t="shared" si="57"/>
        <v>1916.84</v>
      </c>
      <c r="AI99" s="11">
        <f t="shared" si="58"/>
        <v>1419.4399999999998</v>
      </c>
      <c r="BF99" s="78"/>
      <c r="BG99" s="78">
        <v>70</v>
      </c>
      <c r="BH99" s="78">
        <v>0</v>
      </c>
      <c r="BI99" s="78">
        <v>526</v>
      </c>
      <c r="BJ99" s="78">
        <v>38.700000000000003</v>
      </c>
      <c r="BK99" s="78">
        <v>127.5</v>
      </c>
      <c r="BL99" s="78">
        <v>56.8</v>
      </c>
    </row>
    <row r="100" spans="1:64" ht="15.75" thickBot="1" x14ac:dyDescent="0.3">
      <c r="A100" s="77" t="s">
        <v>162</v>
      </c>
      <c r="B100" s="90">
        <f t="shared" ref="B100:AB100" si="80">B99-(B107)</f>
        <v>1537.54</v>
      </c>
      <c r="C100" s="90">
        <f t="shared" si="80"/>
        <v>1477.04</v>
      </c>
      <c r="D100" s="90">
        <f t="shared" si="80"/>
        <v>1438.54</v>
      </c>
      <c r="E100" s="90">
        <f t="shared" si="80"/>
        <v>1419.5399999999997</v>
      </c>
      <c r="F100" s="90">
        <f t="shared" si="80"/>
        <v>1419.4399999999998</v>
      </c>
      <c r="G100" s="90">
        <f t="shared" si="80"/>
        <v>1438.1399999999999</v>
      </c>
      <c r="H100" s="90">
        <f t="shared" si="80"/>
        <v>1467.84</v>
      </c>
      <c r="I100" s="90">
        <f t="shared" si="80"/>
        <v>1535.84</v>
      </c>
      <c r="J100" s="90">
        <f t="shared" si="80"/>
        <v>1609.04</v>
      </c>
      <c r="K100" s="90">
        <f t="shared" si="80"/>
        <v>1682.54</v>
      </c>
      <c r="L100" s="90">
        <f t="shared" si="80"/>
        <v>1731.6399999999999</v>
      </c>
      <c r="M100" s="90">
        <f t="shared" si="80"/>
        <v>1665.04</v>
      </c>
      <c r="N100" s="90">
        <f t="shared" si="80"/>
        <v>1684.74</v>
      </c>
      <c r="O100" s="90">
        <f t="shared" si="80"/>
        <v>1756.44</v>
      </c>
      <c r="P100" s="90">
        <f t="shared" si="80"/>
        <v>1767.84</v>
      </c>
      <c r="Q100" s="90">
        <f t="shared" si="80"/>
        <v>1703.04</v>
      </c>
      <c r="R100" s="90">
        <f t="shared" si="80"/>
        <v>1735.04</v>
      </c>
      <c r="S100" s="90">
        <f t="shared" si="80"/>
        <v>1692.4399999999998</v>
      </c>
      <c r="T100" s="90">
        <f t="shared" ref="T100:U100" si="81">T99-(T107)</f>
        <v>1727.0399999999997</v>
      </c>
      <c r="U100" s="90">
        <f t="shared" si="81"/>
        <v>1726.6399999999999</v>
      </c>
      <c r="V100" s="90">
        <f t="shared" ref="V100:W100" si="82">V99-(V107)</f>
        <v>1666.8399999999997</v>
      </c>
      <c r="W100" s="90">
        <f t="shared" si="82"/>
        <v>1628.3399999999997</v>
      </c>
      <c r="X100" s="90">
        <f t="shared" ref="X100:Z100" si="83">X99-(X107)</f>
        <v>1510.54</v>
      </c>
      <c r="Y100" s="90">
        <f t="shared" si="83"/>
        <v>1776.3399999999997</v>
      </c>
      <c r="Z100" s="90">
        <f t="shared" si="83"/>
        <v>1916.84</v>
      </c>
      <c r="AA100" s="90">
        <f t="shared" ref="AA100" si="84">AA99-(AA107)</f>
        <v>1872.54</v>
      </c>
      <c r="AB100" s="90">
        <f t="shared" si="80"/>
        <v>1839.54</v>
      </c>
      <c r="AC100" s="90">
        <f t="shared" ref="AC100:AE100" si="85">AC99-(AC107)</f>
        <v>1796.04</v>
      </c>
      <c r="AD100" s="90">
        <f t="shared" si="85"/>
        <v>1771.1399999999999</v>
      </c>
      <c r="AE100" s="90">
        <f t="shared" si="85"/>
        <v>1661.1399999999999</v>
      </c>
      <c r="AF100" s="90">
        <f t="shared" ref="AF100" si="86">AF99-(AF107)</f>
        <v>1532.44</v>
      </c>
      <c r="AG100" s="75"/>
      <c r="AH100" s="12">
        <f t="shared" si="57"/>
        <v>1916.84</v>
      </c>
      <c r="AI100" s="11">
        <f t="shared" si="58"/>
        <v>1419.4399999999998</v>
      </c>
      <c r="BF100" s="78"/>
      <c r="BG100" s="78">
        <v>55.8</v>
      </c>
      <c r="BH100" s="78">
        <v>0</v>
      </c>
      <c r="BI100" s="78">
        <v>500.1</v>
      </c>
      <c r="BJ100" s="78">
        <v>46.9</v>
      </c>
      <c r="BK100" s="78">
        <v>109.9</v>
      </c>
      <c r="BL100" s="78">
        <v>45.3</v>
      </c>
    </row>
    <row r="101" spans="1:64" x14ac:dyDescent="0.25">
      <c r="A101" s="89" t="s">
        <v>161</v>
      </c>
      <c r="B101" s="85">
        <f t="shared" ref="B101:AB101" si="87">IF(B84&lt;0,B84*-1,0)</f>
        <v>0</v>
      </c>
      <c r="C101" s="85">
        <f t="shared" si="87"/>
        <v>0</v>
      </c>
      <c r="D101" s="85">
        <f t="shared" si="87"/>
        <v>0</v>
      </c>
      <c r="E101" s="85">
        <f t="shared" si="87"/>
        <v>0</v>
      </c>
      <c r="F101" s="85">
        <f t="shared" si="87"/>
        <v>0</v>
      </c>
      <c r="G101" s="85">
        <f t="shared" si="87"/>
        <v>0</v>
      </c>
      <c r="H101" s="85">
        <f t="shared" si="87"/>
        <v>0</v>
      </c>
      <c r="I101" s="85">
        <f t="shared" si="87"/>
        <v>0</v>
      </c>
      <c r="J101" s="85">
        <f t="shared" si="87"/>
        <v>0</v>
      </c>
      <c r="K101" s="85">
        <f t="shared" si="87"/>
        <v>0</v>
      </c>
      <c r="L101" s="85">
        <f t="shared" si="87"/>
        <v>0</v>
      </c>
      <c r="M101" s="85">
        <f t="shared" si="87"/>
        <v>0</v>
      </c>
      <c r="N101" s="85">
        <f t="shared" si="87"/>
        <v>0</v>
      </c>
      <c r="O101" s="85">
        <f t="shared" si="87"/>
        <v>0</v>
      </c>
      <c r="P101" s="85">
        <f t="shared" si="87"/>
        <v>0</v>
      </c>
      <c r="Q101" s="85">
        <f t="shared" si="87"/>
        <v>0</v>
      </c>
      <c r="R101" s="85">
        <f t="shared" si="87"/>
        <v>0</v>
      </c>
      <c r="S101" s="85">
        <f t="shared" si="87"/>
        <v>0</v>
      </c>
      <c r="T101" s="85">
        <f t="shared" ref="T101:U101" si="88">IF(T84&lt;0,T84*-1,0)</f>
        <v>0</v>
      </c>
      <c r="U101" s="85">
        <f t="shared" si="88"/>
        <v>0</v>
      </c>
      <c r="V101" s="85">
        <f t="shared" ref="V101:W101" si="89">IF(V84&lt;0,V84*-1,0)</f>
        <v>0</v>
      </c>
      <c r="W101" s="85">
        <f t="shared" si="89"/>
        <v>0</v>
      </c>
      <c r="X101" s="85">
        <f t="shared" ref="X101:Z101" si="90">IF(X84&lt;0,X84*-1,0)</f>
        <v>0</v>
      </c>
      <c r="Y101" s="85">
        <f t="shared" si="90"/>
        <v>0</v>
      </c>
      <c r="Z101" s="85">
        <f t="shared" si="90"/>
        <v>0</v>
      </c>
      <c r="AA101" s="85">
        <f t="shared" ref="AA101" si="91">IF(AA84&lt;0,AA84*-1,0)</f>
        <v>0</v>
      </c>
      <c r="AB101" s="85">
        <f t="shared" si="87"/>
        <v>0</v>
      </c>
      <c r="AC101" s="85">
        <f t="shared" ref="AC101:AE101" si="92">IF(AC84&lt;0,AC84*-1,0)</f>
        <v>0</v>
      </c>
      <c r="AD101" s="85">
        <f t="shared" si="92"/>
        <v>0</v>
      </c>
      <c r="AE101" s="85">
        <f t="shared" si="92"/>
        <v>0</v>
      </c>
      <c r="AF101" s="85">
        <f t="shared" ref="AF101" si="93">IF(AF84&lt;0,AF84*-1,0)</f>
        <v>0</v>
      </c>
      <c r="AG101" s="88"/>
      <c r="AH101" s="12">
        <f t="shared" si="57"/>
        <v>0</v>
      </c>
      <c r="AI101" s="11">
        <f t="shared" si="58"/>
        <v>0</v>
      </c>
      <c r="BF101" s="83"/>
      <c r="BG101" s="78">
        <v>52.3</v>
      </c>
      <c r="BH101" s="78">
        <v>0</v>
      </c>
      <c r="BI101" s="78">
        <v>448.6</v>
      </c>
      <c r="BJ101" s="78">
        <v>0</v>
      </c>
      <c r="BK101" s="78">
        <v>0</v>
      </c>
      <c r="BL101" s="78">
        <v>37.9</v>
      </c>
    </row>
    <row r="102" spans="1:64" x14ac:dyDescent="0.25">
      <c r="A102" s="87" t="s">
        <v>160</v>
      </c>
      <c r="B102" s="85">
        <f t="shared" ref="B102:AB102" si="94">IF(B82&lt;0,B82*-1,0)</f>
        <v>0</v>
      </c>
      <c r="C102" s="85">
        <f t="shared" si="94"/>
        <v>0</v>
      </c>
      <c r="D102" s="85">
        <f t="shared" si="94"/>
        <v>0</v>
      </c>
      <c r="E102" s="85">
        <f t="shared" si="94"/>
        <v>0</v>
      </c>
      <c r="F102" s="85">
        <f t="shared" si="94"/>
        <v>0</v>
      </c>
      <c r="G102" s="85">
        <f t="shared" si="94"/>
        <v>0</v>
      </c>
      <c r="H102" s="85">
        <f t="shared" si="94"/>
        <v>0</v>
      </c>
      <c r="I102" s="85">
        <f t="shared" si="94"/>
        <v>0</v>
      </c>
      <c r="J102" s="85">
        <f t="shared" si="94"/>
        <v>0</v>
      </c>
      <c r="K102" s="85">
        <f t="shared" si="94"/>
        <v>0</v>
      </c>
      <c r="L102" s="85">
        <f t="shared" si="94"/>
        <v>0</v>
      </c>
      <c r="M102" s="85">
        <f t="shared" si="94"/>
        <v>0</v>
      </c>
      <c r="N102" s="85">
        <f t="shared" si="94"/>
        <v>0</v>
      </c>
      <c r="O102" s="85">
        <f t="shared" si="94"/>
        <v>0</v>
      </c>
      <c r="P102" s="85">
        <f t="shared" si="94"/>
        <v>0</v>
      </c>
      <c r="Q102" s="85">
        <f t="shared" si="94"/>
        <v>0</v>
      </c>
      <c r="R102" s="85">
        <f t="shared" si="94"/>
        <v>0</v>
      </c>
      <c r="S102" s="85">
        <f t="shared" si="94"/>
        <v>0</v>
      </c>
      <c r="T102" s="85">
        <f t="shared" ref="T102:U102" si="95">IF(T82&lt;0,T82*-1,0)</f>
        <v>0</v>
      </c>
      <c r="U102" s="85">
        <f t="shared" si="95"/>
        <v>0</v>
      </c>
      <c r="V102" s="85">
        <f t="shared" ref="V102:W102" si="96">IF(V82&lt;0,V82*-1,0)</f>
        <v>0</v>
      </c>
      <c r="W102" s="85">
        <f t="shared" si="96"/>
        <v>0</v>
      </c>
      <c r="X102" s="85">
        <f t="shared" ref="X102:Z102" si="97">IF(X82&lt;0,X82*-1,0)</f>
        <v>0</v>
      </c>
      <c r="Y102" s="85">
        <f t="shared" si="97"/>
        <v>0</v>
      </c>
      <c r="Z102" s="85">
        <f t="shared" si="97"/>
        <v>0</v>
      </c>
      <c r="AA102" s="85">
        <f t="shared" ref="AA102" si="98">IF(AA82&lt;0,AA82*-1,0)</f>
        <v>0</v>
      </c>
      <c r="AB102" s="85">
        <f t="shared" si="94"/>
        <v>0</v>
      </c>
      <c r="AC102" s="85">
        <f t="shared" ref="AC102:AE102" si="99">IF(AC82&lt;0,AC82*-1,0)</f>
        <v>0</v>
      </c>
      <c r="AD102" s="85">
        <f t="shared" si="99"/>
        <v>0</v>
      </c>
      <c r="AE102" s="85">
        <f t="shared" si="99"/>
        <v>0</v>
      </c>
      <c r="AF102" s="85">
        <f t="shared" ref="AF102" si="100">IF(AF82&lt;0,AF82*-1,0)</f>
        <v>0</v>
      </c>
      <c r="AG102" s="86"/>
      <c r="AH102" s="12">
        <f t="shared" si="57"/>
        <v>0</v>
      </c>
      <c r="AI102" s="11">
        <f t="shared" si="58"/>
        <v>0</v>
      </c>
      <c r="BF102" s="83"/>
      <c r="BG102" s="78">
        <v>19.7</v>
      </c>
      <c r="BH102" s="78">
        <v>0</v>
      </c>
      <c r="BI102" s="78">
        <v>135.4</v>
      </c>
      <c r="BJ102" s="78">
        <v>0</v>
      </c>
      <c r="BK102" s="78">
        <v>0</v>
      </c>
      <c r="BL102" s="78">
        <v>36.200000000000003</v>
      </c>
    </row>
    <row r="103" spans="1:64" x14ac:dyDescent="0.25">
      <c r="A103" s="82" t="s">
        <v>159</v>
      </c>
      <c r="B103" s="85">
        <f t="shared" ref="B103:AB103" si="101">IF(B85&lt;0,B85*-1,0)</f>
        <v>0</v>
      </c>
      <c r="C103" s="85">
        <f t="shared" si="101"/>
        <v>0</v>
      </c>
      <c r="D103" s="85">
        <f t="shared" si="101"/>
        <v>0</v>
      </c>
      <c r="E103" s="85">
        <f t="shared" si="101"/>
        <v>0</v>
      </c>
      <c r="F103" s="85">
        <f t="shared" si="101"/>
        <v>0</v>
      </c>
      <c r="G103" s="85">
        <f t="shared" si="101"/>
        <v>0</v>
      </c>
      <c r="H103" s="85">
        <f t="shared" si="101"/>
        <v>0</v>
      </c>
      <c r="I103" s="85">
        <f t="shared" si="101"/>
        <v>0</v>
      </c>
      <c r="J103" s="85">
        <f t="shared" si="101"/>
        <v>0</v>
      </c>
      <c r="K103" s="85">
        <f t="shared" si="101"/>
        <v>0</v>
      </c>
      <c r="L103" s="85">
        <f t="shared" si="101"/>
        <v>0</v>
      </c>
      <c r="M103" s="85">
        <f t="shared" si="101"/>
        <v>0</v>
      </c>
      <c r="N103" s="85">
        <f t="shared" si="101"/>
        <v>0</v>
      </c>
      <c r="O103" s="85">
        <f t="shared" si="101"/>
        <v>0</v>
      </c>
      <c r="P103" s="85">
        <f t="shared" si="101"/>
        <v>0</v>
      </c>
      <c r="Q103" s="85">
        <f t="shared" si="101"/>
        <v>0</v>
      </c>
      <c r="R103" s="85">
        <f t="shared" si="101"/>
        <v>0</v>
      </c>
      <c r="S103" s="85">
        <f t="shared" si="101"/>
        <v>0</v>
      </c>
      <c r="T103" s="85">
        <f t="shared" ref="T103:U103" si="102">IF(T85&lt;0,T85*-1,0)</f>
        <v>0</v>
      </c>
      <c r="U103" s="85">
        <f t="shared" si="102"/>
        <v>0</v>
      </c>
      <c r="V103" s="85">
        <f t="shared" ref="V103:W103" si="103">IF(V85&lt;0,V85*-1,0)</f>
        <v>0</v>
      </c>
      <c r="W103" s="85">
        <f t="shared" si="103"/>
        <v>0</v>
      </c>
      <c r="X103" s="85">
        <f t="shared" ref="X103:Z103" si="104">IF(X85&lt;0,X85*-1,0)</f>
        <v>0</v>
      </c>
      <c r="Y103" s="85">
        <f t="shared" si="104"/>
        <v>0</v>
      </c>
      <c r="Z103" s="85">
        <f t="shared" si="104"/>
        <v>0</v>
      </c>
      <c r="AA103" s="85">
        <f t="shared" ref="AA103" si="105">IF(AA85&lt;0,AA85*-1,0)</f>
        <v>0</v>
      </c>
      <c r="AB103" s="85">
        <f t="shared" si="101"/>
        <v>0</v>
      </c>
      <c r="AC103" s="85">
        <f t="shared" ref="AC103:AE103" si="106">IF(AC85&lt;0,AC85*-1,0)</f>
        <v>0</v>
      </c>
      <c r="AD103" s="85">
        <f t="shared" si="106"/>
        <v>0</v>
      </c>
      <c r="AE103" s="85">
        <f t="shared" si="106"/>
        <v>0</v>
      </c>
      <c r="AF103" s="85">
        <f t="shared" ref="AF103" si="107">IF(AF85&lt;0,AF85*-1,0)</f>
        <v>0</v>
      </c>
      <c r="AG103" s="84"/>
      <c r="AH103" s="12">
        <f t="shared" si="57"/>
        <v>0</v>
      </c>
      <c r="AI103" s="11">
        <f t="shared" si="58"/>
        <v>0</v>
      </c>
      <c r="BF103" s="83"/>
      <c r="BG103" s="78">
        <v>16.899999999999999</v>
      </c>
      <c r="BH103" s="78">
        <v>0</v>
      </c>
      <c r="BI103" s="78">
        <v>70</v>
      </c>
      <c r="BJ103" s="78">
        <v>0</v>
      </c>
      <c r="BK103" s="78">
        <v>0</v>
      </c>
      <c r="BL103" s="78">
        <v>34.799999999999997</v>
      </c>
    </row>
    <row r="104" spans="1:64" x14ac:dyDescent="0.25">
      <c r="A104" s="82" t="s">
        <v>158</v>
      </c>
      <c r="B104" s="85">
        <f t="shared" ref="B104:AB104" si="108">IF(B83&lt;0,B83*-1,0)</f>
        <v>0</v>
      </c>
      <c r="C104" s="85">
        <f t="shared" si="108"/>
        <v>0</v>
      </c>
      <c r="D104" s="85">
        <f t="shared" si="108"/>
        <v>0</v>
      </c>
      <c r="E104" s="85">
        <f t="shared" si="108"/>
        <v>0</v>
      </c>
      <c r="F104" s="85">
        <f t="shared" si="108"/>
        <v>0</v>
      </c>
      <c r="G104" s="85">
        <f t="shared" si="108"/>
        <v>0</v>
      </c>
      <c r="H104" s="85">
        <f t="shared" si="108"/>
        <v>0</v>
      </c>
      <c r="I104" s="85">
        <f t="shared" si="108"/>
        <v>0</v>
      </c>
      <c r="J104" s="85">
        <f t="shared" si="108"/>
        <v>0</v>
      </c>
      <c r="K104" s="85">
        <f t="shared" si="108"/>
        <v>0</v>
      </c>
      <c r="L104" s="85">
        <f t="shared" si="108"/>
        <v>0</v>
      </c>
      <c r="M104" s="85">
        <f t="shared" si="108"/>
        <v>0</v>
      </c>
      <c r="N104" s="85">
        <f t="shared" si="108"/>
        <v>0</v>
      </c>
      <c r="O104" s="85">
        <f t="shared" si="108"/>
        <v>0</v>
      </c>
      <c r="P104" s="85">
        <f t="shared" si="108"/>
        <v>0</v>
      </c>
      <c r="Q104" s="85">
        <f t="shared" si="108"/>
        <v>0</v>
      </c>
      <c r="R104" s="85">
        <f t="shared" si="108"/>
        <v>0</v>
      </c>
      <c r="S104" s="85">
        <f t="shared" si="108"/>
        <v>0</v>
      </c>
      <c r="T104" s="85">
        <f t="shared" ref="T104:U104" si="109">IF(T83&lt;0,T83*-1,0)</f>
        <v>0</v>
      </c>
      <c r="U104" s="85">
        <f t="shared" si="109"/>
        <v>0</v>
      </c>
      <c r="V104" s="85">
        <f t="shared" ref="V104:W104" si="110">IF(V83&lt;0,V83*-1,0)</f>
        <v>0</v>
      </c>
      <c r="W104" s="85">
        <f t="shared" si="110"/>
        <v>0</v>
      </c>
      <c r="X104" s="85">
        <f t="shared" ref="X104:Z104" si="111">IF(X83&lt;0,X83*-1,0)</f>
        <v>0</v>
      </c>
      <c r="Y104" s="85">
        <f t="shared" si="111"/>
        <v>0</v>
      </c>
      <c r="Z104" s="85">
        <f t="shared" si="111"/>
        <v>0</v>
      </c>
      <c r="AA104" s="85">
        <f t="shared" ref="AA104" si="112">IF(AA83&lt;0,AA83*-1,0)</f>
        <v>0</v>
      </c>
      <c r="AB104" s="85">
        <f t="shared" si="108"/>
        <v>0</v>
      </c>
      <c r="AC104" s="85">
        <f t="shared" ref="AC104:AE104" si="113">IF(AC83&lt;0,AC83*-1,0)</f>
        <v>0</v>
      </c>
      <c r="AD104" s="85">
        <f t="shared" si="113"/>
        <v>0</v>
      </c>
      <c r="AE104" s="85">
        <f t="shared" si="113"/>
        <v>0</v>
      </c>
      <c r="AF104" s="85">
        <f t="shared" ref="AF104" si="114">IF(AF83&lt;0,AF83*-1,0)</f>
        <v>0</v>
      </c>
      <c r="AG104" s="84"/>
      <c r="AH104" s="12">
        <f t="shared" si="57"/>
        <v>0</v>
      </c>
      <c r="AI104" s="11">
        <f t="shared" si="58"/>
        <v>0</v>
      </c>
      <c r="BF104" s="83"/>
      <c r="BG104" s="78">
        <v>9</v>
      </c>
      <c r="BH104" s="78">
        <v>0</v>
      </c>
      <c r="BI104" s="78">
        <v>70</v>
      </c>
      <c r="BJ104" s="78">
        <v>0</v>
      </c>
      <c r="BK104" s="78">
        <v>0</v>
      </c>
      <c r="BL104" s="78">
        <v>35</v>
      </c>
    </row>
    <row r="105" spans="1:64" x14ac:dyDescent="0.25">
      <c r="A105" s="82" t="s">
        <v>157</v>
      </c>
      <c r="B105" s="85">
        <f t="shared" ref="B105:AB105" si="115">IF(B81&lt;0,B81*-1,0)</f>
        <v>0</v>
      </c>
      <c r="C105" s="85">
        <f t="shared" si="115"/>
        <v>0</v>
      </c>
      <c r="D105" s="85">
        <f t="shared" si="115"/>
        <v>0</v>
      </c>
      <c r="E105" s="85">
        <f t="shared" si="115"/>
        <v>0</v>
      </c>
      <c r="F105" s="85">
        <f t="shared" si="115"/>
        <v>0</v>
      </c>
      <c r="G105" s="85">
        <f t="shared" si="115"/>
        <v>0</v>
      </c>
      <c r="H105" s="85">
        <f t="shared" si="115"/>
        <v>0</v>
      </c>
      <c r="I105" s="85">
        <f t="shared" si="115"/>
        <v>0</v>
      </c>
      <c r="J105" s="85">
        <f t="shared" si="115"/>
        <v>0</v>
      </c>
      <c r="K105" s="85">
        <f t="shared" si="115"/>
        <v>0</v>
      </c>
      <c r="L105" s="85">
        <f t="shared" si="115"/>
        <v>0</v>
      </c>
      <c r="M105" s="85">
        <f t="shared" si="115"/>
        <v>0</v>
      </c>
      <c r="N105" s="85">
        <f t="shared" si="115"/>
        <v>0</v>
      </c>
      <c r="O105" s="85">
        <f t="shared" si="115"/>
        <v>0</v>
      </c>
      <c r="P105" s="85">
        <f t="shared" si="115"/>
        <v>0</v>
      </c>
      <c r="Q105" s="85">
        <f t="shared" si="115"/>
        <v>0</v>
      </c>
      <c r="R105" s="85">
        <f t="shared" si="115"/>
        <v>0</v>
      </c>
      <c r="S105" s="85">
        <f t="shared" si="115"/>
        <v>0</v>
      </c>
      <c r="T105" s="85">
        <f t="shared" ref="T105:U105" si="116">IF(T81&lt;0,T81*-1,0)</f>
        <v>0</v>
      </c>
      <c r="U105" s="85">
        <f t="shared" si="116"/>
        <v>0</v>
      </c>
      <c r="V105" s="85">
        <f t="shared" ref="V105:W105" si="117">IF(V81&lt;0,V81*-1,0)</f>
        <v>0</v>
      </c>
      <c r="W105" s="85">
        <f t="shared" si="117"/>
        <v>0</v>
      </c>
      <c r="X105" s="85">
        <f t="shared" ref="X105:Z105" si="118">IF(X81&lt;0,X81*-1,0)</f>
        <v>0</v>
      </c>
      <c r="Y105" s="85">
        <f t="shared" si="118"/>
        <v>0</v>
      </c>
      <c r="Z105" s="85">
        <f t="shared" si="118"/>
        <v>0</v>
      </c>
      <c r="AA105" s="85">
        <f t="shared" ref="AA105" si="119">IF(AA81&lt;0,AA81*-1,0)</f>
        <v>0</v>
      </c>
      <c r="AB105" s="85">
        <f t="shared" si="115"/>
        <v>0</v>
      </c>
      <c r="AC105" s="85">
        <f t="shared" ref="AC105:AE105" si="120">IF(AC81&lt;0,AC81*-1,0)</f>
        <v>0</v>
      </c>
      <c r="AD105" s="85">
        <f t="shared" si="120"/>
        <v>0</v>
      </c>
      <c r="AE105" s="85">
        <f t="shared" si="120"/>
        <v>0</v>
      </c>
      <c r="AF105" s="85">
        <f t="shared" ref="AF105" si="121">IF(AF81&lt;0,AF81*-1,0)</f>
        <v>0</v>
      </c>
      <c r="AG105" s="84"/>
      <c r="AH105" s="12">
        <f t="shared" si="57"/>
        <v>0</v>
      </c>
      <c r="AI105" s="11">
        <f t="shared" si="58"/>
        <v>0</v>
      </c>
      <c r="BF105" s="83"/>
      <c r="BG105" s="78">
        <v>8</v>
      </c>
      <c r="BH105" s="78">
        <v>0</v>
      </c>
      <c r="BI105" s="78">
        <v>120</v>
      </c>
      <c r="BJ105" s="78">
        <v>0</v>
      </c>
      <c r="BK105" s="78">
        <v>0</v>
      </c>
      <c r="BL105" s="78">
        <v>39</v>
      </c>
    </row>
    <row r="106" spans="1:64" ht="15.75" thickBot="1" x14ac:dyDescent="0.3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57"/>
        <v>0</v>
      </c>
      <c r="AI106" s="11">
        <f t="shared" si="58"/>
        <v>0</v>
      </c>
      <c r="BG106" s="78">
        <v>10</v>
      </c>
      <c r="BH106" s="78">
        <v>0</v>
      </c>
      <c r="BI106" s="78">
        <v>35</v>
      </c>
      <c r="BJ106" s="78">
        <v>0</v>
      </c>
      <c r="BK106" s="78">
        <v>0</v>
      </c>
      <c r="BL106" s="78">
        <v>40</v>
      </c>
    </row>
    <row r="107" spans="1:64" ht="15.75" thickBot="1" x14ac:dyDescent="0.3">
      <c r="A107" s="79" t="s">
        <v>155</v>
      </c>
      <c r="B107" s="76">
        <f t="shared" ref="B107:AB107" si="122">SUM(B101:B106)</f>
        <v>0</v>
      </c>
      <c r="C107" s="76">
        <f t="shared" si="122"/>
        <v>0</v>
      </c>
      <c r="D107" s="76">
        <f t="shared" si="122"/>
        <v>0</v>
      </c>
      <c r="E107" s="76">
        <f t="shared" si="122"/>
        <v>0</v>
      </c>
      <c r="F107" s="76">
        <f t="shared" si="122"/>
        <v>0</v>
      </c>
      <c r="G107" s="76">
        <f t="shared" si="122"/>
        <v>0</v>
      </c>
      <c r="H107" s="76">
        <f t="shared" si="122"/>
        <v>0</v>
      </c>
      <c r="I107" s="76">
        <f t="shared" si="122"/>
        <v>0</v>
      </c>
      <c r="J107" s="76">
        <f t="shared" si="122"/>
        <v>0</v>
      </c>
      <c r="K107" s="76">
        <f t="shared" si="122"/>
        <v>0</v>
      </c>
      <c r="L107" s="76">
        <f t="shared" si="122"/>
        <v>0</v>
      </c>
      <c r="M107" s="76">
        <f t="shared" si="122"/>
        <v>0</v>
      </c>
      <c r="N107" s="76">
        <f t="shared" si="122"/>
        <v>0</v>
      </c>
      <c r="O107" s="76">
        <f t="shared" si="122"/>
        <v>0</v>
      </c>
      <c r="P107" s="76">
        <f t="shared" si="122"/>
        <v>0</v>
      </c>
      <c r="Q107" s="76">
        <f t="shared" si="122"/>
        <v>0</v>
      </c>
      <c r="R107" s="76">
        <f t="shared" si="122"/>
        <v>0</v>
      </c>
      <c r="S107" s="76">
        <f t="shared" si="122"/>
        <v>0</v>
      </c>
      <c r="T107" s="76">
        <f t="shared" ref="T107:U107" si="123">SUM(T101:T106)</f>
        <v>0</v>
      </c>
      <c r="U107" s="76">
        <f t="shared" si="123"/>
        <v>0</v>
      </c>
      <c r="V107" s="76">
        <f t="shared" ref="V107:W107" si="124">SUM(V101:V106)</f>
        <v>0</v>
      </c>
      <c r="W107" s="76">
        <f t="shared" si="124"/>
        <v>0</v>
      </c>
      <c r="X107" s="76">
        <f t="shared" ref="X107:Z107" si="125">SUM(X101:X106)</f>
        <v>0</v>
      </c>
      <c r="Y107" s="76">
        <f t="shared" si="125"/>
        <v>0</v>
      </c>
      <c r="Z107" s="76">
        <f t="shared" si="125"/>
        <v>0</v>
      </c>
      <c r="AA107" s="76">
        <f t="shared" ref="AA107" si="126">SUM(AA101:AA106)</f>
        <v>0</v>
      </c>
      <c r="AB107" s="76">
        <f t="shared" si="122"/>
        <v>0</v>
      </c>
      <c r="AC107" s="76">
        <f t="shared" ref="AC107" si="127">SUM(AC101:AC106)</f>
        <v>0</v>
      </c>
      <c r="AD107" s="76">
        <v>0</v>
      </c>
      <c r="AE107" s="76">
        <v>0</v>
      </c>
      <c r="AF107" s="76">
        <v>0</v>
      </c>
      <c r="AG107" s="75"/>
      <c r="AH107" s="12">
        <f t="shared" si="57"/>
        <v>0</v>
      </c>
      <c r="AI107" s="11">
        <f t="shared" si="58"/>
        <v>0</v>
      </c>
      <c r="AK107" s="19"/>
      <c r="BG107" s="78">
        <v>32.6</v>
      </c>
      <c r="BH107" s="78">
        <v>0</v>
      </c>
      <c r="BI107" s="78">
        <v>20.3</v>
      </c>
      <c r="BJ107" s="78">
        <v>0</v>
      </c>
      <c r="BK107" s="78">
        <v>0</v>
      </c>
      <c r="BL107" s="78">
        <v>47.5</v>
      </c>
    </row>
    <row r="108" spans="1:64" ht="15.75" thickBot="1" x14ac:dyDescent="0.3">
      <c r="A108" s="77" t="s">
        <v>154</v>
      </c>
      <c r="B108" s="76">
        <f t="shared" ref="B108:AB108" si="128">B92-B107</f>
        <v>100.4</v>
      </c>
      <c r="C108" s="76">
        <f t="shared" si="128"/>
        <v>121.69999999999999</v>
      </c>
      <c r="D108" s="76">
        <f t="shared" si="128"/>
        <v>192</v>
      </c>
      <c r="E108" s="76">
        <f t="shared" si="128"/>
        <v>148.80000000000001</v>
      </c>
      <c r="F108" s="76">
        <f t="shared" si="128"/>
        <v>169.7</v>
      </c>
      <c r="G108" s="76">
        <f t="shared" si="128"/>
        <v>188.4</v>
      </c>
      <c r="H108" s="76">
        <f t="shared" si="128"/>
        <v>129</v>
      </c>
      <c r="I108" s="76">
        <f t="shared" si="128"/>
        <v>154.69999999999999</v>
      </c>
      <c r="J108" s="76">
        <f t="shared" si="128"/>
        <v>592</v>
      </c>
      <c r="K108" s="76">
        <f t="shared" si="128"/>
        <v>575.49999999999989</v>
      </c>
      <c r="L108" s="76">
        <f t="shared" si="128"/>
        <v>602.70000000000005</v>
      </c>
      <c r="M108" s="76">
        <f t="shared" si="128"/>
        <v>606.70000000000005</v>
      </c>
      <c r="N108" s="76">
        <f t="shared" si="128"/>
        <v>782</v>
      </c>
      <c r="O108" s="76">
        <f t="shared" si="128"/>
        <v>834.1</v>
      </c>
      <c r="P108" s="76">
        <f t="shared" si="128"/>
        <v>815.5</v>
      </c>
      <c r="Q108" s="76">
        <f t="shared" si="128"/>
        <v>787.6</v>
      </c>
      <c r="R108" s="76">
        <f t="shared" si="128"/>
        <v>808.7</v>
      </c>
      <c r="S108" s="76">
        <f t="shared" si="128"/>
        <v>792</v>
      </c>
      <c r="T108" s="76">
        <f t="shared" ref="T108:U108" si="129">T92-T107</f>
        <v>819</v>
      </c>
      <c r="U108" s="76">
        <f t="shared" si="129"/>
        <v>819</v>
      </c>
      <c r="V108" s="76">
        <f t="shared" ref="V108:W108" si="130">V92-V107</f>
        <v>757.99999999999989</v>
      </c>
      <c r="W108" s="76">
        <f t="shared" si="130"/>
        <v>698.59999999999991</v>
      </c>
      <c r="X108" s="76">
        <f t="shared" ref="X108:Z108" si="131">X92-X107</f>
        <v>538.80000000000007</v>
      </c>
      <c r="Y108" s="76">
        <f t="shared" si="131"/>
        <v>68.099999999999994</v>
      </c>
      <c r="Z108" s="76">
        <f t="shared" si="131"/>
        <v>191.3</v>
      </c>
      <c r="AA108" s="76">
        <f t="shared" ref="AA108" si="132">AA92-AA107</f>
        <v>147</v>
      </c>
      <c r="AB108" s="76">
        <f t="shared" si="128"/>
        <v>121.7</v>
      </c>
      <c r="AC108" s="76">
        <f t="shared" ref="AC108:AE108" si="133">AC92-AC107</f>
        <v>111.9</v>
      </c>
      <c r="AD108" s="76">
        <f t="shared" si="133"/>
        <v>114</v>
      </c>
      <c r="AE108" s="76">
        <f t="shared" si="133"/>
        <v>167</v>
      </c>
      <c r="AF108" s="76">
        <f t="shared" ref="AF108" si="134">AF92-AF107</f>
        <v>85</v>
      </c>
      <c r="AG108" s="75"/>
      <c r="AH108" s="12">
        <f t="shared" si="57"/>
        <v>834.1</v>
      </c>
      <c r="AI108" s="11">
        <f t="shared" si="58"/>
        <v>68.099999999999994</v>
      </c>
    </row>
    <row r="109" spans="1:64" x14ac:dyDescent="0.25">
      <c r="A109" s="25" t="s">
        <v>153</v>
      </c>
      <c r="B109" s="74">
        <v>50.029000000000003</v>
      </c>
      <c r="C109" s="74">
        <v>49.985999999999997</v>
      </c>
      <c r="D109" s="74">
        <v>49.957999999999998</v>
      </c>
      <c r="E109" s="74">
        <v>49.98</v>
      </c>
      <c r="F109" s="74">
        <v>49.975000000000001</v>
      </c>
      <c r="G109" s="74">
        <v>49.945</v>
      </c>
      <c r="H109" s="74"/>
      <c r="I109" s="74">
        <v>49.97</v>
      </c>
      <c r="J109" s="74"/>
      <c r="K109" s="74">
        <v>49.993000000000002</v>
      </c>
      <c r="L109" s="74">
        <v>50</v>
      </c>
      <c r="M109" s="74">
        <v>50.055999999999997</v>
      </c>
      <c r="N109" s="74">
        <v>50.131999999999998</v>
      </c>
      <c r="O109" s="74">
        <v>49.981000000000002</v>
      </c>
      <c r="P109" s="74">
        <v>49.978999999999999</v>
      </c>
      <c r="Q109" s="74">
        <v>49.985999999999997</v>
      </c>
      <c r="R109" s="74">
        <v>49.994999999999997</v>
      </c>
      <c r="S109" s="74">
        <v>49.981999999999999</v>
      </c>
      <c r="T109" s="74">
        <v>49.92</v>
      </c>
      <c r="U109" s="74">
        <v>50</v>
      </c>
      <c r="V109" s="74">
        <v>49.93</v>
      </c>
      <c r="W109" s="74">
        <v>50.02</v>
      </c>
      <c r="X109" s="74">
        <v>50.03</v>
      </c>
      <c r="Y109" s="74">
        <v>49.94</v>
      </c>
      <c r="Z109" s="74">
        <v>49.95</v>
      </c>
      <c r="AA109" s="74">
        <v>49.9</v>
      </c>
      <c r="AB109" s="74">
        <v>50.012</v>
      </c>
      <c r="AC109" s="74">
        <v>49.98</v>
      </c>
      <c r="AD109" s="74">
        <v>49.98</v>
      </c>
      <c r="AE109" s="74">
        <v>50.015999999999998</v>
      </c>
      <c r="AF109" s="74">
        <v>49.93</v>
      </c>
      <c r="AG109" s="73"/>
      <c r="AH109" s="12">
        <f t="shared" si="57"/>
        <v>50.131999999999998</v>
      </c>
      <c r="AI109" s="11">
        <f t="shared" si="58"/>
        <v>49.9</v>
      </c>
    </row>
    <row r="110" spans="1:64" x14ac:dyDescent="0.25">
      <c r="A110" s="22" t="s">
        <v>152</v>
      </c>
      <c r="B110" s="70">
        <v>127.9</v>
      </c>
      <c r="C110" s="70">
        <v>128.5</v>
      </c>
      <c r="D110" s="70">
        <v>128.69999999999999</v>
      </c>
      <c r="E110" s="70">
        <v>129.69999999999999</v>
      </c>
      <c r="F110" s="70">
        <v>129.5</v>
      </c>
      <c r="G110" s="70">
        <v>128.80000000000001</v>
      </c>
      <c r="H110" s="70"/>
      <c r="I110" s="70">
        <v>126.6</v>
      </c>
      <c r="J110" s="70"/>
      <c r="K110" s="70">
        <v>122.3</v>
      </c>
      <c r="L110" s="70">
        <v>121.7</v>
      </c>
      <c r="M110" s="70">
        <v>123.5</v>
      </c>
      <c r="N110" s="70">
        <v>123.4</v>
      </c>
      <c r="O110" s="70">
        <v>123.5</v>
      </c>
      <c r="P110" s="70">
        <v>125.9</v>
      </c>
      <c r="Q110" s="70">
        <v>124.7</v>
      </c>
      <c r="R110" s="70">
        <v>125</v>
      </c>
      <c r="S110" s="70">
        <v>124.9</v>
      </c>
      <c r="T110" s="70">
        <v>123.6</v>
      </c>
      <c r="U110" s="70">
        <v>123.6</v>
      </c>
      <c r="V110" s="70">
        <v>125.6</v>
      </c>
      <c r="W110" s="70">
        <v>125.6</v>
      </c>
      <c r="X110" s="70">
        <v>127.3</v>
      </c>
      <c r="Y110" s="70">
        <v>127.3</v>
      </c>
      <c r="Z110" s="70">
        <v>127.3</v>
      </c>
      <c r="AA110" s="70">
        <v>127.3</v>
      </c>
      <c r="AB110" s="70">
        <v>127.1</v>
      </c>
      <c r="AC110" s="70">
        <v>127.1</v>
      </c>
      <c r="AD110" s="70">
        <v>127.8</v>
      </c>
      <c r="AE110" s="70">
        <v>127.1</v>
      </c>
      <c r="AF110" s="70">
        <v>129</v>
      </c>
      <c r="AG110" s="69"/>
      <c r="AH110" s="12">
        <f t="shared" si="57"/>
        <v>129.69999999999999</v>
      </c>
      <c r="AI110" s="11">
        <f t="shared" si="58"/>
        <v>121.7</v>
      </c>
    </row>
    <row r="111" spans="1:64" x14ac:dyDescent="0.25">
      <c r="A111" s="22" t="s">
        <v>151</v>
      </c>
      <c r="B111" s="70">
        <v>133.1</v>
      </c>
      <c r="C111" s="70">
        <v>133.6</v>
      </c>
      <c r="D111" s="70">
        <v>133.5</v>
      </c>
      <c r="E111" s="70">
        <v>134.30000000000001</v>
      </c>
      <c r="F111" s="70">
        <v>134</v>
      </c>
      <c r="G111" s="70">
        <v>133.5</v>
      </c>
      <c r="H111" s="70"/>
      <c r="I111" s="70">
        <v>131.1</v>
      </c>
      <c r="J111" s="70"/>
      <c r="K111" s="70">
        <v>127.3</v>
      </c>
      <c r="L111" s="70">
        <v>126.6</v>
      </c>
      <c r="M111" s="70">
        <v>128.1</v>
      </c>
      <c r="N111" s="70">
        <v>127.3</v>
      </c>
      <c r="O111" s="70">
        <v>127.5</v>
      </c>
      <c r="P111" s="70">
        <v>128.5</v>
      </c>
      <c r="Q111" s="70">
        <v>128.4</v>
      </c>
      <c r="R111" s="70">
        <v>128.30000000000001</v>
      </c>
      <c r="S111" s="70">
        <v>127.8</v>
      </c>
      <c r="T111" s="70">
        <v>127</v>
      </c>
      <c r="U111" s="70">
        <v>127.7</v>
      </c>
      <c r="V111" s="70">
        <v>129.5</v>
      </c>
      <c r="W111" s="70">
        <v>129.5</v>
      </c>
      <c r="X111" s="70">
        <v>131.6</v>
      </c>
      <c r="Y111" s="70">
        <v>131.6</v>
      </c>
      <c r="Z111" s="70">
        <v>131.6</v>
      </c>
      <c r="AA111" s="70">
        <v>131.6</v>
      </c>
      <c r="AB111" s="70">
        <v>131.4</v>
      </c>
      <c r="AC111" s="70">
        <v>131.4</v>
      </c>
      <c r="AD111" s="70">
        <v>131.4</v>
      </c>
      <c r="AE111" s="70">
        <v>131.4</v>
      </c>
      <c r="AF111" s="70">
        <v>133.69999999999999</v>
      </c>
      <c r="AG111" s="69"/>
      <c r="AH111" s="12">
        <f t="shared" si="57"/>
        <v>134.30000000000001</v>
      </c>
      <c r="AI111" s="11">
        <f t="shared" si="58"/>
        <v>126.6</v>
      </c>
    </row>
    <row r="112" spans="1:64" x14ac:dyDescent="0.25">
      <c r="A112" s="22" t="s">
        <v>150</v>
      </c>
      <c r="B112" s="70">
        <v>130.4</v>
      </c>
      <c r="C112" s="70">
        <v>131.9</v>
      </c>
      <c r="D112" s="70">
        <v>130</v>
      </c>
      <c r="E112" s="70"/>
      <c r="F112" s="70"/>
      <c r="G112" s="70"/>
      <c r="H112" s="70"/>
      <c r="I112" s="70"/>
      <c r="J112" s="70"/>
      <c r="K112" s="70">
        <v>127.7</v>
      </c>
      <c r="L112" s="70">
        <v>126.3</v>
      </c>
      <c r="M112" s="70"/>
      <c r="N112" s="70"/>
      <c r="O112" s="70"/>
      <c r="P112" s="70"/>
      <c r="Q112" s="70">
        <v>126.5</v>
      </c>
      <c r="R112" s="70">
        <v>126.7</v>
      </c>
      <c r="S112" s="70">
        <v>127.1</v>
      </c>
      <c r="T112" s="70">
        <v>128.80000000000001</v>
      </c>
      <c r="U112" s="70">
        <v>127.7</v>
      </c>
      <c r="V112" s="70">
        <v>128.1</v>
      </c>
      <c r="W112" s="70">
        <v>128.1</v>
      </c>
      <c r="X112" s="70">
        <v>129.5</v>
      </c>
      <c r="Y112" s="70">
        <v>129.5</v>
      </c>
      <c r="Z112" s="70">
        <v>129.5</v>
      </c>
      <c r="AA112" s="70">
        <v>129.5</v>
      </c>
      <c r="AB112" s="70"/>
      <c r="AC112" s="70"/>
      <c r="AD112" s="70"/>
      <c r="AE112" s="70"/>
      <c r="AF112" s="70"/>
      <c r="AG112" s="69"/>
      <c r="AH112" s="12">
        <f t="shared" si="57"/>
        <v>131.9</v>
      </c>
      <c r="AI112" s="11">
        <f t="shared" si="58"/>
        <v>126.3</v>
      </c>
    </row>
    <row r="113" spans="1:35" x14ac:dyDescent="0.25">
      <c r="A113" s="72" t="s">
        <v>149</v>
      </c>
      <c r="B113" s="70">
        <v>130.5</v>
      </c>
      <c r="C113" s="70">
        <v>131.69999999999999</v>
      </c>
      <c r="D113" s="70">
        <v>131</v>
      </c>
      <c r="E113" s="70"/>
      <c r="F113" s="70"/>
      <c r="G113" s="70"/>
      <c r="H113" s="70"/>
      <c r="I113" s="70"/>
      <c r="J113" s="70"/>
      <c r="K113" s="70">
        <v>127.5</v>
      </c>
      <c r="L113" s="70">
        <v>125.3</v>
      </c>
      <c r="M113" s="70">
        <v>128</v>
      </c>
      <c r="N113" s="70">
        <v>130.5</v>
      </c>
      <c r="O113" s="70"/>
      <c r="P113" s="70">
        <v>129.30000000000001</v>
      </c>
      <c r="Q113" s="70">
        <v>128</v>
      </c>
      <c r="R113" s="70">
        <v>129.1</v>
      </c>
      <c r="S113" s="70">
        <v>127.2</v>
      </c>
      <c r="T113" s="70">
        <v>127.9</v>
      </c>
      <c r="U113" s="70">
        <v>127.5</v>
      </c>
      <c r="V113" s="70">
        <v>126.2</v>
      </c>
      <c r="W113" s="70">
        <v>126.2</v>
      </c>
      <c r="X113" s="70">
        <v>128.19999999999999</v>
      </c>
      <c r="Y113" s="70">
        <v>128.19999999999999</v>
      </c>
      <c r="Z113" s="70">
        <v>128.19999999999999</v>
      </c>
      <c r="AA113" s="70">
        <v>128.19999999999999</v>
      </c>
      <c r="AB113" s="70"/>
      <c r="AC113" s="70"/>
      <c r="AD113" s="70"/>
      <c r="AE113" s="70"/>
      <c r="AF113" s="70"/>
      <c r="AG113" s="69"/>
      <c r="AH113" s="12">
        <f t="shared" si="57"/>
        <v>131.69999999999999</v>
      </c>
      <c r="AI113" s="11">
        <f t="shared" si="58"/>
        <v>125.3</v>
      </c>
    </row>
    <row r="114" spans="1:35" x14ac:dyDescent="0.25">
      <c r="A114" s="72" t="s">
        <v>148</v>
      </c>
      <c r="B114" s="56">
        <v>136</v>
      </c>
      <c r="C114" s="56">
        <v>135.80000000000001</v>
      </c>
      <c r="D114" s="56">
        <v>133.9</v>
      </c>
      <c r="E114" s="56">
        <v>133.4</v>
      </c>
      <c r="F114" s="56">
        <v>134</v>
      </c>
      <c r="G114" s="56">
        <v>133.5</v>
      </c>
      <c r="H114" s="56"/>
      <c r="I114" s="56">
        <v>133.1</v>
      </c>
      <c r="J114" s="56"/>
      <c r="K114" s="56">
        <v>131.1</v>
      </c>
      <c r="L114" s="56">
        <v>132.5</v>
      </c>
      <c r="M114" s="56">
        <v>130.9</v>
      </c>
      <c r="N114" s="56">
        <v>131.6</v>
      </c>
      <c r="O114" s="56">
        <v>136</v>
      </c>
      <c r="P114" s="56">
        <v>135</v>
      </c>
      <c r="Q114" s="56">
        <v>133.5</v>
      </c>
      <c r="R114" s="56">
        <v>133.80000000000001</v>
      </c>
      <c r="S114" s="56">
        <v>132.6</v>
      </c>
      <c r="T114" s="56">
        <v>130</v>
      </c>
      <c r="U114" s="56">
        <v>134.80000000000001</v>
      </c>
      <c r="V114" s="56">
        <v>133.19999999999999</v>
      </c>
      <c r="W114" s="56">
        <v>133.19999999999999</v>
      </c>
      <c r="X114" s="56">
        <v>133.78</v>
      </c>
      <c r="Y114" s="56">
        <v>133.78</v>
      </c>
      <c r="Z114" s="56">
        <v>133.78</v>
      </c>
      <c r="AA114" s="56">
        <v>133.78</v>
      </c>
      <c r="AB114" s="56">
        <v>135.1</v>
      </c>
      <c r="AC114" s="56">
        <v>135.1</v>
      </c>
      <c r="AD114" s="56">
        <v>135.1</v>
      </c>
      <c r="AE114" s="56">
        <v>135.1</v>
      </c>
      <c r="AF114" s="56">
        <v>135.1</v>
      </c>
      <c r="AG114" s="71"/>
      <c r="AH114" s="12">
        <f t="shared" si="57"/>
        <v>136</v>
      </c>
      <c r="AI114" s="11">
        <f t="shared" si="58"/>
        <v>130</v>
      </c>
    </row>
    <row r="115" spans="1:35" x14ac:dyDescent="0.25">
      <c r="A115" s="22" t="s">
        <v>147</v>
      </c>
      <c r="B115" s="70">
        <v>134.9</v>
      </c>
      <c r="C115" s="70">
        <v>133.69999999999999</v>
      </c>
      <c r="D115" s="70">
        <v>133</v>
      </c>
      <c r="E115" s="70">
        <v>135.1</v>
      </c>
      <c r="F115" s="70">
        <v>132.6</v>
      </c>
      <c r="G115" s="70">
        <v>131.9</v>
      </c>
      <c r="H115" s="70"/>
      <c r="I115" s="70">
        <v>129.19999999999999</v>
      </c>
      <c r="J115" s="70"/>
      <c r="K115" s="70">
        <v>123</v>
      </c>
      <c r="L115" s="70">
        <v>120.2</v>
      </c>
      <c r="M115" s="70">
        <v>124.3</v>
      </c>
      <c r="N115" s="70">
        <v>127.4</v>
      </c>
      <c r="O115" s="70">
        <v>126.5</v>
      </c>
      <c r="P115" s="70">
        <v>124.5</v>
      </c>
      <c r="Q115" s="70">
        <v>125.5</v>
      </c>
      <c r="R115" s="70">
        <v>125.4</v>
      </c>
      <c r="S115" s="70">
        <v>126.5</v>
      </c>
      <c r="T115" s="70">
        <v>121.7</v>
      </c>
      <c r="U115" s="70">
        <v>128.19999999999999</v>
      </c>
      <c r="V115" s="70">
        <v>133.1</v>
      </c>
      <c r="W115" s="70">
        <v>133.1</v>
      </c>
      <c r="X115" s="70">
        <v>129.4</v>
      </c>
      <c r="Y115" s="70">
        <v>129.4</v>
      </c>
      <c r="Z115" s="70">
        <v>129.4</v>
      </c>
      <c r="AA115" s="70">
        <v>129.4</v>
      </c>
      <c r="AB115" s="70">
        <v>131.30000000000001</v>
      </c>
      <c r="AC115" s="70">
        <v>131.30000000000001</v>
      </c>
      <c r="AD115" s="70">
        <v>131.30000000000001</v>
      </c>
      <c r="AE115" s="70">
        <v>131.30000000000001</v>
      </c>
      <c r="AF115" s="70">
        <v>131</v>
      </c>
      <c r="AG115" s="69"/>
      <c r="AH115" s="12">
        <f t="shared" si="57"/>
        <v>135.1</v>
      </c>
      <c r="AI115" s="11">
        <f t="shared" si="58"/>
        <v>120.2</v>
      </c>
    </row>
    <row r="116" spans="1:35" ht="15.75" thickBot="1" x14ac:dyDescent="0.3">
      <c r="A116" s="22" t="s">
        <v>146</v>
      </c>
      <c r="B116" s="67">
        <v>66.3</v>
      </c>
      <c r="C116" s="67">
        <v>66.599999999999994</v>
      </c>
      <c r="D116" s="67">
        <v>66.599999999999994</v>
      </c>
      <c r="E116" s="67">
        <v>67.099999999999994</v>
      </c>
      <c r="F116" s="67">
        <v>67</v>
      </c>
      <c r="G116" s="67">
        <v>66.599999999999994</v>
      </c>
      <c r="H116" s="67"/>
      <c r="I116" s="67">
        <v>65.599999999999994</v>
      </c>
      <c r="J116" s="67"/>
      <c r="K116" s="67">
        <v>63.8</v>
      </c>
      <c r="L116" s="67">
        <v>63.6</v>
      </c>
      <c r="M116" s="67">
        <v>64</v>
      </c>
      <c r="N116" s="67">
        <v>63.4</v>
      </c>
      <c r="O116" s="67">
        <v>63.2</v>
      </c>
      <c r="P116" s="67">
        <v>63.8</v>
      </c>
      <c r="Q116" s="67">
        <v>63.4</v>
      </c>
      <c r="R116" s="67">
        <v>63.9</v>
      </c>
      <c r="S116" s="67">
        <v>63.5</v>
      </c>
      <c r="T116" s="67">
        <v>63.3</v>
      </c>
      <c r="U116" s="67">
        <v>63.7</v>
      </c>
      <c r="V116" s="67">
        <v>64.5</v>
      </c>
      <c r="W116" s="67">
        <v>64.5</v>
      </c>
      <c r="X116" s="67">
        <v>65.7</v>
      </c>
      <c r="Y116" s="67">
        <v>65.7</v>
      </c>
      <c r="Z116" s="67">
        <v>65.7</v>
      </c>
      <c r="AA116" s="67">
        <v>65.7</v>
      </c>
      <c r="AB116" s="67">
        <v>65.8</v>
      </c>
      <c r="AC116" s="67">
        <v>65.8</v>
      </c>
      <c r="AD116" s="67">
        <v>65.8</v>
      </c>
      <c r="AE116" s="67">
        <v>65.8</v>
      </c>
      <c r="AF116" s="67">
        <v>67</v>
      </c>
      <c r="AG116" s="66"/>
      <c r="AH116" s="12">
        <f t="shared" si="57"/>
        <v>67.099999999999994</v>
      </c>
      <c r="AI116" s="11">
        <f t="shared" si="58"/>
        <v>63.2</v>
      </c>
    </row>
    <row r="117" spans="1:35" ht="15.75" thickBot="1" x14ac:dyDescent="0.3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57"/>
        <v>0</v>
      </c>
      <c r="AI117" s="11">
        <f t="shared" si="58"/>
        <v>0</v>
      </c>
    </row>
    <row r="118" spans="1:35" ht="15.75" thickBot="1" x14ac:dyDescent="0.3">
      <c r="A118" s="65" t="s">
        <v>144</v>
      </c>
      <c r="B118" s="64">
        <f t="shared" ref="B118:O118" si="135">SUM(B22,B28,B31:B32,B66,B68:B69,B71,B73,B119:B123,B155,B161,B167,B176,B178,B190,B197,B200:B201,B208,B210,B212,B216:B218,B220:B222,B227,B233:B234,B236:B238,B246,B251)</f>
        <v>93.840000000000018</v>
      </c>
      <c r="C118" s="64">
        <f t="shared" si="135"/>
        <v>81.239999999999981</v>
      </c>
      <c r="D118" s="64">
        <f t="shared" si="135"/>
        <v>75.539999999999992</v>
      </c>
      <c r="E118" s="64">
        <f t="shared" si="135"/>
        <v>102.63999999999999</v>
      </c>
      <c r="F118" s="64">
        <f t="shared" si="135"/>
        <v>110.83999999999999</v>
      </c>
      <c r="G118" s="64">
        <f t="shared" si="135"/>
        <v>140.44000000000003</v>
      </c>
      <c r="H118" s="64">
        <f t="shared" si="135"/>
        <v>122.44</v>
      </c>
      <c r="I118" s="64">
        <f t="shared" si="135"/>
        <v>200.64000000000001</v>
      </c>
      <c r="J118" s="64">
        <f>SUM(J22,J28,J31:J32,J66,J68:J69,J71,J73,J119:J123,J155,J161,J167,J176,J178,J190,J197,J200:J201,J208,J210,J212,J216:J218,J220:J222,J227,J233:J234,J236:J238,J246,J251)</f>
        <v>123.94</v>
      </c>
      <c r="K118" s="64">
        <f>SUM(K22,K28,K31:K32,K66,K68:K69,K71,K73,K119:K123,K155,K161,K167,K176,K178,K190,K197,K200:K201,K208,K210,K212,K216:K218,K220:K222,K227,K233:K234,K236:K238,K246,K251)</f>
        <v>286.04000000000002</v>
      </c>
      <c r="L118" s="64">
        <f t="shared" si="135"/>
        <v>300.03999999999996</v>
      </c>
      <c r="M118" s="64">
        <f t="shared" si="135"/>
        <v>266.04000000000002</v>
      </c>
      <c r="N118" s="64">
        <f t="shared" si="135"/>
        <v>288.14000000000004</v>
      </c>
      <c r="O118" s="64">
        <f t="shared" si="135"/>
        <v>308.44</v>
      </c>
      <c r="P118" s="64">
        <v>42</v>
      </c>
      <c r="Q118" s="64">
        <f t="shared" ref="Q118:S118" si="136">SUM(Q22,Q28,Q31:Q32,Q66,Q68:Q69,Q71,Q73,Q119:Q123,Q155,Q161,Q167,Q176,Q178,Q190,Q197,Q200:Q201,Q208,Q210,Q212,Q216:Q218,Q220:Q222,Q227,Q233:Q234,Q236:Q238,Q246,Q251)</f>
        <v>229.53999999999996</v>
      </c>
      <c r="R118" s="64">
        <f t="shared" si="136"/>
        <v>262.33999999999997</v>
      </c>
      <c r="S118" s="64">
        <f t="shared" si="136"/>
        <v>304.64000000000004</v>
      </c>
      <c r="T118" s="64">
        <f t="shared" ref="T118:U118" si="137">SUM(T22,T28,T31:T32,T66,T68:T69,T71,T73,T119:T123,T155,T161,T167,T176,T178,T190,T197,T200:T201,T208,T210,T212,T216:T218,T220:T222,T227,T233:T234,T236:T238,T246,T251)</f>
        <v>333.34000000000003</v>
      </c>
      <c r="U118" s="64">
        <f t="shared" si="137"/>
        <v>302.64</v>
      </c>
      <c r="V118" s="64">
        <f t="shared" ref="V118:W118" si="138">SUM(V22,V28,V31:V32,V66,V68:V69,V71,V73,V119:V123,V155,V161,V167,V176,V178,V190,V197,V200:V201,V208,V210,V212,V216:V218,V220:V222,V227,V233:V234,V236:V238,V246,V251)</f>
        <v>306.74</v>
      </c>
      <c r="W118" s="64">
        <f t="shared" si="138"/>
        <v>299.44</v>
      </c>
      <c r="X118" s="64">
        <f t="shared" ref="X118:Z118" si="139">SUM(X22,X28,X31:X32,X66,X68:X69,X71,X73,X119:X123,X155,X161,X167,X176,X178,X190,X197,X200:X201,X208,X210,X212,X216:X218,X220:X222,X227,X233:X234,X236:X238,X246,X251)</f>
        <v>288.73999999999995</v>
      </c>
      <c r="Y118" s="64">
        <f t="shared" si="139"/>
        <v>322.14</v>
      </c>
      <c r="Z118" s="64">
        <f t="shared" si="139"/>
        <v>368.44</v>
      </c>
      <c r="AA118" s="64">
        <f t="shared" ref="AA118" si="140">SUM(AA22,AA28,AA31:AA32,AA66,AA68:AA69,AA71,AA73,AA119:AA123,AA155,AA161,AA167,AA176,AA178,AA190,AA197,AA200:AA201,AA208,AA210,AA212,AA216:AA218,AA220:AA222,AA227,AA233:AA234,AA236:AA238,AA246,AA251)</f>
        <v>435.04</v>
      </c>
      <c r="AB118" s="64">
        <f t="shared" ref="AB118" si="141">SUM(AB22,AB28,AB31:AB32,AB66,AB68:AB69,AB71,AB73,AB119:AB123,AB155,AB161,AB167,AB176,AB178,AB190,AB197,AB200:AB201,AB208,AB210,AB212,AB216:AB218,AB220:AB222,AB227,AB233:AB234,AB236:AB238,AB246,AB251)</f>
        <v>257.94</v>
      </c>
      <c r="AC118" s="64">
        <f t="shared" ref="AC118:AE118" si="142">SUM(AC22,AC28,AC31:AC32,AC66,AC68:AC69,AC71,AC73,AC119:AC123,AC155,AC161,AC167,AC176,AC178,AC190,AC197,AC200:AC201,AC208,AC210,AC212,AC216:AC218,AC220:AC222,AC227,AC233:AC234,AC236:AC238,AC246,AC251)</f>
        <v>250.84</v>
      </c>
      <c r="AD118" s="64">
        <f t="shared" si="142"/>
        <v>250.84</v>
      </c>
      <c r="AE118" s="64">
        <f t="shared" si="142"/>
        <v>144.24</v>
      </c>
      <c r="AF118" s="64">
        <f t="shared" ref="AF118" si="143">SUM(AF22,AF28,AF31:AF32,AF66,AF68:AF69,AF71,AF73,AF119:AF123,AF155,AF161,AF167,AF176,AF178,AF190,AF197,AF200:AF201,AF208,AF210,AF212,AF216:AF218,AF220:AF222,AF227,AF233:AF234,AF236:AF238,AF246,AF251)</f>
        <v>113.24000000000001</v>
      </c>
      <c r="AG118" s="63"/>
      <c r="AH118" s="12">
        <f t="shared" si="57"/>
        <v>435.04</v>
      </c>
      <c r="AI118" s="11">
        <f t="shared" si="58"/>
        <v>42</v>
      </c>
    </row>
    <row r="119" spans="1:35" x14ac:dyDescent="0.25">
      <c r="A119" s="59" t="s">
        <v>143</v>
      </c>
      <c r="B119" s="62">
        <v>24.3</v>
      </c>
      <c r="C119" s="62">
        <v>23.1</v>
      </c>
      <c r="D119" s="62">
        <v>21.4</v>
      </c>
      <c r="E119" s="62">
        <v>23.1</v>
      </c>
      <c r="F119" s="62">
        <v>23.2</v>
      </c>
      <c r="G119" s="62">
        <v>20.8</v>
      </c>
      <c r="H119" s="62"/>
      <c r="I119" s="62">
        <v>32.700000000000003</v>
      </c>
      <c r="J119" s="62"/>
      <c r="K119" s="62">
        <v>30</v>
      </c>
      <c r="L119" s="62">
        <v>30.6</v>
      </c>
      <c r="M119" s="62">
        <v>27.7</v>
      </c>
      <c r="N119" s="62">
        <v>14.8</v>
      </c>
      <c r="O119" s="62">
        <v>15.1</v>
      </c>
      <c r="P119" s="62">
        <v>17.3</v>
      </c>
      <c r="Q119" s="62">
        <v>3.2</v>
      </c>
      <c r="R119" s="62">
        <v>9.1</v>
      </c>
      <c r="S119" s="62">
        <v>2.6</v>
      </c>
      <c r="T119" s="62">
        <v>-0.6</v>
      </c>
      <c r="U119" s="62">
        <v>7.3</v>
      </c>
      <c r="V119" s="62">
        <v>10.199999999999999</v>
      </c>
      <c r="W119" s="62">
        <v>16.3</v>
      </c>
      <c r="X119" s="62">
        <v>23.9</v>
      </c>
      <c r="Y119" s="62">
        <v>32</v>
      </c>
      <c r="Z119" s="62">
        <v>17.8</v>
      </c>
      <c r="AA119" s="62">
        <v>31.6</v>
      </c>
      <c r="AB119" s="62">
        <v>39.1</v>
      </c>
      <c r="AC119" s="62">
        <v>45</v>
      </c>
      <c r="AD119" s="62">
        <v>45</v>
      </c>
      <c r="AE119" s="62">
        <v>35</v>
      </c>
      <c r="AF119" s="62">
        <v>28</v>
      </c>
      <c r="AG119" s="55">
        <v>75</v>
      </c>
      <c r="AH119" s="12">
        <f t="shared" si="57"/>
        <v>45</v>
      </c>
      <c r="AI119" s="11">
        <f t="shared" si="58"/>
        <v>-0.6</v>
      </c>
    </row>
    <row r="120" spans="1:35" x14ac:dyDescent="0.25">
      <c r="A120" s="57" t="s">
        <v>142</v>
      </c>
      <c r="B120" s="61">
        <v>43.9</v>
      </c>
      <c r="C120" s="61">
        <v>40.6</v>
      </c>
      <c r="D120" s="61">
        <v>38.299999999999997</v>
      </c>
      <c r="E120" s="61">
        <v>40.1</v>
      </c>
      <c r="F120" s="61">
        <v>41.5</v>
      </c>
      <c r="G120" s="61">
        <v>37.799999999999997</v>
      </c>
      <c r="H120" s="61"/>
      <c r="I120" s="61">
        <v>53.1</v>
      </c>
      <c r="J120" s="61"/>
      <c r="K120" s="61">
        <v>38</v>
      </c>
      <c r="L120" s="61">
        <v>39.200000000000003</v>
      </c>
      <c r="M120" s="61">
        <v>37</v>
      </c>
      <c r="N120" s="61">
        <v>17.899999999999999</v>
      </c>
      <c r="O120" s="61">
        <v>17.7</v>
      </c>
      <c r="P120" s="61">
        <v>19.5</v>
      </c>
      <c r="Q120" s="61">
        <v>0.2</v>
      </c>
      <c r="R120" s="61">
        <v>-1.2</v>
      </c>
      <c r="S120" s="61">
        <v>-1.2</v>
      </c>
      <c r="T120" s="61">
        <v>-4.9000000000000004</v>
      </c>
      <c r="U120" s="61">
        <v>5.7</v>
      </c>
      <c r="V120" s="61">
        <v>12.4</v>
      </c>
      <c r="W120" s="61">
        <v>22.5</v>
      </c>
      <c r="X120" s="61">
        <v>40</v>
      </c>
      <c r="Y120" s="61">
        <v>53.2</v>
      </c>
      <c r="Z120" s="61">
        <v>31.2</v>
      </c>
      <c r="AA120" s="61">
        <v>50</v>
      </c>
      <c r="AB120" s="61">
        <v>61.1</v>
      </c>
      <c r="AC120" s="61">
        <v>68.599999999999994</v>
      </c>
      <c r="AD120" s="61">
        <v>68.599999999999994</v>
      </c>
      <c r="AE120" s="61">
        <v>75</v>
      </c>
      <c r="AF120" s="61">
        <v>50</v>
      </c>
      <c r="AG120" s="55">
        <v>240</v>
      </c>
      <c r="AH120" s="12">
        <f t="shared" si="57"/>
        <v>75</v>
      </c>
      <c r="AI120" s="11">
        <f t="shared" si="58"/>
        <v>-4.9000000000000004</v>
      </c>
    </row>
    <row r="121" spans="1:35" x14ac:dyDescent="0.25">
      <c r="A121" s="57" t="s">
        <v>141</v>
      </c>
      <c r="B121" s="61">
        <v>-140</v>
      </c>
      <c r="C121" s="61">
        <v>-144</v>
      </c>
      <c r="D121" s="61">
        <v>-140</v>
      </c>
      <c r="E121" s="61">
        <v>-109</v>
      </c>
      <c r="F121" s="61">
        <v>-107</v>
      </c>
      <c r="G121" s="61">
        <v>-90</v>
      </c>
      <c r="H121" s="61"/>
      <c r="I121" s="61">
        <v>-96</v>
      </c>
      <c r="J121" s="61"/>
      <c r="K121" s="61">
        <v>-29</v>
      </c>
      <c r="L121" s="61">
        <v>-23</v>
      </c>
      <c r="M121" s="61">
        <v>-60.6</v>
      </c>
      <c r="N121" s="61">
        <v>1.5</v>
      </c>
      <c r="O121" s="61">
        <v>10.5</v>
      </c>
      <c r="P121" s="61">
        <v>-10</v>
      </c>
      <c r="Q121" s="61">
        <v>-21.2</v>
      </c>
      <c r="R121" s="61">
        <v>16.2</v>
      </c>
      <c r="S121" s="61">
        <f>16+12</f>
        <v>28</v>
      </c>
      <c r="T121" s="61">
        <v>64</v>
      </c>
      <c r="U121" s="61">
        <v>21</v>
      </c>
      <c r="V121" s="61">
        <v>11</v>
      </c>
      <c r="W121" s="61">
        <v>-12</v>
      </c>
      <c r="X121" s="61">
        <v>-45</v>
      </c>
      <c r="Y121" s="61">
        <v>-38</v>
      </c>
      <c r="Z121" s="61">
        <v>1</v>
      </c>
      <c r="AA121" s="61">
        <v>35</v>
      </c>
      <c r="AB121" s="61">
        <v>-124</v>
      </c>
      <c r="AC121" s="61">
        <v>-120</v>
      </c>
      <c r="AD121" s="61">
        <v>-120</v>
      </c>
      <c r="AE121" s="61">
        <v>-153</v>
      </c>
      <c r="AF121" s="61">
        <v>-130</v>
      </c>
      <c r="AG121" s="55">
        <v>240</v>
      </c>
      <c r="AH121" s="12">
        <f t="shared" si="57"/>
        <v>64</v>
      </c>
      <c r="AI121" s="11">
        <f t="shared" si="58"/>
        <v>-153</v>
      </c>
    </row>
    <row r="122" spans="1:35" ht="15.75" thickBot="1" x14ac:dyDescent="0.3">
      <c r="A122" s="57" t="s">
        <v>140</v>
      </c>
      <c r="B122" s="61">
        <v>17</v>
      </c>
      <c r="C122" s="61">
        <v>16.7</v>
      </c>
      <c r="D122" s="61">
        <v>16.2</v>
      </c>
      <c r="E122" s="61">
        <v>10</v>
      </c>
      <c r="F122" s="61">
        <v>11.7</v>
      </c>
      <c r="G122" s="61">
        <v>13.4</v>
      </c>
      <c r="H122" s="61"/>
      <c r="I122" s="61">
        <v>12.8</v>
      </c>
      <c r="J122" s="61"/>
      <c r="K122" s="61">
        <v>17</v>
      </c>
      <c r="L122" s="61">
        <v>24</v>
      </c>
      <c r="M122" s="61">
        <v>27.3</v>
      </c>
      <c r="N122" s="61">
        <v>3.4</v>
      </c>
      <c r="O122" s="61">
        <v>11.5</v>
      </c>
      <c r="P122" s="61">
        <v>11.65</v>
      </c>
      <c r="Q122" s="61">
        <v>21.2</v>
      </c>
      <c r="R122" s="61">
        <v>17.8</v>
      </c>
      <c r="S122" s="61">
        <v>10</v>
      </c>
      <c r="T122" s="61">
        <v>11.5</v>
      </c>
      <c r="U122" s="61">
        <v>8.6999999999999993</v>
      </c>
      <c r="V122" s="61">
        <v>12.7</v>
      </c>
      <c r="W122" s="61">
        <v>11.8</v>
      </c>
      <c r="X122" s="61">
        <v>11.7</v>
      </c>
      <c r="Y122" s="61">
        <v>26.4</v>
      </c>
      <c r="Z122" s="61">
        <v>36.299999999999997</v>
      </c>
      <c r="AA122" s="61">
        <v>37</v>
      </c>
      <c r="AB122" s="61">
        <v>32.299999999999997</v>
      </c>
      <c r="AC122" s="61">
        <v>29</v>
      </c>
      <c r="AD122" s="61">
        <v>29</v>
      </c>
      <c r="AE122" s="61">
        <v>22</v>
      </c>
      <c r="AF122" s="61">
        <v>27</v>
      </c>
      <c r="AG122" s="55">
        <v>60</v>
      </c>
      <c r="AH122" s="12">
        <f t="shared" si="57"/>
        <v>37</v>
      </c>
      <c r="AI122" s="11">
        <f t="shared" si="58"/>
        <v>3.4</v>
      </c>
    </row>
    <row r="123" spans="1:35" x14ac:dyDescent="0.25">
      <c r="A123" s="59" t="s">
        <v>139</v>
      </c>
      <c r="B123" s="58">
        <v>26.2</v>
      </c>
      <c r="C123" s="58">
        <v>22.4</v>
      </c>
      <c r="D123" s="58">
        <v>17.2</v>
      </c>
      <c r="E123" s="58">
        <v>16</v>
      </c>
      <c r="F123" s="58">
        <v>19</v>
      </c>
      <c r="G123" s="58">
        <v>36</v>
      </c>
      <c r="H123" s="58"/>
      <c r="I123" s="58">
        <v>75.2</v>
      </c>
      <c r="J123" s="58"/>
      <c r="K123" s="58">
        <v>105</v>
      </c>
      <c r="L123" s="58">
        <v>104.2</v>
      </c>
      <c r="M123" s="58">
        <v>105.2</v>
      </c>
      <c r="N123" s="58">
        <v>117.2</v>
      </c>
      <c r="O123" s="58">
        <v>116.4</v>
      </c>
      <c r="P123" s="58">
        <v>100.1</v>
      </c>
      <c r="Q123" s="58">
        <v>86.1</v>
      </c>
      <c r="R123" s="58">
        <v>82</v>
      </c>
      <c r="S123" s="58">
        <v>128</v>
      </c>
      <c r="T123" s="58">
        <v>132.30000000000001</v>
      </c>
      <c r="U123" s="58">
        <v>136.9</v>
      </c>
      <c r="V123" s="58">
        <v>140.80000000000001</v>
      </c>
      <c r="W123" s="58">
        <v>142.19999999999999</v>
      </c>
      <c r="X123" s="58">
        <v>140.5</v>
      </c>
      <c r="Y123" s="58">
        <v>130.9</v>
      </c>
      <c r="Z123" s="58">
        <v>164.5</v>
      </c>
      <c r="AA123" s="58">
        <v>163.80000000000001</v>
      </c>
      <c r="AB123" s="58">
        <v>132.19999999999999</v>
      </c>
      <c r="AC123" s="58">
        <v>111</v>
      </c>
      <c r="AD123" s="58">
        <v>111</v>
      </c>
      <c r="AE123" s="58">
        <v>48</v>
      </c>
      <c r="AF123" s="58">
        <v>21</v>
      </c>
      <c r="AG123" s="60">
        <v>120</v>
      </c>
      <c r="AH123" s="12">
        <f t="shared" si="57"/>
        <v>164.5</v>
      </c>
      <c r="AI123" s="11">
        <f t="shared" si="58"/>
        <v>16</v>
      </c>
    </row>
    <row r="124" spans="1:35" x14ac:dyDescent="0.25">
      <c r="A124" s="57" t="s">
        <v>138</v>
      </c>
      <c r="B124" s="58">
        <v>38.5</v>
      </c>
      <c r="C124" s="58">
        <v>36</v>
      </c>
      <c r="D124" s="58">
        <v>33.799999999999997</v>
      </c>
      <c r="E124" s="58">
        <v>32.5</v>
      </c>
      <c r="F124" s="58">
        <v>33.4</v>
      </c>
      <c r="G124" s="58">
        <v>42.1</v>
      </c>
      <c r="H124" s="58"/>
      <c r="I124" s="58">
        <v>61.5</v>
      </c>
      <c r="J124" s="58"/>
      <c r="K124" s="58">
        <v>76</v>
      </c>
      <c r="L124" s="58">
        <v>75</v>
      </c>
      <c r="M124" s="58">
        <v>75.3</v>
      </c>
      <c r="N124" s="58">
        <v>80.400000000000006</v>
      </c>
      <c r="O124" s="58">
        <v>80.400000000000006</v>
      </c>
      <c r="P124" s="58">
        <v>73.5</v>
      </c>
      <c r="Q124" s="58">
        <v>65.599999999999994</v>
      </c>
      <c r="R124" s="58">
        <v>63.2</v>
      </c>
      <c r="S124" s="58">
        <v>85.6</v>
      </c>
      <c r="T124" s="58">
        <v>81.8</v>
      </c>
      <c r="U124" s="58">
        <v>83.1</v>
      </c>
      <c r="V124" s="58">
        <v>84.3</v>
      </c>
      <c r="W124" s="58">
        <v>86.5</v>
      </c>
      <c r="X124" s="58">
        <v>87.7</v>
      </c>
      <c r="Y124" s="58">
        <v>81</v>
      </c>
      <c r="Z124" s="58">
        <v>95.3</v>
      </c>
      <c r="AA124" s="58">
        <v>95.9</v>
      </c>
      <c r="AB124" s="58">
        <v>87.9</v>
      </c>
      <c r="AC124" s="58">
        <v>79</v>
      </c>
      <c r="AD124" s="58">
        <v>79</v>
      </c>
      <c r="AE124" s="58">
        <v>49</v>
      </c>
      <c r="AF124" s="58">
        <v>35</v>
      </c>
      <c r="AG124" s="60"/>
      <c r="AH124" s="12">
        <f t="shared" si="57"/>
        <v>95.9</v>
      </c>
      <c r="AI124" s="11">
        <f t="shared" si="58"/>
        <v>32.5</v>
      </c>
    </row>
    <row r="125" spans="1:35" x14ac:dyDescent="0.25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/>
      <c r="I125" s="58">
        <v>0</v>
      </c>
      <c r="J125" s="58"/>
      <c r="K125" s="58">
        <v>0</v>
      </c>
      <c r="L125" s="58">
        <v>0</v>
      </c>
      <c r="M125" s="58"/>
      <c r="N125" s="58"/>
      <c r="O125" s="58"/>
      <c r="P125" s="58"/>
      <c r="Q125" s="58"/>
      <c r="R125" s="58"/>
      <c r="S125" s="58"/>
      <c r="T125" s="58"/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57"/>
        <v>0</v>
      </c>
      <c r="AI125" s="11">
        <f t="shared" si="58"/>
        <v>0</v>
      </c>
    </row>
    <row r="126" spans="1:35" ht="15.75" thickBot="1" x14ac:dyDescent="0.3">
      <c r="A126" s="57" t="s">
        <v>136</v>
      </c>
      <c r="B126" s="58">
        <v>19.399999999999999</v>
      </c>
      <c r="C126" s="58">
        <v>8.6999999999999993</v>
      </c>
      <c r="D126" s="58">
        <v>11.9</v>
      </c>
      <c r="E126" s="58">
        <v>-6.3</v>
      </c>
      <c r="F126" s="58">
        <v>-3.2</v>
      </c>
      <c r="G126" s="58">
        <v>12.1</v>
      </c>
      <c r="H126" s="58"/>
      <c r="I126" s="58">
        <v>11.9</v>
      </c>
      <c r="J126" s="58"/>
      <c r="K126" s="58">
        <v>97</v>
      </c>
      <c r="L126" s="58">
        <v>90.4</v>
      </c>
      <c r="M126" s="58">
        <v>103.5</v>
      </c>
      <c r="N126" s="58">
        <v>91.5</v>
      </c>
      <c r="O126" s="58">
        <v>90.1</v>
      </c>
      <c r="P126" s="58">
        <v>77.5</v>
      </c>
      <c r="Q126" s="58">
        <v>88.8</v>
      </c>
      <c r="R126" s="58">
        <v>94.2</v>
      </c>
      <c r="S126" s="58">
        <v>96</v>
      </c>
      <c r="T126" s="58">
        <v>101.3</v>
      </c>
      <c r="U126" s="58">
        <v>90.9</v>
      </c>
      <c r="V126" s="58">
        <v>77.2</v>
      </c>
      <c r="W126" s="58">
        <v>61.1</v>
      </c>
      <c r="X126" s="58">
        <v>50.1</v>
      </c>
      <c r="Y126" s="58">
        <v>52.5</v>
      </c>
      <c r="Z126" s="58">
        <v>81.7</v>
      </c>
      <c r="AA126" s="58">
        <v>57.9</v>
      </c>
      <c r="AB126" s="58">
        <v>46.5</v>
      </c>
      <c r="AC126" s="58">
        <v>36</v>
      </c>
      <c r="AD126" s="58">
        <v>36</v>
      </c>
      <c r="AE126" s="58">
        <v>24</v>
      </c>
      <c r="AF126" s="58">
        <v>0</v>
      </c>
      <c r="AG126" s="55"/>
      <c r="AH126" s="12">
        <f>MAX(B126:AF126)</f>
        <v>103.5</v>
      </c>
      <c r="AI126" s="11">
        <f>MIN(B126:AF126)</f>
        <v>-6.3</v>
      </c>
    </row>
    <row r="127" spans="1:35" x14ac:dyDescent="0.25">
      <c r="A127" s="59" t="s">
        <v>135</v>
      </c>
      <c r="B127" s="58">
        <v>-142.80000000000001</v>
      </c>
      <c r="C127" s="58">
        <v>-118.8</v>
      </c>
      <c r="D127" s="58">
        <v>-68.7</v>
      </c>
      <c r="E127" s="58">
        <v>-69</v>
      </c>
      <c r="F127" s="58">
        <v>-67</v>
      </c>
      <c r="G127" s="58">
        <v>-57.2</v>
      </c>
      <c r="H127" s="58"/>
      <c r="I127" s="58">
        <v>-63</v>
      </c>
      <c r="J127" s="58"/>
      <c r="K127" s="58">
        <v>27</v>
      </c>
      <c r="L127" s="58">
        <v>26</v>
      </c>
      <c r="M127" s="58">
        <v>28.9</v>
      </c>
      <c r="N127" s="58">
        <v>35.6</v>
      </c>
      <c r="O127" s="58">
        <v>31.5</v>
      </c>
      <c r="P127" s="58">
        <v>24</v>
      </c>
      <c r="Q127" s="58">
        <v>16.5</v>
      </c>
      <c r="R127" s="58">
        <v>14.9</v>
      </c>
      <c r="S127" s="58">
        <v>39.6</v>
      </c>
      <c r="T127" s="58">
        <v>41.9</v>
      </c>
      <c r="U127" s="58">
        <v>43.3</v>
      </c>
      <c r="V127" s="58">
        <v>47</v>
      </c>
      <c r="W127" s="58">
        <v>48.8</v>
      </c>
      <c r="X127" s="58">
        <v>40</v>
      </c>
      <c r="Y127" s="58">
        <v>-172.5</v>
      </c>
      <c r="Z127" s="58">
        <v>-163.6</v>
      </c>
      <c r="AA127" s="58">
        <v>-165.5</v>
      </c>
      <c r="AB127" s="58">
        <v>-155.5</v>
      </c>
      <c r="AC127" s="58">
        <v>-154</v>
      </c>
      <c r="AD127" s="58">
        <v>-154</v>
      </c>
      <c r="AE127" s="58">
        <v>-92</v>
      </c>
      <c r="AF127" s="58">
        <v>-115</v>
      </c>
      <c r="AG127" s="55"/>
      <c r="AH127" s="12">
        <f>MAX(B127:AF127)</f>
        <v>48.8</v>
      </c>
      <c r="AI127" s="11">
        <f>MIN(B127:AF127)</f>
        <v>-172.5</v>
      </c>
    </row>
    <row r="128" spans="1:35" x14ac:dyDescent="0.25">
      <c r="A128" s="57" t="s">
        <v>134</v>
      </c>
      <c r="B128" s="56">
        <v>-40</v>
      </c>
      <c r="C128" s="56">
        <v>-37.299999999999997</v>
      </c>
      <c r="D128" s="56">
        <v>-35.1</v>
      </c>
      <c r="E128" s="56"/>
      <c r="F128" s="56"/>
      <c r="G128" s="56"/>
      <c r="H128" s="56"/>
      <c r="I128" s="56"/>
      <c r="J128" s="56"/>
      <c r="K128" s="56">
        <v>-28</v>
      </c>
      <c r="L128" s="56">
        <v>-32</v>
      </c>
      <c r="M128" s="56"/>
      <c r="N128" s="56"/>
      <c r="O128" s="56"/>
      <c r="P128" s="56"/>
      <c r="Q128" s="56">
        <v>-17</v>
      </c>
      <c r="R128" s="56">
        <v>-21.4</v>
      </c>
      <c r="S128" s="56">
        <v>-29</v>
      </c>
      <c r="T128" s="56">
        <v>-27.6</v>
      </c>
      <c r="U128" s="56">
        <v>-42.8</v>
      </c>
      <c r="V128" s="56">
        <v>-47</v>
      </c>
      <c r="W128" s="56">
        <v>-49.5</v>
      </c>
      <c r="X128" s="56">
        <v>-55.8</v>
      </c>
      <c r="Y128" s="56">
        <v>-56.1</v>
      </c>
      <c r="Z128" s="56">
        <v>-49.1</v>
      </c>
      <c r="AA128" s="56"/>
      <c r="AB128" s="56"/>
      <c r="AC128" s="56"/>
      <c r="AD128" s="56"/>
      <c r="AE128" s="56"/>
      <c r="AF128" s="56"/>
      <c r="AG128" s="55"/>
      <c r="AH128" s="12">
        <f>MAX(B128:AF128)</f>
        <v>-17</v>
      </c>
      <c r="AI128" s="11">
        <f>MIN(B128:AF128)</f>
        <v>-56.1</v>
      </c>
    </row>
    <row r="129" spans="1:37" x14ac:dyDescent="0.25">
      <c r="A129" s="57" t="s">
        <v>133</v>
      </c>
      <c r="B129" s="56">
        <v>95</v>
      </c>
      <c r="C129" s="56">
        <v>90.5</v>
      </c>
      <c r="D129" s="56">
        <v>84.1</v>
      </c>
      <c r="E129" s="56">
        <v>78</v>
      </c>
      <c r="F129" s="56">
        <v>75.3</v>
      </c>
      <c r="G129" s="56">
        <v>70.400000000000006</v>
      </c>
      <c r="H129" s="56"/>
      <c r="I129" s="56">
        <v>59</v>
      </c>
      <c r="J129" s="56"/>
      <c r="K129" s="56">
        <v>98</v>
      </c>
      <c r="L129" s="56">
        <v>103.5</v>
      </c>
      <c r="M129" s="56">
        <v>98.7</v>
      </c>
      <c r="N129" s="56">
        <v>103.1</v>
      </c>
      <c r="O129" s="56">
        <v>114</v>
      </c>
      <c r="P129" s="56">
        <v>113.3</v>
      </c>
      <c r="Q129" s="56">
        <v>116.8</v>
      </c>
      <c r="R129" s="56">
        <v>127.2</v>
      </c>
      <c r="S129" s="56">
        <v>110</v>
      </c>
      <c r="T129" s="56">
        <v>107.2</v>
      </c>
      <c r="U129" s="56">
        <v>111.8</v>
      </c>
      <c r="V129" s="56">
        <v>104.9</v>
      </c>
      <c r="W129" s="56">
        <v>106.1</v>
      </c>
      <c r="X129" s="56">
        <v>108.2</v>
      </c>
      <c r="Y129" s="56">
        <v>105.5</v>
      </c>
      <c r="Z129" s="56">
        <v>112.9</v>
      </c>
      <c r="AA129" s="56">
        <v>110.8</v>
      </c>
      <c r="AB129" s="56">
        <v>116</v>
      </c>
      <c r="AC129" s="56">
        <v>112</v>
      </c>
      <c r="AD129" s="56">
        <v>112</v>
      </c>
      <c r="AE129" s="56">
        <v>108</v>
      </c>
      <c r="AF129" s="56">
        <v>98</v>
      </c>
      <c r="AG129" s="55"/>
      <c r="AH129" s="12">
        <f>MAX(B129:AF129)</f>
        <v>127.2</v>
      </c>
      <c r="AI129" s="11">
        <f>MIN(B129:AF129)</f>
        <v>59</v>
      </c>
    </row>
    <row r="130" spans="1:37" ht="15.75" thickBot="1" x14ac:dyDescent="0.3">
      <c r="A130" s="57" t="s">
        <v>132</v>
      </c>
      <c r="B130" s="56">
        <v>101.4</v>
      </c>
      <c r="C130" s="56">
        <v>96.1</v>
      </c>
      <c r="D130" s="56">
        <v>92.1</v>
      </c>
      <c r="E130" s="56">
        <v>89</v>
      </c>
      <c r="F130" s="56">
        <v>86.2</v>
      </c>
      <c r="G130" s="56">
        <v>82.7</v>
      </c>
      <c r="H130" s="56"/>
      <c r="I130" s="56">
        <v>71</v>
      </c>
      <c r="J130" s="56"/>
      <c r="K130" s="56">
        <v>101</v>
      </c>
      <c r="L130" s="56">
        <v>113.3</v>
      </c>
      <c r="M130" s="56">
        <v>104</v>
      </c>
      <c r="N130" s="56">
        <v>99.6</v>
      </c>
      <c r="O130" s="56">
        <v>115.5</v>
      </c>
      <c r="P130" s="56">
        <v>113.5</v>
      </c>
      <c r="Q130" s="56">
        <v>132</v>
      </c>
      <c r="R130" s="56">
        <v>129.5</v>
      </c>
      <c r="S130" s="56">
        <v>121</v>
      </c>
      <c r="T130" s="56">
        <v>113.6</v>
      </c>
      <c r="U130" s="56">
        <v>115.6</v>
      </c>
      <c r="V130" s="56">
        <v>114.2</v>
      </c>
      <c r="W130" s="56">
        <v>110.2</v>
      </c>
      <c r="X130" s="56">
        <v>112.1</v>
      </c>
      <c r="Y130" s="56">
        <v>114.3</v>
      </c>
      <c r="Z130" s="56">
        <v>123.3</v>
      </c>
      <c r="AA130" s="56">
        <v>120.6</v>
      </c>
      <c r="AB130" s="56">
        <v>120.9</v>
      </c>
      <c r="AC130" s="56">
        <v>122</v>
      </c>
      <c r="AD130" s="56">
        <v>122</v>
      </c>
      <c r="AE130" s="56">
        <v>118</v>
      </c>
      <c r="AF130" s="56">
        <v>107</v>
      </c>
      <c r="AG130" s="55"/>
      <c r="AH130" s="12">
        <f>MAX(B130:AF130)</f>
        <v>132</v>
      </c>
      <c r="AI130" s="11">
        <f>MIN(B130:AF130)</f>
        <v>71</v>
      </c>
    </row>
    <row r="131" spans="1:37" x14ac:dyDescent="0.25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25">
      <c r="A132" s="47" t="s">
        <v>130</v>
      </c>
      <c r="B132" s="51">
        <v>1983</v>
      </c>
      <c r="C132" s="51">
        <v>1982.6</v>
      </c>
      <c r="D132" s="51">
        <v>1982.6</v>
      </c>
      <c r="E132" s="51">
        <v>1982.7</v>
      </c>
      <c r="F132" s="51">
        <v>1982.78</v>
      </c>
      <c r="G132" s="51">
        <v>1982.82</v>
      </c>
      <c r="H132" s="51"/>
      <c r="I132" s="51">
        <v>1982.85</v>
      </c>
      <c r="J132" s="51"/>
      <c r="K132" s="51">
        <v>1983.12</v>
      </c>
      <c r="L132" s="51"/>
      <c r="M132" s="51">
        <v>1983.5</v>
      </c>
      <c r="N132" s="51">
        <v>1983.88</v>
      </c>
      <c r="O132" s="51">
        <v>1984.2</v>
      </c>
      <c r="P132" s="51">
        <v>1984.5</v>
      </c>
      <c r="Q132" s="51">
        <v>1984.8</v>
      </c>
      <c r="R132" s="51">
        <v>1985.05</v>
      </c>
      <c r="S132" s="51">
        <v>1985.33</v>
      </c>
      <c r="T132" s="51">
        <v>1985.6</v>
      </c>
      <c r="U132" s="51"/>
      <c r="V132" s="51">
        <v>1986.1</v>
      </c>
      <c r="W132" s="51"/>
      <c r="X132" s="51">
        <v>1986.34</v>
      </c>
      <c r="Y132" s="51"/>
      <c r="Z132" s="51">
        <v>1985.75</v>
      </c>
      <c r="AA132" s="51"/>
      <c r="AB132" s="51">
        <v>1984.79</v>
      </c>
      <c r="AC132" s="51"/>
      <c r="AD132" s="51">
        <v>1983.9</v>
      </c>
      <c r="AE132" s="51">
        <v>1983.27</v>
      </c>
      <c r="AF132" s="50">
        <v>1982.98</v>
      </c>
      <c r="AG132" s="44"/>
      <c r="AH132" s="12"/>
      <c r="AI132" s="11"/>
    </row>
    <row r="133" spans="1:37" x14ac:dyDescent="0.25">
      <c r="A133" s="47" t="s">
        <v>129</v>
      </c>
      <c r="B133" s="49">
        <v>522.86</v>
      </c>
      <c r="C133" s="49">
        <v>522.76</v>
      </c>
      <c r="D133" s="49">
        <v>522.67999999999995</v>
      </c>
      <c r="E133" s="49">
        <v>522.62</v>
      </c>
      <c r="F133" s="49">
        <v>522.59</v>
      </c>
      <c r="G133" s="49">
        <v>522.6</v>
      </c>
      <c r="H133" s="49"/>
      <c r="I133" s="49">
        <v>522.52</v>
      </c>
      <c r="J133" s="49"/>
      <c r="K133" s="49">
        <v>522.4</v>
      </c>
      <c r="L133" s="49"/>
      <c r="M133" s="49">
        <v>522.22</v>
      </c>
      <c r="N133" s="49">
        <v>522.24</v>
      </c>
      <c r="O133" s="49">
        <v>522.4</v>
      </c>
      <c r="P133" s="49">
        <v>522.53</v>
      </c>
      <c r="Q133" s="49">
        <v>522.66</v>
      </c>
      <c r="R133" s="49">
        <v>522.78</v>
      </c>
      <c r="S133" s="49">
        <v>522.86</v>
      </c>
      <c r="T133" s="49">
        <v>522.95000000000005</v>
      </c>
      <c r="U133" s="49"/>
      <c r="V133" s="49">
        <v>523</v>
      </c>
      <c r="W133" s="49"/>
      <c r="X133" s="49">
        <v>522.9</v>
      </c>
      <c r="Y133" s="49"/>
      <c r="Z133" s="49">
        <v>522.5</v>
      </c>
      <c r="AA133" s="49"/>
      <c r="AB133" s="49">
        <v>522.05999999999995</v>
      </c>
      <c r="AC133" s="49"/>
      <c r="AD133" s="49">
        <v>521.62</v>
      </c>
      <c r="AE133" s="49"/>
      <c r="AF133" s="48">
        <v>520.66</v>
      </c>
      <c r="AG133" s="44"/>
      <c r="AH133" s="12"/>
      <c r="AI133" s="11"/>
    </row>
    <row r="134" spans="1:37" x14ac:dyDescent="0.25">
      <c r="A134" s="47" t="s">
        <v>128</v>
      </c>
      <c r="B134" s="49">
        <v>624.22</v>
      </c>
      <c r="C134" s="49">
        <v>624.29</v>
      </c>
      <c r="D134" s="49">
        <v>624.4</v>
      </c>
      <c r="E134" s="49">
        <v>624.61</v>
      </c>
      <c r="F134" s="49">
        <v>624.75</v>
      </c>
      <c r="G134" s="49">
        <v>624.87</v>
      </c>
      <c r="H134" s="49"/>
      <c r="I134" s="49">
        <v>624.88</v>
      </c>
      <c r="J134" s="49"/>
      <c r="K134" s="49">
        <v>624.79999999999995</v>
      </c>
      <c r="L134" s="49"/>
      <c r="M134" s="49">
        <v>624.63</v>
      </c>
      <c r="N134" s="49">
        <v>624.62</v>
      </c>
      <c r="O134" s="49">
        <v>624.59</v>
      </c>
      <c r="P134" s="49">
        <v>624.5</v>
      </c>
      <c r="Q134" s="49">
        <v>624.48</v>
      </c>
      <c r="R134" s="49">
        <v>624.74</v>
      </c>
      <c r="S134" s="49">
        <v>624.85</v>
      </c>
      <c r="T134" s="49">
        <v>625.04</v>
      </c>
      <c r="U134" s="49"/>
      <c r="V134" s="49">
        <v>625.22</v>
      </c>
      <c r="W134" s="49"/>
      <c r="X134" s="49">
        <v>625.25</v>
      </c>
      <c r="Y134" s="49"/>
      <c r="Z134" s="49">
        <v>624.96</v>
      </c>
      <c r="AA134" s="49"/>
      <c r="AB134" s="49">
        <v>624.52</v>
      </c>
      <c r="AC134" s="49">
        <v>624.42999999999995</v>
      </c>
      <c r="AD134" s="49">
        <v>624.37</v>
      </c>
      <c r="AE134" s="49">
        <v>624.11</v>
      </c>
      <c r="AF134" s="48">
        <v>623.91</v>
      </c>
      <c r="AG134" s="44"/>
      <c r="AH134" s="12"/>
      <c r="AI134" s="11"/>
    </row>
    <row r="135" spans="1:37" x14ac:dyDescent="0.25">
      <c r="A135" s="47" t="s">
        <v>127</v>
      </c>
      <c r="B135" s="49">
        <v>335.17</v>
      </c>
      <c r="C135" s="49">
        <v>335.46</v>
      </c>
      <c r="D135" s="49">
        <v>335.77</v>
      </c>
      <c r="E135" s="49">
        <v>335.96</v>
      </c>
      <c r="F135" s="49">
        <v>335.97</v>
      </c>
      <c r="G135" s="49">
        <v>335.99</v>
      </c>
      <c r="H135" s="49"/>
      <c r="I135" s="49">
        <v>336.01</v>
      </c>
      <c r="J135" s="49"/>
      <c r="K135" s="49">
        <v>336.01</v>
      </c>
      <c r="L135" s="49"/>
      <c r="M135" s="49">
        <v>335.87</v>
      </c>
      <c r="N135" s="49">
        <v>335.79</v>
      </c>
      <c r="O135" s="49">
        <v>335.8</v>
      </c>
      <c r="P135" s="49">
        <v>335.84</v>
      </c>
      <c r="Q135" s="49">
        <v>336.03</v>
      </c>
      <c r="R135" s="49">
        <v>336.32</v>
      </c>
      <c r="S135" s="49">
        <v>336.37</v>
      </c>
      <c r="T135" s="49">
        <v>336.86</v>
      </c>
      <c r="U135" s="49"/>
      <c r="V135" s="49">
        <v>337.3</v>
      </c>
      <c r="W135" s="49"/>
      <c r="X135" s="49">
        <v>337.42</v>
      </c>
      <c r="Y135" s="49"/>
      <c r="Z135" s="49">
        <v>337.45</v>
      </c>
      <c r="AA135" s="49"/>
      <c r="AB135" s="49">
        <v>337.06</v>
      </c>
      <c r="AC135" s="49"/>
      <c r="AD135" s="49">
        <v>336.8</v>
      </c>
      <c r="AE135" s="49">
        <v>336.45</v>
      </c>
      <c r="AF135" s="48"/>
      <c r="AG135" s="44"/>
      <c r="AH135" s="12"/>
      <c r="AI135" s="11"/>
    </row>
    <row r="136" spans="1:37" x14ac:dyDescent="0.25">
      <c r="A136" s="47" t="s">
        <v>126</v>
      </c>
      <c r="B136" s="49">
        <v>884.2</v>
      </c>
      <c r="C136" s="49">
        <v>885.1</v>
      </c>
      <c r="D136" s="49">
        <v>886.4</v>
      </c>
      <c r="E136" s="49">
        <v>887.2</v>
      </c>
      <c r="F136" s="49">
        <v>887.6</v>
      </c>
      <c r="G136" s="49">
        <v>887.9</v>
      </c>
      <c r="H136" s="49"/>
      <c r="I136" s="49">
        <v>887.6</v>
      </c>
      <c r="J136" s="49"/>
      <c r="K136" s="49">
        <v>887.3</v>
      </c>
      <c r="L136" s="49"/>
      <c r="M136" s="49">
        <v>887.3</v>
      </c>
      <c r="N136" s="49">
        <v>887.3</v>
      </c>
      <c r="O136" s="49">
        <v>887.3</v>
      </c>
      <c r="P136" s="49">
        <v>887.1</v>
      </c>
      <c r="Q136" s="49">
        <v>886.6</v>
      </c>
      <c r="R136" s="49">
        <v>886</v>
      </c>
      <c r="S136" s="49">
        <v>885.3</v>
      </c>
      <c r="T136" s="49">
        <v>884.2</v>
      </c>
      <c r="U136" s="49"/>
      <c r="V136" s="49">
        <v>882.6</v>
      </c>
      <c r="W136" s="49"/>
      <c r="X136" s="49">
        <v>883.5</v>
      </c>
      <c r="Y136" s="49"/>
      <c r="Z136" s="49">
        <v>883.5</v>
      </c>
      <c r="AA136" s="49"/>
      <c r="AB136" s="49">
        <v>883.6</v>
      </c>
      <c r="AC136" s="49">
        <v>883.7</v>
      </c>
      <c r="AD136" s="49"/>
      <c r="AE136" s="49"/>
      <c r="AF136" s="48">
        <v>884.7</v>
      </c>
      <c r="AG136" s="44"/>
      <c r="AH136" s="12"/>
      <c r="AI136" s="11"/>
    </row>
    <row r="137" spans="1:37" ht="15.75" thickBot="1" x14ac:dyDescent="0.3">
      <c r="A137" s="47" t="s">
        <v>125</v>
      </c>
      <c r="B137" s="46">
        <v>1511.56</v>
      </c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>
        <v>1511.35</v>
      </c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>
        <v>1511.21</v>
      </c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.75" thickBot="1" x14ac:dyDescent="0.3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25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>
        <f>$T$132+0.3</f>
        <v>1985.8999999999999</v>
      </c>
      <c r="V139" s="38">
        <f>$T$132+0.3</f>
        <v>1985.8999999999999</v>
      </c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25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25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25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25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25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25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25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25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25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25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25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25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25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25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25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25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25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25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25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25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25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25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25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25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25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25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25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25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25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25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25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25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25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25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25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25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25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25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25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25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25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25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25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25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25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25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25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25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25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25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25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25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25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25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25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25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25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25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25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25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25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25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25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25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25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25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25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25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25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25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25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25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25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25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25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25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25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25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25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25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25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25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25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25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25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25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25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25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25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25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25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25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25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25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25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25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25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25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25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25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25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25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25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.75" thickBot="1" x14ac:dyDescent="0.3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.75" thickBot="1" x14ac:dyDescent="0.3">
      <c r="A244" s="31" t="s">
        <v>17</v>
      </c>
      <c r="B244" s="30">
        <f t="shared" ref="B244:AG244" si="144">SUM(B139:B243)</f>
        <v>0</v>
      </c>
      <c r="C244" s="14">
        <f t="shared" si="144"/>
        <v>0</v>
      </c>
      <c r="D244" s="14">
        <f t="shared" si="144"/>
        <v>0</v>
      </c>
      <c r="E244" s="14">
        <f t="shared" si="144"/>
        <v>0</v>
      </c>
      <c r="F244" s="14">
        <f t="shared" si="144"/>
        <v>0</v>
      </c>
      <c r="G244" s="14">
        <f t="shared" si="144"/>
        <v>0</v>
      </c>
      <c r="H244" s="14">
        <f t="shared" si="144"/>
        <v>0</v>
      </c>
      <c r="I244" s="14">
        <f t="shared" si="144"/>
        <v>0</v>
      </c>
      <c r="J244" s="14">
        <f t="shared" si="144"/>
        <v>0</v>
      </c>
      <c r="K244" s="14">
        <f t="shared" si="144"/>
        <v>0</v>
      </c>
      <c r="L244" s="14">
        <f t="shared" si="144"/>
        <v>0</v>
      </c>
      <c r="M244" s="14">
        <f t="shared" si="144"/>
        <v>0</v>
      </c>
      <c r="N244" s="14">
        <f t="shared" si="144"/>
        <v>0</v>
      </c>
      <c r="O244" s="14">
        <f t="shared" si="144"/>
        <v>0</v>
      </c>
      <c r="P244" s="14">
        <f t="shared" si="144"/>
        <v>0</v>
      </c>
      <c r="Q244" s="14">
        <f t="shared" si="144"/>
        <v>0</v>
      </c>
      <c r="R244" s="14">
        <f t="shared" si="144"/>
        <v>0</v>
      </c>
      <c r="S244" s="14">
        <f t="shared" si="144"/>
        <v>0</v>
      </c>
      <c r="T244" s="14">
        <f t="shared" si="144"/>
        <v>0</v>
      </c>
      <c r="U244" s="14">
        <f t="shared" si="144"/>
        <v>1985.8999999999999</v>
      </c>
      <c r="V244" s="14">
        <f t="shared" si="144"/>
        <v>1985.8999999999999</v>
      </c>
      <c r="W244" s="14">
        <f t="shared" si="144"/>
        <v>0</v>
      </c>
      <c r="X244" s="14">
        <f t="shared" si="144"/>
        <v>0</v>
      </c>
      <c r="Y244" s="14">
        <f t="shared" si="144"/>
        <v>0</v>
      </c>
      <c r="Z244" s="14">
        <f t="shared" si="144"/>
        <v>0</v>
      </c>
      <c r="AA244" s="14">
        <f t="shared" si="144"/>
        <v>0</v>
      </c>
      <c r="AB244" s="14">
        <f t="shared" si="144"/>
        <v>0</v>
      </c>
      <c r="AC244" s="14">
        <f t="shared" si="144"/>
        <v>0</v>
      </c>
      <c r="AD244" s="14">
        <f t="shared" si="144"/>
        <v>0</v>
      </c>
      <c r="AE244" s="14">
        <f t="shared" si="144"/>
        <v>0</v>
      </c>
      <c r="AF244" s="29">
        <f t="shared" si="144"/>
        <v>0</v>
      </c>
      <c r="AG244" s="28">
        <f t="shared" si="144"/>
        <v>412.72299999999984</v>
      </c>
      <c r="AH244" s="12"/>
      <c r="AI244" s="11"/>
      <c r="AK244" s="19"/>
    </row>
    <row r="245" spans="1:37" ht="15.75" thickBot="1" x14ac:dyDescent="0.3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25">
      <c r="A246" s="25" t="s">
        <v>16</v>
      </c>
      <c r="B246" s="24">
        <f t="shared" ref="B246:B251" si="145">AF246</f>
        <v>0.3</v>
      </c>
      <c r="C246" s="24">
        <v>0.3</v>
      </c>
      <c r="D246" s="24">
        <f t="shared" ref="D246:AF251" si="146">C246</f>
        <v>0.3</v>
      </c>
      <c r="E246" s="24">
        <f t="shared" si="146"/>
        <v>0.3</v>
      </c>
      <c r="F246" s="24">
        <f t="shared" si="146"/>
        <v>0.3</v>
      </c>
      <c r="G246" s="24">
        <f t="shared" si="146"/>
        <v>0.3</v>
      </c>
      <c r="H246" s="24">
        <f t="shared" si="146"/>
        <v>0.3</v>
      </c>
      <c r="I246" s="24">
        <f t="shared" si="146"/>
        <v>0.3</v>
      </c>
      <c r="J246" s="24">
        <f t="shared" si="146"/>
        <v>0.3</v>
      </c>
      <c r="K246" s="24">
        <f t="shared" si="146"/>
        <v>0.3</v>
      </c>
      <c r="L246" s="24">
        <f t="shared" si="146"/>
        <v>0.3</v>
      </c>
      <c r="M246" s="24">
        <f t="shared" si="146"/>
        <v>0.3</v>
      </c>
      <c r="N246" s="24">
        <f t="shared" si="146"/>
        <v>0.3</v>
      </c>
      <c r="O246" s="24">
        <f t="shared" si="146"/>
        <v>0.3</v>
      </c>
      <c r="P246" s="24">
        <f t="shared" si="146"/>
        <v>0.3</v>
      </c>
      <c r="Q246" s="24">
        <f t="shared" si="146"/>
        <v>0.3</v>
      </c>
      <c r="R246" s="24">
        <f t="shared" si="146"/>
        <v>0.3</v>
      </c>
      <c r="S246" s="24">
        <f t="shared" si="146"/>
        <v>0.3</v>
      </c>
      <c r="T246" s="24">
        <f t="shared" si="146"/>
        <v>0.3</v>
      </c>
      <c r="U246" s="24">
        <f t="shared" si="146"/>
        <v>0.3</v>
      </c>
      <c r="V246" s="24">
        <f t="shared" si="146"/>
        <v>0.3</v>
      </c>
      <c r="W246" s="24">
        <f t="shared" si="146"/>
        <v>0.3</v>
      </c>
      <c r="X246" s="24">
        <f t="shared" si="146"/>
        <v>0.3</v>
      </c>
      <c r="Y246" s="24">
        <f t="shared" si="146"/>
        <v>0.3</v>
      </c>
      <c r="Z246" s="24">
        <f t="shared" si="146"/>
        <v>0.3</v>
      </c>
      <c r="AA246" s="24">
        <f t="shared" si="146"/>
        <v>0.3</v>
      </c>
      <c r="AB246" s="24">
        <f t="shared" si="146"/>
        <v>0.3</v>
      </c>
      <c r="AC246" s="24">
        <f t="shared" si="146"/>
        <v>0.3</v>
      </c>
      <c r="AD246" s="24">
        <f t="shared" si="146"/>
        <v>0.3</v>
      </c>
      <c r="AE246" s="24">
        <f t="shared" si="146"/>
        <v>0.3</v>
      </c>
      <c r="AF246" s="24">
        <f t="shared" si="146"/>
        <v>0.3</v>
      </c>
      <c r="AG246" s="23">
        <v>2.4</v>
      </c>
      <c r="AH246" s="12"/>
      <c r="AI246" s="11"/>
      <c r="AK246" s="19"/>
    </row>
    <row r="247" spans="1:37" x14ac:dyDescent="0.25">
      <c r="A247" s="22" t="s">
        <v>15</v>
      </c>
      <c r="B247" s="21">
        <f t="shared" si="145"/>
        <v>0.4</v>
      </c>
      <c r="C247" s="21">
        <v>0.4</v>
      </c>
      <c r="D247" s="21">
        <f t="shared" si="146"/>
        <v>0.4</v>
      </c>
      <c r="E247" s="21">
        <f t="shared" si="146"/>
        <v>0.4</v>
      </c>
      <c r="F247" s="21">
        <f t="shared" si="146"/>
        <v>0.4</v>
      </c>
      <c r="G247" s="21">
        <f t="shared" si="146"/>
        <v>0.4</v>
      </c>
      <c r="H247" s="21">
        <f t="shared" si="146"/>
        <v>0.4</v>
      </c>
      <c r="I247" s="21">
        <f t="shared" si="146"/>
        <v>0.4</v>
      </c>
      <c r="J247" s="21">
        <f t="shared" si="146"/>
        <v>0.4</v>
      </c>
      <c r="K247" s="21">
        <f t="shared" si="146"/>
        <v>0.4</v>
      </c>
      <c r="L247" s="21">
        <f t="shared" si="146"/>
        <v>0.4</v>
      </c>
      <c r="M247" s="21">
        <f t="shared" si="146"/>
        <v>0.4</v>
      </c>
      <c r="N247" s="21">
        <f t="shared" si="146"/>
        <v>0.4</v>
      </c>
      <c r="O247" s="21">
        <f t="shared" si="146"/>
        <v>0.4</v>
      </c>
      <c r="P247" s="21">
        <f t="shared" si="146"/>
        <v>0.4</v>
      </c>
      <c r="Q247" s="21">
        <f t="shared" si="146"/>
        <v>0.4</v>
      </c>
      <c r="R247" s="21">
        <f t="shared" si="146"/>
        <v>0.4</v>
      </c>
      <c r="S247" s="21">
        <f t="shared" si="146"/>
        <v>0.4</v>
      </c>
      <c r="T247" s="21">
        <f t="shared" si="146"/>
        <v>0.4</v>
      </c>
      <c r="U247" s="21">
        <f t="shared" si="146"/>
        <v>0.4</v>
      </c>
      <c r="V247" s="21">
        <f t="shared" si="146"/>
        <v>0.4</v>
      </c>
      <c r="W247" s="21">
        <f t="shared" si="146"/>
        <v>0.4</v>
      </c>
      <c r="X247" s="21">
        <f t="shared" si="146"/>
        <v>0.4</v>
      </c>
      <c r="Y247" s="21">
        <f t="shared" si="146"/>
        <v>0.4</v>
      </c>
      <c r="Z247" s="21">
        <f t="shared" si="146"/>
        <v>0.4</v>
      </c>
      <c r="AA247" s="21">
        <f t="shared" si="146"/>
        <v>0.4</v>
      </c>
      <c r="AB247" s="21">
        <f t="shared" si="146"/>
        <v>0.4</v>
      </c>
      <c r="AC247" s="21">
        <f t="shared" si="146"/>
        <v>0.4</v>
      </c>
      <c r="AD247" s="21">
        <f t="shared" si="146"/>
        <v>0.4</v>
      </c>
      <c r="AE247" s="21">
        <f t="shared" si="146"/>
        <v>0.4</v>
      </c>
      <c r="AF247" s="21">
        <f t="shared" si="146"/>
        <v>0.4</v>
      </c>
      <c r="AG247" s="20">
        <v>2</v>
      </c>
      <c r="AH247" s="12"/>
      <c r="AI247" s="11"/>
      <c r="AK247" s="19"/>
    </row>
    <row r="248" spans="1:37" x14ac:dyDescent="0.25">
      <c r="A248" s="22" t="s">
        <v>14</v>
      </c>
      <c r="B248" s="21">
        <f t="shared" si="145"/>
        <v>1.5</v>
      </c>
      <c r="C248" s="21">
        <v>1.5</v>
      </c>
      <c r="D248" s="21">
        <f t="shared" si="146"/>
        <v>1.5</v>
      </c>
      <c r="E248" s="21">
        <f t="shared" si="146"/>
        <v>1.5</v>
      </c>
      <c r="F248" s="21">
        <f t="shared" si="146"/>
        <v>1.5</v>
      </c>
      <c r="G248" s="21">
        <f t="shared" si="146"/>
        <v>1.5</v>
      </c>
      <c r="H248" s="21">
        <f t="shared" si="146"/>
        <v>1.5</v>
      </c>
      <c r="I248" s="21">
        <f t="shared" si="146"/>
        <v>1.5</v>
      </c>
      <c r="J248" s="21">
        <f t="shared" si="146"/>
        <v>1.5</v>
      </c>
      <c r="K248" s="21">
        <f t="shared" si="146"/>
        <v>1.5</v>
      </c>
      <c r="L248" s="21">
        <f t="shared" si="146"/>
        <v>1.5</v>
      </c>
      <c r="M248" s="21">
        <f t="shared" si="146"/>
        <v>1.5</v>
      </c>
      <c r="N248" s="21">
        <f t="shared" si="146"/>
        <v>1.5</v>
      </c>
      <c r="O248" s="21">
        <f t="shared" si="146"/>
        <v>1.5</v>
      </c>
      <c r="P248" s="21">
        <f t="shared" si="146"/>
        <v>1.5</v>
      </c>
      <c r="Q248" s="21">
        <f t="shared" si="146"/>
        <v>1.5</v>
      </c>
      <c r="R248" s="21">
        <f t="shared" si="146"/>
        <v>1.5</v>
      </c>
      <c r="S248" s="21">
        <f t="shared" si="146"/>
        <v>1.5</v>
      </c>
      <c r="T248" s="21">
        <f t="shared" si="146"/>
        <v>1.5</v>
      </c>
      <c r="U248" s="21">
        <f t="shared" si="146"/>
        <v>1.5</v>
      </c>
      <c r="V248" s="21">
        <f t="shared" si="146"/>
        <v>1.5</v>
      </c>
      <c r="W248" s="21">
        <f t="shared" si="146"/>
        <v>1.5</v>
      </c>
      <c r="X248" s="21">
        <f t="shared" si="146"/>
        <v>1.5</v>
      </c>
      <c r="Y248" s="21">
        <f t="shared" si="146"/>
        <v>1.5</v>
      </c>
      <c r="Z248" s="21">
        <f t="shared" si="146"/>
        <v>1.5</v>
      </c>
      <c r="AA248" s="21">
        <f t="shared" si="146"/>
        <v>1.5</v>
      </c>
      <c r="AB248" s="21">
        <f t="shared" si="146"/>
        <v>1.5</v>
      </c>
      <c r="AC248" s="21">
        <f t="shared" si="146"/>
        <v>1.5</v>
      </c>
      <c r="AD248" s="21">
        <f t="shared" si="146"/>
        <v>1.5</v>
      </c>
      <c r="AE248" s="21">
        <f t="shared" si="146"/>
        <v>1.5</v>
      </c>
      <c r="AF248" s="21">
        <f t="shared" si="146"/>
        <v>1.5</v>
      </c>
      <c r="AG248" s="20">
        <v>1.5</v>
      </c>
      <c r="AH248" s="12"/>
      <c r="AI248" s="11"/>
      <c r="AK248" s="19"/>
    </row>
    <row r="249" spans="1:37" x14ac:dyDescent="0.25">
      <c r="A249" s="22" t="s">
        <v>13</v>
      </c>
      <c r="B249" s="21">
        <f t="shared" si="145"/>
        <v>0.3</v>
      </c>
      <c r="C249" s="21">
        <v>0.3</v>
      </c>
      <c r="D249" s="21">
        <f t="shared" si="146"/>
        <v>0.3</v>
      </c>
      <c r="E249" s="21">
        <f t="shared" si="146"/>
        <v>0.3</v>
      </c>
      <c r="F249" s="21">
        <f t="shared" si="146"/>
        <v>0.3</v>
      </c>
      <c r="G249" s="21">
        <f t="shared" si="146"/>
        <v>0.3</v>
      </c>
      <c r="H249" s="21">
        <f t="shared" si="146"/>
        <v>0.3</v>
      </c>
      <c r="I249" s="21">
        <f t="shared" si="146"/>
        <v>0.3</v>
      </c>
      <c r="J249" s="21">
        <f t="shared" si="146"/>
        <v>0.3</v>
      </c>
      <c r="K249" s="21">
        <f t="shared" si="146"/>
        <v>0.3</v>
      </c>
      <c r="L249" s="21">
        <f t="shared" si="146"/>
        <v>0.3</v>
      </c>
      <c r="M249" s="21">
        <f t="shared" si="146"/>
        <v>0.3</v>
      </c>
      <c r="N249" s="21">
        <f t="shared" si="146"/>
        <v>0.3</v>
      </c>
      <c r="O249" s="21">
        <f t="shared" si="146"/>
        <v>0.3</v>
      </c>
      <c r="P249" s="21">
        <f t="shared" si="146"/>
        <v>0.3</v>
      </c>
      <c r="Q249" s="21">
        <f t="shared" si="146"/>
        <v>0.3</v>
      </c>
      <c r="R249" s="21">
        <f t="shared" si="146"/>
        <v>0.3</v>
      </c>
      <c r="S249" s="21">
        <f t="shared" si="146"/>
        <v>0.3</v>
      </c>
      <c r="T249" s="21">
        <f t="shared" si="146"/>
        <v>0.3</v>
      </c>
      <c r="U249" s="21">
        <f t="shared" si="146"/>
        <v>0.3</v>
      </c>
      <c r="V249" s="21">
        <f t="shared" si="146"/>
        <v>0.3</v>
      </c>
      <c r="W249" s="21">
        <f t="shared" si="146"/>
        <v>0.3</v>
      </c>
      <c r="X249" s="21">
        <f t="shared" si="146"/>
        <v>0.3</v>
      </c>
      <c r="Y249" s="21">
        <f t="shared" si="146"/>
        <v>0.3</v>
      </c>
      <c r="Z249" s="21">
        <f t="shared" si="146"/>
        <v>0.3</v>
      </c>
      <c r="AA249" s="21">
        <f t="shared" si="146"/>
        <v>0.3</v>
      </c>
      <c r="AB249" s="21">
        <f t="shared" si="146"/>
        <v>0.3</v>
      </c>
      <c r="AC249" s="21">
        <f t="shared" si="146"/>
        <v>0.3</v>
      </c>
      <c r="AD249" s="21">
        <f t="shared" si="146"/>
        <v>0.3</v>
      </c>
      <c r="AE249" s="21">
        <f t="shared" si="146"/>
        <v>0.3</v>
      </c>
      <c r="AF249" s="21">
        <f t="shared" si="146"/>
        <v>0.3</v>
      </c>
      <c r="AG249" s="20">
        <v>1</v>
      </c>
      <c r="AH249" s="12"/>
      <c r="AI249" s="11"/>
      <c r="AK249" s="19"/>
    </row>
    <row r="250" spans="1:37" x14ac:dyDescent="0.25">
      <c r="A250" s="22" t="s">
        <v>12</v>
      </c>
      <c r="B250" s="21">
        <f t="shared" si="145"/>
        <v>0.4</v>
      </c>
      <c r="C250" s="21">
        <v>0.4</v>
      </c>
      <c r="D250" s="21">
        <f t="shared" si="146"/>
        <v>0.4</v>
      </c>
      <c r="E250" s="21">
        <f t="shared" si="146"/>
        <v>0.4</v>
      </c>
      <c r="F250" s="21">
        <f t="shared" si="146"/>
        <v>0.4</v>
      </c>
      <c r="G250" s="21">
        <f t="shared" si="146"/>
        <v>0.4</v>
      </c>
      <c r="H250" s="21">
        <f t="shared" si="146"/>
        <v>0.4</v>
      </c>
      <c r="I250" s="21">
        <f t="shared" si="146"/>
        <v>0.4</v>
      </c>
      <c r="J250" s="21">
        <f t="shared" si="146"/>
        <v>0.4</v>
      </c>
      <c r="K250" s="21">
        <f t="shared" si="146"/>
        <v>0.4</v>
      </c>
      <c r="L250" s="21">
        <f t="shared" si="146"/>
        <v>0.4</v>
      </c>
      <c r="M250" s="21">
        <f t="shared" si="146"/>
        <v>0.4</v>
      </c>
      <c r="N250" s="21">
        <f t="shared" si="146"/>
        <v>0.4</v>
      </c>
      <c r="O250" s="21">
        <f t="shared" si="146"/>
        <v>0.4</v>
      </c>
      <c r="P250" s="21">
        <f t="shared" si="146"/>
        <v>0.4</v>
      </c>
      <c r="Q250" s="21">
        <f t="shared" si="146"/>
        <v>0.4</v>
      </c>
      <c r="R250" s="21">
        <f t="shared" si="146"/>
        <v>0.4</v>
      </c>
      <c r="S250" s="21">
        <f t="shared" si="146"/>
        <v>0.4</v>
      </c>
      <c r="T250" s="21">
        <f t="shared" si="146"/>
        <v>0.4</v>
      </c>
      <c r="U250" s="21">
        <f t="shared" si="146"/>
        <v>0.4</v>
      </c>
      <c r="V250" s="21">
        <f t="shared" si="146"/>
        <v>0.4</v>
      </c>
      <c r="W250" s="21">
        <f t="shared" si="146"/>
        <v>0.4</v>
      </c>
      <c r="X250" s="21">
        <f t="shared" si="146"/>
        <v>0.4</v>
      </c>
      <c r="Y250" s="21">
        <f t="shared" si="146"/>
        <v>0.4</v>
      </c>
      <c r="Z250" s="21">
        <f t="shared" si="146"/>
        <v>0.4</v>
      </c>
      <c r="AA250" s="21">
        <f t="shared" si="146"/>
        <v>0.4</v>
      </c>
      <c r="AB250" s="21">
        <f t="shared" si="146"/>
        <v>0.4</v>
      </c>
      <c r="AC250" s="21">
        <f t="shared" si="146"/>
        <v>0.4</v>
      </c>
      <c r="AD250" s="21">
        <f t="shared" si="146"/>
        <v>0.4</v>
      </c>
      <c r="AE250" s="21">
        <f t="shared" si="146"/>
        <v>0.4</v>
      </c>
      <c r="AF250" s="21">
        <f t="shared" si="146"/>
        <v>0.4</v>
      </c>
      <c r="AG250" s="20">
        <v>1</v>
      </c>
      <c r="AH250" s="12"/>
      <c r="AI250" s="11"/>
      <c r="AK250" s="19"/>
    </row>
    <row r="251" spans="1:37" ht="15.75" thickBot="1" x14ac:dyDescent="0.3">
      <c r="A251" s="18" t="s">
        <v>11</v>
      </c>
      <c r="B251" s="17">
        <f t="shared" si="145"/>
        <v>0.64</v>
      </c>
      <c r="C251" s="17">
        <v>0.64</v>
      </c>
      <c r="D251" s="17">
        <f t="shared" si="146"/>
        <v>0.64</v>
      </c>
      <c r="E251" s="17">
        <f t="shared" si="146"/>
        <v>0.64</v>
      </c>
      <c r="F251" s="17">
        <f t="shared" si="146"/>
        <v>0.64</v>
      </c>
      <c r="G251" s="17">
        <f t="shared" si="146"/>
        <v>0.64</v>
      </c>
      <c r="H251" s="17">
        <f t="shared" si="146"/>
        <v>0.64</v>
      </c>
      <c r="I251" s="17">
        <f t="shared" si="146"/>
        <v>0.64</v>
      </c>
      <c r="J251" s="17">
        <f t="shared" si="146"/>
        <v>0.64</v>
      </c>
      <c r="K251" s="17">
        <f t="shared" si="146"/>
        <v>0.64</v>
      </c>
      <c r="L251" s="17">
        <f t="shared" si="146"/>
        <v>0.64</v>
      </c>
      <c r="M251" s="17">
        <f t="shared" si="146"/>
        <v>0.64</v>
      </c>
      <c r="N251" s="17">
        <f t="shared" si="146"/>
        <v>0.64</v>
      </c>
      <c r="O251" s="17">
        <f t="shared" si="146"/>
        <v>0.64</v>
      </c>
      <c r="P251" s="17">
        <f t="shared" si="146"/>
        <v>0.64</v>
      </c>
      <c r="Q251" s="17">
        <f t="shared" si="146"/>
        <v>0.64</v>
      </c>
      <c r="R251" s="17">
        <f t="shared" si="146"/>
        <v>0.64</v>
      </c>
      <c r="S251" s="17">
        <f t="shared" si="146"/>
        <v>0.64</v>
      </c>
      <c r="T251" s="17">
        <f t="shared" si="146"/>
        <v>0.64</v>
      </c>
      <c r="U251" s="17">
        <f t="shared" si="146"/>
        <v>0.64</v>
      </c>
      <c r="V251" s="17">
        <f t="shared" si="146"/>
        <v>0.64</v>
      </c>
      <c r="W251" s="17">
        <f t="shared" si="146"/>
        <v>0.64</v>
      </c>
      <c r="X251" s="17">
        <f t="shared" si="146"/>
        <v>0.64</v>
      </c>
      <c r="Y251" s="17">
        <f t="shared" si="146"/>
        <v>0.64</v>
      </c>
      <c r="Z251" s="17">
        <f t="shared" si="146"/>
        <v>0.64</v>
      </c>
      <c r="AA251" s="17">
        <f t="shared" si="146"/>
        <v>0.64</v>
      </c>
      <c r="AB251" s="17">
        <f t="shared" si="146"/>
        <v>0.64</v>
      </c>
      <c r="AC251" s="17">
        <f t="shared" si="146"/>
        <v>0.64</v>
      </c>
      <c r="AD251" s="17">
        <f t="shared" si="146"/>
        <v>0.64</v>
      </c>
      <c r="AE251" s="17">
        <f t="shared" si="146"/>
        <v>0.64</v>
      </c>
      <c r="AF251" s="17">
        <f t="shared" si="146"/>
        <v>0.64</v>
      </c>
      <c r="AG251" s="16">
        <v>0.66</v>
      </c>
      <c r="AH251" s="12"/>
      <c r="AI251" s="11"/>
    </row>
    <row r="252" spans="1:37" ht="15.75" thickBot="1" x14ac:dyDescent="0.3">
      <c r="A252" s="15" t="s">
        <v>10</v>
      </c>
      <c r="B252" s="14">
        <f t="shared" ref="B252:AG252" si="147">SUM(B246:B251)</f>
        <v>3.54</v>
      </c>
      <c r="C252" s="14">
        <f t="shared" si="147"/>
        <v>3.54</v>
      </c>
      <c r="D252" s="14">
        <f t="shared" si="147"/>
        <v>3.54</v>
      </c>
      <c r="E252" s="14">
        <f t="shared" si="147"/>
        <v>3.54</v>
      </c>
      <c r="F252" s="14">
        <f t="shared" si="147"/>
        <v>3.54</v>
      </c>
      <c r="G252" s="14">
        <f t="shared" si="147"/>
        <v>3.54</v>
      </c>
      <c r="H252" s="14">
        <f t="shared" si="147"/>
        <v>3.54</v>
      </c>
      <c r="I252" s="14">
        <f t="shared" si="147"/>
        <v>3.54</v>
      </c>
      <c r="J252" s="14">
        <f t="shared" si="147"/>
        <v>3.54</v>
      </c>
      <c r="K252" s="14">
        <f t="shared" si="147"/>
        <v>3.54</v>
      </c>
      <c r="L252" s="14">
        <f t="shared" si="147"/>
        <v>3.54</v>
      </c>
      <c r="M252" s="14">
        <f t="shared" si="147"/>
        <v>3.54</v>
      </c>
      <c r="N252" s="14">
        <f t="shared" si="147"/>
        <v>3.54</v>
      </c>
      <c r="O252" s="14">
        <f t="shared" si="147"/>
        <v>3.54</v>
      </c>
      <c r="P252" s="14">
        <f t="shared" si="147"/>
        <v>3.54</v>
      </c>
      <c r="Q252" s="14">
        <f t="shared" si="147"/>
        <v>3.54</v>
      </c>
      <c r="R252" s="14">
        <f t="shared" si="147"/>
        <v>3.54</v>
      </c>
      <c r="S252" s="14">
        <f t="shared" si="147"/>
        <v>3.54</v>
      </c>
      <c r="T252" s="14">
        <f t="shared" si="147"/>
        <v>3.54</v>
      </c>
      <c r="U252" s="14">
        <f t="shared" si="147"/>
        <v>3.54</v>
      </c>
      <c r="V252" s="14">
        <f t="shared" si="147"/>
        <v>3.54</v>
      </c>
      <c r="W252" s="14">
        <f t="shared" si="147"/>
        <v>3.54</v>
      </c>
      <c r="X252" s="14">
        <f t="shared" si="147"/>
        <v>3.54</v>
      </c>
      <c r="Y252" s="14">
        <f t="shared" si="147"/>
        <v>3.54</v>
      </c>
      <c r="Z252" s="14">
        <f t="shared" si="147"/>
        <v>3.54</v>
      </c>
      <c r="AA252" s="14">
        <f t="shared" si="147"/>
        <v>3.54</v>
      </c>
      <c r="AB252" s="14">
        <f t="shared" si="147"/>
        <v>3.54</v>
      </c>
      <c r="AC252" s="14">
        <f t="shared" si="147"/>
        <v>3.54</v>
      </c>
      <c r="AD252" s="14">
        <f t="shared" si="147"/>
        <v>3.54</v>
      </c>
      <c r="AE252" s="14">
        <f t="shared" si="147"/>
        <v>3.54</v>
      </c>
      <c r="AF252" s="14">
        <f t="shared" si="147"/>
        <v>3.54</v>
      </c>
      <c r="AG252" s="13">
        <f t="shared" si="147"/>
        <v>8.56</v>
      </c>
      <c r="AH252" s="12"/>
      <c r="AI252" s="11"/>
    </row>
    <row r="253" spans="1:37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25">
      <c r="A256" s="9" t="s">
        <v>9</v>
      </c>
      <c r="B256" s="8">
        <f>MAX(G99:N99)</f>
        <v>1731.6399999999999</v>
      </c>
      <c r="C256" s="7">
        <f>INDEX(G9:N9,1,MATCH(MAX(G99:N99),G99:N99,0))</f>
        <v>0.3125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25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2080/10/9)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25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25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25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25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25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25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25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25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25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25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25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25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25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25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3187" priority="89">
      <formula>$AH11=0</formula>
    </cfRule>
  </conditionalFormatting>
  <conditionalFormatting sqref="A132:A253">
    <cfRule type="expression" dxfId="3186" priority="90">
      <formula>$AH132=0</formula>
    </cfRule>
  </conditionalFormatting>
  <conditionalFormatting sqref="B8">
    <cfRule type="expression" dxfId="3185" priority="145">
      <formula>AND(C$9&gt;=8/24,C$9&lt;14/24)</formula>
    </cfRule>
    <cfRule type="expression" dxfId="3184" priority="146">
      <formula>C$9&lt;8/24</formula>
    </cfRule>
    <cfRule type="expression" dxfId="3183" priority="144">
      <formula>AND(C$9&gt;=14/24,C$9&lt;20/24)</formula>
    </cfRule>
    <cfRule type="expression" dxfId="3182" priority="147">
      <formula>C$9&gt;=20/24</formula>
    </cfRule>
  </conditionalFormatting>
  <conditionalFormatting sqref="B11:Y52 E59:N61 B59:D68 C63:C74 E63:G74 D66:D74 H68:H74 B69:AF74 B77:AF99 B9:AF10 B101:AF117 B119:AF137 B244:AF244 B246:B252">
    <cfRule type="expression" dxfId="3181" priority="41">
      <formula>B$9&gt;=20/24</formula>
    </cfRule>
  </conditionalFormatting>
  <conditionalFormatting sqref="B53:Y57">
    <cfRule type="expression" dxfId="3180" priority="53">
      <formula>B$9&lt;8/24</formula>
    </cfRule>
  </conditionalFormatting>
  <conditionalFormatting sqref="B9:AF10 B11:Y52 E59:N61 B59:D68 C63:C74 E63:G74 D66:D74 H68:H74 B69:AF74 B77:AF99 B101:AF117 B119:AF137 B244:AF244 B246:B252">
    <cfRule type="expression" dxfId="3179" priority="42">
      <formula>AND(B$9&gt;=14/24,B$9&lt;20/24)</formula>
    </cfRule>
    <cfRule type="expression" dxfId="3178" priority="43">
      <formula>AND(B$9&gt;=8/24,B$9&lt;14/24)</formula>
    </cfRule>
    <cfRule type="expression" dxfId="3177" priority="44">
      <formula>B$9&lt;8/24</formula>
    </cfRule>
  </conditionalFormatting>
  <conditionalFormatting sqref="D246:AF252">
    <cfRule type="expression" dxfId="3176" priority="132">
      <formula>D$9&lt;8/24</formula>
    </cfRule>
    <cfRule type="expression" dxfId="3175" priority="131">
      <formula>AND(D$9&gt;=8/24,D$9&lt;14/24)</formula>
    </cfRule>
    <cfRule type="expression" dxfId="3174" priority="130">
      <formula>AND(D$9&gt;=14/24,D$9&lt;20/24)</formula>
    </cfRule>
    <cfRule type="expression" dxfId="3173" priority="129">
      <formula>D$9&gt;=20/24</formula>
    </cfRule>
  </conditionalFormatting>
  <conditionalFormatting sqref="E68:L68">
    <cfRule type="expression" dxfId="3172" priority="51">
      <formula>AND(E$9&gt;=8/24,E$9&lt;14/24)</formula>
    </cfRule>
    <cfRule type="expression" dxfId="3171" priority="49">
      <formula>E$9&gt;=20/24</formula>
    </cfRule>
    <cfRule type="expression" dxfId="3170" priority="50">
      <formula>AND(E$9&gt;=14/24,E$9&lt;20/24)</formula>
    </cfRule>
    <cfRule type="expression" dxfId="3169" priority="52">
      <formula>E$9&lt;8/24</formula>
    </cfRule>
  </conditionalFormatting>
  <conditionalFormatting sqref="E63:Y67">
    <cfRule type="expression" dxfId="3168" priority="56">
      <formula>AND(E$9&gt;=8/24,E$9&lt;14/24)</formula>
    </cfRule>
    <cfRule type="expression" dxfId="3167" priority="54">
      <formula>E$9&gt;=20/24</formula>
    </cfRule>
    <cfRule type="expression" dxfId="3166" priority="55">
      <formula>AND(E$9&gt;=14/24,E$9&lt;20/24)</formula>
    </cfRule>
    <cfRule type="expression" dxfId="3165" priority="57">
      <formula>E$9&lt;8/24</formula>
    </cfRule>
  </conditionalFormatting>
  <conditionalFormatting sqref="E59:AF62">
    <cfRule type="expression" dxfId="3164" priority="67">
      <formula>E$9&gt;=20/24</formula>
    </cfRule>
    <cfRule type="expression" dxfId="3163" priority="68">
      <formula>AND(E$9&gt;=14/24,E$9&lt;20/24)</formula>
    </cfRule>
    <cfRule type="expression" dxfId="3162" priority="69">
      <formula>AND(E$9&gt;=8/24,E$9&lt;14/24)</formula>
    </cfRule>
    <cfRule type="expression" dxfId="3161" priority="70">
      <formula>E$9&lt;8/24</formula>
    </cfRule>
  </conditionalFormatting>
  <conditionalFormatting sqref="F63:L65">
    <cfRule type="expression" dxfId="3160" priority="84">
      <formula>F$9&lt;8/24</formula>
    </cfRule>
    <cfRule type="expression" dxfId="3159" priority="83">
      <formula>AND(F$9&gt;=8/24,F$9&lt;14/24)</formula>
    </cfRule>
    <cfRule type="expression" dxfId="3158" priority="82">
      <formula>AND(F$9&gt;=14/24,F$9&lt;20/24)</formula>
    </cfRule>
    <cfRule type="expression" dxfId="3157" priority="81">
      <formula>F$9&gt;=20/24</formula>
    </cfRule>
  </conditionalFormatting>
  <conditionalFormatting sqref="H11:Y56 B11:G57 C27:M27 Z56:AF80 H57:M57 N57:S61 T57:Y80 B58:M61 AG62 B62:S80 AG80">
    <cfRule type="expression" dxfId="3156" priority="40">
      <formula>B11&gt;$AG11</formula>
    </cfRule>
  </conditionalFormatting>
  <conditionalFormatting sqref="H56:Y57">
    <cfRule type="expression" dxfId="3155" priority="46">
      <formula>H$9&gt;=20/24</formula>
    </cfRule>
    <cfRule type="expression" dxfId="3154" priority="47">
      <formula>AND(H$9&gt;=14/24,H$9&lt;20/24)</formula>
    </cfRule>
    <cfRule type="expression" dxfId="3153" priority="48">
      <formula>AND(H$9&gt;=8/24,H$9&lt;14/24)</formula>
    </cfRule>
  </conditionalFormatting>
  <conditionalFormatting sqref="L68:Y68">
    <cfRule type="expression" dxfId="3152" priority="79">
      <formula>AND(L$9&gt;=8/24,L$9&lt;14/24)</formula>
    </cfRule>
    <cfRule type="expression" dxfId="3151" priority="78">
      <formula>AND(L$9&gt;=14/24,L$9&lt;20/24)</formula>
    </cfRule>
    <cfRule type="expression" dxfId="3150" priority="77">
      <formula>L$9&gt;=20/24</formula>
    </cfRule>
    <cfRule type="expression" dxfId="3149" priority="80">
      <formula>L$9&lt;8/24</formula>
    </cfRule>
  </conditionalFormatting>
  <conditionalFormatting sqref="M8 S8 AB8">
    <cfRule type="expression" dxfId="3148" priority="136">
      <formula>AND(N$9&gt;=14/24,N$9&lt;20/24)</formula>
    </cfRule>
    <cfRule type="expression" dxfId="3147" priority="137">
      <formula>AND(N$9&gt;=8/24,N$9&lt;14/24)</formula>
    </cfRule>
    <cfRule type="expression" dxfId="3146" priority="138">
      <formula>N$9&lt;8/24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145" priority="135">
      <formula>N$9&gt;=20/24</formula>
    </cfRule>
  </conditionalFormatting>
  <conditionalFormatting sqref="S8">
    <cfRule type="expression" dxfId="3144" priority="122">
      <formula>U$9&gt;=20/24</formula>
    </cfRule>
    <cfRule type="expression" dxfId="3143" priority="123">
      <formula>AND(U$9&gt;=14/24,U$9&lt;20/24)</formula>
    </cfRule>
    <cfRule type="expression" dxfId="3142" priority="124">
      <formula>AND(U$9&gt;=8/24,U$9&lt;14/24)</formula>
    </cfRule>
    <cfRule type="expression" dxfId="3141" priority="125">
      <formula>U$9&lt;8/24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Z11:AF52">
    <cfRule type="expression" dxfId="3140" priority="58">
      <formula>Z11&gt;$AG11</formula>
    </cfRule>
    <cfRule type="expression" dxfId="3139" priority="59">
      <formula>Z$9&gt;=20/24</formula>
    </cfRule>
    <cfRule type="expression" dxfId="3138" priority="60">
      <formula>AND(Z$9&gt;=14/24,Z$9&lt;20/24)</formula>
    </cfRule>
    <cfRule type="expression" dxfId="3137" priority="61">
      <formula>AND(Z$9&gt;=8/24,Z$9&lt;14/24)</formula>
    </cfRule>
    <cfRule type="expression" dxfId="3136" priority="62">
      <formula>Z$9&lt;8/24</formula>
    </cfRule>
  </conditionalFormatting>
  <conditionalFormatting sqref="Z53:AF54 H53:Y55 B53:G57">
    <cfRule type="expression" dxfId="3135" priority="37">
      <formula>B$9&gt;=20/24</formula>
    </cfRule>
    <cfRule type="expression" dxfId="3134" priority="38">
      <formula>AND(B$9&gt;=14/24,B$9&lt;20/24)</formula>
    </cfRule>
    <cfRule type="expression" dxfId="3133" priority="39">
      <formula>AND(B$9&gt;=8/24,B$9&lt;14/24)</formula>
    </cfRule>
  </conditionalFormatting>
  <conditionalFormatting sqref="Z53:AF55">
    <cfRule type="expression" dxfId="3132" priority="76">
      <formula>Z53&gt;$AG53</formula>
    </cfRule>
  </conditionalFormatting>
  <conditionalFormatting sqref="Z53:AF57">
    <cfRule type="expression" dxfId="3131" priority="75">
      <formula>Z$9&lt;8/24</formula>
    </cfRule>
  </conditionalFormatting>
  <conditionalFormatting sqref="Z55:AF57">
    <cfRule type="expression" dxfId="3130" priority="65">
      <formula>AND(Z$9&gt;=14/24,Z$9&lt;20/24)</formula>
    </cfRule>
    <cfRule type="expression" dxfId="3129" priority="66">
      <formula>AND(Z$9&gt;=8/24,Z$9&lt;14/24)</formula>
    </cfRule>
    <cfRule type="expression" dxfId="3128" priority="64">
      <formula>Z$9&gt;=20/24</formula>
    </cfRule>
  </conditionalFormatting>
  <conditionalFormatting sqref="Z63:AF68">
    <cfRule type="expression" dxfId="3127" priority="73">
      <formula>AND(Z$9&gt;=8/24,Z$9&lt;14/24)</formula>
    </cfRule>
    <cfRule type="expression" dxfId="3126" priority="74">
      <formula>Z$9&lt;8/24</formula>
    </cfRule>
    <cfRule type="expression" dxfId="3125" priority="71">
      <formula>Z$9&gt;=20/24</formula>
    </cfRule>
    <cfRule type="expression" dxfId="3124" priority="72">
      <formula>AND(Z$9&gt;=14/24,Z$9&lt;20/24)</formula>
    </cfRule>
  </conditionalFormatting>
  <conditionalFormatting sqref="AB8">
    <cfRule type="expression" dxfId="3123" priority="120">
      <formula>AND(AD$9&gt;=8/24,AD$9&lt;14/24)</formula>
    </cfRule>
    <cfRule type="expression" dxfId="3122" priority="118">
      <formula>AD$9&gt;=20/24</formula>
    </cfRule>
    <cfRule type="expression" dxfId="3121" priority="119">
      <formula>AND(AD$9&gt;=14/24,AD$9&lt;20/24)</formula>
    </cfRule>
    <cfRule type="expression" dxfId="3120" priority="121">
      <formula>AD$9&lt;8/24</formula>
    </cfRule>
  </conditionalFormatting>
  <conditionalFormatting sqref="AG58">
    <cfRule type="expression" dxfId="3119" priority="113">
      <formula>AG58&gt;$AG58</formula>
    </cfRule>
  </conditionalFormatting>
  <conditionalFormatting sqref="AG62">
    <cfRule type="expression" dxfId="3118" priority="99">
      <formula>AG$9&lt;8/24</formula>
    </cfRule>
    <cfRule type="expression" dxfId="3117" priority="97">
      <formula>AND(AG$9&gt;=14/24,AG$9&lt;20/24)</formula>
    </cfRule>
    <cfRule type="expression" dxfId="3116" priority="96">
      <formula>AG$9&gt;=20/24</formula>
    </cfRule>
    <cfRule type="expression" dxfId="3115" priority="98">
      <formula>AND(AG$9&gt;=8/24,AG$9&lt;14/24)</formula>
    </cfRule>
  </conditionalFormatting>
  <conditionalFormatting sqref="AG75:AG76">
    <cfRule type="expression" dxfId="3114" priority="91">
      <formula>AG75&gt;$AG75</formula>
    </cfRule>
  </conditionalFormatting>
  <conditionalFormatting sqref="AG80">
    <cfRule type="expression" dxfId="3113" priority="95">
      <formula>AG$9&lt;8/24</formula>
    </cfRule>
    <cfRule type="expression" dxfId="3112" priority="92">
      <formula>AG$9&gt;=20/24</formula>
    </cfRule>
    <cfRule type="expression" dxfId="3111" priority="93">
      <formula>AND(AG$9&gt;=14/24,AG$9&lt;20/24)</formula>
    </cfRule>
    <cfRule type="expression" dxfId="3110" priority="94">
      <formula>AND(AG$9&gt;=8/24,AG$9&lt;14/24)</formula>
    </cfRule>
  </conditionalFormatting>
  <conditionalFormatting sqref="AG97">
    <cfRule type="expression" dxfId="3109" priority="117">
      <formula>AG$9&lt;8/24</formula>
    </cfRule>
    <cfRule type="expression" dxfId="3108" priority="115">
      <formula>AND(AG$9&gt;=14/24,AG$9&lt;20/24)</formula>
    </cfRule>
    <cfRule type="expression" dxfId="3107" priority="114">
      <formula>AG$9&gt;=20/24</formula>
    </cfRule>
    <cfRule type="expression" dxfId="3106" priority="116">
      <formula>AND(AG$9&gt;=8/24,AG$9&lt;14/24)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105" priority="139">
      <formula>AJ$9&gt;=20/24</formula>
    </cfRule>
    <cfRule type="expression" dxfId="3104" priority="140">
      <formula>AND(AJ$9&gt;=14/24,AJ$9&lt;20/24)</formula>
    </cfRule>
    <cfRule type="expression" dxfId="3103" priority="141">
      <formula>AND(AJ$9&gt;=8/24,AJ$9&lt;14/24)</formula>
    </cfRule>
    <cfRule type="expression" dxfId="3102" priority="142">
      <formula>AJ$9&lt;8/24</formula>
    </cfRule>
  </conditionalFormatting>
  <conditionalFormatting sqref="AL88:AN88 AL94:AN94">
    <cfRule type="expression" dxfId="3101" priority="107">
      <formula>AND(AL$9&gt;=14/24,AL$9&lt;20/24)</formula>
    </cfRule>
    <cfRule type="expression" dxfId="3100" priority="108">
      <formula>AND(AL$9&gt;=8/24,AL$9&lt;14/24)</formula>
    </cfRule>
    <cfRule type="expression" dxfId="3099" priority="109">
      <formula>AL$9&lt;8/24</formula>
    </cfRule>
    <cfRule type="expression" dxfId="3098" priority="106">
      <formula>AL$9&gt;=20/24</formula>
    </cfRule>
  </conditionalFormatting>
  <conditionalFormatting sqref="AM15:AM21 AN16:AR21">
    <cfRule type="expression" dxfId="3097" priority="16">
      <formula>AX$9&lt;8/24</formula>
    </cfRule>
    <cfRule type="expression" dxfId="3096" priority="15">
      <formula>AND(AX$9&gt;=8/24,AX$9&lt;14/24)</formula>
    </cfRule>
    <cfRule type="expression" dxfId="3095" priority="14">
      <formula>AND(AX$9&gt;=14/24,AX$9&lt;20/24)</formula>
    </cfRule>
    <cfRule type="expression" dxfId="3094" priority="13">
      <formula>AX$9&gt;=20/24</formula>
    </cfRule>
  </conditionalFormatting>
  <conditionalFormatting sqref="AN89:AN92">
    <cfRule type="expression" dxfId="3093" priority="102">
      <formula>AN$9&gt;=20/24</formula>
    </cfRule>
    <cfRule type="expression" dxfId="3092" priority="103">
      <formula>AND(AN$9&gt;=14/24,AN$9&lt;20/24)</formula>
    </cfRule>
    <cfRule type="expression" dxfId="3091" priority="104">
      <formula>AND(AN$9&gt;=8/24,AN$9&lt;14/24)</formula>
    </cfRule>
    <cfRule type="expression" dxfId="3090" priority="105">
      <formula>AN$9&lt;8/24</formula>
    </cfRule>
  </conditionalFormatting>
  <conditionalFormatting sqref="AN15:AR15">
    <cfRule type="expression" dxfId="3089" priority="3">
      <formula>AND(U$9&gt;=8/24,U$9&lt;14/24)</formula>
    </cfRule>
    <cfRule type="expression" dxfId="3088" priority="4">
      <formula>U$9&lt;8/24</formula>
    </cfRule>
    <cfRule type="expression" dxfId="3087" priority="1">
      <formula>U$9&gt;=20/24</formula>
    </cfRule>
    <cfRule type="expression" dxfId="3086" priority="2">
      <formula>AND(U$9&gt;=14/24,U$9&lt;20/24)</formula>
    </cfRule>
  </conditionalFormatting>
  <conditionalFormatting sqref="AS15">
    <cfRule type="expression" dxfId="3085" priority="12">
      <formula>AA$9&lt;8/24</formula>
    </cfRule>
    <cfRule type="expression" dxfId="3084" priority="11">
      <formula>AND(AA$9&gt;=8/24,AA$9&lt;14/24)</formula>
    </cfRule>
    <cfRule type="expression" dxfId="3083" priority="10">
      <formula>AND(AA$9&gt;=14/24,AA$9&lt;20/24)</formula>
    </cfRule>
    <cfRule type="expression" dxfId="3082" priority="9">
      <formula>AA$9&gt;=20/24</formula>
    </cfRule>
  </conditionalFormatting>
  <conditionalFormatting sqref="AS16:AS21">
    <cfRule type="expression" dxfId="3081" priority="20">
      <formula>BE$9&lt;8/24</formula>
    </cfRule>
    <cfRule type="expression" dxfId="3080" priority="18">
      <formula>AND(BE$9&gt;=14/24,BE$9&lt;20/24)</formula>
    </cfRule>
    <cfRule type="expression" dxfId="3079" priority="17">
      <formula>BE$9&gt;=20/24</formula>
    </cfRule>
    <cfRule type="expression" dxfId="3078" priority="19">
      <formula>AND(BE$9&gt;=8/24,BE$9&lt;14/24)</formula>
    </cfRule>
  </conditionalFormatting>
  <conditionalFormatting sqref="AT15 AX15:BJ15">
    <cfRule type="expression" dxfId="3077" priority="23">
      <formula>AND(AC$9&gt;=8/24,AC$9&lt;14/24)</formula>
    </cfRule>
    <cfRule type="expression" dxfId="3076" priority="22">
      <formula>AND(AC$9&gt;=14/24,AC$9&lt;20/24)</formula>
    </cfRule>
    <cfRule type="expression" dxfId="3075" priority="21">
      <formula>AC$9&gt;=20/24</formula>
    </cfRule>
    <cfRule type="expression" dxfId="3074" priority="24">
      <formula>AC$9&lt;8/24</formula>
    </cfRule>
  </conditionalFormatting>
  <conditionalFormatting sqref="AT16:AT21">
    <cfRule type="expression" dxfId="3073" priority="25">
      <formula>BG$9&gt;=20/24</formula>
    </cfRule>
    <cfRule type="expression" dxfId="3072" priority="26">
      <formula>AND(BG$9&gt;=14/24,BG$9&lt;20/24)</formula>
    </cfRule>
    <cfRule type="expression" dxfId="3071" priority="27">
      <formula>AND(BG$9&gt;=8/24,BG$9&lt;14/24)</formula>
    </cfRule>
    <cfRule type="expression" dxfId="3070" priority="28">
      <formula>BG$9&lt;8/24</formula>
    </cfRule>
  </conditionalFormatting>
  <conditionalFormatting sqref="AU15:AV15">
    <cfRule type="expression" dxfId="3069" priority="32">
      <formula>AE$9&lt;8/24</formula>
    </cfRule>
    <cfRule type="expression" dxfId="3068" priority="29">
      <formula>AE$9&gt;=20/24</formula>
    </cfRule>
    <cfRule type="expression" dxfId="3067" priority="30">
      <formula>AND(AE$9&gt;=14/24,AE$9&lt;20/24)</formula>
    </cfRule>
    <cfRule type="expression" dxfId="3066" priority="31">
      <formula>AND(AE$9&gt;=8/24,AE$9&lt;14/24)</formula>
    </cfRule>
  </conditionalFormatting>
  <conditionalFormatting sqref="AU16:BJ21">
    <cfRule type="expression" dxfId="3065" priority="34">
      <formula>AND(BI$9&gt;=14/24,BI$9&lt;20/24)</formula>
    </cfRule>
    <cfRule type="expression" dxfId="3064" priority="35">
      <formula>AND(BI$9&gt;=8/24,BI$9&lt;14/24)</formula>
    </cfRule>
    <cfRule type="expression" dxfId="3063" priority="36">
      <formula>BI$9&lt;8/24</formula>
    </cfRule>
    <cfRule type="expression" dxfId="3062" priority="33">
      <formula>BI$9&gt;=20/24</formula>
    </cfRule>
  </conditionalFormatting>
  <conditionalFormatting sqref="AW15">
    <cfRule type="expression" dxfId="3061" priority="6">
      <formula>AND(B$9&gt;=14/24,B$9&lt;20/24)</formula>
    </cfRule>
    <cfRule type="expression" dxfId="3060" priority="5">
      <formula>B$9&gt;=20/24</formula>
    </cfRule>
    <cfRule type="expression" dxfId="3059" priority="8">
      <formula>B$9&lt;8/24</formula>
    </cfRule>
    <cfRule type="expression" dxfId="3058" priority="7">
      <formula>AND(B$9&gt;=8/24,B$9&lt;14/24)</formula>
    </cfRule>
  </conditionalFormatting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617AB-E8DF-4062-B58D-D7B40EC54BC1}">
  <dimension ref="A1:CJ294"/>
  <sheetViews>
    <sheetView zoomScale="106" workbookViewId="0">
      <pane xSplit="1" ySplit="10" topLeftCell="B76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97" sqref="A97:AF10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20.25" hidden="1" x14ac:dyDescent="0.2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9.5" hidden="1" thickBot="1" x14ac:dyDescent="0.3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3">
      <c r="A4" s="162" t="s">
        <v>273</v>
      </c>
      <c r="B4" s="205" t="str">
        <f ca="1">"2080/"&amp;"10/"&amp;INT(MID(CELL("filename",D6),FIND("]",CELL("filename",D6))+1,200))</f>
        <v>2080/10/10</v>
      </c>
      <c r="C4" s="205"/>
      <c r="D4" s="205"/>
      <c r="E4" s="206" t="str">
        <f ca="1">"2080/"&amp;"10/"&amp;INT(MID(CELL("filename",G6),FIND("]",CELL("filename",G6))+1,200))</f>
        <v>2080/10/10</v>
      </c>
      <c r="F4" s="206"/>
      <c r="G4" s="206"/>
      <c r="H4" s="206" t="str">
        <f ca="1">TEXT(E4,"dddd")</f>
        <v>Thursday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3">
      <c r="A5" s="158"/>
      <c r="B5" s="161">
        <f t="shared" ref="B5:AE5" si="0">C92</f>
        <v>104</v>
      </c>
      <c r="C5" s="161">
        <f t="shared" si="0"/>
        <v>100</v>
      </c>
      <c r="D5" s="161">
        <f t="shared" si="0"/>
        <v>136.5</v>
      </c>
      <c r="E5" s="161">
        <f t="shared" si="0"/>
        <v>112.7</v>
      </c>
      <c r="F5" s="161">
        <f t="shared" si="0"/>
        <v>130.6</v>
      </c>
      <c r="G5" s="161">
        <f t="shared" si="0"/>
        <v>158.30000000000001</v>
      </c>
      <c r="H5" s="161">
        <f t="shared" si="0"/>
        <v>143.4</v>
      </c>
      <c r="I5" s="161">
        <f t="shared" si="0"/>
        <v>584.5</v>
      </c>
      <c r="J5" s="161">
        <f t="shared" si="0"/>
        <v>616</v>
      </c>
      <c r="K5" s="161">
        <f t="shared" si="0"/>
        <v>596</v>
      </c>
      <c r="L5" s="161">
        <f t="shared" si="0"/>
        <v>762.6</v>
      </c>
      <c r="M5" s="161">
        <f t="shared" si="0"/>
        <v>800</v>
      </c>
      <c r="N5" s="161">
        <f t="shared" si="0"/>
        <v>812.8</v>
      </c>
      <c r="O5" s="161">
        <f t="shared" si="0"/>
        <v>810.40000000000009</v>
      </c>
      <c r="P5" s="161">
        <f t="shared" si="0"/>
        <v>837.4</v>
      </c>
      <c r="Q5" s="161">
        <f t="shared" si="0"/>
        <v>775.7</v>
      </c>
      <c r="R5" s="161">
        <f t="shared" si="0"/>
        <v>774</v>
      </c>
      <c r="S5" s="161">
        <f t="shared" si="0"/>
        <v>788.59999999999991</v>
      </c>
      <c r="T5" s="161">
        <f t="shared" si="0"/>
        <v>837.69999999999993</v>
      </c>
      <c r="U5" s="161">
        <f t="shared" si="0"/>
        <v>791.1</v>
      </c>
      <c r="V5" s="161">
        <f t="shared" si="0"/>
        <v>809.19999999999993</v>
      </c>
      <c r="W5" s="161">
        <f t="shared" si="0"/>
        <v>571.6</v>
      </c>
      <c r="X5" s="161">
        <f t="shared" si="0"/>
        <v>300.40000000000003</v>
      </c>
      <c r="Y5" s="161">
        <f t="shared" si="0"/>
        <v>289.5</v>
      </c>
      <c r="Z5" s="161">
        <f t="shared" si="0"/>
        <v>281.5</v>
      </c>
      <c r="AA5" s="161">
        <f t="shared" si="0"/>
        <v>258.60000000000002</v>
      </c>
      <c r="AB5" s="161">
        <f t="shared" si="0"/>
        <v>198</v>
      </c>
      <c r="AC5" s="161">
        <f t="shared" si="0"/>
        <v>195</v>
      </c>
      <c r="AD5" s="161">
        <f t="shared" si="0"/>
        <v>156</v>
      </c>
      <c r="AE5" s="161">
        <f t="shared" si="0"/>
        <v>210</v>
      </c>
      <c r="AF5" s="161">
        <f>B92</f>
        <v>84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3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1718MW at 9:00hr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5" thickBot="1" x14ac:dyDescent="0.3">
      <c r="A7" s="151" t="str">
        <f>"Base Load="&amp;ROUND(MIN($B$7:$AF$7),0)</f>
        <v>Base Load=1464</v>
      </c>
      <c r="B7" s="150">
        <f t="shared" ref="B7:AF7" si="1">B100</f>
        <v>1551.44</v>
      </c>
      <c r="C7" s="150">
        <f t="shared" si="1"/>
        <v>1528.44</v>
      </c>
      <c r="D7" s="150">
        <f t="shared" si="1"/>
        <v>1502.44</v>
      </c>
      <c r="E7" s="150">
        <f t="shared" si="1"/>
        <v>1492.1399999999999</v>
      </c>
      <c r="F7" s="150">
        <f t="shared" si="1"/>
        <v>1464.24</v>
      </c>
      <c r="G7" s="150">
        <f t="shared" si="1"/>
        <v>1483.4199999999998</v>
      </c>
      <c r="H7" s="150">
        <f t="shared" si="1"/>
        <v>1517.04</v>
      </c>
      <c r="I7" s="150">
        <f t="shared" si="1"/>
        <v>1525.5400000000002</v>
      </c>
      <c r="J7" s="150">
        <f t="shared" si="1"/>
        <v>1602.6399999999999</v>
      </c>
      <c r="K7" s="150">
        <f t="shared" si="1"/>
        <v>1608.6399999999999</v>
      </c>
      <c r="L7" s="150">
        <f t="shared" si="1"/>
        <v>1502.31</v>
      </c>
      <c r="M7" s="150">
        <f t="shared" si="1"/>
        <v>1675.7399999999998</v>
      </c>
      <c r="N7" s="150">
        <f t="shared" si="1"/>
        <v>1717.54</v>
      </c>
      <c r="O7" s="150">
        <f t="shared" si="1"/>
        <v>1719.64</v>
      </c>
      <c r="P7" s="150">
        <f t="shared" si="1"/>
        <v>1725.3400000000001</v>
      </c>
      <c r="Q7" s="150">
        <f t="shared" si="1"/>
        <v>1760.04</v>
      </c>
      <c r="R7" s="150">
        <f t="shared" si="1"/>
        <v>1690.44</v>
      </c>
      <c r="S7" s="150">
        <f t="shared" si="1"/>
        <v>1670.14</v>
      </c>
      <c r="T7" s="150">
        <f t="shared" si="1"/>
        <v>1711.3400000000001</v>
      </c>
      <c r="U7" s="150">
        <f t="shared" si="1"/>
        <v>1755.6399999999999</v>
      </c>
      <c r="V7" s="150">
        <f t="shared" si="1"/>
        <v>1723.2400000000002</v>
      </c>
      <c r="W7" s="150">
        <f t="shared" si="1"/>
        <v>1740.8400000000001</v>
      </c>
      <c r="X7" s="150">
        <f t="shared" si="1"/>
        <v>1578.04</v>
      </c>
      <c r="Y7" s="150">
        <f t="shared" si="1"/>
        <v>1855.0400000000002</v>
      </c>
      <c r="Z7" s="150">
        <f t="shared" si="1"/>
        <v>1984.0400000000002</v>
      </c>
      <c r="AA7" s="150">
        <f t="shared" si="1"/>
        <v>1997.9400000000003</v>
      </c>
      <c r="AB7" s="150">
        <f t="shared" si="1"/>
        <v>1922.1400000000003</v>
      </c>
      <c r="AC7" s="150">
        <f t="shared" si="1"/>
        <v>1861.5400000000002</v>
      </c>
      <c r="AD7" s="150">
        <f t="shared" si="1"/>
        <v>1837.94</v>
      </c>
      <c r="AE7" s="150">
        <f t="shared" si="1"/>
        <v>1715.44</v>
      </c>
      <c r="AF7" s="150">
        <f t="shared" si="1"/>
        <v>1669.44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7.25" thickTop="1" thickBot="1" x14ac:dyDescent="0.3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1984.04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2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1984.04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.75" thickBot="1" x14ac:dyDescent="0.3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25">
      <c r="A11" s="89" t="s">
        <v>264</v>
      </c>
      <c r="B11" s="102">
        <v>23.6</v>
      </c>
      <c r="C11" s="102">
        <v>23.6</v>
      </c>
      <c r="D11" s="102">
        <v>23.6</v>
      </c>
      <c r="E11" s="102">
        <v>22</v>
      </c>
      <c r="F11" s="102">
        <v>22</v>
      </c>
      <c r="G11" s="102">
        <v>21</v>
      </c>
      <c r="H11" s="102">
        <v>21</v>
      </c>
      <c r="I11" s="102">
        <v>21</v>
      </c>
      <c r="J11" s="102">
        <v>21.3</v>
      </c>
      <c r="K11" s="102">
        <v>21.3</v>
      </c>
      <c r="L11" s="102">
        <v>20.7</v>
      </c>
      <c r="M11" s="102">
        <v>21.9</v>
      </c>
      <c r="N11" s="102">
        <v>21.9</v>
      </c>
      <c r="O11" s="102">
        <v>22.7</v>
      </c>
      <c r="P11" s="102">
        <v>22.3</v>
      </c>
      <c r="Q11" s="102">
        <v>22.2</v>
      </c>
      <c r="R11" s="102">
        <v>22.2</v>
      </c>
      <c r="S11" s="102">
        <v>22.2</v>
      </c>
      <c r="T11" s="102">
        <v>22.2</v>
      </c>
      <c r="U11" s="102">
        <v>22.2</v>
      </c>
      <c r="V11" s="102">
        <v>22.2</v>
      </c>
      <c r="W11" s="102">
        <v>22.2</v>
      </c>
      <c r="X11" s="102">
        <v>22.2</v>
      </c>
      <c r="Y11" s="102">
        <v>22.2</v>
      </c>
      <c r="Z11" s="102">
        <v>22.2</v>
      </c>
      <c r="AA11" s="102">
        <v>22.2</v>
      </c>
      <c r="AB11" s="102">
        <v>22.2</v>
      </c>
      <c r="AC11" s="102">
        <v>22.2</v>
      </c>
      <c r="AD11" s="102">
        <v>22.2</v>
      </c>
      <c r="AE11" s="102">
        <v>22.2</v>
      </c>
      <c r="AF11" s="102">
        <v>22.2</v>
      </c>
      <c r="AG11" s="140">
        <v>86</v>
      </c>
      <c r="AH11" s="12">
        <f t="shared" ref="AH11:AH16" si="2">MAX(B11:AF11)</f>
        <v>23.6</v>
      </c>
      <c r="AI11" s="11">
        <f t="shared" ref="AI11:AI16" si="3">MIN(B11:AF11)</f>
        <v>20.7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25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>
        <v>11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>
        <v>11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10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25">
      <c r="A13" s="89" t="s">
        <v>262</v>
      </c>
      <c r="B13" s="102">
        <v>14.2</v>
      </c>
      <c r="C13" s="102">
        <v>14.2</v>
      </c>
      <c r="D13" s="102">
        <v>14.2</v>
      </c>
      <c r="E13" s="102">
        <v>18</v>
      </c>
      <c r="F13" s="102">
        <v>18</v>
      </c>
      <c r="G13" s="102">
        <v>17</v>
      </c>
      <c r="H13" s="102">
        <v>17</v>
      </c>
      <c r="I13" s="102">
        <v>14.2</v>
      </c>
      <c r="J13" s="102">
        <v>14.2</v>
      </c>
      <c r="K13" s="102">
        <v>14.2</v>
      </c>
      <c r="L13" s="102">
        <v>14.2</v>
      </c>
      <c r="M13" s="102">
        <v>17.2</v>
      </c>
      <c r="N13" s="102">
        <v>17.2</v>
      </c>
      <c r="O13" s="102">
        <v>17.2</v>
      </c>
      <c r="P13" s="102">
        <v>17.2</v>
      </c>
      <c r="Q13" s="102">
        <v>17.2</v>
      </c>
      <c r="R13" s="102">
        <v>17.2</v>
      </c>
      <c r="S13" s="102">
        <v>17.2</v>
      </c>
      <c r="T13" s="102">
        <v>17.2</v>
      </c>
      <c r="U13" s="102">
        <v>17.2</v>
      </c>
      <c r="V13" s="102">
        <v>17.2</v>
      </c>
      <c r="W13" s="102">
        <v>17.2</v>
      </c>
      <c r="X13" s="102">
        <v>17.2</v>
      </c>
      <c r="Y13" s="102">
        <v>17.2</v>
      </c>
      <c r="Z13" s="102">
        <v>17.2</v>
      </c>
      <c r="AA13" s="102">
        <v>17.2</v>
      </c>
      <c r="AB13" s="102">
        <v>23.3</v>
      </c>
      <c r="AC13" s="102">
        <v>23.3</v>
      </c>
      <c r="AD13" s="102">
        <v>23.3</v>
      </c>
      <c r="AE13" s="102">
        <v>23.3</v>
      </c>
      <c r="AF13" s="102">
        <v>23.3</v>
      </c>
      <c r="AG13" s="130">
        <v>54</v>
      </c>
      <c r="AH13" s="12">
        <f t="shared" si="2"/>
        <v>23.3</v>
      </c>
      <c r="AI13" s="11">
        <f t="shared" si="3"/>
        <v>14.2</v>
      </c>
      <c r="AK13" s="19"/>
      <c r="AL13" s="6" t="str">
        <f ca="1">"Daily Load Curve(Excluding of Export) of Nepal ("&amp;A4&amp;" "&amp;B4&amp;")"</f>
        <v>Daily Load Curve(Excluding of Export) of Nepal (Nepali Date: 2080/10/10)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.75" thickBot="1" x14ac:dyDescent="0.3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.75" thickTop="1" x14ac:dyDescent="0.25">
      <c r="A15" s="89" t="s">
        <v>260</v>
      </c>
      <c r="B15" s="102">
        <v>44</v>
      </c>
      <c r="C15" s="102">
        <v>44</v>
      </c>
      <c r="D15" s="102">
        <v>44</v>
      </c>
      <c r="E15" s="102">
        <v>50</v>
      </c>
      <c r="F15" s="102">
        <v>50</v>
      </c>
      <c r="G15" s="102">
        <v>50</v>
      </c>
      <c r="H15" s="102">
        <v>50</v>
      </c>
      <c r="I15" s="102">
        <v>50</v>
      </c>
      <c r="J15" s="102">
        <v>50</v>
      </c>
      <c r="K15" s="102">
        <v>50</v>
      </c>
      <c r="L15" s="102">
        <v>50</v>
      </c>
      <c r="M15" s="102">
        <v>50</v>
      </c>
      <c r="N15" s="102">
        <v>50</v>
      </c>
      <c r="O15" s="102">
        <v>50</v>
      </c>
      <c r="P15" s="102">
        <v>50</v>
      </c>
      <c r="Q15" s="102">
        <v>50</v>
      </c>
      <c r="R15" s="102">
        <v>50</v>
      </c>
      <c r="S15" s="102">
        <v>50</v>
      </c>
      <c r="T15" s="102">
        <v>50</v>
      </c>
      <c r="U15" s="102">
        <v>50</v>
      </c>
      <c r="V15" s="102">
        <v>50</v>
      </c>
      <c r="W15" s="102">
        <v>50</v>
      </c>
      <c r="X15" s="102">
        <v>50</v>
      </c>
      <c r="Y15" s="102">
        <v>50</v>
      </c>
      <c r="Z15" s="123">
        <v>50</v>
      </c>
      <c r="AA15" s="123">
        <v>50</v>
      </c>
      <c r="AB15" s="123">
        <v>45.8</v>
      </c>
      <c r="AC15" s="123">
        <v>45.8</v>
      </c>
      <c r="AD15" s="123">
        <v>45.8</v>
      </c>
      <c r="AE15" s="123">
        <v>45.8</v>
      </c>
      <c r="AF15" s="123">
        <v>45.8</v>
      </c>
      <c r="AG15" s="130">
        <v>50</v>
      </c>
      <c r="AH15" s="12">
        <f t="shared" si="2"/>
        <v>50</v>
      </c>
      <c r="AI15" s="11">
        <f t="shared" si="3"/>
        <v>44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25">
      <c r="A16" s="89" t="s">
        <v>258</v>
      </c>
      <c r="B16" s="102">
        <v>15.1</v>
      </c>
      <c r="C16" s="102">
        <v>15.1</v>
      </c>
      <c r="D16" s="102">
        <v>15.1</v>
      </c>
      <c r="E16" s="102">
        <v>15.1</v>
      </c>
      <c r="F16" s="102">
        <v>15.1</v>
      </c>
      <c r="G16" s="102">
        <v>15.2</v>
      </c>
      <c r="H16" s="102">
        <v>15.2</v>
      </c>
      <c r="I16" s="102">
        <v>15.2</v>
      </c>
      <c r="J16" s="102">
        <v>15.2</v>
      </c>
      <c r="K16" s="102">
        <v>15.2</v>
      </c>
      <c r="L16" s="102">
        <v>15.2</v>
      </c>
      <c r="M16" s="102">
        <v>15.2</v>
      </c>
      <c r="N16" s="102">
        <v>15.2</v>
      </c>
      <c r="O16" s="102">
        <v>15.2</v>
      </c>
      <c r="P16" s="102">
        <v>15.2</v>
      </c>
      <c r="Q16" s="102">
        <v>15.2</v>
      </c>
      <c r="R16" s="102">
        <v>15.2</v>
      </c>
      <c r="S16" s="102">
        <v>15.2</v>
      </c>
      <c r="T16" s="102">
        <v>15.2</v>
      </c>
      <c r="U16" s="102">
        <v>15.2</v>
      </c>
      <c r="V16" s="102">
        <v>15.2</v>
      </c>
      <c r="W16" s="102">
        <v>15.2</v>
      </c>
      <c r="X16" s="102">
        <v>15.2</v>
      </c>
      <c r="Y16" s="102">
        <v>15.2</v>
      </c>
      <c r="Z16" s="102">
        <v>15.2</v>
      </c>
      <c r="AA16" s="102">
        <v>15.2</v>
      </c>
      <c r="AB16" s="102">
        <v>15.6</v>
      </c>
      <c r="AC16" s="102">
        <v>15.6</v>
      </c>
      <c r="AD16" s="102">
        <v>15.6</v>
      </c>
      <c r="AE16" s="102">
        <v>15.6</v>
      </c>
      <c r="AF16" s="102">
        <v>15.6</v>
      </c>
      <c r="AG16" s="130">
        <v>45</v>
      </c>
      <c r="AH16" s="12">
        <f t="shared" si="2"/>
        <v>15.6</v>
      </c>
      <c r="AI16" s="11">
        <f t="shared" si="3"/>
        <v>15.1</v>
      </c>
      <c r="AK16" s="19"/>
      <c r="AL16" s="135" t="s">
        <v>7</v>
      </c>
      <c r="AM16" s="134">
        <f t="shared" ref="AM16:AR16" si="4">B58</f>
        <v>563.79999999999995</v>
      </c>
      <c r="AN16" s="134">
        <f t="shared" si="4"/>
        <v>563.79999999999995</v>
      </c>
      <c r="AO16" s="134">
        <f t="shared" si="4"/>
        <v>563.79999999999995</v>
      </c>
      <c r="AP16" s="134">
        <f t="shared" si="4"/>
        <v>560.19999999999993</v>
      </c>
      <c r="AQ16" s="134">
        <f t="shared" si="4"/>
        <v>560.19999999999993</v>
      </c>
      <c r="AR16" s="134">
        <f t="shared" si="4"/>
        <v>555.09999999999991</v>
      </c>
      <c r="AS16" s="134">
        <f>I58</f>
        <v>551.19999999999993</v>
      </c>
      <c r="AT16" s="134">
        <f>K58</f>
        <v>551.49999999999989</v>
      </c>
      <c r="AU16" s="134">
        <f t="shared" ref="AU16:BD16" si="5">M58</f>
        <v>555.59999999999991</v>
      </c>
      <c r="AV16" s="134">
        <f t="shared" si="5"/>
        <v>555.59999999999991</v>
      </c>
      <c r="AW16" s="134">
        <f t="shared" si="5"/>
        <v>556.40000000000009</v>
      </c>
      <c r="AX16" s="134">
        <f t="shared" si="5"/>
        <v>556</v>
      </c>
      <c r="AY16" s="134">
        <f t="shared" si="5"/>
        <v>555.90000000000009</v>
      </c>
      <c r="AZ16" s="134">
        <f t="shared" si="5"/>
        <v>555.90000000000009</v>
      </c>
      <c r="BA16" s="134">
        <f t="shared" si="5"/>
        <v>555.90000000000009</v>
      </c>
      <c r="BB16" s="134">
        <f t="shared" si="5"/>
        <v>555.90000000000009</v>
      </c>
      <c r="BC16" s="134">
        <f t="shared" si="5"/>
        <v>555.90000000000009</v>
      </c>
      <c r="BD16" s="134">
        <f t="shared" si="5"/>
        <v>555.90000000000009</v>
      </c>
      <c r="BE16" s="133">
        <f>X58</f>
        <v>555.90000000000009</v>
      </c>
      <c r="BF16" s="133">
        <f>Z58</f>
        <v>555.90000000000009</v>
      </c>
      <c r="BG16" s="133">
        <f>AB58</f>
        <v>554.20000000000005</v>
      </c>
      <c r="BH16" s="133">
        <f>AD58</f>
        <v>554.20000000000005</v>
      </c>
      <c r="BI16" s="133">
        <f>AE58</f>
        <v>554.20000000000005</v>
      </c>
      <c r="BJ16" s="133">
        <f>AF58</f>
        <v>554.20000000000005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25">
      <c r="A17" s="89" t="s">
        <v>257</v>
      </c>
      <c r="B17" s="102">
        <v>21</v>
      </c>
      <c r="C17" s="102">
        <v>21</v>
      </c>
      <c r="D17" s="102">
        <v>21</v>
      </c>
      <c r="E17" s="102">
        <v>21</v>
      </c>
      <c r="F17" s="102">
        <v>21</v>
      </c>
      <c r="G17" s="102">
        <v>21</v>
      </c>
      <c r="H17" s="102">
        <v>21</v>
      </c>
      <c r="I17" s="102">
        <v>21</v>
      </c>
      <c r="J17" s="102">
        <v>21</v>
      </c>
      <c r="K17" s="102">
        <v>21</v>
      </c>
      <c r="L17" s="102">
        <v>21</v>
      </c>
      <c r="M17" s="102">
        <v>21</v>
      </c>
      <c r="N17" s="102">
        <v>21</v>
      </c>
      <c r="O17" s="102">
        <v>21</v>
      </c>
      <c r="P17" s="102">
        <v>21</v>
      </c>
      <c r="Q17" s="102">
        <v>21</v>
      </c>
      <c r="R17" s="102">
        <v>21</v>
      </c>
      <c r="S17" s="102">
        <v>21</v>
      </c>
      <c r="T17" s="102">
        <v>21</v>
      </c>
      <c r="U17" s="102">
        <v>21</v>
      </c>
      <c r="V17" s="102">
        <v>21</v>
      </c>
      <c r="W17" s="102">
        <v>21</v>
      </c>
      <c r="X17" s="102">
        <v>21</v>
      </c>
      <c r="Y17" s="102">
        <v>21</v>
      </c>
      <c r="Z17" s="102">
        <v>21</v>
      </c>
      <c r="AA17" s="102">
        <v>21</v>
      </c>
      <c r="AB17" s="102">
        <v>21</v>
      </c>
      <c r="AC17" s="102">
        <v>21</v>
      </c>
      <c r="AD17" s="102">
        <v>21</v>
      </c>
      <c r="AE17" s="102">
        <v>21</v>
      </c>
      <c r="AF17" s="102">
        <v>21</v>
      </c>
      <c r="AG17" s="130">
        <v>44</v>
      </c>
      <c r="AH17" s="12">
        <f>MAX(B17:AG17)</f>
        <v>44</v>
      </c>
      <c r="AI17" s="11">
        <f>MIN(B17:AG17)</f>
        <v>21</v>
      </c>
      <c r="AK17" s="19"/>
      <c r="AL17" s="135" t="s">
        <v>256</v>
      </c>
      <c r="AM17" s="134">
        <f t="shared" ref="AM17:AR17" si="6">B62</f>
        <v>193.5</v>
      </c>
      <c r="AN17" s="134">
        <f t="shared" si="6"/>
        <v>173.5</v>
      </c>
      <c r="AO17" s="134">
        <f t="shared" si="6"/>
        <v>163.5</v>
      </c>
      <c r="AP17" s="134">
        <f t="shared" si="6"/>
        <v>142.70000000000002</v>
      </c>
      <c r="AQ17" s="134">
        <f t="shared" si="6"/>
        <v>142.20000000000002</v>
      </c>
      <c r="AR17" s="134">
        <f t="shared" si="6"/>
        <v>142.80000000000001</v>
      </c>
      <c r="AS17" s="134">
        <f>I62</f>
        <v>192.8</v>
      </c>
      <c r="AT17" s="134">
        <f>K62</f>
        <v>42.7</v>
      </c>
      <c r="AU17" s="134">
        <f t="shared" ref="AU17:BD17" si="7">M62</f>
        <v>42.3</v>
      </c>
      <c r="AV17" s="134">
        <f t="shared" si="7"/>
        <v>42.2</v>
      </c>
      <c r="AW17" s="134">
        <f t="shared" si="7"/>
        <v>43</v>
      </c>
      <c r="AX17" s="134">
        <f t="shared" si="7"/>
        <v>43</v>
      </c>
      <c r="AY17" s="134">
        <f t="shared" si="7"/>
        <v>43</v>
      </c>
      <c r="AZ17" s="134">
        <f t="shared" si="7"/>
        <v>33</v>
      </c>
      <c r="BA17" s="134">
        <f t="shared" si="7"/>
        <v>41.900000000000006</v>
      </c>
      <c r="BB17" s="134">
        <f t="shared" si="7"/>
        <v>41.900000000000006</v>
      </c>
      <c r="BC17" s="134">
        <f t="shared" si="7"/>
        <v>41.900000000000006</v>
      </c>
      <c r="BD17" s="134">
        <f t="shared" si="7"/>
        <v>41.900000000000006</v>
      </c>
      <c r="BE17" s="133">
        <f>X62</f>
        <v>57</v>
      </c>
      <c r="BF17" s="133">
        <f>Z62</f>
        <v>461.40000000000003</v>
      </c>
      <c r="BG17" s="133">
        <f>AB62</f>
        <v>391.1</v>
      </c>
      <c r="BH17" s="133">
        <f>AD62</f>
        <v>370.5</v>
      </c>
      <c r="BI17" s="133">
        <f>AE62</f>
        <v>339.5</v>
      </c>
      <c r="BJ17" s="133">
        <f>AF62</f>
        <v>239.5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25">
      <c r="A18" s="89" t="s">
        <v>255</v>
      </c>
      <c r="B18" s="102">
        <v>13.8</v>
      </c>
      <c r="C18" s="102">
        <v>13.8</v>
      </c>
      <c r="D18" s="102">
        <v>13.8</v>
      </c>
      <c r="E18" s="102">
        <v>12</v>
      </c>
      <c r="F18" s="102">
        <v>12</v>
      </c>
      <c r="G18" s="102">
        <v>11</v>
      </c>
      <c r="H18" s="102">
        <v>11</v>
      </c>
      <c r="I18" s="102">
        <v>11</v>
      </c>
      <c r="J18" s="102">
        <v>11</v>
      </c>
      <c r="K18" s="102">
        <v>11</v>
      </c>
      <c r="L18" s="102">
        <v>11</v>
      </c>
      <c r="M18" s="102">
        <v>11</v>
      </c>
      <c r="N18" s="102">
        <v>11</v>
      </c>
      <c r="O18" s="102">
        <v>11</v>
      </c>
      <c r="P18" s="102">
        <v>11</v>
      </c>
      <c r="Q18" s="102">
        <v>11</v>
      </c>
      <c r="R18" s="102">
        <v>11</v>
      </c>
      <c r="S18" s="102">
        <v>11</v>
      </c>
      <c r="T18" s="102">
        <v>11</v>
      </c>
      <c r="U18" s="102">
        <v>11</v>
      </c>
      <c r="V18" s="102">
        <v>11</v>
      </c>
      <c r="W18" s="102">
        <v>11</v>
      </c>
      <c r="X18" s="102">
        <v>11</v>
      </c>
      <c r="Y18" s="102">
        <v>11</v>
      </c>
      <c r="Z18" s="102">
        <v>11</v>
      </c>
      <c r="AA18" s="102">
        <v>11</v>
      </c>
      <c r="AB18" s="102">
        <v>11</v>
      </c>
      <c r="AC18" s="102">
        <v>11</v>
      </c>
      <c r="AD18" s="102">
        <v>11</v>
      </c>
      <c r="AE18" s="102">
        <v>11</v>
      </c>
      <c r="AF18" s="102">
        <v>11</v>
      </c>
      <c r="AG18" s="130">
        <v>42</v>
      </c>
      <c r="AH18" s="12">
        <f t="shared" ref="AH18:AH81" si="8">MAX(B18:AF18)</f>
        <v>13.8</v>
      </c>
      <c r="AI18" s="11">
        <f t="shared" ref="AI18:AI81" si="9">MIN(B18:AF18)</f>
        <v>11</v>
      </c>
      <c r="AK18" s="19"/>
      <c r="AL18" s="135" t="s">
        <v>254</v>
      </c>
      <c r="AM18" s="134">
        <f t="shared" ref="AM18:AR18" si="10">B76</f>
        <v>363.34000000000003</v>
      </c>
      <c r="AN18" s="134">
        <f t="shared" si="10"/>
        <v>340.34000000000003</v>
      </c>
      <c r="AO18" s="134">
        <f t="shared" si="10"/>
        <v>328.34000000000003</v>
      </c>
      <c r="AP18" s="134">
        <f t="shared" si="10"/>
        <v>306.04000000000002</v>
      </c>
      <c r="AQ18" s="134">
        <f t="shared" si="10"/>
        <v>302.44000000000005</v>
      </c>
      <c r="AR18" s="134">
        <f t="shared" si="10"/>
        <v>308.32000000000005</v>
      </c>
      <c r="AS18" s="134">
        <f>I76</f>
        <v>341.44</v>
      </c>
      <c r="AT18" s="134">
        <f>K76</f>
        <v>322.04000000000002</v>
      </c>
      <c r="AU18" s="134">
        <f t="shared" ref="AU18:BD18" si="11">M76</f>
        <v>253.34000000000003</v>
      </c>
      <c r="AV18" s="134">
        <f t="shared" si="11"/>
        <v>258.04000000000002</v>
      </c>
      <c r="AW18" s="134">
        <f t="shared" si="11"/>
        <v>245.24</v>
      </c>
      <c r="AX18" s="134">
        <f t="shared" si="11"/>
        <v>253.73999999999998</v>
      </c>
      <c r="AY18" s="134">
        <f t="shared" si="11"/>
        <v>261.44</v>
      </c>
      <c r="AZ18" s="134">
        <f t="shared" si="11"/>
        <v>263.54000000000002</v>
      </c>
      <c r="BA18" s="134">
        <f t="shared" si="11"/>
        <v>219.94000000000003</v>
      </c>
      <c r="BB18" s="134">
        <f t="shared" si="11"/>
        <v>207.44000000000003</v>
      </c>
      <c r="BC18" s="134">
        <f t="shared" si="11"/>
        <v>202.64000000000001</v>
      </c>
      <c r="BD18" s="134">
        <f t="shared" si="11"/>
        <v>216.84</v>
      </c>
      <c r="BE18" s="133">
        <f>X76</f>
        <v>303.14000000000004</v>
      </c>
      <c r="BF18" s="133">
        <f>Z76</f>
        <v>378.04</v>
      </c>
      <c r="BG18" s="133">
        <f>AB76</f>
        <v>370.94</v>
      </c>
      <c r="BH18" s="133">
        <f>AD76</f>
        <v>370.94</v>
      </c>
      <c r="BI18" s="133">
        <f>AE76</f>
        <v>318.44</v>
      </c>
      <c r="BJ18" s="133">
        <f>AF76</f>
        <v>318.44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25">
      <c r="A19" s="89" t="s">
        <v>253</v>
      </c>
      <c r="B19" s="102">
        <v>23.1</v>
      </c>
      <c r="C19" s="102">
        <v>23.1</v>
      </c>
      <c r="D19" s="102">
        <v>23.1</v>
      </c>
      <c r="E19" s="102">
        <v>27.5</v>
      </c>
      <c r="F19" s="102">
        <v>27.5</v>
      </c>
      <c r="G19" s="102">
        <v>25.9</v>
      </c>
      <c r="H19" s="102">
        <v>25.9</v>
      </c>
      <c r="I19" s="102">
        <v>25.9</v>
      </c>
      <c r="J19" s="102">
        <v>25.9</v>
      </c>
      <c r="K19" s="102">
        <v>25.9</v>
      </c>
      <c r="L19" s="102">
        <v>25.9</v>
      </c>
      <c r="M19" s="102">
        <v>22.5</v>
      </c>
      <c r="N19" s="102">
        <v>22.5</v>
      </c>
      <c r="O19" s="102">
        <v>22.5</v>
      </c>
      <c r="P19" s="102">
        <v>22.5</v>
      </c>
      <c r="Q19" s="102">
        <v>22.5</v>
      </c>
      <c r="R19" s="102">
        <v>22.5</v>
      </c>
      <c r="S19" s="102">
        <v>22.5</v>
      </c>
      <c r="T19" s="102">
        <v>22.5</v>
      </c>
      <c r="U19" s="102">
        <v>22.5</v>
      </c>
      <c r="V19" s="102">
        <v>22.5</v>
      </c>
      <c r="W19" s="102">
        <v>22.5</v>
      </c>
      <c r="X19" s="102">
        <v>22.5</v>
      </c>
      <c r="Y19" s="102">
        <v>22.5</v>
      </c>
      <c r="Z19" s="102">
        <v>22.5</v>
      </c>
      <c r="AA19" s="102">
        <v>22.5</v>
      </c>
      <c r="AB19" s="102">
        <v>18.5</v>
      </c>
      <c r="AC19" s="102">
        <v>18.5</v>
      </c>
      <c r="AD19" s="102">
        <v>18.5</v>
      </c>
      <c r="AE19" s="102">
        <v>18.5</v>
      </c>
      <c r="AF19" s="102">
        <v>18.5</v>
      </c>
      <c r="AG19" s="130">
        <v>38.46</v>
      </c>
      <c r="AH19" s="12">
        <f t="shared" si="8"/>
        <v>27.5</v>
      </c>
      <c r="AI19" s="11">
        <f t="shared" si="9"/>
        <v>18.5</v>
      </c>
      <c r="AK19" s="19"/>
      <c r="AL19" s="135" t="s">
        <v>252</v>
      </c>
      <c r="AM19" s="134">
        <f t="shared" ref="AM19:AR19" si="12">B92</f>
        <v>84</v>
      </c>
      <c r="AN19" s="134">
        <f t="shared" si="12"/>
        <v>104</v>
      </c>
      <c r="AO19" s="134">
        <f t="shared" si="12"/>
        <v>100</v>
      </c>
      <c r="AP19" s="134">
        <f t="shared" si="12"/>
        <v>136.5</v>
      </c>
      <c r="AQ19" s="134">
        <f t="shared" si="12"/>
        <v>112.7</v>
      </c>
      <c r="AR19" s="134">
        <f t="shared" si="12"/>
        <v>130.6</v>
      </c>
      <c r="AS19" s="134">
        <f>I92</f>
        <v>143.4</v>
      </c>
      <c r="AT19" s="134">
        <f>K92</f>
        <v>616</v>
      </c>
      <c r="AU19" s="134">
        <f t="shared" ref="AU19:BD19" si="13">M92</f>
        <v>762.6</v>
      </c>
      <c r="AV19" s="134">
        <f t="shared" si="13"/>
        <v>800</v>
      </c>
      <c r="AW19" s="134">
        <f t="shared" si="13"/>
        <v>812.8</v>
      </c>
      <c r="AX19" s="134">
        <f t="shared" si="13"/>
        <v>810.40000000000009</v>
      </c>
      <c r="AY19" s="134">
        <f t="shared" si="13"/>
        <v>837.4</v>
      </c>
      <c r="AZ19" s="134">
        <f t="shared" si="13"/>
        <v>775.7</v>
      </c>
      <c r="BA19" s="134">
        <f t="shared" si="13"/>
        <v>774</v>
      </c>
      <c r="BB19" s="134">
        <f t="shared" si="13"/>
        <v>788.59999999999991</v>
      </c>
      <c r="BC19" s="134">
        <f t="shared" si="13"/>
        <v>837.69999999999993</v>
      </c>
      <c r="BD19" s="134">
        <f t="shared" si="13"/>
        <v>791.1</v>
      </c>
      <c r="BE19" s="133">
        <f>X92</f>
        <v>571.6</v>
      </c>
      <c r="BF19" s="133">
        <f>Z92</f>
        <v>289.5</v>
      </c>
      <c r="BG19" s="133">
        <f>AB92</f>
        <v>258.60000000000002</v>
      </c>
      <c r="BH19" s="133">
        <f>AD92</f>
        <v>195</v>
      </c>
      <c r="BI19" s="133">
        <f>AE92</f>
        <v>156</v>
      </c>
      <c r="BJ19" s="133">
        <f>AF92</f>
        <v>210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25">
      <c r="A20" s="89" t="s">
        <v>251</v>
      </c>
      <c r="B20" s="102">
        <v>27</v>
      </c>
      <c r="C20" s="102">
        <v>27</v>
      </c>
      <c r="D20" s="102">
        <v>27</v>
      </c>
      <c r="E20" s="102">
        <v>18</v>
      </c>
      <c r="F20" s="102">
        <v>18</v>
      </c>
      <c r="G20" s="102">
        <v>18</v>
      </c>
      <c r="H20" s="102">
        <v>18</v>
      </c>
      <c r="I20" s="102">
        <v>18</v>
      </c>
      <c r="J20" s="102">
        <v>18</v>
      </c>
      <c r="K20" s="102">
        <v>18</v>
      </c>
      <c r="L20" s="102">
        <v>18</v>
      </c>
      <c r="M20" s="102">
        <v>18</v>
      </c>
      <c r="N20" s="102">
        <v>18</v>
      </c>
      <c r="O20" s="102">
        <v>18</v>
      </c>
      <c r="P20" s="102">
        <v>18</v>
      </c>
      <c r="Q20" s="102">
        <v>18</v>
      </c>
      <c r="R20" s="102">
        <v>18</v>
      </c>
      <c r="S20" s="102">
        <v>18</v>
      </c>
      <c r="T20" s="102">
        <v>18</v>
      </c>
      <c r="U20" s="102">
        <v>18</v>
      </c>
      <c r="V20" s="102">
        <v>18</v>
      </c>
      <c r="W20" s="102">
        <v>18</v>
      </c>
      <c r="X20" s="102">
        <v>18</v>
      </c>
      <c r="Y20" s="102">
        <v>18</v>
      </c>
      <c r="Z20" s="102">
        <v>18</v>
      </c>
      <c r="AA20" s="102">
        <v>18</v>
      </c>
      <c r="AB20" s="102">
        <v>18</v>
      </c>
      <c r="AC20" s="102">
        <v>18</v>
      </c>
      <c r="AD20" s="102">
        <v>18</v>
      </c>
      <c r="AE20" s="102">
        <v>18</v>
      </c>
      <c r="AF20" s="102">
        <v>18</v>
      </c>
      <c r="AG20" s="130">
        <v>38.46</v>
      </c>
      <c r="AH20" s="12">
        <f t="shared" si="8"/>
        <v>27</v>
      </c>
      <c r="AI20" s="11">
        <f t="shared" si="9"/>
        <v>18</v>
      </c>
      <c r="AK20" s="19"/>
      <c r="AL20" s="135" t="s">
        <v>250</v>
      </c>
      <c r="AM20" s="134">
        <f t="shared" ref="AM20:AR20" si="14">B80</f>
        <v>96.8</v>
      </c>
      <c r="AN20" s="134">
        <f t="shared" si="14"/>
        <v>96.8</v>
      </c>
      <c r="AO20" s="134">
        <f t="shared" si="14"/>
        <v>96.8</v>
      </c>
      <c r="AP20" s="134">
        <f t="shared" si="14"/>
        <v>96.699999999999989</v>
      </c>
      <c r="AQ20" s="134">
        <f t="shared" si="14"/>
        <v>96.699999999999989</v>
      </c>
      <c r="AR20" s="134">
        <f t="shared" si="14"/>
        <v>96.6</v>
      </c>
      <c r="AS20" s="134">
        <f>I80</f>
        <v>96.699999999999989</v>
      </c>
      <c r="AT20" s="134">
        <f>K80</f>
        <v>76.400000000000006</v>
      </c>
      <c r="AU20" s="134">
        <f t="shared" ref="AU20:BD20" si="15">M80</f>
        <v>61.9</v>
      </c>
      <c r="AV20" s="134">
        <f t="shared" si="15"/>
        <v>61.699999999999996</v>
      </c>
      <c r="AW20" s="134">
        <f t="shared" si="15"/>
        <v>62.199999999999996</v>
      </c>
      <c r="AX20" s="134">
        <f t="shared" si="15"/>
        <v>62.199999999999996</v>
      </c>
      <c r="AY20" s="134">
        <f t="shared" si="15"/>
        <v>62.3</v>
      </c>
      <c r="AZ20" s="134">
        <f t="shared" si="15"/>
        <v>62.3</v>
      </c>
      <c r="BA20" s="134">
        <f t="shared" si="15"/>
        <v>58.4</v>
      </c>
      <c r="BB20" s="134">
        <f t="shared" si="15"/>
        <v>97.5</v>
      </c>
      <c r="BC20" s="134">
        <f t="shared" si="15"/>
        <v>97.5</v>
      </c>
      <c r="BD20" s="134">
        <f t="shared" si="15"/>
        <v>97.5</v>
      </c>
      <c r="BE20" s="133">
        <f>X80</f>
        <v>68.400000000000006</v>
      </c>
      <c r="BF20" s="133">
        <f>Z80</f>
        <v>99.2</v>
      </c>
      <c r="BG20" s="133">
        <f>AB80</f>
        <v>97.3</v>
      </c>
      <c r="BH20" s="133">
        <f>AD80</f>
        <v>97.3</v>
      </c>
      <c r="BI20" s="133">
        <f>AE80</f>
        <v>97.3</v>
      </c>
      <c r="BJ20" s="133">
        <f>AF80</f>
        <v>97.3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25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>
        <v>11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>
        <v>11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11</v>
      </c>
      <c r="AG21" s="130">
        <v>36</v>
      </c>
      <c r="AH21" s="12">
        <f t="shared" si="8"/>
        <v>11</v>
      </c>
      <c r="AI21" s="11">
        <f t="shared" si="9"/>
        <v>11</v>
      </c>
      <c r="AK21" s="19"/>
      <c r="AL21" s="135" t="s">
        <v>248</v>
      </c>
      <c r="AM21" s="134">
        <f t="shared" ref="AM21:AR21" si="16">B98</f>
        <v>250</v>
      </c>
      <c r="AN21" s="134">
        <f t="shared" si="16"/>
        <v>250</v>
      </c>
      <c r="AO21" s="134">
        <f t="shared" si="16"/>
        <v>250</v>
      </c>
      <c r="AP21" s="134">
        <f t="shared" si="16"/>
        <v>250</v>
      </c>
      <c r="AQ21" s="134">
        <f t="shared" si="16"/>
        <v>250</v>
      </c>
      <c r="AR21" s="134">
        <f t="shared" si="16"/>
        <v>250</v>
      </c>
      <c r="AS21" s="134">
        <f>I98</f>
        <v>200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20</v>
      </c>
      <c r="BB21" s="134">
        <f t="shared" si="17"/>
        <v>20</v>
      </c>
      <c r="BC21" s="134">
        <f t="shared" si="17"/>
        <v>20</v>
      </c>
      <c r="BD21" s="134">
        <f t="shared" si="17"/>
        <v>20</v>
      </c>
      <c r="BE21" s="133">
        <f>X98</f>
        <v>22</v>
      </c>
      <c r="BF21" s="133">
        <f>Z98</f>
        <v>200</v>
      </c>
      <c r="BG21" s="133">
        <f>AB98</f>
        <v>250</v>
      </c>
      <c r="BH21" s="133">
        <f>AD98</f>
        <v>250</v>
      </c>
      <c r="BI21" s="133">
        <f>AE98</f>
        <v>250</v>
      </c>
      <c r="BJ21" s="133">
        <f>AF98</f>
        <v>250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25">
      <c r="A22" s="89" t="s">
        <v>247</v>
      </c>
      <c r="B22" s="102">
        <v>12</v>
      </c>
      <c r="C22" s="102">
        <v>12</v>
      </c>
      <c r="D22" s="102">
        <v>12</v>
      </c>
      <c r="E22" s="102">
        <v>11.5</v>
      </c>
      <c r="F22" s="102">
        <v>11.5</v>
      </c>
      <c r="G22" s="102">
        <v>11.1</v>
      </c>
      <c r="H22" s="102">
        <v>11.1</v>
      </c>
      <c r="I22" s="102">
        <v>10</v>
      </c>
      <c r="J22" s="102">
        <v>10</v>
      </c>
      <c r="K22" s="102">
        <v>10</v>
      </c>
      <c r="L22" s="102">
        <v>10</v>
      </c>
      <c r="M22" s="102">
        <v>9.1</v>
      </c>
      <c r="N22" s="102">
        <v>9.1</v>
      </c>
      <c r="O22" s="102">
        <v>9.1</v>
      </c>
      <c r="P22" s="102">
        <v>9.1</v>
      </c>
      <c r="Q22" s="102">
        <v>9.1</v>
      </c>
      <c r="R22" s="102">
        <v>9.1</v>
      </c>
      <c r="S22" s="102">
        <v>9.1</v>
      </c>
      <c r="T22" s="102">
        <v>9.1</v>
      </c>
      <c r="U22" s="102">
        <v>9.1</v>
      </c>
      <c r="V22" s="102">
        <v>9.1</v>
      </c>
      <c r="W22" s="102">
        <v>9.1</v>
      </c>
      <c r="X22" s="102">
        <v>9.1</v>
      </c>
      <c r="Y22" s="102">
        <v>9.1</v>
      </c>
      <c r="Z22" s="102">
        <v>9.1</v>
      </c>
      <c r="AA22" s="102">
        <v>9.1</v>
      </c>
      <c r="AB22" s="102">
        <v>9.1</v>
      </c>
      <c r="AC22" s="102">
        <v>9.1</v>
      </c>
      <c r="AD22" s="102">
        <v>9.1</v>
      </c>
      <c r="AE22" s="102">
        <v>9.1</v>
      </c>
      <c r="AF22" s="102">
        <v>9.1</v>
      </c>
      <c r="AG22" s="88">
        <v>30</v>
      </c>
      <c r="AH22" s="12">
        <f t="shared" si="8"/>
        <v>12</v>
      </c>
      <c r="AI22" s="11">
        <f t="shared" si="9"/>
        <v>9.1</v>
      </c>
      <c r="AK22" s="19"/>
      <c r="AL22" s="132" t="s">
        <v>246</v>
      </c>
      <c r="AM22" s="131">
        <f t="shared" ref="AM22:BJ22" si="18">SUM(AM16:AM21)</f>
        <v>1551.4399999999998</v>
      </c>
      <c r="AN22" s="131">
        <f t="shared" si="18"/>
        <v>1528.4399999999998</v>
      </c>
      <c r="AO22" s="131">
        <f t="shared" si="18"/>
        <v>1502.4399999999998</v>
      </c>
      <c r="AP22" s="131">
        <f t="shared" si="18"/>
        <v>1492.14</v>
      </c>
      <c r="AQ22" s="131">
        <f t="shared" si="18"/>
        <v>1464.24</v>
      </c>
      <c r="AR22" s="131">
        <f t="shared" si="18"/>
        <v>1483.4199999999998</v>
      </c>
      <c r="AS22" s="131">
        <f t="shared" si="18"/>
        <v>1525.5400000000002</v>
      </c>
      <c r="AT22" s="131">
        <f t="shared" si="18"/>
        <v>1608.64</v>
      </c>
      <c r="AU22" s="131">
        <f t="shared" si="18"/>
        <v>1675.74</v>
      </c>
      <c r="AV22" s="131">
        <f t="shared" si="18"/>
        <v>1717.54</v>
      </c>
      <c r="AW22" s="131">
        <f t="shared" si="18"/>
        <v>1719.64</v>
      </c>
      <c r="AX22" s="131">
        <f t="shared" si="18"/>
        <v>1725.3400000000001</v>
      </c>
      <c r="AY22" s="131">
        <f t="shared" si="18"/>
        <v>1760.0400000000002</v>
      </c>
      <c r="AZ22" s="131">
        <f t="shared" si="18"/>
        <v>1690.44</v>
      </c>
      <c r="BA22" s="131">
        <f t="shared" si="18"/>
        <v>1670.1400000000003</v>
      </c>
      <c r="BB22" s="131">
        <f t="shared" si="18"/>
        <v>1711.3400000000001</v>
      </c>
      <c r="BC22" s="131">
        <f t="shared" si="18"/>
        <v>1755.6399999999999</v>
      </c>
      <c r="BD22" s="131">
        <f t="shared" si="18"/>
        <v>1723.2400000000002</v>
      </c>
      <c r="BE22" s="131">
        <f t="shared" si="18"/>
        <v>1578.0400000000004</v>
      </c>
      <c r="BF22" s="131">
        <f t="shared" si="18"/>
        <v>1984.0400000000002</v>
      </c>
      <c r="BG22" s="131">
        <f t="shared" si="18"/>
        <v>1922.14</v>
      </c>
      <c r="BH22" s="131">
        <f t="shared" si="18"/>
        <v>1837.94</v>
      </c>
      <c r="BI22" s="131">
        <f t="shared" si="18"/>
        <v>1715.44</v>
      </c>
      <c r="BJ22" s="131">
        <f t="shared" si="18"/>
        <v>1669.44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25">
      <c r="A23" s="89" t="s">
        <v>245</v>
      </c>
      <c r="B23" s="102">
        <v>9</v>
      </c>
      <c r="C23" s="102">
        <v>9</v>
      </c>
      <c r="D23" s="102">
        <v>9</v>
      </c>
      <c r="E23" s="102">
        <v>9</v>
      </c>
      <c r="F23" s="102">
        <v>9</v>
      </c>
      <c r="G23" s="102">
        <v>9</v>
      </c>
      <c r="H23" s="102">
        <v>9</v>
      </c>
      <c r="I23" s="102">
        <v>9</v>
      </c>
      <c r="J23" s="102">
        <v>9</v>
      </c>
      <c r="K23" s="102">
        <v>9</v>
      </c>
      <c r="L23" s="102">
        <v>9</v>
      </c>
      <c r="M23" s="102">
        <v>9</v>
      </c>
      <c r="N23" s="102">
        <v>9</v>
      </c>
      <c r="O23" s="102">
        <v>9</v>
      </c>
      <c r="P23" s="102">
        <v>9</v>
      </c>
      <c r="Q23" s="102">
        <v>9</v>
      </c>
      <c r="R23" s="102">
        <v>9</v>
      </c>
      <c r="S23" s="102">
        <v>9</v>
      </c>
      <c r="T23" s="102">
        <v>9</v>
      </c>
      <c r="U23" s="102">
        <v>9</v>
      </c>
      <c r="V23" s="102">
        <v>9</v>
      </c>
      <c r="W23" s="102">
        <v>9</v>
      </c>
      <c r="X23" s="102">
        <v>9</v>
      </c>
      <c r="Y23" s="102">
        <v>9</v>
      </c>
      <c r="Z23" s="102">
        <v>9</v>
      </c>
      <c r="AA23" s="102">
        <v>9</v>
      </c>
      <c r="AB23" s="102">
        <v>9</v>
      </c>
      <c r="AC23" s="102">
        <v>9</v>
      </c>
      <c r="AD23" s="102">
        <v>9</v>
      </c>
      <c r="AE23" s="102">
        <v>9</v>
      </c>
      <c r="AF23" s="102">
        <v>9</v>
      </c>
      <c r="AG23" s="130">
        <v>24.2</v>
      </c>
      <c r="AH23" s="12">
        <f t="shared" si="8"/>
        <v>9</v>
      </c>
      <c r="AI23" s="11">
        <f t="shared" si="9"/>
        <v>9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25">
      <c r="A24" s="89" t="s">
        <v>244</v>
      </c>
      <c r="B24" s="102">
        <v>8.3000000000000007</v>
      </c>
      <c r="C24" s="102">
        <v>8.3000000000000007</v>
      </c>
      <c r="D24" s="102">
        <v>8.3000000000000007</v>
      </c>
      <c r="E24" s="102">
        <v>6.6</v>
      </c>
      <c r="F24" s="102">
        <v>6.6</v>
      </c>
      <c r="G24" s="102">
        <v>6.6</v>
      </c>
      <c r="H24" s="102">
        <v>6.6</v>
      </c>
      <c r="I24" s="102">
        <v>6.6</v>
      </c>
      <c r="J24" s="102">
        <v>6.6</v>
      </c>
      <c r="K24" s="102">
        <v>6.6</v>
      </c>
      <c r="L24" s="102">
        <v>6.6</v>
      </c>
      <c r="M24" s="102">
        <v>8.3000000000000007</v>
      </c>
      <c r="N24" s="102">
        <v>8.3000000000000007</v>
      </c>
      <c r="O24" s="102">
        <v>8.3000000000000007</v>
      </c>
      <c r="P24" s="102">
        <v>8.3000000000000007</v>
      </c>
      <c r="Q24" s="102">
        <v>8.3000000000000007</v>
      </c>
      <c r="R24" s="102">
        <v>8.3000000000000007</v>
      </c>
      <c r="S24" s="102">
        <v>8.3000000000000007</v>
      </c>
      <c r="T24" s="102">
        <v>8.3000000000000007</v>
      </c>
      <c r="U24" s="102">
        <v>8.3000000000000007</v>
      </c>
      <c r="V24" s="102">
        <v>8.3000000000000007</v>
      </c>
      <c r="W24" s="102">
        <v>8.3000000000000007</v>
      </c>
      <c r="X24" s="102">
        <v>8.3000000000000007</v>
      </c>
      <c r="Y24" s="102">
        <v>8.3000000000000007</v>
      </c>
      <c r="Z24" s="102">
        <v>8.3000000000000007</v>
      </c>
      <c r="AA24" s="102">
        <v>8.3000000000000007</v>
      </c>
      <c r="AB24" s="102">
        <v>8.3000000000000007</v>
      </c>
      <c r="AC24" s="102">
        <v>8.3000000000000007</v>
      </c>
      <c r="AD24" s="102">
        <v>8.3000000000000007</v>
      </c>
      <c r="AE24" s="102">
        <v>8.3000000000000007</v>
      </c>
      <c r="AF24" s="102">
        <v>8.3000000000000007</v>
      </c>
      <c r="AG24" s="130">
        <v>28</v>
      </c>
      <c r="AH24" s="12">
        <f t="shared" si="8"/>
        <v>8.3000000000000007</v>
      </c>
      <c r="AI24" s="11">
        <f t="shared" si="9"/>
        <v>6.6</v>
      </c>
      <c r="AK24" s="19"/>
      <c r="AL24" s="132" t="s">
        <v>243</v>
      </c>
      <c r="AM24" s="131">
        <f t="shared" ref="AM24:BJ24" si="21">AM22+AM23</f>
        <v>1551.4399999999998</v>
      </c>
      <c r="AN24" s="131">
        <f t="shared" si="21"/>
        <v>1528.4399999999998</v>
      </c>
      <c r="AO24" s="131">
        <f t="shared" si="21"/>
        <v>1502.4399999999998</v>
      </c>
      <c r="AP24" s="131">
        <f t="shared" si="21"/>
        <v>1492.14</v>
      </c>
      <c r="AQ24" s="131">
        <f t="shared" si="21"/>
        <v>1464.24</v>
      </c>
      <c r="AR24" s="131">
        <f t="shared" si="21"/>
        <v>1483.4199999999998</v>
      </c>
      <c r="AS24" s="131">
        <f t="shared" si="21"/>
        <v>1525.5400000000002</v>
      </c>
      <c r="AT24" s="131">
        <f t="shared" si="21"/>
        <v>1608.64</v>
      </c>
      <c r="AU24" s="131">
        <f t="shared" si="21"/>
        <v>1675.74</v>
      </c>
      <c r="AV24" s="131">
        <f t="shared" si="21"/>
        <v>1717.54</v>
      </c>
      <c r="AW24" s="131">
        <f t="shared" si="21"/>
        <v>1719.64</v>
      </c>
      <c r="AX24" s="131">
        <f t="shared" si="21"/>
        <v>1725.3400000000001</v>
      </c>
      <c r="AY24" s="131">
        <f t="shared" si="21"/>
        <v>1760.0400000000002</v>
      </c>
      <c r="AZ24" s="131">
        <f t="shared" si="21"/>
        <v>1690.44</v>
      </c>
      <c r="BA24" s="131">
        <f t="shared" si="21"/>
        <v>1670.1400000000003</v>
      </c>
      <c r="BB24" s="131">
        <f t="shared" si="21"/>
        <v>1711.3400000000001</v>
      </c>
      <c r="BC24" s="131">
        <f t="shared" si="21"/>
        <v>1755.6399999999999</v>
      </c>
      <c r="BD24" s="131">
        <f t="shared" si="21"/>
        <v>1723.2400000000002</v>
      </c>
      <c r="BE24" s="131">
        <f t="shared" si="21"/>
        <v>1578.0400000000004</v>
      </c>
      <c r="BF24" s="131">
        <f t="shared" si="21"/>
        <v>1984.0400000000002</v>
      </c>
      <c r="BG24" s="131">
        <f t="shared" si="21"/>
        <v>1922.14</v>
      </c>
      <c r="BH24" s="131">
        <f t="shared" si="21"/>
        <v>1837.94</v>
      </c>
      <c r="BI24" s="131">
        <f t="shared" si="21"/>
        <v>1715.44</v>
      </c>
      <c r="BJ24" s="131">
        <f t="shared" si="21"/>
        <v>1669.44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25">
      <c r="A25" s="89" t="s">
        <v>242</v>
      </c>
      <c r="B25" s="102">
        <v>9</v>
      </c>
      <c r="C25" s="102">
        <v>9</v>
      </c>
      <c r="D25" s="102">
        <v>9</v>
      </c>
      <c r="E25" s="102">
        <v>9</v>
      </c>
      <c r="F25" s="102">
        <v>9</v>
      </c>
      <c r="G25" s="102">
        <v>7.8</v>
      </c>
      <c r="H25" s="102">
        <v>7.8</v>
      </c>
      <c r="I25" s="102">
        <v>7.8</v>
      </c>
      <c r="J25" s="102">
        <v>7.8</v>
      </c>
      <c r="K25" s="102">
        <v>7.8</v>
      </c>
      <c r="L25" s="102">
        <v>7.8</v>
      </c>
      <c r="M25" s="102">
        <v>7</v>
      </c>
      <c r="N25" s="102">
        <v>7</v>
      </c>
      <c r="O25" s="102">
        <v>7</v>
      </c>
      <c r="P25" s="102">
        <v>7</v>
      </c>
      <c r="Q25" s="102">
        <v>7</v>
      </c>
      <c r="R25" s="102">
        <v>7</v>
      </c>
      <c r="S25" s="102">
        <v>7</v>
      </c>
      <c r="T25" s="102">
        <v>7</v>
      </c>
      <c r="U25" s="102">
        <v>7</v>
      </c>
      <c r="V25" s="102">
        <v>7</v>
      </c>
      <c r="W25" s="102">
        <v>7</v>
      </c>
      <c r="X25" s="102">
        <v>7</v>
      </c>
      <c r="Y25" s="102">
        <v>7</v>
      </c>
      <c r="Z25" s="102">
        <v>7</v>
      </c>
      <c r="AA25" s="102">
        <v>7</v>
      </c>
      <c r="AB25" s="102">
        <v>7</v>
      </c>
      <c r="AC25" s="102">
        <v>7</v>
      </c>
      <c r="AD25" s="102">
        <v>7</v>
      </c>
      <c r="AE25" s="102">
        <v>7</v>
      </c>
      <c r="AF25" s="102">
        <v>7</v>
      </c>
      <c r="AG25" s="88">
        <v>30</v>
      </c>
      <c r="AH25" s="12">
        <f t="shared" si="8"/>
        <v>9</v>
      </c>
      <c r="AI25" s="11">
        <f t="shared" si="9"/>
        <v>7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25">
      <c r="A26" s="89" t="s">
        <v>241</v>
      </c>
      <c r="B26" s="102">
        <v>13.1</v>
      </c>
      <c r="C26" s="102">
        <v>13.1</v>
      </c>
      <c r="D26" s="102">
        <v>13.1</v>
      </c>
      <c r="E26" s="102">
        <v>10.199999999999999</v>
      </c>
      <c r="F26" s="102">
        <v>10.199999999999999</v>
      </c>
      <c r="G26" s="102">
        <v>11.4</v>
      </c>
      <c r="H26" s="102">
        <v>11.4</v>
      </c>
      <c r="I26" s="102">
        <v>11.4</v>
      </c>
      <c r="J26" s="102">
        <v>11.4</v>
      </c>
      <c r="K26" s="102">
        <v>11.4</v>
      </c>
      <c r="L26" s="102">
        <v>11.4</v>
      </c>
      <c r="M26" s="102">
        <v>11.8</v>
      </c>
      <c r="N26" s="102">
        <v>11.8</v>
      </c>
      <c r="O26" s="102">
        <v>11.8</v>
      </c>
      <c r="P26" s="102">
        <v>11.8</v>
      </c>
      <c r="Q26" s="102">
        <v>11.8</v>
      </c>
      <c r="R26" s="102">
        <v>11.8</v>
      </c>
      <c r="S26" s="102">
        <v>11.8</v>
      </c>
      <c r="T26" s="102">
        <v>11.8</v>
      </c>
      <c r="U26" s="102">
        <v>11.8</v>
      </c>
      <c r="V26" s="102">
        <v>11.8</v>
      </c>
      <c r="W26" s="102">
        <v>11.8</v>
      </c>
      <c r="X26" s="102">
        <v>11.8</v>
      </c>
      <c r="Y26" s="102">
        <v>11.8</v>
      </c>
      <c r="Z26" s="102">
        <v>11.8</v>
      </c>
      <c r="AA26" s="102">
        <v>11.8</v>
      </c>
      <c r="AB26" s="102">
        <v>11.8</v>
      </c>
      <c r="AC26" s="102">
        <v>11.8</v>
      </c>
      <c r="AD26" s="102">
        <v>11.8</v>
      </c>
      <c r="AE26" s="102">
        <v>11.8</v>
      </c>
      <c r="AF26" s="102">
        <v>11.8</v>
      </c>
      <c r="AG26" s="130">
        <v>25</v>
      </c>
      <c r="AH26" s="12">
        <f t="shared" si="8"/>
        <v>13.1</v>
      </c>
      <c r="AI26" s="11">
        <f t="shared" si="9"/>
        <v>10.199999999999999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25">
      <c r="A27" s="89" t="s">
        <v>240</v>
      </c>
      <c r="B27" s="102">
        <v>15.2</v>
      </c>
      <c r="C27" s="102">
        <v>15.2</v>
      </c>
      <c r="D27" s="102">
        <v>15.2</v>
      </c>
      <c r="E27" s="102">
        <v>15</v>
      </c>
      <c r="F27" s="102">
        <v>15</v>
      </c>
      <c r="G27" s="102">
        <v>15</v>
      </c>
      <c r="H27" s="102">
        <v>15</v>
      </c>
      <c r="I27" s="102">
        <v>15</v>
      </c>
      <c r="J27" s="102">
        <v>15</v>
      </c>
      <c r="K27" s="102">
        <v>15</v>
      </c>
      <c r="L27" s="102">
        <v>15</v>
      </c>
      <c r="M27" s="102">
        <v>15</v>
      </c>
      <c r="N27" s="102">
        <v>15</v>
      </c>
      <c r="O27" s="102">
        <v>15</v>
      </c>
      <c r="P27" s="102">
        <v>15</v>
      </c>
      <c r="Q27" s="102">
        <v>15</v>
      </c>
      <c r="R27" s="102">
        <v>15</v>
      </c>
      <c r="S27" s="102">
        <v>15</v>
      </c>
      <c r="T27" s="102">
        <v>15</v>
      </c>
      <c r="U27" s="102">
        <v>15</v>
      </c>
      <c r="V27" s="102">
        <v>15</v>
      </c>
      <c r="W27" s="102">
        <v>15</v>
      </c>
      <c r="X27" s="102">
        <v>15</v>
      </c>
      <c r="Y27" s="102">
        <v>15</v>
      </c>
      <c r="Z27" s="102">
        <v>15</v>
      </c>
      <c r="AA27" s="102">
        <v>15</v>
      </c>
      <c r="AB27" s="102">
        <v>15</v>
      </c>
      <c r="AC27" s="102">
        <v>15</v>
      </c>
      <c r="AD27" s="102">
        <v>15</v>
      </c>
      <c r="AE27" s="102">
        <v>15</v>
      </c>
      <c r="AF27" s="102">
        <v>15</v>
      </c>
      <c r="AG27" s="130">
        <v>25</v>
      </c>
      <c r="AH27" s="12">
        <f t="shared" si="8"/>
        <v>15.2</v>
      </c>
      <c r="AI27" s="11">
        <f t="shared" si="9"/>
        <v>15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25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25">
      <c r="A29" s="89" t="s">
        <v>238</v>
      </c>
      <c r="B29" s="102">
        <v>10.7</v>
      </c>
      <c r="C29" s="102">
        <v>10.7</v>
      </c>
      <c r="D29" s="102">
        <v>10.7</v>
      </c>
      <c r="E29" s="102">
        <v>10.6</v>
      </c>
      <c r="F29" s="102">
        <v>10.6</v>
      </c>
      <c r="G29" s="102">
        <v>10.4</v>
      </c>
      <c r="H29" s="102">
        <v>10.4</v>
      </c>
      <c r="I29" s="102">
        <v>10.4</v>
      </c>
      <c r="J29" s="102">
        <v>10.4</v>
      </c>
      <c r="K29" s="102">
        <v>10.4</v>
      </c>
      <c r="L29" s="102">
        <v>10.4</v>
      </c>
      <c r="M29" s="102">
        <v>10.3</v>
      </c>
      <c r="N29" s="102">
        <v>10.3</v>
      </c>
      <c r="O29" s="102">
        <v>10.3</v>
      </c>
      <c r="P29" s="102">
        <v>10.3</v>
      </c>
      <c r="Q29" s="102">
        <v>10.3</v>
      </c>
      <c r="R29" s="102">
        <v>10.3</v>
      </c>
      <c r="S29" s="102">
        <v>10.3</v>
      </c>
      <c r="T29" s="102">
        <v>10.3</v>
      </c>
      <c r="U29" s="102">
        <v>10.3</v>
      </c>
      <c r="V29" s="102">
        <v>10.3</v>
      </c>
      <c r="W29" s="102">
        <v>10.3</v>
      </c>
      <c r="X29" s="102">
        <v>10.3</v>
      </c>
      <c r="Y29" s="102">
        <v>10.3</v>
      </c>
      <c r="Z29" s="102">
        <v>10.3</v>
      </c>
      <c r="AA29" s="102">
        <v>10.3</v>
      </c>
      <c r="AB29" s="102">
        <v>10.3</v>
      </c>
      <c r="AC29" s="102">
        <v>10.3</v>
      </c>
      <c r="AD29" s="102">
        <v>10.3</v>
      </c>
      <c r="AE29" s="102">
        <v>10.3</v>
      </c>
      <c r="AF29" s="102">
        <v>10.3</v>
      </c>
      <c r="AG29" s="130">
        <v>25</v>
      </c>
      <c r="AH29" s="12">
        <f t="shared" si="8"/>
        <v>10.7</v>
      </c>
      <c r="AI29" s="11">
        <f t="shared" si="9"/>
        <v>10.3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25">
      <c r="A30" s="89" t="s">
        <v>237</v>
      </c>
      <c r="B30" s="102">
        <v>5.2</v>
      </c>
      <c r="C30" s="102">
        <v>5.2</v>
      </c>
      <c r="D30" s="102">
        <v>5.2</v>
      </c>
      <c r="E30" s="102">
        <v>5.2</v>
      </c>
      <c r="F30" s="102">
        <v>5.2</v>
      </c>
      <c r="G30" s="102">
        <v>5.2</v>
      </c>
      <c r="H30" s="102">
        <v>5.2</v>
      </c>
      <c r="I30" s="102">
        <v>5.2</v>
      </c>
      <c r="J30" s="102">
        <v>5.2</v>
      </c>
      <c r="K30" s="102">
        <v>5.2</v>
      </c>
      <c r="L30" s="102">
        <v>5.2</v>
      </c>
      <c r="M30" s="102">
        <v>5.3</v>
      </c>
      <c r="N30" s="102">
        <v>5.3</v>
      </c>
      <c r="O30" s="102">
        <v>5.3</v>
      </c>
      <c r="P30" s="102">
        <v>5.3</v>
      </c>
      <c r="Q30" s="102">
        <v>5.3</v>
      </c>
      <c r="R30" s="102">
        <v>5.3</v>
      </c>
      <c r="S30" s="102">
        <v>5.3</v>
      </c>
      <c r="T30" s="102">
        <v>5.3</v>
      </c>
      <c r="U30" s="102">
        <v>5.3</v>
      </c>
      <c r="V30" s="102">
        <v>5.3</v>
      </c>
      <c r="W30" s="102">
        <v>5.3</v>
      </c>
      <c r="X30" s="102">
        <v>5.3</v>
      </c>
      <c r="Y30" s="102">
        <v>5.3</v>
      </c>
      <c r="Z30" s="102">
        <v>5.3</v>
      </c>
      <c r="AA30" s="102">
        <v>5.3</v>
      </c>
      <c r="AB30" s="102">
        <v>5.3</v>
      </c>
      <c r="AC30" s="102">
        <v>5.3</v>
      </c>
      <c r="AD30" s="102">
        <v>5.3</v>
      </c>
      <c r="AE30" s="102">
        <v>5.3</v>
      </c>
      <c r="AF30" s="102">
        <v>5.3</v>
      </c>
      <c r="AG30" s="130">
        <v>23.5</v>
      </c>
      <c r="AH30" s="12">
        <f t="shared" si="8"/>
        <v>5.3</v>
      </c>
      <c r="AI30" s="11">
        <f t="shared" si="9"/>
        <v>5.2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25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25">
      <c r="A32" s="89" t="s">
        <v>235</v>
      </c>
      <c r="B32" s="102">
        <v>5.5</v>
      </c>
      <c r="C32" s="102">
        <v>5.5</v>
      </c>
      <c r="D32" s="102">
        <v>5.5</v>
      </c>
      <c r="E32" s="102">
        <v>5.5</v>
      </c>
      <c r="F32" s="102">
        <v>5.5</v>
      </c>
      <c r="G32" s="102">
        <v>5.5</v>
      </c>
      <c r="H32" s="102">
        <v>5.5</v>
      </c>
      <c r="I32" s="102">
        <v>5.5</v>
      </c>
      <c r="J32" s="102">
        <v>5.5</v>
      </c>
      <c r="K32" s="102">
        <v>5.5</v>
      </c>
      <c r="L32" s="102">
        <v>5.5</v>
      </c>
      <c r="M32" s="102">
        <v>5.5</v>
      </c>
      <c r="N32" s="102">
        <v>5.5</v>
      </c>
      <c r="O32" s="102">
        <v>5.5</v>
      </c>
      <c r="P32" s="102">
        <v>5.5</v>
      </c>
      <c r="Q32" s="102">
        <v>5.5</v>
      </c>
      <c r="R32" s="102">
        <v>5.5</v>
      </c>
      <c r="S32" s="102">
        <v>5.5</v>
      </c>
      <c r="T32" s="102">
        <v>5.5</v>
      </c>
      <c r="U32" s="102">
        <v>5.5</v>
      </c>
      <c r="V32" s="102">
        <v>5.5</v>
      </c>
      <c r="W32" s="102">
        <v>5.5</v>
      </c>
      <c r="X32" s="102">
        <v>5.5</v>
      </c>
      <c r="Y32" s="102">
        <v>5.5</v>
      </c>
      <c r="Z32" s="102">
        <v>5.5</v>
      </c>
      <c r="AA32" s="102">
        <v>5.5</v>
      </c>
      <c r="AB32" s="102">
        <v>5.5</v>
      </c>
      <c r="AC32" s="102">
        <v>5.5</v>
      </c>
      <c r="AD32" s="102">
        <v>5.5</v>
      </c>
      <c r="AE32" s="102">
        <v>5.5</v>
      </c>
      <c r="AF32" s="102">
        <v>5.5</v>
      </c>
      <c r="AG32" s="130">
        <v>22.1</v>
      </c>
      <c r="AH32" s="12">
        <f t="shared" si="8"/>
        <v>5.5</v>
      </c>
      <c r="AI32" s="11">
        <f t="shared" si="9"/>
        <v>5.5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25">
      <c r="A33" s="89" t="s">
        <v>234</v>
      </c>
      <c r="B33" s="102">
        <v>8</v>
      </c>
      <c r="C33" s="102">
        <v>8</v>
      </c>
      <c r="D33" s="102">
        <v>8</v>
      </c>
      <c r="E33" s="102">
        <v>8</v>
      </c>
      <c r="F33" s="102">
        <v>8</v>
      </c>
      <c r="G33" s="102">
        <v>8</v>
      </c>
      <c r="H33" s="102">
        <v>8</v>
      </c>
      <c r="I33" s="102">
        <v>8</v>
      </c>
      <c r="J33" s="102">
        <v>8</v>
      </c>
      <c r="K33" s="102">
        <v>8</v>
      </c>
      <c r="L33" s="102">
        <v>8</v>
      </c>
      <c r="M33" s="102">
        <v>8</v>
      </c>
      <c r="N33" s="102">
        <v>8</v>
      </c>
      <c r="O33" s="102">
        <v>8</v>
      </c>
      <c r="P33" s="102">
        <v>8</v>
      </c>
      <c r="Q33" s="102">
        <v>8</v>
      </c>
      <c r="R33" s="102">
        <v>8</v>
      </c>
      <c r="S33" s="102">
        <v>8</v>
      </c>
      <c r="T33" s="102">
        <v>8</v>
      </c>
      <c r="U33" s="102">
        <v>8</v>
      </c>
      <c r="V33" s="102">
        <v>8</v>
      </c>
      <c r="W33" s="102">
        <v>8</v>
      </c>
      <c r="X33" s="102">
        <v>8</v>
      </c>
      <c r="Y33" s="102">
        <v>8</v>
      </c>
      <c r="Z33" s="102">
        <v>8</v>
      </c>
      <c r="AA33" s="102">
        <v>8</v>
      </c>
      <c r="AB33" s="102">
        <v>8</v>
      </c>
      <c r="AC33" s="102">
        <v>8</v>
      </c>
      <c r="AD33" s="102">
        <v>8</v>
      </c>
      <c r="AE33" s="102">
        <v>8</v>
      </c>
      <c r="AF33" s="102">
        <v>8</v>
      </c>
      <c r="AG33" s="130">
        <v>22</v>
      </c>
      <c r="AH33" s="12">
        <f t="shared" si="8"/>
        <v>8</v>
      </c>
      <c r="AI33" s="11">
        <f t="shared" si="9"/>
        <v>8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25">
      <c r="A34" s="89" t="s">
        <v>233</v>
      </c>
      <c r="B34" s="102">
        <v>10</v>
      </c>
      <c r="C34" s="102">
        <v>10</v>
      </c>
      <c r="D34" s="102">
        <v>10</v>
      </c>
      <c r="E34" s="102">
        <v>10</v>
      </c>
      <c r="F34" s="102">
        <v>10</v>
      </c>
      <c r="G34" s="102">
        <v>10</v>
      </c>
      <c r="H34" s="102">
        <v>10</v>
      </c>
      <c r="I34" s="102">
        <v>10</v>
      </c>
      <c r="J34" s="102">
        <v>10</v>
      </c>
      <c r="K34" s="102">
        <v>10</v>
      </c>
      <c r="L34" s="102">
        <v>10</v>
      </c>
      <c r="M34" s="102">
        <v>7.1</v>
      </c>
      <c r="N34" s="102">
        <v>7.1</v>
      </c>
      <c r="O34" s="102">
        <v>7.1</v>
      </c>
      <c r="P34" s="102">
        <v>7.1</v>
      </c>
      <c r="Q34" s="102">
        <v>7.1</v>
      </c>
      <c r="R34" s="102">
        <v>7.1</v>
      </c>
      <c r="S34" s="102">
        <v>7.1</v>
      </c>
      <c r="T34" s="102">
        <v>7.1</v>
      </c>
      <c r="U34" s="102">
        <v>7.1</v>
      </c>
      <c r="V34" s="102">
        <v>7.1</v>
      </c>
      <c r="W34" s="102">
        <v>7.1</v>
      </c>
      <c r="X34" s="102">
        <v>7.1</v>
      </c>
      <c r="Y34" s="102">
        <v>7.1</v>
      </c>
      <c r="Z34" s="102">
        <v>7.1</v>
      </c>
      <c r="AA34" s="102">
        <v>7.1</v>
      </c>
      <c r="AB34" s="102">
        <v>7.1</v>
      </c>
      <c r="AC34" s="102">
        <v>7.1</v>
      </c>
      <c r="AD34" s="102">
        <v>7.1</v>
      </c>
      <c r="AE34" s="102">
        <v>7.1</v>
      </c>
      <c r="AF34" s="102">
        <v>7.1</v>
      </c>
      <c r="AG34" s="130">
        <v>22</v>
      </c>
      <c r="AH34" s="12">
        <f t="shared" si="8"/>
        <v>10</v>
      </c>
      <c r="AI34" s="11">
        <f t="shared" si="9"/>
        <v>7.1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25">
      <c r="A35" s="89" t="s">
        <v>232</v>
      </c>
      <c r="B35" s="102">
        <v>9.4</v>
      </c>
      <c r="C35" s="102">
        <v>9.4</v>
      </c>
      <c r="D35" s="102">
        <v>9.4</v>
      </c>
      <c r="E35" s="102">
        <v>9.4</v>
      </c>
      <c r="F35" s="102">
        <v>9.4</v>
      </c>
      <c r="G35" s="102">
        <v>9.4</v>
      </c>
      <c r="H35" s="102">
        <v>9.4</v>
      </c>
      <c r="I35" s="102">
        <v>9.4</v>
      </c>
      <c r="J35" s="102">
        <v>9.4</v>
      </c>
      <c r="K35" s="102">
        <v>9.4</v>
      </c>
      <c r="L35" s="102">
        <v>9.4</v>
      </c>
      <c r="M35" s="102">
        <v>7.9</v>
      </c>
      <c r="N35" s="102">
        <v>7.9</v>
      </c>
      <c r="O35" s="102">
        <v>7.9</v>
      </c>
      <c r="P35" s="102">
        <v>7.9</v>
      </c>
      <c r="Q35" s="102">
        <v>7.9</v>
      </c>
      <c r="R35" s="102">
        <v>7.9</v>
      </c>
      <c r="S35" s="102">
        <v>7.9</v>
      </c>
      <c r="T35" s="102">
        <v>7.9</v>
      </c>
      <c r="U35" s="102">
        <v>7.9</v>
      </c>
      <c r="V35" s="102">
        <v>7.9</v>
      </c>
      <c r="W35" s="102">
        <v>7.9</v>
      </c>
      <c r="X35" s="102">
        <v>7.9</v>
      </c>
      <c r="Y35" s="102">
        <v>7.9</v>
      </c>
      <c r="Z35" s="102">
        <v>7.9</v>
      </c>
      <c r="AA35" s="102">
        <v>7.9</v>
      </c>
      <c r="AB35" s="102">
        <v>7.9</v>
      </c>
      <c r="AC35" s="102">
        <v>7.9</v>
      </c>
      <c r="AD35" s="102">
        <v>7.9</v>
      </c>
      <c r="AE35" s="102">
        <v>7.9</v>
      </c>
      <c r="AF35" s="102">
        <v>7.9</v>
      </c>
      <c r="AG35" s="130">
        <v>20</v>
      </c>
      <c r="AH35" s="12">
        <f t="shared" si="8"/>
        <v>9.4</v>
      </c>
      <c r="AI35" s="11">
        <f t="shared" si="9"/>
        <v>7.9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25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25">
      <c r="A37" s="89" t="s">
        <v>230</v>
      </c>
      <c r="B37" s="102">
        <v>0</v>
      </c>
      <c r="C37" s="102">
        <v>0</v>
      </c>
      <c r="D37" s="102">
        <v>0</v>
      </c>
      <c r="E37" s="102">
        <v>0</v>
      </c>
      <c r="F37" s="102">
        <v>0</v>
      </c>
      <c r="G37" s="102">
        <v>0</v>
      </c>
      <c r="H37" s="102">
        <v>0</v>
      </c>
      <c r="I37" s="102">
        <v>0</v>
      </c>
      <c r="J37" s="102">
        <v>0</v>
      </c>
      <c r="K37" s="102">
        <v>0</v>
      </c>
      <c r="L37" s="102">
        <v>0</v>
      </c>
      <c r="M37" s="102">
        <v>7.9</v>
      </c>
      <c r="N37" s="102">
        <v>7.9</v>
      </c>
      <c r="O37" s="102">
        <v>7.9</v>
      </c>
      <c r="P37" s="102">
        <v>7.9</v>
      </c>
      <c r="Q37" s="102">
        <v>7.9</v>
      </c>
      <c r="R37" s="102">
        <v>7.9</v>
      </c>
      <c r="S37" s="102">
        <v>7.9</v>
      </c>
      <c r="T37" s="102">
        <v>7.9</v>
      </c>
      <c r="U37" s="102">
        <v>7.9</v>
      </c>
      <c r="V37" s="102">
        <v>7.9</v>
      </c>
      <c r="W37" s="102">
        <v>7.9</v>
      </c>
      <c r="X37" s="102">
        <v>7.9</v>
      </c>
      <c r="Y37" s="102">
        <v>7.9</v>
      </c>
      <c r="Z37" s="102">
        <v>7.9</v>
      </c>
      <c r="AA37" s="102">
        <v>7.9</v>
      </c>
      <c r="AB37" s="102">
        <v>7.9</v>
      </c>
      <c r="AC37" s="102">
        <v>7.9</v>
      </c>
      <c r="AD37" s="102">
        <v>7.9</v>
      </c>
      <c r="AE37" s="102">
        <v>7.9</v>
      </c>
      <c r="AF37" s="102">
        <v>7.9</v>
      </c>
      <c r="AG37" s="130">
        <v>18</v>
      </c>
      <c r="AH37" s="12">
        <f t="shared" si="8"/>
        <v>7.9</v>
      </c>
      <c r="AI37" s="11">
        <f t="shared" si="9"/>
        <v>0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25">
      <c r="A38" s="89" t="s">
        <v>229</v>
      </c>
      <c r="B38" s="102">
        <v>7</v>
      </c>
      <c r="C38" s="102">
        <v>7</v>
      </c>
      <c r="D38" s="102">
        <v>7</v>
      </c>
      <c r="E38" s="102">
        <v>7</v>
      </c>
      <c r="F38" s="102">
        <v>7</v>
      </c>
      <c r="G38" s="102">
        <v>7</v>
      </c>
      <c r="H38" s="102">
        <v>7</v>
      </c>
      <c r="I38" s="102">
        <v>7</v>
      </c>
      <c r="J38" s="102">
        <v>7</v>
      </c>
      <c r="K38" s="102">
        <v>7</v>
      </c>
      <c r="L38" s="102">
        <v>7</v>
      </c>
      <c r="M38" s="102">
        <v>7</v>
      </c>
      <c r="N38" s="102">
        <v>7</v>
      </c>
      <c r="O38" s="102">
        <v>7</v>
      </c>
      <c r="P38" s="102">
        <v>7</v>
      </c>
      <c r="Q38" s="102">
        <v>7</v>
      </c>
      <c r="R38" s="102">
        <v>7</v>
      </c>
      <c r="S38" s="102">
        <v>7</v>
      </c>
      <c r="T38" s="102">
        <v>7</v>
      </c>
      <c r="U38" s="102">
        <v>7</v>
      </c>
      <c r="V38" s="102">
        <v>7</v>
      </c>
      <c r="W38" s="102">
        <v>7</v>
      </c>
      <c r="X38" s="102">
        <v>7</v>
      </c>
      <c r="Y38" s="102">
        <v>7</v>
      </c>
      <c r="Z38" s="102">
        <v>7</v>
      </c>
      <c r="AA38" s="102">
        <v>7</v>
      </c>
      <c r="AB38" s="102">
        <v>7</v>
      </c>
      <c r="AC38" s="102">
        <v>7</v>
      </c>
      <c r="AD38" s="102">
        <v>7</v>
      </c>
      <c r="AE38" s="102">
        <v>7</v>
      </c>
      <c r="AF38" s="102">
        <v>7</v>
      </c>
      <c r="AG38" s="130">
        <v>14.9</v>
      </c>
      <c r="AH38" s="12">
        <f t="shared" si="8"/>
        <v>7</v>
      </c>
      <c r="AI38" s="11">
        <f t="shared" si="9"/>
        <v>7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25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25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25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25">
      <c r="A42" s="89" t="s">
        <v>225</v>
      </c>
      <c r="B42" s="102">
        <v>6</v>
      </c>
      <c r="C42" s="102">
        <v>6</v>
      </c>
      <c r="D42" s="102">
        <v>6</v>
      </c>
      <c r="E42" s="102">
        <v>6</v>
      </c>
      <c r="F42" s="102">
        <v>6</v>
      </c>
      <c r="G42" s="102">
        <v>6</v>
      </c>
      <c r="H42" s="102">
        <v>6</v>
      </c>
      <c r="I42" s="102">
        <v>6</v>
      </c>
      <c r="J42" s="102">
        <v>6</v>
      </c>
      <c r="K42" s="102">
        <v>6</v>
      </c>
      <c r="L42" s="102">
        <v>6</v>
      </c>
      <c r="M42" s="102">
        <v>6</v>
      </c>
      <c r="N42" s="102">
        <v>6</v>
      </c>
      <c r="O42" s="102">
        <v>6</v>
      </c>
      <c r="P42" s="102">
        <v>6</v>
      </c>
      <c r="Q42" s="102">
        <v>6</v>
      </c>
      <c r="R42" s="102">
        <v>6</v>
      </c>
      <c r="S42" s="102">
        <v>6</v>
      </c>
      <c r="T42" s="102">
        <v>6</v>
      </c>
      <c r="U42" s="102">
        <v>6</v>
      </c>
      <c r="V42" s="102">
        <v>6</v>
      </c>
      <c r="W42" s="102">
        <v>6</v>
      </c>
      <c r="X42" s="102">
        <v>6</v>
      </c>
      <c r="Y42" s="102">
        <v>6</v>
      </c>
      <c r="Z42" s="102">
        <v>6</v>
      </c>
      <c r="AA42" s="102">
        <v>6</v>
      </c>
      <c r="AB42" s="102">
        <v>6</v>
      </c>
      <c r="AC42" s="102">
        <v>6</v>
      </c>
      <c r="AD42" s="102">
        <v>6</v>
      </c>
      <c r="AE42" s="102">
        <v>6</v>
      </c>
      <c r="AF42" s="102">
        <v>6</v>
      </c>
      <c r="AG42" s="130">
        <v>13.6</v>
      </c>
      <c r="AH42" s="12">
        <f t="shared" si="8"/>
        <v>6</v>
      </c>
      <c r="AI42" s="11">
        <f t="shared" si="9"/>
        <v>6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25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25">
      <c r="A44" s="89" t="s">
        <v>223</v>
      </c>
      <c r="B44" s="102">
        <v>6.4</v>
      </c>
      <c r="C44" s="102">
        <v>6.4</v>
      </c>
      <c r="D44" s="102">
        <v>6.4</v>
      </c>
      <c r="E44" s="102">
        <v>6.4</v>
      </c>
      <c r="F44" s="102">
        <v>6.4</v>
      </c>
      <c r="G44" s="102">
        <v>6.4</v>
      </c>
      <c r="H44" s="102">
        <v>6.4</v>
      </c>
      <c r="I44" s="102">
        <v>6.4</v>
      </c>
      <c r="J44" s="102">
        <v>6.4</v>
      </c>
      <c r="K44" s="102">
        <v>6.4</v>
      </c>
      <c r="L44" s="102">
        <v>6.4</v>
      </c>
      <c r="M44" s="102">
        <v>6.4</v>
      </c>
      <c r="N44" s="102">
        <v>6.4</v>
      </c>
      <c r="O44" s="102">
        <v>6.4</v>
      </c>
      <c r="P44" s="102">
        <v>6.4</v>
      </c>
      <c r="Q44" s="102">
        <v>6.4</v>
      </c>
      <c r="R44" s="102">
        <v>6.4</v>
      </c>
      <c r="S44" s="102">
        <v>6.4</v>
      </c>
      <c r="T44" s="102">
        <v>6.4</v>
      </c>
      <c r="U44" s="102">
        <v>6.4</v>
      </c>
      <c r="V44" s="102">
        <v>6.4</v>
      </c>
      <c r="W44" s="102">
        <v>6.4</v>
      </c>
      <c r="X44" s="102">
        <v>6.4</v>
      </c>
      <c r="Y44" s="102">
        <v>6.4</v>
      </c>
      <c r="Z44" s="102">
        <v>6.4</v>
      </c>
      <c r="AA44" s="102">
        <v>6.4</v>
      </c>
      <c r="AB44" s="102">
        <v>6.4</v>
      </c>
      <c r="AC44" s="102">
        <v>6.4</v>
      </c>
      <c r="AD44" s="102">
        <v>6.4</v>
      </c>
      <c r="AE44" s="102">
        <v>6.4</v>
      </c>
      <c r="AF44" s="102">
        <v>6.4</v>
      </c>
      <c r="AG44" s="130">
        <v>12</v>
      </c>
      <c r="AH44" s="12">
        <f t="shared" si="8"/>
        <v>6.4</v>
      </c>
      <c r="AI44" s="11">
        <f t="shared" si="9"/>
        <v>6.4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25">
      <c r="A45" s="89" t="s">
        <v>222</v>
      </c>
      <c r="B45" s="102">
        <v>9</v>
      </c>
      <c r="C45" s="102">
        <v>9</v>
      </c>
      <c r="D45" s="102">
        <v>9</v>
      </c>
      <c r="E45" s="102">
        <v>9</v>
      </c>
      <c r="F45" s="102">
        <v>9</v>
      </c>
      <c r="G45" s="102">
        <v>9</v>
      </c>
      <c r="H45" s="102">
        <v>9</v>
      </c>
      <c r="I45" s="102">
        <v>9</v>
      </c>
      <c r="J45" s="102">
        <v>9</v>
      </c>
      <c r="K45" s="102">
        <v>9</v>
      </c>
      <c r="L45" s="102">
        <v>9</v>
      </c>
      <c r="M45" s="102">
        <v>9</v>
      </c>
      <c r="N45" s="102">
        <v>9</v>
      </c>
      <c r="O45" s="102">
        <v>9</v>
      </c>
      <c r="P45" s="102">
        <v>9</v>
      </c>
      <c r="Q45" s="102">
        <v>9</v>
      </c>
      <c r="R45" s="102">
        <v>9</v>
      </c>
      <c r="S45" s="102">
        <v>9</v>
      </c>
      <c r="T45" s="102">
        <v>9</v>
      </c>
      <c r="U45" s="102">
        <v>9</v>
      </c>
      <c r="V45" s="102">
        <v>9</v>
      </c>
      <c r="W45" s="102">
        <v>9</v>
      </c>
      <c r="X45" s="102">
        <v>9</v>
      </c>
      <c r="Y45" s="102">
        <v>9</v>
      </c>
      <c r="Z45" s="102">
        <v>9</v>
      </c>
      <c r="AA45" s="102">
        <v>9</v>
      </c>
      <c r="AB45" s="102">
        <v>9</v>
      </c>
      <c r="AC45" s="102">
        <v>9</v>
      </c>
      <c r="AD45" s="102">
        <v>9</v>
      </c>
      <c r="AE45" s="102">
        <v>9</v>
      </c>
      <c r="AF45" s="102">
        <v>9</v>
      </c>
      <c r="AG45" s="130">
        <v>12</v>
      </c>
      <c r="AH45" s="12">
        <f t="shared" si="8"/>
        <v>9</v>
      </c>
      <c r="AI45" s="11">
        <f t="shared" si="9"/>
        <v>9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25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25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25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25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25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25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25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25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25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25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25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.75" thickBot="1" x14ac:dyDescent="0.3">
      <c r="A57" s="124" t="s">
        <v>210</v>
      </c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2"/>
      <c r="AA57" s="122"/>
      <c r="AB57" s="122">
        <v>33.799999999999997</v>
      </c>
      <c r="AC57" s="122">
        <v>33.799999999999997</v>
      </c>
      <c r="AD57" s="122">
        <v>33.799999999999997</v>
      </c>
      <c r="AE57" s="122">
        <v>35</v>
      </c>
      <c r="AF57" s="122">
        <v>33.799999999999997</v>
      </c>
      <c r="AG57" s="86">
        <v>240</v>
      </c>
      <c r="AH57" s="12">
        <f t="shared" si="8"/>
        <v>35</v>
      </c>
      <c r="AI57" s="11">
        <f t="shared" si="9"/>
        <v>33.799999999999997</v>
      </c>
      <c r="AK57" s="19"/>
    </row>
    <row r="58" spans="1:88" ht="15.75" thickBot="1" x14ac:dyDescent="0.3">
      <c r="A58" s="121" t="s">
        <v>209</v>
      </c>
      <c r="B58" s="76">
        <f t="shared" ref="B58:C58" si="22">SUM(B11:B56)</f>
        <v>563.79999999999995</v>
      </c>
      <c r="C58" s="76">
        <f t="shared" si="22"/>
        <v>563.79999999999995</v>
      </c>
      <c r="D58" s="76">
        <f t="shared" ref="D58" si="23">SUM(D11:D56)</f>
        <v>563.79999999999995</v>
      </c>
      <c r="E58" s="76">
        <f t="shared" ref="E58:AF58" si="24">SUM(E11:E56)</f>
        <v>560.19999999999993</v>
      </c>
      <c r="F58" s="76">
        <f t="shared" si="24"/>
        <v>560.19999999999993</v>
      </c>
      <c r="G58" s="76">
        <f t="shared" si="24"/>
        <v>555.09999999999991</v>
      </c>
      <c r="H58" s="76">
        <f t="shared" si="24"/>
        <v>555.09999999999991</v>
      </c>
      <c r="I58" s="76">
        <f t="shared" si="24"/>
        <v>551.19999999999993</v>
      </c>
      <c r="J58" s="76">
        <f t="shared" ref="J58:K58" si="25">SUM(J11:J56)</f>
        <v>551.49999999999989</v>
      </c>
      <c r="K58" s="76">
        <f t="shared" si="25"/>
        <v>551.49999999999989</v>
      </c>
      <c r="L58" s="76">
        <f t="shared" si="24"/>
        <v>550.9</v>
      </c>
      <c r="M58" s="76">
        <f t="shared" ref="M58" si="26">SUM(M11:M56)</f>
        <v>555.59999999999991</v>
      </c>
      <c r="N58" s="76">
        <f t="shared" si="24"/>
        <v>555.59999999999991</v>
      </c>
      <c r="O58" s="76">
        <f t="shared" si="24"/>
        <v>556.40000000000009</v>
      </c>
      <c r="P58" s="76">
        <f t="shared" si="24"/>
        <v>556</v>
      </c>
      <c r="Q58" s="76">
        <f t="shared" si="24"/>
        <v>555.90000000000009</v>
      </c>
      <c r="R58" s="76">
        <f t="shared" si="24"/>
        <v>555.90000000000009</v>
      </c>
      <c r="S58" s="76">
        <f t="shared" si="24"/>
        <v>555.90000000000009</v>
      </c>
      <c r="T58" s="76">
        <f t="shared" ref="T58:U58" si="27">SUM(T11:T56)</f>
        <v>555.90000000000009</v>
      </c>
      <c r="U58" s="76">
        <f t="shared" si="27"/>
        <v>555.90000000000009</v>
      </c>
      <c r="V58" s="76">
        <f t="shared" ref="V58:W58" si="28">SUM(V11:V56)</f>
        <v>555.90000000000009</v>
      </c>
      <c r="W58" s="76">
        <f t="shared" si="28"/>
        <v>555.90000000000009</v>
      </c>
      <c r="X58" s="76">
        <f t="shared" ref="X58:Z58" si="29">SUM(X11:X56)</f>
        <v>555.90000000000009</v>
      </c>
      <c r="Y58" s="76">
        <f t="shared" si="29"/>
        <v>555.90000000000009</v>
      </c>
      <c r="Z58" s="76">
        <f t="shared" si="29"/>
        <v>555.90000000000009</v>
      </c>
      <c r="AA58" s="76">
        <f t="shared" ref="AA58" si="30">SUM(AA11:AA56)</f>
        <v>555.90000000000009</v>
      </c>
      <c r="AB58" s="76">
        <f t="shared" si="24"/>
        <v>554.20000000000005</v>
      </c>
      <c r="AC58" s="76">
        <f t="shared" si="24"/>
        <v>554.20000000000005</v>
      </c>
      <c r="AD58" s="76">
        <f t="shared" si="24"/>
        <v>554.20000000000005</v>
      </c>
      <c r="AE58" s="76">
        <f t="shared" si="24"/>
        <v>554.20000000000005</v>
      </c>
      <c r="AF58" s="76">
        <f t="shared" si="24"/>
        <v>554.20000000000005</v>
      </c>
      <c r="AG58" s="93">
        <f>SUM(AG14:AG56)</f>
        <v>1042.4000000000001</v>
      </c>
      <c r="AH58" s="12">
        <f t="shared" si="8"/>
        <v>563.79999999999995</v>
      </c>
      <c r="AI58" s="11">
        <f t="shared" si="9"/>
        <v>550.9</v>
      </c>
      <c r="AK58" s="19"/>
    </row>
    <row r="59" spans="1:88" x14ac:dyDescent="0.25">
      <c r="A59" s="120" t="s">
        <v>208</v>
      </c>
      <c r="B59" s="102">
        <v>150</v>
      </c>
      <c r="C59" s="102">
        <v>130</v>
      </c>
      <c r="D59" s="102">
        <v>120</v>
      </c>
      <c r="E59" s="102">
        <v>100</v>
      </c>
      <c r="F59" s="102">
        <v>99.5</v>
      </c>
      <c r="G59" s="102">
        <v>99.9</v>
      </c>
      <c r="H59" s="102">
        <v>100</v>
      </c>
      <c r="I59" s="102">
        <v>150</v>
      </c>
      <c r="J59" s="102">
        <v>15</v>
      </c>
      <c r="K59" s="102">
        <v>0</v>
      </c>
      <c r="L59" s="102">
        <v>0</v>
      </c>
      <c r="M59" s="102">
        <v>0</v>
      </c>
      <c r="N59" s="119">
        <v>0</v>
      </c>
      <c r="O59" s="119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19">
        <v>0</v>
      </c>
      <c r="X59" s="119">
        <v>15.1</v>
      </c>
      <c r="Y59" s="119">
        <v>329.2</v>
      </c>
      <c r="Z59" s="102">
        <v>422</v>
      </c>
      <c r="AA59" s="102">
        <v>403</v>
      </c>
      <c r="AB59" s="102">
        <v>351.6</v>
      </c>
      <c r="AC59" s="102">
        <v>351.6</v>
      </c>
      <c r="AD59" s="102">
        <v>331</v>
      </c>
      <c r="AE59" s="102">
        <v>300</v>
      </c>
      <c r="AF59" s="102">
        <v>200</v>
      </c>
      <c r="AG59" s="88">
        <v>456</v>
      </c>
      <c r="AH59" s="12">
        <f t="shared" si="8"/>
        <v>422</v>
      </c>
      <c r="AI59" s="11">
        <f t="shared" si="9"/>
        <v>0</v>
      </c>
      <c r="AK59" s="19"/>
    </row>
    <row r="60" spans="1:88" x14ac:dyDescent="0.25">
      <c r="A60" s="118" t="s">
        <v>207</v>
      </c>
      <c r="B60" s="70">
        <v>22</v>
      </c>
      <c r="C60" s="70">
        <v>22</v>
      </c>
      <c r="D60" s="70">
        <v>22</v>
      </c>
      <c r="E60" s="70">
        <v>20.9</v>
      </c>
      <c r="F60" s="70">
        <v>20.9</v>
      </c>
      <c r="G60" s="70">
        <v>21.1</v>
      </c>
      <c r="H60" s="70">
        <v>21.8</v>
      </c>
      <c r="I60" s="70">
        <v>21</v>
      </c>
      <c r="J60" s="70">
        <v>21</v>
      </c>
      <c r="K60" s="70">
        <v>20.9</v>
      </c>
      <c r="L60" s="70">
        <v>20.9</v>
      </c>
      <c r="M60" s="70">
        <v>21.4</v>
      </c>
      <c r="N60" s="70">
        <v>21.4</v>
      </c>
      <c r="O60" s="70">
        <v>22.1</v>
      </c>
      <c r="P60" s="70">
        <v>22.1</v>
      </c>
      <c r="Q60" s="70">
        <v>22.1</v>
      </c>
      <c r="R60" s="70">
        <v>22.1</v>
      </c>
      <c r="S60" s="70">
        <v>21.1</v>
      </c>
      <c r="T60" s="70">
        <v>21.1</v>
      </c>
      <c r="U60" s="70">
        <v>21.1</v>
      </c>
      <c r="V60" s="70">
        <v>21.1</v>
      </c>
      <c r="W60" s="70">
        <v>21.1</v>
      </c>
      <c r="X60" s="70">
        <v>21.1</v>
      </c>
      <c r="Y60" s="70">
        <v>21.1</v>
      </c>
      <c r="Z60" s="70">
        <v>21.1</v>
      </c>
      <c r="AA60" s="70">
        <v>21.1</v>
      </c>
      <c r="AB60" s="70">
        <v>21.1</v>
      </c>
      <c r="AC60" s="70">
        <v>21.1</v>
      </c>
      <c r="AD60" s="70">
        <v>21.1</v>
      </c>
      <c r="AE60" s="70">
        <v>21.1</v>
      </c>
      <c r="AF60" s="70">
        <v>21.1</v>
      </c>
      <c r="AG60" s="86">
        <v>60</v>
      </c>
      <c r="AH60" s="12">
        <f t="shared" si="8"/>
        <v>22.1</v>
      </c>
      <c r="AI60" s="11">
        <f t="shared" si="9"/>
        <v>20.9</v>
      </c>
      <c r="AK60" s="19"/>
    </row>
    <row r="61" spans="1:88" ht="15.75" thickBot="1" x14ac:dyDescent="0.3">
      <c r="A61" s="117" t="s">
        <v>206</v>
      </c>
      <c r="B61" s="110">
        <v>21.5</v>
      </c>
      <c r="C61" s="110">
        <v>21.5</v>
      </c>
      <c r="D61" s="110">
        <v>21.5</v>
      </c>
      <c r="E61" s="110">
        <v>21.8</v>
      </c>
      <c r="F61" s="110">
        <v>21.8</v>
      </c>
      <c r="G61" s="110">
        <v>21.8</v>
      </c>
      <c r="H61" s="110">
        <v>21.8</v>
      </c>
      <c r="I61" s="110">
        <v>21.8</v>
      </c>
      <c r="J61" s="110">
        <v>21.8</v>
      </c>
      <c r="K61" s="110">
        <v>21.8</v>
      </c>
      <c r="L61" s="110">
        <v>21.8</v>
      </c>
      <c r="M61" s="110">
        <v>20.9</v>
      </c>
      <c r="N61" s="110">
        <v>20.8</v>
      </c>
      <c r="O61" s="110">
        <v>20.9</v>
      </c>
      <c r="P61" s="110">
        <v>20.9</v>
      </c>
      <c r="Q61" s="110">
        <v>20.9</v>
      </c>
      <c r="R61" s="110">
        <v>10.9</v>
      </c>
      <c r="S61" s="110">
        <v>20.8</v>
      </c>
      <c r="T61" s="110">
        <v>20.8</v>
      </c>
      <c r="U61" s="110">
        <v>20.8</v>
      </c>
      <c r="V61" s="110">
        <v>20.8</v>
      </c>
      <c r="W61" s="110">
        <v>20.8</v>
      </c>
      <c r="X61" s="110">
        <v>20.8</v>
      </c>
      <c r="Y61" s="110">
        <v>20.8</v>
      </c>
      <c r="Z61" s="110">
        <v>18.3</v>
      </c>
      <c r="AA61" s="110">
        <v>18.3</v>
      </c>
      <c r="AB61" s="110">
        <v>18.399999999999999</v>
      </c>
      <c r="AC61" s="110">
        <v>18.399999999999999</v>
      </c>
      <c r="AD61" s="110">
        <v>18.399999999999999</v>
      </c>
      <c r="AE61" s="110">
        <v>18.399999999999999</v>
      </c>
      <c r="AF61" s="110">
        <v>18.399999999999999</v>
      </c>
      <c r="AG61" s="109">
        <v>22.1</v>
      </c>
      <c r="AH61" s="12">
        <f t="shared" si="8"/>
        <v>21.8</v>
      </c>
      <c r="AI61" s="11">
        <f t="shared" si="9"/>
        <v>10.9</v>
      </c>
      <c r="AK61" s="19"/>
    </row>
    <row r="62" spans="1:88" ht="15.75" thickBot="1" x14ac:dyDescent="0.3">
      <c r="A62" s="116" t="s">
        <v>205</v>
      </c>
      <c r="B62" s="76">
        <f t="shared" ref="B62:C62" si="31">SUM(B59:B61)</f>
        <v>193.5</v>
      </c>
      <c r="C62" s="76">
        <f t="shared" si="31"/>
        <v>173.5</v>
      </c>
      <c r="D62" s="76">
        <f t="shared" ref="D62" si="32">SUM(D59:D61)</f>
        <v>163.5</v>
      </c>
      <c r="E62" s="76">
        <f t="shared" ref="E62:AG62" si="33">SUM(E59:E61)</f>
        <v>142.70000000000002</v>
      </c>
      <c r="F62" s="76">
        <f t="shared" si="33"/>
        <v>142.20000000000002</v>
      </c>
      <c r="G62" s="76">
        <f t="shared" si="33"/>
        <v>142.80000000000001</v>
      </c>
      <c r="H62" s="76">
        <f t="shared" si="33"/>
        <v>143.6</v>
      </c>
      <c r="I62" s="76">
        <f t="shared" si="33"/>
        <v>192.8</v>
      </c>
      <c r="J62" s="76">
        <f t="shared" si="33"/>
        <v>57.8</v>
      </c>
      <c r="K62" s="76">
        <f t="shared" si="33"/>
        <v>42.7</v>
      </c>
      <c r="L62" s="76">
        <f t="shared" si="33"/>
        <v>42.7</v>
      </c>
      <c r="M62" s="76">
        <f t="shared" ref="M62" si="34">SUM(M59:M61)</f>
        <v>42.3</v>
      </c>
      <c r="N62" s="76">
        <f t="shared" si="33"/>
        <v>42.2</v>
      </c>
      <c r="O62" s="76">
        <f t="shared" si="33"/>
        <v>43</v>
      </c>
      <c r="P62" s="76">
        <f t="shared" si="33"/>
        <v>43</v>
      </c>
      <c r="Q62" s="76">
        <f t="shared" si="33"/>
        <v>43</v>
      </c>
      <c r="R62" s="76">
        <f t="shared" si="33"/>
        <v>33</v>
      </c>
      <c r="S62" s="76">
        <f t="shared" si="33"/>
        <v>41.900000000000006</v>
      </c>
      <c r="T62" s="76">
        <f t="shared" ref="T62:U62" si="35">SUM(T59:T61)</f>
        <v>41.900000000000006</v>
      </c>
      <c r="U62" s="76">
        <f t="shared" si="35"/>
        <v>41.900000000000006</v>
      </c>
      <c r="V62" s="76">
        <f t="shared" ref="V62:W62" si="36">SUM(V59:V61)</f>
        <v>41.900000000000006</v>
      </c>
      <c r="W62" s="76">
        <f t="shared" si="36"/>
        <v>41.900000000000006</v>
      </c>
      <c r="X62" s="76">
        <f t="shared" ref="X62:Z62" si="37">SUM(X59:X61)</f>
        <v>57</v>
      </c>
      <c r="Y62" s="76">
        <f t="shared" si="37"/>
        <v>371.1</v>
      </c>
      <c r="Z62" s="76">
        <f t="shared" si="37"/>
        <v>461.40000000000003</v>
      </c>
      <c r="AA62" s="76">
        <f t="shared" ref="AA62" si="38">SUM(AA59:AA61)</f>
        <v>442.40000000000003</v>
      </c>
      <c r="AB62" s="76">
        <f t="shared" si="33"/>
        <v>391.1</v>
      </c>
      <c r="AC62" s="76">
        <f t="shared" si="33"/>
        <v>391.1</v>
      </c>
      <c r="AD62" s="76">
        <f t="shared" si="33"/>
        <v>370.5</v>
      </c>
      <c r="AE62" s="76">
        <f t="shared" si="33"/>
        <v>339.5</v>
      </c>
      <c r="AF62" s="76">
        <f t="shared" si="33"/>
        <v>239.5</v>
      </c>
      <c r="AG62" s="93">
        <f t="shared" si="33"/>
        <v>538.1</v>
      </c>
      <c r="AH62" s="12">
        <f t="shared" si="8"/>
        <v>461.40000000000003</v>
      </c>
      <c r="AI62" s="11">
        <f t="shared" si="9"/>
        <v>33</v>
      </c>
      <c r="AK62" s="19"/>
    </row>
    <row r="63" spans="1:88" x14ac:dyDescent="0.25">
      <c r="A63" s="89" t="s">
        <v>204</v>
      </c>
      <c r="B63" s="102">
        <v>140</v>
      </c>
      <c r="C63" s="102">
        <v>127</v>
      </c>
      <c r="D63" s="102">
        <v>115</v>
      </c>
      <c r="E63" s="102">
        <v>91.1</v>
      </c>
      <c r="F63" s="102">
        <v>71.099999999999994</v>
      </c>
      <c r="G63" s="102">
        <v>71.5</v>
      </c>
      <c r="H63" s="102">
        <v>78.2</v>
      </c>
      <c r="I63" s="102">
        <v>91.2</v>
      </c>
      <c r="J63" s="102">
        <v>91.1</v>
      </c>
      <c r="K63" s="102">
        <v>71</v>
      </c>
      <c r="L63" s="102">
        <v>30.2</v>
      </c>
      <c r="M63" s="102">
        <v>30</v>
      </c>
      <c r="N63" s="102">
        <v>30</v>
      </c>
      <c r="O63" s="102">
        <v>30.9</v>
      </c>
      <c r="P63" s="102">
        <v>30.9</v>
      </c>
      <c r="Q63" s="102">
        <v>30</v>
      </c>
      <c r="R63" s="102">
        <v>30</v>
      </c>
      <c r="S63" s="102">
        <v>30.2</v>
      </c>
      <c r="T63" s="102">
        <v>31</v>
      </c>
      <c r="U63" s="102">
        <v>30</v>
      </c>
      <c r="V63" s="102">
        <v>30</v>
      </c>
      <c r="W63" s="102">
        <v>30</v>
      </c>
      <c r="X63" s="102">
        <v>113.3</v>
      </c>
      <c r="Y63" s="102">
        <v>125.4</v>
      </c>
      <c r="Z63" s="102">
        <v>143.6</v>
      </c>
      <c r="AA63" s="102">
        <v>144.1</v>
      </c>
      <c r="AB63" s="102">
        <v>127.1</v>
      </c>
      <c r="AC63" s="102">
        <v>127.1</v>
      </c>
      <c r="AD63" s="102">
        <v>127.1</v>
      </c>
      <c r="AE63" s="102">
        <v>105</v>
      </c>
      <c r="AF63" s="102">
        <v>105</v>
      </c>
      <c r="AG63" s="88">
        <v>144</v>
      </c>
      <c r="AH63" s="12">
        <f t="shared" si="8"/>
        <v>144.1</v>
      </c>
      <c r="AI63" s="11">
        <f t="shared" si="9"/>
        <v>30</v>
      </c>
      <c r="AK63" s="19"/>
    </row>
    <row r="64" spans="1:88" x14ac:dyDescent="0.25">
      <c r="A64" s="87" t="s">
        <v>203</v>
      </c>
      <c r="B64" s="70">
        <v>55</v>
      </c>
      <c r="C64" s="70">
        <v>55</v>
      </c>
      <c r="D64" s="70">
        <v>55</v>
      </c>
      <c r="E64" s="70">
        <v>50</v>
      </c>
      <c r="F64" s="70">
        <v>52.8</v>
      </c>
      <c r="G64" s="70">
        <v>52</v>
      </c>
      <c r="H64" s="70">
        <v>50.4</v>
      </c>
      <c r="I64" s="70">
        <v>68</v>
      </c>
      <c r="J64" s="70">
        <v>55.6</v>
      </c>
      <c r="K64" s="70">
        <v>65.3</v>
      </c>
      <c r="L64" s="70">
        <v>49.5</v>
      </c>
      <c r="M64" s="70">
        <v>49.8</v>
      </c>
      <c r="N64" s="70">
        <v>49.8</v>
      </c>
      <c r="O64" s="70">
        <v>34.5</v>
      </c>
      <c r="P64" s="70">
        <v>35.4</v>
      </c>
      <c r="Q64" s="70">
        <v>35.1</v>
      </c>
      <c r="R64" s="70">
        <v>35.1</v>
      </c>
      <c r="S64" s="70">
        <v>0</v>
      </c>
      <c r="T64" s="70">
        <v>0</v>
      </c>
      <c r="U64" s="70">
        <v>0</v>
      </c>
      <c r="V64" s="70">
        <v>23.4</v>
      </c>
      <c r="W64" s="70">
        <v>23.4</v>
      </c>
      <c r="X64" s="70">
        <v>47.1</v>
      </c>
      <c r="Y64" s="70">
        <v>47.3</v>
      </c>
      <c r="Z64" s="102">
        <v>68.5</v>
      </c>
      <c r="AA64" s="102">
        <v>68.5</v>
      </c>
      <c r="AB64" s="102">
        <v>67.5</v>
      </c>
      <c r="AC64" s="102">
        <v>67.5</v>
      </c>
      <c r="AD64" s="102">
        <v>67.5</v>
      </c>
      <c r="AE64" s="102">
        <v>67.5</v>
      </c>
      <c r="AF64" s="102">
        <v>67.5</v>
      </c>
      <c r="AG64" s="86">
        <v>70</v>
      </c>
      <c r="AH64" s="12">
        <f t="shared" si="8"/>
        <v>68.5</v>
      </c>
      <c r="AI64" s="11">
        <f t="shared" si="9"/>
        <v>0</v>
      </c>
      <c r="AK64" s="19"/>
    </row>
    <row r="65" spans="1:75" x14ac:dyDescent="0.25">
      <c r="A65" s="87" t="s">
        <v>202</v>
      </c>
      <c r="B65" s="70">
        <v>60</v>
      </c>
      <c r="C65" s="70">
        <v>50</v>
      </c>
      <c r="D65" s="70">
        <v>50</v>
      </c>
      <c r="E65" s="70">
        <v>49.6</v>
      </c>
      <c r="F65" s="70">
        <v>63.9</v>
      </c>
      <c r="G65" s="70">
        <v>68.98</v>
      </c>
      <c r="H65" s="70">
        <v>69</v>
      </c>
      <c r="I65" s="70">
        <v>67</v>
      </c>
      <c r="J65" s="70">
        <v>69</v>
      </c>
      <c r="K65" s="70">
        <v>69</v>
      </c>
      <c r="L65" s="70">
        <v>52.1</v>
      </c>
      <c r="M65" s="70">
        <v>51.6</v>
      </c>
      <c r="N65" s="70">
        <v>51.6</v>
      </c>
      <c r="O65" s="70">
        <v>51.6</v>
      </c>
      <c r="P65" s="70">
        <v>52.4</v>
      </c>
      <c r="Q65" s="70">
        <v>53.3</v>
      </c>
      <c r="R65" s="70">
        <v>53.3</v>
      </c>
      <c r="S65" s="70">
        <v>53.6</v>
      </c>
      <c r="T65" s="70">
        <v>40.299999999999997</v>
      </c>
      <c r="U65" s="70">
        <v>40.1</v>
      </c>
      <c r="V65" s="70">
        <v>34.4</v>
      </c>
      <c r="W65" s="70">
        <v>34.4</v>
      </c>
      <c r="X65" s="70">
        <v>47.2</v>
      </c>
      <c r="Y65" s="70">
        <v>62.3</v>
      </c>
      <c r="Z65" s="102">
        <v>67.7</v>
      </c>
      <c r="AA65" s="102">
        <v>67.7</v>
      </c>
      <c r="AB65" s="102">
        <v>67.400000000000006</v>
      </c>
      <c r="AC65" s="102">
        <v>67.400000000000006</v>
      </c>
      <c r="AD65" s="102">
        <v>67.400000000000006</v>
      </c>
      <c r="AE65" s="102">
        <v>37</v>
      </c>
      <c r="AF65" s="102">
        <v>37</v>
      </c>
      <c r="AG65" s="86">
        <v>69</v>
      </c>
      <c r="AH65" s="12">
        <f t="shared" si="8"/>
        <v>69</v>
      </c>
      <c r="AI65" s="11">
        <f t="shared" si="9"/>
        <v>34.4</v>
      </c>
      <c r="AK65" s="19"/>
    </row>
    <row r="66" spans="1:75" x14ac:dyDescent="0.25">
      <c r="A66" s="87" t="s">
        <v>201</v>
      </c>
      <c r="B66" s="70">
        <v>55.2</v>
      </c>
      <c r="C66" s="70">
        <v>55.2</v>
      </c>
      <c r="D66" s="70">
        <v>55.2</v>
      </c>
      <c r="E66" s="70">
        <v>60.7</v>
      </c>
      <c r="F66" s="70">
        <v>60</v>
      </c>
      <c r="G66" s="70">
        <v>60.4</v>
      </c>
      <c r="H66" s="70">
        <v>60.4</v>
      </c>
      <c r="I66" s="70">
        <v>60.7</v>
      </c>
      <c r="J66" s="70">
        <v>60.5</v>
      </c>
      <c r="K66" s="70">
        <v>60.5</v>
      </c>
      <c r="L66" s="122">
        <v>60</v>
      </c>
      <c r="M66" s="122">
        <v>60.4</v>
      </c>
      <c r="N66" s="122">
        <v>60.4</v>
      </c>
      <c r="O66" s="70">
        <v>60.4</v>
      </c>
      <c r="P66" s="70">
        <v>60.4</v>
      </c>
      <c r="Q66" s="70">
        <v>60.2</v>
      </c>
      <c r="R66" s="70">
        <v>60.2</v>
      </c>
      <c r="S66" s="70">
        <v>57.2</v>
      </c>
      <c r="T66" s="70">
        <v>57.2</v>
      </c>
      <c r="U66" s="70">
        <v>55.4</v>
      </c>
      <c r="V66" s="70">
        <v>55.4</v>
      </c>
      <c r="W66" s="70">
        <v>55.4</v>
      </c>
      <c r="X66" s="70">
        <v>51.4</v>
      </c>
      <c r="Y66" s="70">
        <v>52.4</v>
      </c>
      <c r="Z66" s="102">
        <v>54.4</v>
      </c>
      <c r="AA66" s="102">
        <v>54.4</v>
      </c>
      <c r="AB66" s="102">
        <v>54.4</v>
      </c>
      <c r="AC66" s="102">
        <v>54.4</v>
      </c>
      <c r="AD66" s="102">
        <v>54.4</v>
      </c>
      <c r="AE66" s="102">
        <v>54.4</v>
      </c>
      <c r="AF66" s="102">
        <v>54.4</v>
      </c>
      <c r="AG66" s="86">
        <v>60</v>
      </c>
      <c r="AH66" s="12">
        <f t="shared" si="8"/>
        <v>60.7</v>
      </c>
      <c r="AI66" s="11">
        <f t="shared" si="9"/>
        <v>51.4</v>
      </c>
      <c r="AK66" s="19"/>
    </row>
    <row r="67" spans="1:75" x14ac:dyDescent="0.25">
      <c r="A67" s="87" t="s">
        <v>200</v>
      </c>
      <c r="B67" s="102">
        <v>10</v>
      </c>
      <c r="C67" s="102">
        <v>10</v>
      </c>
      <c r="D67" s="102">
        <v>10</v>
      </c>
      <c r="E67" s="70">
        <v>10.7</v>
      </c>
      <c r="F67" s="70">
        <v>10.7</v>
      </c>
      <c r="G67" s="70">
        <v>10.8</v>
      </c>
      <c r="H67" s="70">
        <v>10.8</v>
      </c>
      <c r="I67" s="70">
        <v>10.6</v>
      </c>
      <c r="J67" s="70">
        <v>10.6</v>
      </c>
      <c r="K67" s="70">
        <v>10.6</v>
      </c>
      <c r="L67" s="122">
        <v>10.6</v>
      </c>
      <c r="M67" s="122">
        <v>10.4</v>
      </c>
      <c r="N67" s="122">
        <v>15.1</v>
      </c>
      <c r="O67" s="70">
        <v>15</v>
      </c>
      <c r="P67" s="70">
        <v>15.1</v>
      </c>
      <c r="Q67" s="70">
        <v>25.8</v>
      </c>
      <c r="R67" s="70">
        <v>27.9</v>
      </c>
      <c r="S67" s="70">
        <v>22.8</v>
      </c>
      <c r="T67" s="70">
        <v>22.8</v>
      </c>
      <c r="U67" s="70">
        <v>27.5</v>
      </c>
      <c r="V67" s="70">
        <v>27.5</v>
      </c>
      <c r="W67" s="70">
        <v>27.5</v>
      </c>
      <c r="X67" s="70">
        <v>0</v>
      </c>
      <c r="Y67" s="70">
        <v>0</v>
      </c>
      <c r="Z67" s="102">
        <v>0</v>
      </c>
      <c r="AA67" s="102">
        <v>10.4</v>
      </c>
      <c r="AB67" s="102">
        <v>10.5</v>
      </c>
      <c r="AC67" s="102">
        <v>10.5</v>
      </c>
      <c r="AD67" s="102">
        <v>10.5</v>
      </c>
      <c r="AE67" s="102">
        <v>10.5</v>
      </c>
      <c r="AF67" s="102">
        <v>10.5</v>
      </c>
      <c r="AG67" s="86">
        <v>30</v>
      </c>
      <c r="AH67" s="12">
        <f t="shared" si="8"/>
        <v>27.9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25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1.7</v>
      </c>
      <c r="K68" s="102">
        <v>1.7</v>
      </c>
      <c r="L68" s="70">
        <v>4.0999999999999996</v>
      </c>
      <c r="M68" s="70">
        <v>7.3</v>
      </c>
      <c r="N68" s="70">
        <v>7.3</v>
      </c>
      <c r="O68" s="70">
        <v>9</v>
      </c>
      <c r="P68" s="70">
        <v>15.7</v>
      </c>
      <c r="Q68" s="70">
        <v>13.2</v>
      </c>
      <c r="R68" s="70">
        <v>13.2</v>
      </c>
      <c r="S68" s="70">
        <v>12.3</v>
      </c>
      <c r="T68" s="70">
        <v>12.3</v>
      </c>
      <c r="U68" s="70">
        <v>5.8</v>
      </c>
      <c r="V68" s="70">
        <v>2.2999999999999998</v>
      </c>
      <c r="W68" s="70">
        <v>0.8</v>
      </c>
      <c r="X68" s="70">
        <v>0.3</v>
      </c>
      <c r="Y68" s="70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15.7</v>
      </c>
      <c r="AI68" s="11">
        <f t="shared" si="9"/>
        <v>0</v>
      </c>
      <c r="AK68" s="19"/>
      <c r="AY68" s="1" t="s">
        <v>198</v>
      </c>
      <c r="AZ68" s="78">
        <f>ROUND(C81,0)</f>
        <v>10</v>
      </c>
      <c r="BA68" s="83">
        <f t="shared" ref="BA68:BD72" si="39">D81</f>
        <v>10</v>
      </c>
      <c r="BB68" s="83">
        <f t="shared" si="39"/>
        <v>18.2</v>
      </c>
      <c r="BC68" s="83">
        <f t="shared" si="39"/>
        <v>13.2</v>
      </c>
      <c r="BD68" s="83">
        <f t="shared" si="39"/>
        <v>16</v>
      </c>
      <c r="BE68" s="78">
        <f>I81</f>
        <v>28.3</v>
      </c>
      <c r="BF68" s="78">
        <f>K81</f>
        <v>58</v>
      </c>
      <c r="BG68" s="78">
        <f t="shared" ref="BG68:BP72" si="40">M81</f>
        <v>61.7</v>
      </c>
      <c r="BH68" s="78">
        <f t="shared" si="40"/>
        <v>69</v>
      </c>
      <c r="BI68" s="78">
        <f t="shared" si="40"/>
        <v>72.8</v>
      </c>
      <c r="BJ68" s="78">
        <f t="shared" si="40"/>
        <v>76.2</v>
      </c>
      <c r="BK68" s="78">
        <f t="shared" si="40"/>
        <v>76</v>
      </c>
      <c r="BL68" s="78">
        <f t="shared" si="40"/>
        <v>73.599999999999994</v>
      </c>
      <c r="BM68" s="78">
        <f t="shared" si="40"/>
        <v>68.2</v>
      </c>
      <c r="BN68" s="78">
        <f t="shared" si="40"/>
        <v>54</v>
      </c>
      <c r="BO68" s="78">
        <f t="shared" si="40"/>
        <v>63.9</v>
      </c>
      <c r="BP68" s="78">
        <f t="shared" si="40"/>
        <v>73.8</v>
      </c>
      <c r="BQ68" s="78">
        <f>X81</f>
        <v>58.7</v>
      </c>
      <c r="BR68" s="78">
        <f>Z81</f>
        <v>54.5</v>
      </c>
      <c r="BS68" s="83">
        <f>AB81</f>
        <v>50.5</v>
      </c>
      <c r="BT68" s="83">
        <f t="shared" ref="BT68:BV72" si="41">AD81</f>
        <v>37</v>
      </c>
      <c r="BU68" s="83">
        <f t="shared" si="41"/>
        <v>34</v>
      </c>
      <c r="BV68" s="83">
        <f t="shared" si="41"/>
        <v>27</v>
      </c>
      <c r="BW68" s="83">
        <f>B81</f>
        <v>10</v>
      </c>
    </row>
    <row r="69" spans="1:75" x14ac:dyDescent="0.25">
      <c r="A69" s="87" t="s">
        <v>197</v>
      </c>
      <c r="B69" s="70">
        <v>15</v>
      </c>
      <c r="C69" s="70">
        <v>15</v>
      </c>
      <c r="D69" s="70">
        <v>15</v>
      </c>
      <c r="E69" s="70">
        <v>15</v>
      </c>
      <c r="F69" s="70">
        <v>15</v>
      </c>
      <c r="G69" s="70">
        <v>15</v>
      </c>
      <c r="H69" s="70">
        <v>15</v>
      </c>
      <c r="I69" s="70">
        <v>15</v>
      </c>
      <c r="J69" s="70">
        <v>15</v>
      </c>
      <c r="K69" s="70">
        <v>15</v>
      </c>
      <c r="L69" s="70">
        <v>15</v>
      </c>
      <c r="M69" s="70">
        <v>15</v>
      </c>
      <c r="N69" s="70">
        <v>15</v>
      </c>
      <c r="O69" s="70">
        <v>15</v>
      </c>
      <c r="P69" s="70">
        <v>15</v>
      </c>
      <c r="Q69" s="70">
        <v>15</v>
      </c>
      <c r="R69" s="70">
        <v>15</v>
      </c>
      <c r="S69" s="70">
        <v>15</v>
      </c>
      <c r="T69" s="70">
        <v>15</v>
      </c>
      <c r="U69" s="70">
        <v>15</v>
      </c>
      <c r="V69" s="70">
        <v>15</v>
      </c>
      <c r="W69" s="70">
        <v>15</v>
      </c>
      <c r="X69" s="70">
        <v>15</v>
      </c>
      <c r="Y69" s="70">
        <v>15</v>
      </c>
      <c r="Z69" s="70">
        <v>15</v>
      </c>
      <c r="AA69" s="70">
        <v>15</v>
      </c>
      <c r="AB69" s="70">
        <v>15</v>
      </c>
      <c r="AC69" s="70">
        <v>15</v>
      </c>
      <c r="AD69" s="70">
        <v>15</v>
      </c>
      <c r="AE69" s="70">
        <v>15</v>
      </c>
      <c r="AF69" s="70">
        <v>15</v>
      </c>
      <c r="AG69" s="86">
        <v>24</v>
      </c>
      <c r="AH69" s="12">
        <f t="shared" si="8"/>
        <v>15</v>
      </c>
      <c r="AI69" s="11">
        <f t="shared" si="9"/>
        <v>15</v>
      </c>
      <c r="AK69" s="19"/>
      <c r="AY69" s="1" t="s">
        <v>196</v>
      </c>
      <c r="AZ69" s="78">
        <f>ROUND(C82,0)</f>
        <v>0</v>
      </c>
      <c r="BA69" s="83">
        <f t="shared" si="39"/>
        <v>0</v>
      </c>
      <c r="BB69" s="83">
        <f t="shared" si="39"/>
        <v>0</v>
      </c>
      <c r="BC69" s="83">
        <f t="shared" si="39"/>
        <v>0</v>
      </c>
      <c r="BD69" s="83">
        <f t="shared" si="39"/>
        <v>0</v>
      </c>
      <c r="BE69" s="78">
        <f>I82</f>
        <v>0</v>
      </c>
      <c r="BF69" s="78">
        <f>K82</f>
        <v>0</v>
      </c>
      <c r="BG69" s="78">
        <f t="shared" si="40"/>
        <v>0</v>
      </c>
      <c r="BH69" s="78">
        <f t="shared" si="40"/>
        <v>0</v>
      </c>
      <c r="BI69" s="78">
        <f t="shared" si="40"/>
        <v>0</v>
      </c>
      <c r="BJ69" s="78">
        <f t="shared" si="40"/>
        <v>0</v>
      </c>
      <c r="BK69" s="78">
        <f t="shared" si="40"/>
        <v>0</v>
      </c>
      <c r="BL69" s="78">
        <f t="shared" si="40"/>
        <v>0</v>
      </c>
      <c r="BM69" s="78">
        <f t="shared" si="40"/>
        <v>0</v>
      </c>
      <c r="BN69" s="78">
        <f t="shared" si="40"/>
        <v>0</v>
      </c>
      <c r="BO69" s="78">
        <f t="shared" si="40"/>
        <v>0</v>
      </c>
      <c r="BP69" s="78">
        <f t="shared" si="40"/>
        <v>0</v>
      </c>
      <c r="BQ69" s="78">
        <f>X82</f>
        <v>0</v>
      </c>
      <c r="BR69" s="78">
        <f>Z82</f>
        <v>0</v>
      </c>
      <c r="BS69" s="83">
        <f>AB82</f>
        <v>0</v>
      </c>
      <c r="BT69" s="83">
        <f t="shared" si="41"/>
        <v>0</v>
      </c>
      <c r="BU69" s="83">
        <f t="shared" si="41"/>
        <v>0</v>
      </c>
      <c r="BV69" s="83">
        <f t="shared" si="41"/>
        <v>0</v>
      </c>
      <c r="BW69" s="83">
        <f>B82</f>
        <v>0</v>
      </c>
    </row>
    <row r="70" spans="1:75" x14ac:dyDescent="0.25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50</v>
      </c>
      <c r="BA70" s="83">
        <f t="shared" si="39"/>
        <v>50</v>
      </c>
      <c r="BB70" s="83">
        <f t="shared" si="39"/>
        <v>78.599999999999994</v>
      </c>
      <c r="BC70" s="83">
        <f t="shared" si="39"/>
        <v>62.5</v>
      </c>
      <c r="BD70" s="83">
        <f t="shared" si="39"/>
        <v>79</v>
      </c>
      <c r="BE70" s="78">
        <f>I83</f>
        <v>77.400000000000006</v>
      </c>
      <c r="BF70" s="78">
        <f>K83</f>
        <v>512</v>
      </c>
      <c r="BG70" s="78">
        <f t="shared" si="40"/>
        <v>492</v>
      </c>
      <c r="BH70" s="78">
        <f t="shared" si="40"/>
        <v>485</v>
      </c>
      <c r="BI70" s="78">
        <f t="shared" si="40"/>
        <v>508.1</v>
      </c>
      <c r="BJ70" s="78">
        <f t="shared" si="40"/>
        <v>530.1</v>
      </c>
      <c r="BK70" s="78">
        <f t="shared" si="40"/>
        <v>528</v>
      </c>
      <c r="BL70" s="78">
        <f t="shared" si="40"/>
        <v>490</v>
      </c>
      <c r="BM70" s="78">
        <f t="shared" si="40"/>
        <v>522.9</v>
      </c>
      <c r="BN70" s="78">
        <f t="shared" si="40"/>
        <v>532.79999999999995</v>
      </c>
      <c r="BO70" s="78">
        <f t="shared" si="40"/>
        <v>546.5</v>
      </c>
      <c r="BP70" s="78">
        <f t="shared" si="40"/>
        <v>503.9</v>
      </c>
      <c r="BQ70" s="78">
        <f>X83</f>
        <v>472.9</v>
      </c>
      <c r="BR70" s="78">
        <f>Z83</f>
        <v>194.3</v>
      </c>
      <c r="BS70" s="83">
        <f>AB83</f>
        <v>170</v>
      </c>
      <c r="BT70" s="83">
        <f t="shared" si="41"/>
        <v>118</v>
      </c>
      <c r="BU70" s="83">
        <f t="shared" si="41"/>
        <v>82</v>
      </c>
      <c r="BV70" s="83">
        <f t="shared" si="41"/>
        <v>140</v>
      </c>
      <c r="BW70" s="83">
        <f>B83</f>
        <v>30</v>
      </c>
    </row>
    <row r="71" spans="1:75" s="115" customFormat="1" x14ac:dyDescent="0.25">
      <c r="A71" s="87" t="s">
        <v>193</v>
      </c>
      <c r="B71" s="70">
        <v>11.6</v>
      </c>
      <c r="C71" s="70">
        <v>11.6</v>
      </c>
      <c r="D71" s="70">
        <v>11.6</v>
      </c>
      <c r="E71" s="70">
        <v>12.6</v>
      </c>
      <c r="F71" s="70">
        <v>12.6</v>
      </c>
      <c r="G71" s="70">
        <v>12.3</v>
      </c>
      <c r="H71" s="70">
        <v>12.3</v>
      </c>
      <c r="I71" s="70">
        <v>11.7</v>
      </c>
      <c r="J71" s="70">
        <v>11.7</v>
      </c>
      <c r="K71" s="70">
        <v>11.7</v>
      </c>
      <c r="L71" s="70">
        <v>12.2</v>
      </c>
      <c r="M71" s="70">
        <v>12.3</v>
      </c>
      <c r="N71" s="70">
        <v>12.3</v>
      </c>
      <c r="O71" s="70">
        <v>12.3</v>
      </c>
      <c r="P71" s="70">
        <v>12.3</v>
      </c>
      <c r="Q71" s="70">
        <v>12.3</v>
      </c>
      <c r="R71" s="70">
        <v>12.3</v>
      </c>
      <c r="S71" s="70">
        <v>12.3</v>
      </c>
      <c r="T71" s="70">
        <v>12.3</v>
      </c>
      <c r="U71" s="70">
        <v>12.3</v>
      </c>
      <c r="V71" s="70">
        <v>12.3</v>
      </c>
      <c r="W71" s="70">
        <v>12.3</v>
      </c>
      <c r="X71" s="70">
        <v>12.3</v>
      </c>
      <c r="Y71" s="70">
        <v>12.3</v>
      </c>
      <c r="Z71" s="70">
        <v>12.3</v>
      </c>
      <c r="AA71" s="70">
        <v>12.3</v>
      </c>
      <c r="AB71" s="70">
        <v>12.5</v>
      </c>
      <c r="AC71" s="70">
        <v>12.5</v>
      </c>
      <c r="AD71" s="70">
        <v>12.5</v>
      </c>
      <c r="AE71" s="70">
        <v>12.5</v>
      </c>
      <c r="AF71" s="70">
        <v>12.5</v>
      </c>
      <c r="AG71" s="86">
        <v>14.1</v>
      </c>
      <c r="AH71" s="12">
        <f t="shared" si="8"/>
        <v>12.6</v>
      </c>
      <c r="AI71" s="11">
        <f t="shared" si="9"/>
        <v>11.6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39"/>
        <v>0</v>
      </c>
      <c r="BB71" s="83">
        <f t="shared" si="39"/>
        <v>0</v>
      </c>
      <c r="BC71" s="83">
        <f t="shared" si="39"/>
        <v>0</v>
      </c>
      <c r="BD71" s="83">
        <f t="shared" si="39"/>
        <v>0</v>
      </c>
      <c r="BE71" s="78">
        <f>I84</f>
        <v>0</v>
      </c>
      <c r="BF71" s="78">
        <f>K84</f>
        <v>0</v>
      </c>
      <c r="BG71" s="78">
        <f t="shared" si="40"/>
        <v>48</v>
      </c>
      <c r="BH71" s="78">
        <f t="shared" si="40"/>
        <v>54</v>
      </c>
      <c r="BI71" s="78">
        <f t="shared" si="40"/>
        <v>54.9</v>
      </c>
      <c r="BJ71" s="78">
        <f t="shared" si="40"/>
        <v>50</v>
      </c>
      <c r="BK71" s="78">
        <f t="shared" si="40"/>
        <v>46.6</v>
      </c>
      <c r="BL71" s="78">
        <f t="shared" si="40"/>
        <v>46.1</v>
      </c>
      <c r="BM71" s="78">
        <f t="shared" si="40"/>
        <v>27.3</v>
      </c>
      <c r="BN71" s="78">
        <f t="shared" si="40"/>
        <v>27.8</v>
      </c>
      <c r="BO71" s="78">
        <f t="shared" si="40"/>
        <v>40</v>
      </c>
      <c r="BP71" s="78">
        <f t="shared" si="40"/>
        <v>45</v>
      </c>
      <c r="BQ71" s="78">
        <f>X84</f>
        <v>0</v>
      </c>
      <c r="BR71" s="78">
        <f>Z84</f>
        <v>0</v>
      </c>
      <c r="BS71" s="83">
        <f>AB84</f>
        <v>0</v>
      </c>
      <c r="BT71" s="83">
        <f t="shared" si="41"/>
        <v>0</v>
      </c>
      <c r="BU71" s="83">
        <f t="shared" si="41"/>
        <v>0</v>
      </c>
      <c r="BV71" s="83">
        <f t="shared" si="41"/>
        <v>0</v>
      </c>
      <c r="BW71" s="83">
        <f>B84</f>
        <v>0</v>
      </c>
    </row>
    <row r="72" spans="1:75" x14ac:dyDescent="0.25">
      <c r="A72" s="111" t="s">
        <v>191</v>
      </c>
      <c r="B72" s="70">
        <v>7</v>
      </c>
      <c r="C72" s="70">
        <v>7</v>
      </c>
      <c r="D72" s="70">
        <v>7</v>
      </c>
      <c r="E72" s="70">
        <v>6.8</v>
      </c>
      <c r="F72" s="70">
        <v>6.8</v>
      </c>
      <c r="G72" s="70">
        <v>7.8</v>
      </c>
      <c r="H72" s="70">
        <v>7.8</v>
      </c>
      <c r="I72" s="70">
        <v>7.7</v>
      </c>
      <c r="J72" s="70">
        <v>7.7</v>
      </c>
      <c r="K72" s="70">
        <v>7.7</v>
      </c>
      <c r="L72" s="70">
        <v>7.47</v>
      </c>
      <c r="M72" s="70">
        <v>7</v>
      </c>
      <c r="N72" s="70">
        <v>7</v>
      </c>
      <c r="O72" s="70">
        <v>7</v>
      </c>
      <c r="P72" s="70">
        <v>7</v>
      </c>
      <c r="Q72" s="70">
        <v>7</v>
      </c>
      <c r="R72" s="70">
        <v>7</v>
      </c>
      <c r="S72" s="70">
        <v>7</v>
      </c>
      <c r="T72" s="70">
        <v>7</v>
      </c>
      <c r="U72" s="70">
        <v>7</v>
      </c>
      <c r="V72" s="70">
        <v>7</v>
      </c>
      <c r="W72" s="70">
        <v>7</v>
      </c>
      <c r="X72" s="70">
        <v>7</v>
      </c>
      <c r="Y72" s="70">
        <v>7</v>
      </c>
      <c r="Z72" s="70">
        <v>7</v>
      </c>
      <c r="AA72" s="70">
        <v>7</v>
      </c>
      <c r="AB72" s="70">
        <v>7</v>
      </c>
      <c r="AC72" s="70">
        <v>7</v>
      </c>
      <c r="AD72" s="70">
        <v>7</v>
      </c>
      <c r="AE72" s="70">
        <v>7</v>
      </c>
      <c r="AF72" s="70">
        <v>7</v>
      </c>
      <c r="AG72" s="86">
        <v>14</v>
      </c>
      <c r="AH72" s="12">
        <f t="shared" si="8"/>
        <v>7.8</v>
      </c>
      <c r="AI72" s="11">
        <f t="shared" si="9"/>
        <v>6.8</v>
      </c>
      <c r="AK72" s="19"/>
      <c r="AY72" s="1" t="s">
        <v>190</v>
      </c>
      <c r="AZ72" s="78">
        <f>ROUND(C85,0)</f>
        <v>0</v>
      </c>
      <c r="BA72" s="83">
        <f t="shared" si="39"/>
        <v>0</v>
      </c>
      <c r="BB72" s="83">
        <f t="shared" si="39"/>
        <v>0</v>
      </c>
      <c r="BC72" s="83">
        <f t="shared" si="39"/>
        <v>0</v>
      </c>
      <c r="BD72" s="83">
        <f t="shared" si="39"/>
        <v>0</v>
      </c>
      <c r="BE72" s="78">
        <f>I85</f>
        <v>0</v>
      </c>
      <c r="BF72" s="78">
        <f>K85</f>
        <v>0</v>
      </c>
      <c r="BG72" s="78">
        <f t="shared" si="40"/>
        <v>110</v>
      </c>
      <c r="BH72" s="78">
        <f t="shared" si="40"/>
        <v>140</v>
      </c>
      <c r="BI72" s="78">
        <f t="shared" si="40"/>
        <v>128</v>
      </c>
      <c r="BJ72" s="78">
        <f t="shared" si="40"/>
        <v>112.7</v>
      </c>
      <c r="BK72" s="78">
        <f t="shared" si="40"/>
        <v>139.69999999999999</v>
      </c>
      <c r="BL72" s="78">
        <f t="shared" si="40"/>
        <v>123.6</v>
      </c>
      <c r="BM72" s="78">
        <f t="shared" si="40"/>
        <v>107.6</v>
      </c>
      <c r="BN72" s="78">
        <f t="shared" si="40"/>
        <v>124.6</v>
      </c>
      <c r="BO72" s="78">
        <f t="shared" si="40"/>
        <v>133.5</v>
      </c>
      <c r="BP72" s="78">
        <f t="shared" si="40"/>
        <v>120.2</v>
      </c>
      <c r="BQ72" s="78">
        <f>X85</f>
        <v>0</v>
      </c>
      <c r="BR72" s="78">
        <f>Z85</f>
        <v>0</v>
      </c>
      <c r="BS72" s="83">
        <f>AB85</f>
        <v>0</v>
      </c>
      <c r="BT72" s="83">
        <f t="shared" si="41"/>
        <v>0</v>
      </c>
      <c r="BU72" s="83">
        <f t="shared" si="41"/>
        <v>0</v>
      </c>
      <c r="BV72" s="83">
        <f t="shared" si="41"/>
        <v>0</v>
      </c>
      <c r="BW72" s="83">
        <f>B85</f>
        <v>0</v>
      </c>
    </row>
    <row r="73" spans="1:75" x14ac:dyDescent="0.25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8"/>
        <v>4</v>
      </c>
      <c r="AI73" s="11">
        <f t="shared" si="9"/>
        <v>4</v>
      </c>
      <c r="AK73" s="19"/>
      <c r="AY73" s="1" t="s">
        <v>188</v>
      </c>
      <c r="AZ73" s="78">
        <f>ROUND(C91,0)</f>
        <v>44</v>
      </c>
      <c r="BA73" s="78">
        <f>D91</f>
        <v>40</v>
      </c>
      <c r="BB73" s="78">
        <f>E91</f>
        <v>39.700000000000003</v>
      </c>
      <c r="BC73" s="78">
        <f>F91</f>
        <v>37</v>
      </c>
      <c r="BD73" s="78">
        <f>G91</f>
        <v>35.6</v>
      </c>
      <c r="BE73" s="78">
        <f>I91</f>
        <v>37.700000000000003</v>
      </c>
      <c r="BF73" s="78">
        <f>K91</f>
        <v>46</v>
      </c>
      <c r="BG73" s="78">
        <f t="shared" ref="BG73:BP73" si="42">M91</f>
        <v>50.9</v>
      </c>
      <c r="BH73" s="78">
        <f t="shared" si="42"/>
        <v>52</v>
      </c>
      <c r="BI73" s="78">
        <f t="shared" si="42"/>
        <v>49</v>
      </c>
      <c r="BJ73" s="78">
        <f t="shared" si="42"/>
        <v>41.4</v>
      </c>
      <c r="BK73" s="78">
        <f t="shared" si="42"/>
        <v>47.1</v>
      </c>
      <c r="BL73" s="78">
        <f t="shared" si="42"/>
        <v>42.4</v>
      </c>
      <c r="BM73" s="78">
        <f t="shared" si="42"/>
        <v>48</v>
      </c>
      <c r="BN73" s="78">
        <f t="shared" si="42"/>
        <v>49.4</v>
      </c>
      <c r="BO73" s="78">
        <f t="shared" si="42"/>
        <v>53.8</v>
      </c>
      <c r="BP73" s="78">
        <f t="shared" si="42"/>
        <v>48.2</v>
      </c>
      <c r="BQ73" s="78">
        <f>X91</f>
        <v>40</v>
      </c>
      <c r="BR73" s="78">
        <f>Z91</f>
        <v>40.700000000000003</v>
      </c>
      <c r="BS73" s="78">
        <f>AB91</f>
        <v>38.1</v>
      </c>
      <c r="BT73" s="78">
        <f>AD91</f>
        <v>40</v>
      </c>
      <c r="BU73" s="78">
        <f>AE91</f>
        <v>40</v>
      </c>
      <c r="BV73" s="78">
        <f>AF91</f>
        <v>43</v>
      </c>
      <c r="BW73" s="78">
        <f>B91</f>
        <v>44</v>
      </c>
    </row>
    <row r="74" spans="1:75" x14ac:dyDescent="0.25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.75" thickBot="1" x14ac:dyDescent="0.3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3.54</v>
      </c>
      <c r="Z75" s="113">
        <v>3.54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3.54</v>
      </c>
      <c r="AK75" s="19"/>
      <c r="AZ75" s="78">
        <f t="shared" ref="AZ75:BW80" si="43">VALUE(AZ68)</f>
        <v>10</v>
      </c>
      <c r="BA75" s="78">
        <f t="shared" si="43"/>
        <v>10</v>
      </c>
      <c r="BB75" s="78">
        <f t="shared" si="43"/>
        <v>18.2</v>
      </c>
      <c r="BC75" s="78">
        <f t="shared" si="43"/>
        <v>13.2</v>
      </c>
      <c r="BD75" s="78">
        <f t="shared" si="43"/>
        <v>16</v>
      </c>
      <c r="BE75" s="78">
        <f t="shared" si="43"/>
        <v>28.3</v>
      </c>
      <c r="BF75" s="78">
        <f t="shared" si="43"/>
        <v>58</v>
      </c>
      <c r="BG75" s="78">
        <f t="shared" si="43"/>
        <v>61.7</v>
      </c>
      <c r="BH75" s="78">
        <f t="shared" si="43"/>
        <v>69</v>
      </c>
      <c r="BI75" s="78">
        <f t="shared" si="43"/>
        <v>72.8</v>
      </c>
      <c r="BJ75" s="78">
        <f t="shared" si="43"/>
        <v>76.2</v>
      </c>
      <c r="BK75" s="78">
        <f t="shared" si="43"/>
        <v>76</v>
      </c>
      <c r="BL75" s="78">
        <f t="shared" si="43"/>
        <v>73.599999999999994</v>
      </c>
      <c r="BM75" s="78">
        <f t="shared" si="43"/>
        <v>68.2</v>
      </c>
      <c r="BN75" s="78">
        <f t="shared" si="43"/>
        <v>54</v>
      </c>
      <c r="BO75" s="78">
        <f t="shared" si="43"/>
        <v>63.9</v>
      </c>
      <c r="BP75" s="78">
        <f t="shared" si="43"/>
        <v>73.8</v>
      </c>
      <c r="BQ75" s="78">
        <f t="shared" si="43"/>
        <v>58.7</v>
      </c>
      <c r="BR75" s="78">
        <f t="shared" si="43"/>
        <v>54.5</v>
      </c>
      <c r="BS75" s="78">
        <f t="shared" si="43"/>
        <v>50.5</v>
      </c>
      <c r="BT75" s="78">
        <f t="shared" si="43"/>
        <v>37</v>
      </c>
      <c r="BU75" s="78">
        <f t="shared" si="43"/>
        <v>34</v>
      </c>
      <c r="BV75" s="78">
        <f t="shared" si="43"/>
        <v>27</v>
      </c>
      <c r="BW75" s="78">
        <f t="shared" si="43"/>
        <v>10</v>
      </c>
    </row>
    <row r="76" spans="1:75" ht="15.75" thickBot="1" x14ac:dyDescent="0.3">
      <c r="A76" s="77" t="s">
        <v>186</v>
      </c>
      <c r="B76" s="76">
        <f t="shared" ref="B76:C76" si="44">SUM(B63:B75)</f>
        <v>363.34000000000003</v>
      </c>
      <c r="C76" s="76">
        <f t="shared" si="44"/>
        <v>340.34000000000003</v>
      </c>
      <c r="D76" s="76">
        <f t="shared" ref="D76" si="45">SUM(D63:D75)</f>
        <v>328.34000000000003</v>
      </c>
      <c r="E76" s="76">
        <f t="shared" ref="E76:AG76" si="46">SUM(E63:E75)</f>
        <v>306.04000000000002</v>
      </c>
      <c r="F76" s="76">
        <f t="shared" si="46"/>
        <v>302.44000000000005</v>
      </c>
      <c r="G76" s="76">
        <f t="shared" si="46"/>
        <v>308.32000000000005</v>
      </c>
      <c r="H76" s="76">
        <f t="shared" si="46"/>
        <v>313.44000000000005</v>
      </c>
      <c r="I76" s="76">
        <f t="shared" si="46"/>
        <v>341.44</v>
      </c>
      <c r="J76" s="76">
        <f t="shared" si="46"/>
        <v>332.44</v>
      </c>
      <c r="K76" s="76">
        <f t="shared" si="46"/>
        <v>322.04000000000002</v>
      </c>
      <c r="L76" s="76">
        <f t="shared" si="46"/>
        <v>250.70999999999998</v>
      </c>
      <c r="M76" s="76">
        <f t="shared" ref="M76" si="47">SUM(M63:M75)</f>
        <v>253.34000000000003</v>
      </c>
      <c r="N76" s="76">
        <f t="shared" si="46"/>
        <v>258.04000000000002</v>
      </c>
      <c r="O76" s="76">
        <f t="shared" si="46"/>
        <v>245.24</v>
      </c>
      <c r="P76" s="76">
        <f t="shared" si="46"/>
        <v>253.73999999999998</v>
      </c>
      <c r="Q76" s="76">
        <f t="shared" si="46"/>
        <v>261.44</v>
      </c>
      <c r="R76" s="76">
        <f t="shared" si="46"/>
        <v>263.54000000000002</v>
      </c>
      <c r="S76" s="76">
        <f t="shared" si="46"/>
        <v>219.94000000000003</v>
      </c>
      <c r="T76" s="76">
        <f t="shared" ref="T76:U76" si="48">SUM(T63:T75)</f>
        <v>207.44000000000003</v>
      </c>
      <c r="U76" s="76">
        <f t="shared" si="48"/>
        <v>202.64000000000001</v>
      </c>
      <c r="V76" s="76">
        <f t="shared" ref="V76:W76" si="49">SUM(V63:V75)</f>
        <v>216.84</v>
      </c>
      <c r="W76" s="76">
        <f t="shared" si="49"/>
        <v>215.34</v>
      </c>
      <c r="X76" s="76">
        <f t="shared" ref="X76:Z76" si="50">SUM(X63:X75)</f>
        <v>303.14000000000004</v>
      </c>
      <c r="Y76" s="76">
        <f t="shared" si="50"/>
        <v>331.24</v>
      </c>
      <c r="Z76" s="76">
        <f t="shared" si="50"/>
        <v>378.04</v>
      </c>
      <c r="AA76" s="76">
        <f t="shared" ref="AA76" si="51">SUM(AA63:AA75)</f>
        <v>388.94</v>
      </c>
      <c r="AB76" s="76">
        <f t="shared" si="46"/>
        <v>370.94</v>
      </c>
      <c r="AC76" s="76">
        <f t="shared" si="46"/>
        <v>370.94</v>
      </c>
      <c r="AD76" s="76">
        <f t="shared" si="46"/>
        <v>370.94</v>
      </c>
      <c r="AE76" s="76">
        <f t="shared" si="46"/>
        <v>318.44</v>
      </c>
      <c r="AF76" s="76">
        <f t="shared" si="46"/>
        <v>318.44</v>
      </c>
      <c r="AG76" s="93">
        <f t="shared" si="46"/>
        <v>489.91</v>
      </c>
      <c r="AH76" s="12">
        <f t="shared" si="8"/>
        <v>388.94</v>
      </c>
      <c r="AI76" s="11">
        <f t="shared" si="9"/>
        <v>202.64000000000001</v>
      </c>
      <c r="AK76" s="19"/>
      <c r="AZ76" s="78">
        <f t="shared" si="43"/>
        <v>0</v>
      </c>
      <c r="BA76" s="78">
        <f t="shared" si="43"/>
        <v>0</v>
      </c>
      <c r="BB76" s="78">
        <f t="shared" si="43"/>
        <v>0</v>
      </c>
      <c r="BC76" s="78">
        <f t="shared" si="43"/>
        <v>0</v>
      </c>
      <c r="BD76" s="78">
        <f t="shared" si="43"/>
        <v>0</v>
      </c>
      <c r="BE76" s="78">
        <f t="shared" si="43"/>
        <v>0</v>
      </c>
      <c r="BF76" s="78">
        <f t="shared" si="43"/>
        <v>0</v>
      </c>
      <c r="BG76" s="78">
        <f t="shared" si="43"/>
        <v>0</v>
      </c>
      <c r="BH76" s="78">
        <f t="shared" si="43"/>
        <v>0</v>
      </c>
      <c r="BI76" s="78">
        <f t="shared" si="43"/>
        <v>0</v>
      </c>
      <c r="BJ76" s="78">
        <f t="shared" si="43"/>
        <v>0</v>
      </c>
      <c r="BK76" s="78">
        <f t="shared" si="43"/>
        <v>0</v>
      </c>
      <c r="BL76" s="78">
        <f t="shared" si="43"/>
        <v>0</v>
      </c>
      <c r="BM76" s="78">
        <f t="shared" si="43"/>
        <v>0</v>
      </c>
      <c r="BN76" s="78">
        <f t="shared" si="43"/>
        <v>0</v>
      </c>
      <c r="BO76" s="78">
        <f t="shared" si="43"/>
        <v>0</v>
      </c>
      <c r="BP76" s="78">
        <f t="shared" si="43"/>
        <v>0</v>
      </c>
      <c r="BQ76" s="78">
        <f t="shared" si="43"/>
        <v>0</v>
      </c>
      <c r="BR76" s="78">
        <f t="shared" si="43"/>
        <v>0</v>
      </c>
      <c r="BS76" s="78">
        <f t="shared" si="43"/>
        <v>0</v>
      </c>
      <c r="BT76" s="78">
        <f t="shared" si="43"/>
        <v>0</v>
      </c>
      <c r="BU76" s="78">
        <f t="shared" si="43"/>
        <v>0</v>
      </c>
      <c r="BV76" s="78">
        <f t="shared" si="43"/>
        <v>0</v>
      </c>
      <c r="BW76" s="78">
        <f t="shared" si="43"/>
        <v>0</v>
      </c>
    </row>
    <row r="77" spans="1:75" x14ac:dyDescent="0.25">
      <c r="A77" s="89" t="s">
        <v>185</v>
      </c>
      <c r="B77" s="102">
        <v>59.3</v>
      </c>
      <c r="C77" s="102">
        <v>59.3</v>
      </c>
      <c r="D77" s="102">
        <v>59.3</v>
      </c>
      <c r="E77" s="102">
        <v>59.2</v>
      </c>
      <c r="F77" s="102">
        <v>59.2</v>
      </c>
      <c r="G77" s="102">
        <v>59.2</v>
      </c>
      <c r="H77" s="102">
        <v>59.2</v>
      </c>
      <c r="I77" s="102">
        <v>59.3</v>
      </c>
      <c r="J77" s="102">
        <v>59.9</v>
      </c>
      <c r="K77" s="102">
        <v>59.9</v>
      </c>
      <c r="L77" s="102">
        <v>39.9</v>
      </c>
      <c r="M77" s="102">
        <v>39.9</v>
      </c>
      <c r="N77" s="102">
        <v>40</v>
      </c>
      <c r="O77" s="102">
        <v>40</v>
      </c>
      <c r="P77" s="102">
        <v>40</v>
      </c>
      <c r="Q77" s="102">
        <v>40</v>
      </c>
      <c r="R77" s="102">
        <v>40</v>
      </c>
      <c r="S77" s="102">
        <v>43.7</v>
      </c>
      <c r="T77" s="102">
        <v>59.5</v>
      </c>
      <c r="U77" s="102">
        <v>59.5</v>
      </c>
      <c r="V77" s="102">
        <v>59.5</v>
      </c>
      <c r="W77" s="102">
        <v>59.5</v>
      </c>
      <c r="X77" s="102">
        <v>39.6</v>
      </c>
      <c r="Y77" s="102">
        <v>60</v>
      </c>
      <c r="Z77" s="102">
        <v>60</v>
      </c>
      <c r="AA77" s="102">
        <v>60</v>
      </c>
      <c r="AB77" s="102">
        <v>59.9</v>
      </c>
      <c r="AC77" s="102">
        <v>59.9</v>
      </c>
      <c r="AD77" s="102">
        <v>59.9</v>
      </c>
      <c r="AE77" s="102">
        <v>59.9</v>
      </c>
      <c r="AF77" s="102">
        <v>59.9</v>
      </c>
      <c r="AG77" s="88">
        <v>60</v>
      </c>
      <c r="AH77" s="12">
        <f t="shared" si="8"/>
        <v>60</v>
      </c>
      <c r="AI77" s="11">
        <f t="shared" si="9"/>
        <v>39.6</v>
      </c>
      <c r="AK77" s="19"/>
      <c r="AZ77" s="78">
        <f t="shared" si="43"/>
        <v>50</v>
      </c>
      <c r="BA77" s="78">
        <f t="shared" si="43"/>
        <v>50</v>
      </c>
      <c r="BB77" s="78">
        <f t="shared" si="43"/>
        <v>78.599999999999994</v>
      </c>
      <c r="BC77" s="78">
        <f t="shared" si="43"/>
        <v>62.5</v>
      </c>
      <c r="BD77" s="78">
        <f t="shared" si="43"/>
        <v>79</v>
      </c>
      <c r="BE77" s="78">
        <f t="shared" si="43"/>
        <v>77.400000000000006</v>
      </c>
      <c r="BF77" s="78">
        <f t="shared" si="43"/>
        <v>512</v>
      </c>
      <c r="BG77" s="78">
        <f t="shared" si="43"/>
        <v>492</v>
      </c>
      <c r="BH77" s="78">
        <f t="shared" si="43"/>
        <v>485</v>
      </c>
      <c r="BI77" s="78">
        <f t="shared" si="43"/>
        <v>508.1</v>
      </c>
      <c r="BJ77" s="78">
        <f t="shared" si="43"/>
        <v>530.1</v>
      </c>
      <c r="BK77" s="78">
        <f t="shared" si="43"/>
        <v>528</v>
      </c>
      <c r="BL77" s="78">
        <f t="shared" si="43"/>
        <v>490</v>
      </c>
      <c r="BM77" s="78">
        <f t="shared" si="43"/>
        <v>522.9</v>
      </c>
      <c r="BN77" s="78">
        <f t="shared" si="43"/>
        <v>532.79999999999995</v>
      </c>
      <c r="BO77" s="78">
        <f t="shared" si="43"/>
        <v>546.5</v>
      </c>
      <c r="BP77" s="78">
        <f t="shared" si="43"/>
        <v>503.9</v>
      </c>
      <c r="BQ77" s="78">
        <f t="shared" si="43"/>
        <v>472.9</v>
      </c>
      <c r="BR77" s="78">
        <f t="shared" si="43"/>
        <v>194.3</v>
      </c>
      <c r="BS77" s="78">
        <f t="shared" si="43"/>
        <v>170</v>
      </c>
      <c r="BT77" s="78">
        <f t="shared" si="43"/>
        <v>118</v>
      </c>
      <c r="BU77" s="78">
        <f t="shared" si="43"/>
        <v>82</v>
      </c>
      <c r="BV77" s="78">
        <f t="shared" si="43"/>
        <v>140</v>
      </c>
      <c r="BW77" s="78">
        <f t="shared" si="43"/>
        <v>30</v>
      </c>
    </row>
    <row r="78" spans="1:75" x14ac:dyDescent="0.25">
      <c r="A78" s="87" t="s">
        <v>184</v>
      </c>
      <c r="B78" s="70">
        <v>27.5</v>
      </c>
      <c r="C78" s="70">
        <v>27.5</v>
      </c>
      <c r="D78" s="70">
        <v>27.5</v>
      </c>
      <c r="E78" s="70">
        <v>27.4</v>
      </c>
      <c r="F78" s="70">
        <v>27.4</v>
      </c>
      <c r="G78" s="70">
        <v>27.4</v>
      </c>
      <c r="H78" s="70">
        <v>27.4</v>
      </c>
      <c r="I78" s="70">
        <v>27.4</v>
      </c>
      <c r="J78" s="70">
        <v>12.1</v>
      </c>
      <c r="K78" s="70">
        <v>12.1</v>
      </c>
      <c r="L78" s="70">
        <v>16.2</v>
      </c>
      <c r="M78" s="70">
        <v>16.100000000000001</v>
      </c>
      <c r="N78" s="70">
        <v>15.9</v>
      </c>
      <c r="O78" s="70">
        <v>16.3</v>
      </c>
      <c r="P78" s="70">
        <v>16.3</v>
      </c>
      <c r="Q78" s="70">
        <v>16.3</v>
      </c>
      <c r="R78" s="70">
        <v>16.3</v>
      </c>
      <c r="S78" s="70">
        <v>10.8</v>
      </c>
      <c r="T78" s="70">
        <v>27.9</v>
      </c>
      <c r="U78" s="70">
        <v>27.9</v>
      </c>
      <c r="V78" s="70">
        <v>27.9</v>
      </c>
      <c r="W78" s="70">
        <v>27.9</v>
      </c>
      <c r="X78" s="70">
        <v>21.1</v>
      </c>
      <c r="Y78" s="70">
        <v>26.7</v>
      </c>
      <c r="Z78" s="70">
        <v>28.7</v>
      </c>
      <c r="AA78" s="70">
        <v>28.7</v>
      </c>
      <c r="AB78" s="70">
        <v>27.3</v>
      </c>
      <c r="AC78" s="70">
        <v>27.3</v>
      </c>
      <c r="AD78" s="70">
        <v>27.3</v>
      </c>
      <c r="AE78" s="70">
        <v>27.3</v>
      </c>
      <c r="AF78" s="70">
        <v>27.3</v>
      </c>
      <c r="AG78" s="86">
        <v>32</v>
      </c>
      <c r="AH78" s="12">
        <f t="shared" si="8"/>
        <v>28.7</v>
      </c>
      <c r="AI78" s="11">
        <f t="shared" si="9"/>
        <v>10.8</v>
      </c>
      <c r="AK78" s="19"/>
      <c r="AZ78" s="78">
        <f t="shared" si="43"/>
        <v>0</v>
      </c>
      <c r="BA78" s="78">
        <f t="shared" si="43"/>
        <v>0</v>
      </c>
      <c r="BB78" s="78">
        <f t="shared" si="43"/>
        <v>0</v>
      </c>
      <c r="BC78" s="78">
        <f t="shared" si="43"/>
        <v>0</v>
      </c>
      <c r="BD78" s="78">
        <f t="shared" si="43"/>
        <v>0</v>
      </c>
      <c r="BE78" s="78">
        <f t="shared" si="43"/>
        <v>0</v>
      </c>
      <c r="BF78" s="78">
        <f t="shared" si="43"/>
        <v>0</v>
      </c>
      <c r="BG78" s="78">
        <f t="shared" si="43"/>
        <v>48</v>
      </c>
      <c r="BH78" s="78">
        <f t="shared" si="43"/>
        <v>54</v>
      </c>
      <c r="BI78" s="78">
        <f t="shared" si="43"/>
        <v>54.9</v>
      </c>
      <c r="BJ78" s="78">
        <f t="shared" si="43"/>
        <v>50</v>
      </c>
      <c r="BK78" s="78">
        <f t="shared" si="43"/>
        <v>46.6</v>
      </c>
      <c r="BL78" s="78">
        <f t="shared" si="43"/>
        <v>46.1</v>
      </c>
      <c r="BM78" s="78">
        <f t="shared" si="43"/>
        <v>27.3</v>
      </c>
      <c r="BN78" s="78">
        <f t="shared" si="43"/>
        <v>27.8</v>
      </c>
      <c r="BO78" s="78">
        <f t="shared" si="43"/>
        <v>40</v>
      </c>
      <c r="BP78" s="78">
        <f t="shared" si="43"/>
        <v>45</v>
      </c>
      <c r="BQ78" s="78">
        <f t="shared" si="43"/>
        <v>0</v>
      </c>
      <c r="BR78" s="78">
        <f t="shared" si="43"/>
        <v>0</v>
      </c>
      <c r="BS78" s="78">
        <f t="shared" si="43"/>
        <v>0</v>
      </c>
      <c r="BT78" s="78">
        <f t="shared" si="43"/>
        <v>0</v>
      </c>
      <c r="BU78" s="78">
        <f t="shared" si="43"/>
        <v>0</v>
      </c>
      <c r="BV78" s="78">
        <f t="shared" si="43"/>
        <v>0</v>
      </c>
      <c r="BW78" s="78">
        <f t="shared" si="43"/>
        <v>0</v>
      </c>
    </row>
    <row r="79" spans="1:75" ht="15.75" thickBot="1" x14ac:dyDescent="0.3">
      <c r="A79" s="111" t="s">
        <v>183</v>
      </c>
      <c r="B79" s="110">
        <v>10</v>
      </c>
      <c r="C79" s="110">
        <v>10</v>
      </c>
      <c r="D79" s="110">
        <v>10</v>
      </c>
      <c r="E79" s="110">
        <v>10.1</v>
      </c>
      <c r="F79" s="110">
        <v>10.1</v>
      </c>
      <c r="G79" s="110">
        <v>10</v>
      </c>
      <c r="H79" s="110">
        <v>10</v>
      </c>
      <c r="I79" s="110">
        <v>10</v>
      </c>
      <c r="J79" s="110">
        <v>4.4000000000000004</v>
      </c>
      <c r="K79" s="110">
        <v>4.4000000000000004</v>
      </c>
      <c r="L79" s="110">
        <v>5.9</v>
      </c>
      <c r="M79" s="110">
        <v>5.9</v>
      </c>
      <c r="N79" s="110">
        <v>5.8</v>
      </c>
      <c r="O79" s="110">
        <v>5.9</v>
      </c>
      <c r="P79" s="110">
        <v>5.9</v>
      </c>
      <c r="Q79" s="110">
        <v>6</v>
      </c>
      <c r="R79" s="110">
        <v>6</v>
      </c>
      <c r="S79" s="110">
        <v>3.9</v>
      </c>
      <c r="T79" s="110">
        <v>10.1</v>
      </c>
      <c r="U79" s="110">
        <v>10.1</v>
      </c>
      <c r="V79" s="110">
        <v>10.1</v>
      </c>
      <c r="W79" s="110">
        <v>10.1</v>
      </c>
      <c r="X79" s="110">
        <v>7.7</v>
      </c>
      <c r="Y79" s="110">
        <v>9.6999999999999993</v>
      </c>
      <c r="Z79" s="110">
        <v>10.5</v>
      </c>
      <c r="AA79" s="110">
        <v>10.5</v>
      </c>
      <c r="AB79" s="110">
        <v>10.1</v>
      </c>
      <c r="AC79" s="110">
        <v>10.1</v>
      </c>
      <c r="AD79" s="110">
        <v>10.1</v>
      </c>
      <c r="AE79" s="110">
        <v>10.1</v>
      </c>
      <c r="AF79" s="110">
        <v>10.1</v>
      </c>
      <c r="AG79" s="109">
        <v>14</v>
      </c>
      <c r="AH79" s="12">
        <f t="shared" si="8"/>
        <v>10.5</v>
      </c>
      <c r="AI79" s="11">
        <f t="shared" si="9"/>
        <v>3.9</v>
      </c>
      <c r="AK79" s="19"/>
      <c r="AZ79" s="78">
        <f t="shared" si="43"/>
        <v>0</v>
      </c>
      <c r="BA79" s="78">
        <f t="shared" si="43"/>
        <v>0</v>
      </c>
      <c r="BB79" s="78">
        <f t="shared" si="43"/>
        <v>0</v>
      </c>
      <c r="BC79" s="78">
        <f t="shared" si="43"/>
        <v>0</v>
      </c>
      <c r="BD79" s="78">
        <f t="shared" si="43"/>
        <v>0</v>
      </c>
      <c r="BE79" s="78">
        <f t="shared" si="43"/>
        <v>0</v>
      </c>
      <c r="BF79" s="78">
        <f t="shared" si="43"/>
        <v>0</v>
      </c>
      <c r="BG79" s="78">
        <f t="shared" si="43"/>
        <v>110</v>
      </c>
      <c r="BH79" s="78">
        <f t="shared" si="43"/>
        <v>140</v>
      </c>
      <c r="BI79" s="78">
        <f t="shared" si="43"/>
        <v>128</v>
      </c>
      <c r="BJ79" s="78">
        <f t="shared" si="43"/>
        <v>112.7</v>
      </c>
      <c r="BK79" s="78">
        <f t="shared" si="43"/>
        <v>139.69999999999999</v>
      </c>
      <c r="BL79" s="78">
        <f t="shared" si="43"/>
        <v>123.6</v>
      </c>
      <c r="BM79" s="78">
        <f t="shared" si="43"/>
        <v>107.6</v>
      </c>
      <c r="BN79" s="78">
        <f t="shared" si="43"/>
        <v>124.6</v>
      </c>
      <c r="BO79" s="78">
        <f t="shared" si="43"/>
        <v>133.5</v>
      </c>
      <c r="BP79" s="78">
        <f t="shared" si="43"/>
        <v>120.2</v>
      </c>
      <c r="BQ79" s="78">
        <f t="shared" si="43"/>
        <v>0</v>
      </c>
      <c r="BR79" s="78">
        <f t="shared" si="43"/>
        <v>0</v>
      </c>
      <c r="BS79" s="78">
        <f t="shared" si="43"/>
        <v>0</v>
      </c>
      <c r="BT79" s="78">
        <f t="shared" si="43"/>
        <v>0</v>
      </c>
      <c r="BU79" s="78">
        <f t="shared" si="43"/>
        <v>0</v>
      </c>
      <c r="BV79" s="78">
        <f t="shared" si="43"/>
        <v>0</v>
      </c>
      <c r="BW79" s="78">
        <f t="shared" si="43"/>
        <v>0</v>
      </c>
    </row>
    <row r="80" spans="1:75" ht="15.75" thickBot="1" x14ac:dyDescent="0.3">
      <c r="A80" s="77" t="s">
        <v>182</v>
      </c>
      <c r="B80" s="76">
        <f t="shared" ref="B80:C80" si="52">B77+B78+B79</f>
        <v>96.8</v>
      </c>
      <c r="C80" s="76">
        <f t="shared" si="52"/>
        <v>96.8</v>
      </c>
      <c r="D80" s="76">
        <f t="shared" ref="D80" si="53">D77+D78+D79</f>
        <v>96.8</v>
      </c>
      <c r="E80" s="76">
        <f t="shared" ref="E80:AF80" si="54">E77+E78+E79</f>
        <v>96.699999999999989</v>
      </c>
      <c r="F80" s="76">
        <f t="shared" si="54"/>
        <v>96.699999999999989</v>
      </c>
      <c r="G80" s="76">
        <f t="shared" si="54"/>
        <v>96.6</v>
      </c>
      <c r="H80" s="76">
        <f t="shared" si="54"/>
        <v>96.6</v>
      </c>
      <c r="I80" s="76">
        <f t="shared" si="54"/>
        <v>96.699999999999989</v>
      </c>
      <c r="J80" s="76">
        <f t="shared" si="54"/>
        <v>76.400000000000006</v>
      </c>
      <c r="K80" s="76">
        <f t="shared" si="54"/>
        <v>76.400000000000006</v>
      </c>
      <c r="L80" s="76">
        <f t="shared" si="54"/>
        <v>61.999999999999993</v>
      </c>
      <c r="M80" s="76">
        <f t="shared" ref="M80" si="55">M77+M78+M79</f>
        <v>61.9</v>
      </c>
      <c r="N80" s="76">
        <f t="shared" si="54"/>
        <v>61.699999999999996</v>
      </c>
      <c r="O80" s="76">
        <f t="shared" si="54"/>
        <v>62.199999999999996</v>
      </c>
      <c r="P80" s="76">
        <f t="shared" si="54"/>
        <v>62.199999999999996</v>
      </c>
      <c r="Q80" s="76">
        <f t="shared" si="54"/>
        <v>62.3</v>
      </c>
      <c r="R80" s="76">
        <f t="shared" si="54"/>
        <v>62.3</v>
      </c>
      <c r="S80" s="76">
        <f t="shared" si="54"/>
        <v>58.4</v>
      </c>
      <c r="T80" s="76">
        <f t="shared" ref="T80:U80" si="56">T77+T78+T79</f>
        <v>97.5</v>
      </c>
      <c r="U80" s="76">
        <f t="shared" si="56"/>
        <v>97.5</v>
      </c>
      <c r="V80" s="76">
        <f t="shared" ref="V80:W80" si="57">V77+V78+V79</f>
        <v>97.5</v>
      </c>
      <c r="W80" s="76">
        <f t="shared" si="57"/>
        <v>97.5</v>
      </c>
      <c r="X80" s="76">
        <f t="shared" ref="X80:Z80" si="58">X77+X78+X79</f>
        <v>68.400000000000006</v>
      </c>
      <c r="Y80" s="76">
        <f t="shared" si="58"/>
        <v>96.4</v>
      </c>
      <c r="Z80" s="76">
        <f t="shared" si="58"/>
        <v>99.2</v>
      </c>
      <c r="AA80" s="76">
        <f t="shared" ref="AA80" si="59">AA77+AA78+AA79</f>
        <v>99.2</v>
      </c>
      <c r="AB80" s="76">
        <f t="shared" si="54"/>
        <v>97.3</v>
      </c>
      <c r="AC80" s="76">
        <f t="shared" si="54"/>
        <v>97.3</v>
      </c>
      <c r="AD80" s="76">
        <f t="shared" si="54"/>
        <v>97.3</v>
      </c>
      <c r="AE80" s="76">
        <f t="shared" si="54"/>
        <v>97.3</v>
      </c>
      <c r="AF80" s="76">
        <f t="shared" si="54"/>
        <v>97.3</v>
      </c>
      <c r="AG80" s="93">
        <f>SUM(AG77:AG79)</f>
        <v>106</v>
      </c>
      <c r="AH80" s="12">
        <f t="shared" si="8"/>
        <v>99.2</v>
      </c>
      <c r="AI80" s="11">
        <f t="shared" si="9"/>
        <v>58.4</v>
      </c>
      <c r="AK80" s="19"/>
      <c r="AZ80" s="78">
        <f t="shared" si="43"/>
        <v>44</v>
      </c>
      <c r="BA80" s="78">
        <f t="shared" si="43"/>
        <v>40</v>
      </c>
      <c r="BB80" s="78">
        <f t="shared" si="43"/>
        <v>39.700000000000003</v>
      </c>
      <c r="BC80" s="78">
        <f t="shared" si="43"/>
        <v>37</v>
      </c>
      <c r="BD80" s="78">
        <f t="shared" si="43"/>
        <v>35.6</v>
      </c>
      <c r="BE80" s="78">
        <f t="shared" si="43"/>
        <v>37.700000000000003</v>
      </c>
      <c r="BF80" s="78">
        <f t="shared" si="43"/>
        <v>46</v>
      </c>
      <c r="BG80" s="78">
        <f t="shared" si="43"/>
        <v>50.9</v>
      </c>
      <c r="BH80" s="78">
        <f t="shared" si="43"/>
        <v>52</v>
      </c>
      <c r="BI80" s="78">
        <f t="shared" si="43"/>
        <v>49</v>
      </c>
      <c r="BJ80" s="78">
        <f t="shared" si="43"/>
        <v>41.4</v>
      </c>
      <c r="BK80" s="78">
        <f t="shared" si="43"/>
        <v>47.1</v>
      </c>
      <c r="BL80" s="78">
        <f t="shared" si="43"/>
        <v>42.4</v>
      </c>
      <c r="BM80" s="78">
        <f t="shared" si="43"/>
        <v>48</v>
      </c>
      <c r="BN80" s="78">
        <f t="shared" si="43"/>
        <v>49.4</v>
      </c>
      <c r="BO80" s="78">
        <f t="shared" si="43"/>
        <v>53.8</v>
      </c>
      <c r="BP80" s="78">
        <f t="shared" si="43"/>
        <v>48.2</v>
      </c>
      <c r="BQ80" s="78">
        <f t="shared" si="43"/>
        <v>40</v>
      </c>
      <c r="BR80" s="78">
        <f t="shared" si="43"/>
        <v>40.700000000000003</v>
      </c>
      <c r="BS80" s="78">
        <f t="shared" si="43"/>
        <v>38.1</v>
      </c>
      <c r="BT80" s="78">
        <f t="shared" si="43"/>
        <v>40</v>
      </c>
      <c r="BU80" s="78">
        <f t="shared" si="43"/>
        <v>40</v>
      </c>
      <c r="BV80" s="78">
        <f t="shared" si="43"/>
        <v>43</v>
      </c>
      <c r="BW80" s="78">
        <f t="shared" si="43"/>
        <v>44</v>
      </c>
    </row>
    <row r="81" spans="1:64" x14ac:dyDescent="0.25">
      <c r="A81" s="89" t="s">
        <v>157</v>
      </c>
      <c r="B81" s="102">
        <v>10</v>
      </c>
      <c r="C81" s="102">
        <v>10</v>
      </c>
      <c r="D81" s="102">
        <v>10</v>
      </c>
      <c r="E81" s="102">
        <v>18.2</v>
      </c>
      <c r="F81" s="102">
        <v>13.2</v>
      </c>
      <c r="G81" s="102">
        <v>16</v>
      </c>
      <c r="H81" s="102">
        <v>22.3</v>
      </c>
      <c r="I81" s="102">
        <v>28.3</v>
      </c>
      <c r="J81" s="102">
        <v>58</v>
      </c>
      <c r="K81" s="102">
        <v>58</v>
      </c>
      <c r="L81" s="102">
        <v>59.2</v>
      </c>
      <c r="M81" s="102">
        <v>61.7</v>
      </c>
      <c r="N81" s="102">
        <v>69</v>
      </c>
      <c r="O81" s="102">
        <v>72.8</v>
      </c>
      <c r="P81" s="102">
        <v>76.2</v>
      </c>
      <c r="Q81" s="102">
        <v>76</v>
      </c>
      <c r="R81" s="102">
        <v>73.599999999999994</v>
      </c>
      <c r="S81" s="102">
        <v>68.2</v>
      </c>
      <c r="T81" s="102">
        <v>54</v>
      </c>
      <c r="U81" s="102">
        <v>63.9</v>
      </c>
      <c r="V81" s="102">
        <v>73.8</v>
      </c>
      <c r="W81" s="102">
        <v>60.8</v>
      </c>
      <c r="X81" s="102">
        <v>58.7</v>
      </c>
      <c r="Y81" s="102">
        <v>52.5</v>
      </c>
      <c r="Z81" s="102">
        <v>54.5</v>
      </c>
      <c r="AA81" s="102">
        <v>55.5</v>
      </c>
      <c r="AB81" s="102">
        <v>50.5</v>
      </c>
      <c r="AC81" s="102">
        <v>45</v>
      </c>
      <c r="AD81" s="102">
        <v>37</v>
      </c>
      <c r="AE81" s="102">
        <v>34</v>
      </c>
      <c r="AF81" s="102">
        <v>27</v>
      </c>
      <c r="AG81" s="88"/>
      <c r="AH81" s="12">
        <f t="shared" si="8"/>
        <v>76.2</v>
      </c>
      <c r="AI81" s="11">
        <f t="shared" si="9"/>
        <v>10</v>
      </c>
      <c r="AK81" s="19"/>
      <c r="AY81" s="78"/>
    </row>
    <row r="82" spans="1:64" x14ac:dyDescent="0.25">
      <c r="A82" s="87" t="s">
        <v>160</v>
      </c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12">
        <f t="shared" ref="AH82:AH125" si="60">MAX(B82:AF82)</f>
        <v>0</v>
      </c>
      <c r="AI82" s="11">
        <f t="shared" ref="AI82:AI125" si="61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25">
      <c r="A83" s="87" t="s">
        <v>181</v>
      </c>
      <c r="B83" s="70">
        <v>30</v>
      </c>
      <c r="C83" s="70">
        <v>50</v>
      </c>
      <c r="D83" s="70">
        <v>50</v>
      </c>
      <c r="E83" s="70">
        <v>78.599999999999994</v>
      </c>
      <c r="F83" s="70">
        <v>62.5</v>
      </c>
      <c r="G83" s="70">
        <v>79</v>
      </c>
      <c r="H83" s="70">
        <v>101</v>
      </c>
      <c r="I83" s="70">
        <v>77.400000000000006</v>
      </c>
      <c r="J83" s="70">
        <v>482</v>
      </c>
      <c r="K83" s="70">
        <v>512</v>
      </c>
      <c r="L83" s="70">
        <v>487</v>
      </c>
      <c r="M83" s="70">
        <v>492</v>
      </c>
      <c r="N83" s="70">
        <v>485</v>
      </c>
      <c r="O83" s="70">
        <v>508.1</v>
      </c>
      <c r="P83" s="70">
        <v>530.1</v>
      </c>
      <c r="Q83" s="70">
        <v>528</v>
      </c>
      <c r="R83" s="70">
        <v>490</v>
      </c>
      <c r="S83" s="70">
        <v>522.9</v>
      </c>
      <c r="T83" s="70">
        <v>532.79999999999995</v>
      </c>
      <c r="U83" s="70">
        <v>546.5</v>
      </c>
      <c r="V83" s="70">
        <v>503.9</v>
      </c>
      <c r="W83" s="70">
        <v>547.9</v>
      </c>
      <c r="X83" s="70">
        <v>472.9</v>
      </c>
      <c r="Y83" s="70">
        <v>206.8</v>
      </c>
      <c r="Z83" s="70">
        <v>194.3</v>
      </c>
      <c r="AA83" s="70">
        <v>185.2</v>
      </c>
      <c r="AB83" s="70">
        <v>170</v>
      </c>
      <c r="AC83" s="70">
        <v>115</v>
      </c>
      <c r="AD83" s="70">
        <v>118</v>
      </c>
      <c r="AE83" s="70">
        <v>82</v>
      </c>
      <c r="AF83" s="70">
        <v>140</v>
      </c>
      <c r="AG83" s="96"/>
      <c r="AH83" s="12">
        <f t="shared" si="60"/>
        <v>547.9</v>
      </c>
      <c r="AI83" s="11">
        <f t="shared" si="61"/>
        <v>30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25">
      <c r="A84" s="87" t="s">
        <v>161</v>
      </c>
      <c r="B84" s="70">
        <v>0</v>
      </c>
      <c r="C84" s="70">
        <v>0</v>
      </c>
      <c r="D84" s="70">
        <v>0</v>
      </c>
      <c r="E84" s="85"/>
      <c r="F84" s="85"/>
      <c r="G84" s="85"/>
      <c r="H84" s="85"/>
      <c r="I84" s="85"/>
      <c r="J84" s="85"/>
      <c r="K84" s="85"/>
      <c r="L84" s="85"/>
      <c r="M84" s="85">
        <v>48</v>
      </c>
      <c r="N84" s="85">
        <v>54</v>
      </c>
      <c r="O84" s="85">
        <v>54.9</v>
      </c>
      <c r="P84" s="85">
        <v>50</v>
      </c>
      <c r="Q84" s="85">
        <v>46.6</v>
      </c>
      <c r="R84" s="85">
        <v>46.1</v>
      </c>
      <c r="S84" s="85">
        <v>27.3</v>
      </c>
      <c r="T84" s="85">
        <v>27.8</v>
      </c>
      <c r="U84" s="85">
        <v>40</v>
      </c>
      <c r="V84" s="85">
        <v>45</v>
      </c>
      <c r="W84" s="85">
        <v>45</v>
      </c>
      <c r="X84" s="85">
        <v>0</v>
      </c>
      <c r="Y84" s="85">
        <v>0</v>
      </c>
      <c r="Z84" s="85">
        <v>0</v>
      </c>
      <c r="AA84" s="85">
        <v>0</v>
      </c>
      <c r="AB84" s="85">
        <v>0</v>
      </c>
      <c r="AC84" s="85">
        <v>0</v>
      </c>
      <c r="AD84" s="85">
        <v>0</v>
      </c>
      <c r="AE84" s="85">
        <v>0</v>
      </c>
      <c r="AF84" s="85">
        <v>0</v>
      </c>
      <c r="AG84" s="96"/>
      <c r="AH84" s="12">
        <f t="shared" si="60"/>
        <v>54.9</v>
      </c>
      <c r="AI84" s="11">
        <f t="shared" si="61"/>
        <v>0</v>
      </c>
      <c r="AK84" s="19"/>
      <c r="AY84" s="78"/>
      <c r="BF84" s="83"/>
      <c r="BG84" s="78">
        <f t="array" ref="BG84:BL107">TRANSPOSE(AZ68:BW73)</f>
        <v>10</v>
      </c>
      <c r="BH84" s="78">
        <v>0</v>
      </c>
      <c r="BI84" s="78">
        <v>50</v>
      </c>
      <c r="BJ84" s="78">
        <v>0</v>
      </c>
      <c r="BK84" s="78">
        <v>0</v>
      </c>
      <c r="BL84" s="78">
        <v>44</v>
      </c>
    </row>
    <row r="85" spans="1:64" x14ac:dyDescent="0.25">
      <c r="A85" s="87" t="s">
        <v>180</v>
      </c>
      <c r="B85" s="102">
        <v>0</v>
      </c>
      <c r="C85" s="102">
        <v>0</v>
      </c>
      <c r="D85" s="102">
        <v>0</v>
      </c>
      <c r="E85" s="102"/>
      <c r="F85" s="102"/>
      <c r="G85" s="102"/>
      <c r="H85" s="102"/>
      <c r="I85" s="102"/>
      <c r="J85" s="102"/>
      <c r="K85" s="102"/>
      <c r="L85" s="102"/>
      <c r="M85" s="102">
        <v>110</v>
      </c>
      <c r="N85" s="102">
        <v>140</v>
      </c>
      <c r="O85" s="102">
        <v>128</v>
      </c>
      <c r="P85" s="102">
        <v>112.7</v>
      </c>
      <c r="Q85" s="102">
        <v>139.69999999999999</v>
      </c>
      <c r="R85" s="102">
        <v>123.6</v>
      </c>
      <c r="S85" s="102">
        <v>107.6</v>
      </c>
      <c r="T85" s="102">
        <v>124.6</v>
      </c>
      <c r="U85" s="102">
        <v>133.5</v>
      </c>
      <c r="V85" s="102">
        <v>120.2</v>
      </c>
      <c r="W85" s="102">
        <v>111</v>
      </c>
      <c r="X85" s="102">
        <v>0</v>
      </c>
      <c r="Y85" s="102">
        <v>0</v>
      </c>
      <c r="Z85" s="102">
        <v>0</v>
      </c>
      <c r="AA85" s="102">
        <v>0</v>
      </c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60"/>
        <v>140</v>
      </c>
      <c r="AI85" s="11">
        <f t="shared" si="61"/>
        <v>0</v>
      </c>
      <c r="AK85" s="19"/>
      <c r="AY85" s="78"/>
      <c r="BF85" s="83"/>
      <c r="BG85" s="78">
        <v>10</v>
      </c>
      <c r="BH85" s="78">
        <v>0</v>
      </c>
      <c r="BI85" s="78">
        <v>50</v>
      </c>
      <c r="BJ85" s="78">
        <v>0</v>
      </c>
      <c r="BK85" s="78">
        <v>0</v>
      </c>
      <c r="BL85" s="78">
        <v>40</v>
      </c>
    </row>
    <row r="86" spans="1:64" x14ac:dyDescent="0.25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60"/>
        <v>0</v>
      </c>
      <c r="AI86" s="11">
        <f t="shared" si="61"/>
        <v>0</v>
      </c>
      <c r="AK86" s="19"/>
      <c r="AY86" s="78"/>
      <c r="BF86" s="83"/>
      <c r="BG86" s="78">
        <v>18.2</v>
      </c>
      <c r="BH86" s="78">
        <v>0</v>
      </c>
      <c r="BI86" s="78">
        <v>78.599999999999994</v>
      </c>
      <c r="BJ86" s="78">
        <v>0</v>
      </c>
      <c r="BK86" s="78">
        <v>0</v>
      </c>
      <c r="BL86" s="78">
        <v>39.700000000000003</v>
      </c>
    </row>
    <row r="87" spans="1:64" ht="15.75" thickBot="1" x14ac:dyDescent="0.3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60"/>
        <v>0</v>
      </c>
      <c r="AI87" s="11">
        <f t="shared" si="61"/>
        <v>0</v>
      </c>
      <c r="AK87" s="19"/>
      <c r="AL87" s="108" t="s">
        <v>177</v>
      </c>
      <c r="AM87" s="108"/>
      <c r="AY87" s="78"/>
      <c r="BF87" s="78"/>
      <c r="BG87" s="78">
        <v>13.2</v>
      </c>
      <c r="BH87" s="78">
        <v>0</v>
      </c>
      <c r="BI87" s="78">
        <v>62.5</v>
      </c>
      <c r="BJ87" s="78">
        <v>0</v>
      </c>
      <c r="BK87" s="78">
        <v>0</v>
      </c>
      <c r="BL87" s="78">
        <v>37</v>
      </c>
    </row>
    <row r="88" spans="1:64" x14ac:dyDescent="0.25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60"/>
        <v>0</v>
      </c>
      <c r="AI88" s="11">
        <f t="shared" si="61"/>
        <v>0</v>
      </c>
      <c r="AK88" s="107"/>
      <c r="AL88" s="106"/>
      <c r="AM88" s="106"/>
      <c r="AN88" s="105"/>
      <c r="AY88" s="78"/>
      <c r="BF88" s="78"/>
      <c r="BG88" s="78">
        <v>16</v>
      </c>
      <c r="BH88" s="78">
        <v>0</v>
      </c>
      <c r="BI88" s="78">
        <v>79</v>
      </c>
      <c r="BJ88" s="78">
        <v>0</v>
      </c>
      <c r="BK88" s="78">
        <v>0</v>
      </c>
      <c r="BL88" s="78">
        <v>35.6</v>
      </c>
    </row>
    <row r="89" spans="1:64" x14ac:dyDescent="0.25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60"/>
        <v>0</v>
      </c>
      <c r="AI89" s="11">
        <f t="shared" si="61"/>
        <v>0</v>
      </c>
      <c r="AK89" s="104" t="s">
        <v>174</v>
      </c>
      <c r="AL89" s="70"/>
      <c r="AM89" s="85"/>
      <c r="AN89" s="103"/>
      <c r="AY89" s="78"/>
      <c r="BF89" s="78"/>
      <c r="BG89" s="78">
        <v>28.3</v>
      </c>
      <c r="BH89" s="78">
        <v>0</v>
      </c>
      <c r="BI89" s="78">
        <v>77.400000000000006</v>
      </c>
      <c r="BJ89" s="78">
        <v>0</v>
      </c>
      <c r="BK89" s="78">
        <v>0</v>
      </c>
      <c r="BL89" s="78">
        <v>37.700000000000003</v>
      </c>
    </row>
    <row r="90" spans="1:64" x14ac:dyDescent="0.25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60"/>
        <v>0</v>
      </c>
      <c r="AI90" s="11">
        <f t="shared" si="61"/>
        <v>0</v>
      </c>
      <c r="AK90" s="104" t="s">
        <v>172</v>
      </c>
      <c r="AL90" s="85"/>
      <c r="AM90" s="85"/>
      <c r="AN90" s="103"/>
      <c r="AY90" s="78"/>
      <c r="BF90" s="78"/>
      <c r="BG90" s="78">
        <v>58</v>
      </c>
      <c r="BH90" s="78">
        <v>0</v>
      </c>
      <c r="BI90" s="78">
        <v>512</v>
      </c>
      <c r="BJ90" s="78">
        <v>0</v>
      </c>
      <c r="BK90" s="78">
        <v>0</v>
      </c>
      <c r="BL90" s="78">
        <v>46</v>
      </c>
    </row>
    <row r="91" spans="1:64" ht="15.75" thickBot="1" x14ac:dyDescent="0.3">
      <c r="A91" s="82" t="s">
        <v>171</v>
      </c>
      <c r="B91" s="97">
        <v>44</v>
      </c>
      <c r="C91" s="97">
        <v>44</v>
      </c>
      <c r="D91" s="97">
        <v>40</v>
      </c>
      <c r="E91" s="97">
        <v>39.700000000000003</v>
      </c>
      <c r="F91" s="97">
        <v>37</v>
      </c>
      <c r="G91" s="97">
        <v>35.6</v>
      </c>
      <c r="H91" s="97">
        <v>35</v>
      </c>
      <c r="I91" s="97">
        <v>37.700000000000003</v>
      </c>
      <c r="J91" s="97">
        <v>44.5</v>
      </c>
      <c r="K91" s="97">
        <v>46</v>
      </c>
      <c r="L91" s="97">
        <v>49.8</v>
      </c>
      <c r="M91" s="97">
        <v>50.9</v>
      </c>
      <c r="N91" s="97">
        <v>52</v>
      </c>
      <c r="O91" s="97">
        <v>49</v>
      </c>
      <c r="P91" s="97">
        <v>41.4</v>
      </c>
      <c r="Q91" s="97">
        <v>47.1</v>
      </c>
      <c r="R91" s="97">
        <v>42.4</v>
      </c>
      <c r="S91" s="97">
        <v>48</v>
      </c>
      <c r="T91" s="97">
        <v>49.4</v>
      </c>
      <c r="U91" s="97">
        <v>53.8</v>
      </c>
      <c r="V91" s="97">
        <v>48.2</v>
      </c>
      <c r="W91" s="97">
        <v>44.5</v>
      </c>
      <c r="X91" s="97">
        <v>40</v>
      </c>
      <c r="Y91" s="97">
        <v>41.1</v>
      </c>
      <c r="Z91" s="97">
        <v>40.700000000000003</v>
      </c>
      <c r="AA91" s="97">
        <v>40.799999999999997</v>
      </c>
      <c r="AB91" s="97">
        <v>38.1</v>
      </c>
      <c r="AC91" s="97">
        <v>38</v>
      </c>
      <c r="AD91" s="97">
        <v>40</v>
      </c>
      <c r="AE91" s="97">
        <v>40</v>
      </c>
      <c r="AF91" s="97">
        <v>43</v>
      </c>
      <c r="AG91" s="80"/>
      <c r="AH91" s="12">
        <f t="shared" si="60"/>
        <v>53.8</v>
      </c>
      <c r="AI91" s="11">
        <f t="shared" si="61"/>
        <v>35</v>
      </c>
      <c r="AK91" s="98"/>
      <c r="AL91" s="102"/>
      <c r="AM91" s="102"/>
      <c r="AN91" s="101"/>
      <c r="AY91" s="78"/>
      <c r="BF91" s="78"/>
      <c r="BG91" s="78">
        <v>61.7</v>
      </c>
      <c r="BH91" s="78">
        <v>0</v>
      </c>
      <c r="BI91" s="78">
        <v>492</v>
      </c>
      <c r="BJ91" s="78">
        <v>48</v>
      </c>
      <c r="BK91" s="78">
        <v>110</v>
      </c>
      <c r="BL91" s="78">
        <v>50.9</v>
      </c>
    </row>
    <row r="92" spans="1:64" ht="15.75" thickBot="1" x14ac:dyDescent="0.3">
      <c r="A92" s="77" t="s">
        <v>170</v>
      </c>
      <c r="B92" s="76">
        <f t="shared" ref="B92:C92" si="62">SUMIF(B81:B91,"&gt;0")</f>
        <v>84</v>
      </c>
      <c r="C92" s="76">
        <f t="shared" si="62"/>
        <v>104</v>
      </c>
      <c r="D92" s="76">
        <f t="shared" ref="D92" si="63">SUMIF(D81:D91,"&gt;0")</f>
        <v>100</v>
      </c>
      <c r="E92" s="76">
        <f t="shared" ref="E92:AF92" si="64">SUMIF(E81:E91,"&gt;0")</f>
        <v>136.5</v>
      </c>
      <c r="F92" s="76">
        <f t="shared" si="64"/>
        <v>112.7</v>
      </c>
      <c r="G92" s="76">
        <f t="shared" si="64"/>
        <v>130.6</v>
      </c>
      <c r="H92" s="76">
        <f t="shared" si="64"/>
        <v>158.30000000000001</v>
      </c>
      <c r="I92" s="76">
        <f t="shared" si="64"/>
        <v>143.4</v>
      </c>
      <c r="J92" s="76">
        <f t="shared" si="64"/>
        <v>584.5</v>
      </c>
      <c r="K92" s="76">
        <f t="shared" si="64"/>
        <v>616</v>
      </c>
      <c r="L92" s="76">
        <f t="shared" si="64"/>
        <v>596</v>
      </c>
      <c r="M92" s="76">
        <f t="shared" ref="M92" si="65">SUMIF(M81:M91,"&gt;0")</f>
        <v>762.6</v>
      </c>
      <c r="N92" s="76">
        <f t="shared" si="64"/>
        <v>800</v>
      </c>
      <c r="O92" s="76">
        <f t="shared" si="64"/>
        <v>812.8</v>
      </c>
      <c r="P92" s="76">
        <f t="shared" si="64"/>
        <v>810.40000000000009</v>
      </c>
      <c r="Q92" s="76">
        <f t="shared" si="64"/>
        <v>837.4</v>
      </c>
      <c r="R92" s="76">
        <f t="shared" si="64"/>
        <v>775.7</v>
      </c>
      <c r="S92" s="76">
        <f t="shared" si="64"/>
        <v>774</v>
      </c>
      <c r="T92" s="76">
        <f t="shared" ref="T92:U92" si="66">SUMIF(T81:T91,"&gt;0")</f>
        <v>788.59999999999991</v>
      </c>
      <c r="U92" s="76">
        <f t="shared" si="66"/>
        <v>837.69999999999993</v>
      </c>
      <c r="V92" s="76">
        <f t="shared" ref="V92:W92" si="67">SUMIF(V81:V91,"&gt;0")</f>
        <v>791.1</v>
      </c>
      <c r="W92" s="76">
        <f t="shared" si="67"/>
        <v>809.19999999999993</v>
      </c>
      <c r="X92" s="76">
        <f t="shared" ref="X92:Z92" si="68">SUMIF(X81:X91,"&gt;0")</f>
        <v>571.6</v>
      </c>
      <c r="Y92" s="76">
        <f t="shared" si="68"/>
        <v>300.40000000000003</v>
      </c>
      <c r="Z92" s="76">
        <f t="shared" si="68"/>
        <v>289.5</v>
      </c>
      <c r="AA92" s="76">
        <f t="shared" ref="AA92" si="69">SUMIF(AA81:AA91,"&gt;0")</f>
        <v>281.5</v>
      </c>
      <c r="AB92" s="76">
        <f t="shared" si="64"/>
        <v>258.60000000000002</v>
      </c>
      <c r="AC92" s="76">
        <f t="shared" si="64"/>
        <v>198</v>
      </c>
      <c r="AD92" s="76">
        <f t="shared" si="64"/>
        <v>195</v>
      </c>
      <c r="AE92" s="76">
        <f t="shared" si="64"/>
        <v>156</v>
      </c>
      <c r="AF92" s="76">
        <f t="shared" si="64"/>
        <v>210</v>
      </c>
      <c r="AG92" s="75">
        <f>SUM(AG81:AG91)</f>
        <v>0</v>
      </c>
      <c r="AH92" s="12">
        <f t="shared" si="60"/>
        <v>837.69999999999993</v>
      </c>
      <c r="AI92" s="11">
        <f t="shared" si="61"/>
        <v>84</v>
      </c>
      <c r="AK92" s="98"/>
      <c r="AL92" s="97"/>
      <c r="AM92" s="100"/>
      <c r="AN92" s="220"/>
      <c r="AY92" s="78"/>
      <c r="BF92" s="78"/>
      <c r="BG92" s="78">
        <v>69</v>
      </c>
      <c r="BH92" s="78">
        <v>0</v>
      </c>
      <c r="BI92" s="78">
        <v>485</v>
      </c>
      <c r="BJ92" s="78">
        <v>54</v>
      </c>
      <c r="BK92" s="78">
        <v>140</v>
      </c>
      <c r="BL92" s="78">
        <v>52</v>
      </c>
    </row>
    <row r="93" spans="1:64" x14ac:dyDescent="0.25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60"/>
        <v>0</v>
      </c>
      <c r="AI93" s="11">
        <f t="shared" si="61"/>
        <v>0</v>
      </c>
      <c r="AK93" s="98"/>
      <c r="AL93" s="97"/>
      <c r="AM93" s="97"/>
      <c r="AN93" s="221"/>
      <c r="BF93" s="78"/>
      <c r="BG93" s="78">
        <v>72.8</v>
      </c>
      <c r="BH93" s="78">
        <v>0</v>
      </c>
      <c r="BI93" s="78">
        <v>508.1</v>
      </c>
      <c r="BJ93" s="78">
        <v>54.9</v>
      </c>
      <c r="BK93" s="78">
        <v>128</v>
      </c>
      <c r="BL93" s="78">
        <v>49</v>
      </c>
    </row>
    <row r="94" spans="1:64" ht="15.75" thickBot="1" x14ac:dyDescent="0.3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60"/>
        <v>0</v>
      </c>
      <c r="AI94" s="11">
        <f t="shared" si="61"/>
        <v>0</v>
      </c>
      <c r="AK94" s="95"/>
      <c r="AL94" s="67"/>
      <c r="AM94" s="67"/>
      <c r="AN94" s="94"/>
      <c r="BF94" s="78"/>
      <c r="BG94" s="78">
        <v>76.2</v>
      </c>
      <c r="BH94" s="78">
        <v>0</v>
      </c>
      <c r="BI94" s="78">
        <v>530.1</v>
      </c>
      <c r="BJ94" s="78">
        <v>50</v>
      </c>
      <c r="BK94" s="78">
        <v>112.7</v>
      </c>
      <c r="BL94" s="78">
        <v>41.4</v>
      </c>
    </row>
    <row r="95" spans="1:64" ht="15.75" thickBot="1" x14ac:dyDescent="0.3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60"/>
        <v>0</v>
      </c>
      <c r="AI95" s="11">
        <f t="shared" si="61"/>
        <v>0</v>
      </c>
      <c r="BF95" s="78"/>
      <c r="BG95" s="78">
        <v>76</v>
      </c>
      <c r="BH95" s="78">
        <v>0</v>
      </c>
      <c r="BI95" s="78">
        <v>528</v>
      </c>
      <c r="BJ95" s="78">
        <v>46.6</v>
      </c>
      <c r="BK95" s="78">
        <v>139.69999999999999</v>
      </c>
      <c r="BL95" s="78">
        <v>47.1</v>
      </c>
    </row>
    <row r="96" spans="1:64" ht="15.75" thickBot="1" x14ac:dyDescent="0.3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60"/>
        <v>0</v>
      </c>
      <c r="AI96" s="11">
        <f t="shared" si="61"/>
        <v>0</v>
      </c>
      <c r="BF96" s="78"/>
      <c r="BG96" s="78">
        <v>73.599999999999994</v>
      </c>
      <c r="BH96" s="78">
        <v>0</v>
      </c>
      <c r="BI96" s="78">
        <v>490</v>
      </c>
      <c r="BJ96" s="78">
        <v>46.1</v>
      </c>
      <c r="BK96" s="78">
        <v>123.6</v>
      </c>
      <c r="BL96" s="78">
        <v>42.4</v>
      </c>
    </row>
    <row r="97" spans="1:64" ht="15.75" thickBot="1" x14ac:dyDescent="0.3">
      <c r="A97" s="77" t="s">
        <v>165</v>
      </c>
      <c r="B97" s="90">
        <f t="shared" ref="B97:C97" si="70">B58+B62+B80+B76+B92+B96</f>
        <v>1301.44</v>
      </c>
      <c r="C97" s="90">
        <f t="shared" si="70"/>
        <v>1278.44</v>
      </c>
      <c r="D97" s="90">
        <f t="shared" ref="D97" si="71">D58+D62+D80+D76+D92+D96</f>
        <v>1252.44</v>
      </c>
      <c r="E97" s="90">
        <f t="shared" ref="E97:AG97" si="72">E58+E62+E80+E76+E92+E96</f>
        <v>1242.1399999999999</v>
      </c>
      <c r="F97" s="90">
        <f t="shared" si="72"/>
        <v>1214.24</v>
      </c>
      <c r="G97" s="90">
        <f t="shared" si="72"/>
        <v>1233.4199999999998</v>
      </c>
      <c r="H97" s="90">
        <f t="shared" si="72"/>
        <v>1267.04</v>
      </c>
      <c r="I97" s="90">
        <f t="shared" si="72"/>
        <v>1325.5400000000002</v>
      </c>
      <c r="J97" s="90">
        <f t="shared" si="72"/>
        <v>1602.6399999999999</v>
      </c>
      <c r="K97" s="90">
        <f t="shared" si="72"/>
        <v>1608.6399999999999</v>
      </c>
      <c r="L97" s="90">
        <f t="shared" si="72"/>
        <v>1502.31</v>
      </c>
      <c r="M97" s="90">
        <f t="shared" ref="M97" si="73">M58+M62+M80+M76+M92+M96</f>
        <v>1675.7399999999998</v>
      </c>
      <c r="N97" s="90">
        <f t="shared" si="72"/>
        <v>1717.54</v>
      </c>
      <c r="O97" s="90">
        <f t="shared" si="72"/>
        <v>1719.64</v>
      </c>
      <c r="P97" s="90">
        <f t="shared" si="72"/>
        <v>1725.3400000000001</v>
      </c>
      <c r="Q97" s="90">
        <f t="shared" si="72"/>
        <v>1760.04</v>
      </c>
      <c r="R97" s="90">
        <f t="shared" si="72"/>
        <v>1690.44</v>
      </c>
      <c r="S97" s="90">
        <f t="shared" si="72"/>
        <v>1650.14</v>
      </c>
      <c r="T97" s="90">
        <f t="shared" ref="T97:U97" si="74">T58+T62+T80+T76+T92+T96</f>
        <v>1691.3400000000001</v>
      </c>
      <c r="U97" s="90">
        <f t="shared" si="74"/>
        <v>1735.6399999999999</v>
      </c>
      <c r="V97" s="90">
        <f t="shared" ref="V97:W97" si="75">V58+V62+V80+V76+V92+V96</f>
        <v>1703.2400000000002</v>
      </c>
      <c r="W97" s="90">
        <f t="shared" si="75"/>
        <v>1719.8400000000001</v>
      </c>
      <c r="X97" s="90">
        <f t="shared" ref="X97:Z97" si="76">X58+X62+X80+X76+X92+X96</f>
        <v>1556.04</v>
      </c>
      <c r="Y97" s="90">
        <f t="shared" si="76"/>
        <v>1655.0400000000002</v>
      </c>
      <c r="Z97" s="90">
        <f t="shared" si="76"/>
        <v>1784.0400000000002</v>
      </c>
      <c r="AA97" s="90">
        <f t="shared" ref="AA97" si="77">AA58+AA62+AA80+AA76+AA92+AA96</f>
        <v>1767.9400000000003</v>
      </c>
      <c r="AB97" s="90">
        <f t="shared" si="72"/>
        <v>1672.1400000000003</v>
      </c>
      <c r="AC97" s="90">
        <f t="shared" si="72"/>
        <v>1611.5400000000002</v>
      </c>
      <c r="AD97" s="90">
        <f t="shared" si="72"/>
        <v>1587.94</v>
      </c>
      <c r="AE97" s="90">
        <f t="shared" si="72"/>
        <v>1465.44</v>
      </c>
      <c r="AF97" s="90">
        <f t="shared" si="72"/>
        <v>1419.44</v>
      </c>
      <c r="AG97" s="93">
        <f t="shared" si="72"/>
        <v>2231.81</v>
      </c>
      <c r="AH97" s="12">
        <f t="shared" si="60"/>
        <v>1784.0400000000002</v>
      </c>
      <c r="AI97" s="11">
        <f t="shared" si="61"/>
        <v>1214.24</v>
      </c>
      <c r="BF97" s="78"/>
      <c r="BG97" s="78">
        <v>68.2</v>
      </c>
      <c r="BH97" s="78">
        <v>0</v>
      </c>
      <c r="BI97" s="78">
        <v>522.9</v>
      </c>
      <c r="BJ97" s="78">
        <v>27.3</v>
      </c>
      <c r="BK97" s="78">
        <v>107.6</v>
      </c>
      <c r="BL97" s="78">
        <v>48</v>
      </c>
    </row>
    <row r="98" spans="1:64" ht="15.75" thickBot="1" x14ac:dyDescent="0.3">
      <c r="A98" s="92" t="s">
        <v>164</v>
      </c>
      <c r="B98" s="91">
        <v>250</v>
      </c>
      <c r="C98" s="91">
        <v>250</v>
      </c>
      <c r="D98" s="91">
        <v>250</v>
      </c>
      <c r="E98" s="91">
        <v>250</v>
      </c>
      <c r="F98" s="91">
        <v>250</v>
      </c>
      <c r="G98" s="91">
        <v>250</v>
      </c>
      <c r="H98" s="91">
        <v>250</v>
      </c>
      <c r="I98" s="91">
        <v>200</v>
      </c>
      <c r="J98" s="91"/>
      <c r="K98" s="91"/>
      <c r="L98" s="91"/>
      <c r="M98" s="91"/>
      <c r="N98" s="91"/>
      <c r="O98" s="91"/>
      <c r="P98" s="91"/>
      <c r="Q98" s="91"/>
      <c r="R98" s="91"/>
      <c r="S98" s="91">
        <v>20</v>
      </c>
      <c r="T98" s="91">
        <v>20</v>
      </c>
      <c r="U98" s="91">
        <v>20</v>
      </c>
      <c r="V98" s="91">
        <v>20</v>
      </c>
      <c r="W98" s="91">
        <v>21</v>
      </c>
      <c r="X98" s="91">
        <v>22</v>
      </c>
      <c r="Y98" s="91">
        <v>200</v>
      </c>
      <c r="Z98" s="91">
        <v>200</v>
      </c>
      <c r="AA98" s="91">
        <v>230</v>
      </c>
      <c r="AB98" s="91">
        <v>250</v>
      </c>
      <c r="AC98" s="91">
        <v>250</v>
      </c>
      <c r="AD98" s="91">
        <v>250</v>
      </c>
      <c r="AE98" s="91">
        <v>250</v>
      </c>
      <c r="AF98" s="91">
        <v>250</v>
      </c>
      <c r="AG98" s="75"/>
      <c r="AH98" s="12">
        <f t="shared" si="60"/>
        <v>250</v>
      </c>
      <c r="AI98" s="11">
        <f t="shared" si="61"/>
        <v>20</v>
      </c>
      <c r="BF98" s="78"/>
      <c r="BG98" s="78">
        <v>54</v>
      </c>
      <c r="BH98" s="78">
        <v>0</v>
      </c>
      <c r="BI98" s="78">
        <v>532.79999999999995</v>
      </c>
      <c r="BJ98" s="78">
        <v>27.8</v>
      </c>
      <c r="BK98" s="78">
        <v>124.6</v>
      </c>
      <c r="BL98" s="78">
        <v>49.4</v>
      </c>
    </row>
    <row r="99" spans="1:64" ht="15.75" thickBot="1" x14ac:dyDescent="0.3">
      <c r="A99" s="77" t="s">
        <v>163</v>
      </c>
      <c r="B99" s="90">
        <f t="shared" ref="B99:C99" si="78">B97+B98</f>
        <v>1551.44</v>
      </c>
      <c r="C99" s="90">
        <f t="shared" si="78"/>
        <v>1528.44</v>
      </c>
      <c r="D99" s="90">
        <f t="shared" ref="D99" si="79">D97+D98</f>
        <v>1502.44</v>
      </c>
      <c r="E99" s="90">
        <f t="shared" ref="E99:AF99" si="80">E97+E98</f>
        <v>1492.1399999999999</v>
      </c>
      <c r="F99" s="90">
        <f t="shared" si="80"/>
        <v>1464.24</v>
      </c>
      <c r="G99" s="90">
        <f t="shared" si="80"/>
        <v>1483.4199999999998</v>
      </c>
      <c r="H99" s="90">
        <f t="shared" si="80"/>
        <v>1517.04</v>
      </c>
      <c r="I99" s="90">
        <f t="shared" si="80"/>
        <v>1525.5400000000002</v>
      </c>
      <c r="J99" s="90">
        <f t="shared" si="80"/>
        <v>1602.6399999999999</v>
      </c>
      <c r="K99" s="90">
        <f t="shared" si="80"/>
        <v>1608.6399999999999</v>
      </c>
      <c r="L99" s="90">
        <f t="shared" si="80"/>
        <v>1502.31</v>
      </c>
      <c r="M99" s="90">
        <f t="shared" ref="M99" si="81">M97+M98</f>
        <v>1675.7399999999998</v>
      </c>
      <c r="N99" s="90">
        <f t="shared" si="80"/>
        <v>1717.54</v>
      </c>
      <c r="O99" s="90">
        <f t="shared" si="80"/>
        <v>1719.64</v>
      </c>
      <c r="P99" s="90">
        <f t="shared" si="80"/>
        <v>1725.3400000000001</v>
      </c>
      <c r="Q99" s="90">
        <f t="shared" si="80"/>
        <v>1760.04</v>
      </c>
      <c r="R99" s="90">
        <f t="shared" si="80"/>
        <v>1690.44</v>
      </c>
      <c r="S99" s="90">
        <f t="shared" si="80"/>
        <v>1670.14</v>
      </c>
      <c r="T99" s="90">
        <f t="shared" ref="T99:U99" si="82">T97+T98</f>
        <v>1711.3400000000001</v>
      </c>
      <c r="U99" s="90">
        <f t="shared" si="82"/>
        <v>1755.6399999999999</v>
      </c>
      <c r="V99" s="90">
        <f t="shared" ref="V99:W99" si="83">V97+V98</f>
        <v>1723.2400000000002</v>
      </c>
      <c r="W99" s="90">
        <f t="shared" si="83"/>
        <v>1740.8400000000001</v>
      </c>
      <c r="X99" s="90">
        <f t="shared" ref="X99:Z99" si="84">X97+X98</f>
        <v>1578.04</v>
      </c>
      <c r="Y99" s="90">
        <f t="shared" si="84"/>
        <v>1855.0400000000002</v>
      </c>
      <c r="Z99" s="90">
        <f t="shared" si="84"/>
        <v>1984.0400000000002</v>
      </c>
      <c r="AA99" s="90">
        <f t="shared" ref="AA99" si="85">AA97+AA98</f>
        <v>1997.9400000000003</v>
      </c>
      <c r="AB99" s="90">
        <f t="shared" si="80"/>
        <v>1922.1400000000003</v>
      </c>
      <c r="AC99" s="90">
        <f t="shared" si="80"/>
        <v>1861.5400000000002</v>
      </c>
      <c r="AD99" s="90">
        <f t="shared" si="80"/>
        <v>1837.94</v>
      </c>
      <c r="AE99" s="90">
        <f t="shared" si="80"/>
        <v>1715.44</v>
      </c>
      <c r="AF99" s="90">
        <f t="shared" si="80"/>
        <v>1669.44</v>
      </c>
      <c r="AG99" s="75">
        <f>AG96+AG92+AG80+AG76+AG58+AG98</f>
        <v>1693.71</v>
      </c>
      <c r="AH99" s="12">
        <f t="shared" si="60"/>
        <v>1997.9400000000003</v>
      </c>
      <c r="AI99" s="11">
        <f t="shared" si="61"/>
        <v>1464.24</v>
      </c>
      <c r="BF99" s="78"/>
      <c r="BG99" s="78">
        <v>63.9</v>
      </c>
      <c r="BH99" s="78">
        <v>0</v>
      </c>
      <c r="BI99" s="78">
        <v>546.5</v>
      </c>
      <c r="BJ99" s="78">
        <v>40</v>
      </c>
      <c r="BK99" s="78">
        <v>133.5</v>
      </c>
      <c r="BL99" s="78">
        <v>53.8</v>
      </c>
    </row>
    <row r="100" spans="1:64" ht="15.75" thickBot="1" x14ac:dyDescent="0.3">
      <c r="A100" s="77" t="s">
        <v>162</v>
      </c>
      <c r="B100" s="90">
        <f t="shared" ref="B100:C100" si="86">B99-(B107)</f>
        <v>1551.44</v>
      </c>
      <c r="C100" s="90">
        <f t="shared" si="86"/>
        <v>1528.44</v>
      </c>
      <c r="D100" s="90">
        <f t="shared" ref="D100" si="87">D99-(D107)</f>
        <v>1502.44</v>
      </c>
      <c r="E100" s="90">
        <f t="shared" ref="E100:AF100" si="88">E99-(E107)</f>
        <v>1492.1399999999999</v>
      </c>
      <c r="F100" s="90">
        <f t="shared" si="88"/>
        <v>1464.24</v>
      </c>
      <c r="G100" s="90">
        <f t="shared" si="88"/>
        <v>1483.4199999999998</v>
      </c>
      <c r="H100" s="90">
        <f t="shared" si="88"/>
        <v>1517.04</v>
      </c>
      <c r="I100" s="90">
        <f t="shared" si="88"/>
        <v>1525.5400000000002</v>
      </c>
      <c r="J100" s="90">
        <f t="shared" si="88"/>
        <v>1602.6399999999999</v>
      </c>
      <c r="K100" s="90">
        <f t="shared" si="88"/>
        <v>1608.6399999999999</v>
      </c>
      <c r="L100" s="90">
        <f t="shared" si="88"/>
        <v>1502.31</v>
      </c>
      <c r="M100" s="90">
        <f t="shared" ref="M100" si="89">M99-(M107)</f>
        <v>1675.7399999999998</v>
      </c>
      <c r="N100" s="90">
        <f t="shared" si="88"/>
        <v>1717.54</v>
      </c>
      <c r="O100" s="90">
        <f t="shared" si="88"/>
        <v>1719.64</v>
      </c>
      <c r="P100" s="90">
        <f t="shared" si="88"/>
        <v>1725.3400000000001</v>
      </c>
      <c r="Q100" s="90">
        <f t="shared" si="88"/>
        <v>1760.04</v>
      </c>
      <c r="R100" s="90">
        <f t="shared" si="88"/>
        <v>1690.44</v>
      </c>
      <c r="S100" s="90">
        <f t="shared" si="88"/>
        <v>1670.14</v>
      </c>
      <c r="T100" s="90">
        <f t="shared" ref="T100:U100" si="90">T99-(T107)</f>
        <v>1711.3400000000001</v>
      </c>
      <c r="U100" s="90">
        <f t="shared" si="90"/>
        <v>1755.6399999999999</v>
      </c>
      <c r="V100" s="90">
        <f t="shared" ref="V100:W100" si="91">V99-(V107)</f>
        <v>1723.2400000000002</v>
      </c>
      <c r="W100" s="90">
        <f t="shared" si="91"/>
        <v>1740.8400000000001</v>
      </c>
      <c r="X100" s="90">
        <f t="shared" ref="X100:Z100" si="92">X99-(X107)</f>
        <v>1578.04</v>
      </c>
      <c r="Y100" s="90">
        <f t="shared" si="92"/>
        <v>1855.0400000000002</v>
      </c>
      <c r="Z100" s="90">
        <f t="shared" si="92"/>
        <v>1984.0400000000002</v>
      </c>
      <c r="AA100" s="90">
        <f t="shared" ref="AA100" si="93">AA99-(AA107)</f>
        <v>1997.9400000000003</v>
      </c>
      <c r="AB100" s="90">
        <f t="shared" si="88"/>
        <v>1922.1400000000003</v>
      </c>
      <c r="AC100" s="90">
        <f t="shared" si="88"/>
        <v>1861.5400000000002</v>
      </c>
      <c r="AD100" s="90">
        <f t="shared" si="88"/>
        <v>1837.94</v>
      </c>
      <c r="AE100" s="90">
        <f t="shared" si="88"/>
        <v>1715.44</v>
      </c>
      <c r="AF100" s="90">
        <f t="shared" si="88"/>
        <v>1669.44</v>
      </c>
      <c r="AG100" s="75"/>
      <c r="AH100" s="12">
        <f t="shared" si="60"/>
        <v>1997.9400000000003</v>
      </c>
      <c r="AI100" s="11">
        <f t="shared" si="61"/>
        <v>1464.24</v>
      </c>
      <c r="BF100" s="78"/>
      <c r="BG100" s="78">
        <v>73.8</v>
      </c>
      <c r="BH100" s="78">
        <v>0</v>
      </c>
      <c r="BI100" s="78">
        <v>503.9</v>
      </c>
      <c r="BJ100" s="78">
        <v>45</v>
      </c>
      <c r="BK100" s="78">
        <v>120.2</v>
      </c>
      <c r="BL100" s="78">
        <v>48.2</v>
      </c>
    </row>
    <row r="101" spans="1:64" x14ac:dyDescent="0.25">
      <c r="A101" s="89" t="s">
        <v>161</v>
      </c>
      <c r="B101" s="85">
        <f t="shared" ref="B101:C101" si="94">IF(B84&lt;0,B84*-1,0)</f>
        <v>0</v>
      </c>
      <c r="C101" s="85">
        <f t="shared" si="94"/>
        <v>0</v>
      </c>
      <c r="D101" s="85">
        <f t="shared" ref="D101" si="95">IF(D84&lt;0,D84*-1,0)</f>
        <v>0</v>
      </c>
      <c r="E101" s="85">
        <f t="shared" ref="E101:AF101" si="96">IF(E84&lt;0,E84*-1,0)</f>
        <v>0</v>
      </c>
      <c r="F101" s="85">
        <f t="shared" si="96"/>
        <v>0</v>
      </c>
      <c r="G101" s="85">
        <f t="shared" si="96"/>
        <v>0</v>
      </c>
      <c r="H101" s="85">
        <f t="shared" si="96"/>
        <v>0</v>
      </c>
      <c r="I101" s="85">
        <f t="shared" si="96"/>
        <v>0</v>
      </c>
      <c r="J101" s="85">
        <f t="shared" si="96"/>
        <v>0</v>
      </c>
      <c r="K101" s="85">
        <f t="shared" si="96"/>
        <v>0</v>
      </c>
      <c r="L101" s="85">
        <f t="shared" si="96"/>
        <v>0</v>
      </c>
      <c r="M101" s="85">
        <f t="shared" ref="M101" si="97">IF(M84&lt;0,M84*-1,0)</f>
        <v>0</v>
      </c>
      <c r="N101" s="85">
        <f t="shared" si="96"/>
        <v>0</v>
      </c>
      <c r="O101" s="85">
        <f t="shared" si="96"/>
        <v>0</v>
      </c>
      <c r="P101" s="85">
        <f t="shared" si="96"/>
        <v>0</v>
      </c>
      <c r="Q101" s="85">
        <f t="shared" si="96"/>
        <v>0</v>
      </c>
      <c r="R101" s="85">
        <f t="shared" si="96"/>
        <v>0</v>
      </c>
      <c r="S101" s="85">
        <f t="shared" si="96"/>
        <v>0</v>
      </c>
      <c r="T101" s="85">
        <f t="shared" ref="T101:U101" si="98">IF(T84&lt;0,T84*-1,0)</f>
        <v>0</v>
      </c>
      <c r="U101" s="85">
        <f t="shared" si="98"/>
        <v>0</v>
      </c>
      <c r="V101" s="85">
        <f t="shared" ref="V101:W101" si="99">IF(V84&lt;0,V84*-1,0)</f>
        <v>0</v>
      </c>
      <c r="W101" s="85">
        <f t="shared" si="99"/>
        <v>0</v>
      </c>
      <c r="X101" s="85">
        <f t="shared" ref="X101:Z101" si="100">IF(X84&lt;0,X84*-1,0)</f>
        <v>0</v>
      </c>
      <c r="Y101" s="85">
        <f t="shared" si="100"/>
        <v>0</v>
      </c>
      <c r="Z101" s="85">
        <f t="shared" si="100"/>
        <v>0</v>
      </c>
      <c r="AA101" s="85">
        <f t="shared" ref="AA101" si="101">IF(AA84&lt;0,AA84*-1,0)</f>
        <v>0</v>
      </c>
      <c r="AB101" s="85">
        <f t="shared" si="96"/>
        <v>0</v>
      </c>
      <c r="AC101" s="85">
        <f t="shared" si="96"/>
        <v>0</v>
      </c>
      <c r="AD101" s="85">
        <f t="shared" si="96"/>
        <v>0</v>
      </c>
      <c r="AE101" s="85">
        <f t="shared" si="96"/>
        <v>0</v>
      </c>
      <c r="AF101" s="85">
        <f t="shared" si="96"/>
        <v>0</v>
      </c>
      <c r="AG101" s="88"/>
      <c r="AH101" s="12">
        <f t="shared" si="60"/>
        <v>0</v>
      </c>
      <c r="AI101" s="11">
        <f t="shared" si="61"/>
        <v>0</v>
      </c>
      <c r="BF101" s="83"/>
      <c r="BG101" s="78">
        <v>58.7</v>
      </c>
      <c r="BH101" s="78">
        <v>0</v>
      </c>
      <c r="BI101" s="78">
        <v>472.9</v>
      </c>
      <c r="BJ101" s="78">
        <v>0</v>
      </c>
      <c r="BK101" s="78">
        <v>0</v>
      </c>
      <c r="BL101" s="78">
        <v>40</v>
      </c>
    </row>
    <row r="102" spans="1:64" x14ac:dyDescent="0.25">
      <c r="A102" s="87" t="s">
        <v>160</v>
      </c>
      <c r="B102" s="85">
        <f t="shared" ref="B102:C102" si="102">IF(B82&lt;0,B82*-1,0)</f>
        <v>0</v>
      </c>
      <c r="C102" s="85">
        <f t="shared" si="102"/>
        <v>0</v>
      </c>
      <c r="D102" s="85">
        <f t="shared" ref="D102" si="103">IF(D82&lt;0,D82*-1,0)</f>
        <v>0</v>
      </c>
      <c r="E102" s="85">
        <f t="shared" ref="E102:AF102" si="104">IF(E82&lt;0,E82*-1,0)</f>
        <v>0</v>
      </c>
      <c r="F102" s="85">
        <f t="shared" si="104"/>
        <v>0</v>
      </c>
      <c r="G102" s="85">
        <f t="shared" si="104"/>
        <v>0</v>
      </c>
      <c r="H102" s="85">
        <f t="shared" si="104"/>
        <v>0</v>
      </c>
      <c r="I102" s="85">
        <f t="shared" si="104"/>
        <v>0</v>
      </c>
      <c r="J102" s="85">
        <f t="shared" si="104"/>
        <v>0</v>
      </c>
      <c r="K102" s="85">
        <f t="shared" si="104"/>
        <v>0</v>
      </c>
      <c r="L102" s="85">
        <f t="shared" si="104"/>
        <v>0</v>
      </c>
      <c r="M102" s="85">
        <f t="shared" ref="M102" si="105">IF(M82&lt;0,M82*-1,0)</f>
        <v>0</v>
      </c>
      <c r="N102" s="85">
        <f t="shared" si="104"/>
        <v>0</v>
      </c>
      <c r="O102" s="85">
        <f t="shared" si="104"/>
        <v>0</v>
      </c>
      <c r="P102" s="85">
        <f t="shared" si="104"/>
        <v>0</v>
      </c>
      <c r="Q102" s="85">
        <f t="shared" si="104"/>
        <v>0</v>
      </c>
      <c r="R102" s="85">
        <f t="shared" si="104"/>
        <v>0</v>
      </c>
      <c r="S102" s="85">
        <f t="shared" si="104"/>
        <v>0</v>
      </c>
      <c r="T102" s="85">
        <f t="shared" ref="T102:U102" si="106">IF(T82&lt;0,T82*-1,0)</f>
        <v>0</v>
      </c>
      <c r="U102" s="85">
        <f t="shared" si="106"/>
        <v>0</v>
      </c>
      <c r="V102" s="85">
        <f t="shared" ref="V102:W102" si="107">IF(V82&lt;0,V82*-1,0)</f>
        <v>0</v>
      </c>
      <c r="W102" s="85">
        <f t="shared" si="107"/>
        <v>0</v>
      </c>
      <c r="X102" s="85">
        <f t="shared" ref="X102:Z102" si="108">IF(X82&lt;0,X82*-1,0)</f>
        <v>0</v>
      </c>
      <c r="Y102" s="85">
        <f t="shared" si="108"/>
        <v>0</v>
      </c>
      <c r="Z102" s="85">
        <f t="shared" si="108"/>
        <v>0</v>
      </c>
      <c r="AA102" s="85">
        <f t="shared" ref="AA102" si="109">IF(AA82&lt;0,AA82*-1,0)</f>
        <v>0</v>
      </c>
      <c r="AB102" s="85">
        <f t="shared" si="104"/>
        <v>0</v>
      </c>
      <c r="AC102" s="85">
        <f t="shared" si="104"/>
        <v>0</v>
      </c>
      <c r="AD102" s="85">
        <f t="shared" si="104"/>
        <v>0</v>
      </c>
      <c r="AE102" s="85">
        <f t="shared" si="104"/>
        <v>0</v>
      </c>
      <c r="AF102" s="85">
        <f t="shared" si="104"/>
        <v>0</v>
      </c>
      <c r="AG102" s="86"/>
      <c r="AH102" s="12">
        <f t="shared" si="60"/>
        <v>0</v>
      </c>
      <c r="AI102" s="11">
        <f t="shared" si="61"/>
        <v>0</v>
      </c>
      <c r="BF102" s="83"/>
      <c r="BG102" s="78">
        <v>54.5</v>
      </c>
      <c r="BH102" s="78">
        <v>0</v>
      </c>
      <c r="BI102" s="78">
        <v>194.3</v>
      </c>
      <c r="BJ102" s="78">
        <v>0</v>
      </c>
      <c r="BK102" s="78">
        <v>0</v>
      </c>
      <c r="BL102" s="78">
        <v>40.700000000000003</v>
      </c>
    </row>
    <row r="103" spans="1:64" x14ac:dyDescent="0.25">
      <c r="A103" s="82" t="s">
        <v>159</v>
      </c>
      <c r="B103" s="85">
        <f t="shared" ref="B103:C103" si="110">IF(B85&lt;0,B85*-1,0)</f>
        <v>0</v>
      </c>
      <c r="C103" s="85">
        <f t="shared" si="110"/>
        <v>0</v>
      </c>
      <c r="D103" s="85">
        <f t="shared" ref="D103" si="111">IF(D85&lt;0,D85*-1,0)</f>
        <v>0</v>
      </c>
      <c r="E103" s="85">
        <f t="shared" ref="E103:AF103" si="112">IF(E85&lt;0,E85*-1,0)</f>
        <v>0</v>
      </c>
      <c r="F103" s="85">
        <f t="shared" si="112"/>
        <v>0</v>
      </c>
      <c r="G103" s="85">
        <f t="shared" si="112"/>
        <v>0</v>
      </c>
      <c r="H103" s="85">
        <f t="shared" si="112"/>
        <v>0</v>
      </c>
      <c r="I103" s="85">
        <f t="shared" si="112"/>
        <v>0</v>
      </c>
      <c r="J103" s="85">
        <f t="shared" si="112"/>
        <v>0</v>
      </c>
      <c r="K103" s="85">
        <f t="shared" si="112"/>
        <v>0</v>
      </c>
      <c r="L103" s="85">
        <f t="shared" si="112"/>
        <v>0</v>
      </c>
      <c r="M103" s="85">
        <f t="shared" ref="M103" si="113">IF(M85&lt;0,M85*-1,0)</f>
        <v>0</v>
      </c>
      <c r="N103" s="85">
        <f t="shared" si="112"/>
        <v>0</v>
      </c>
      <c r="O103" s="85">
        <f t="shared" si="112"/>
        <v>0</v>
      </c>
      <c r="P103" s="85">
        <f t="shared" si="112"/>
        <v>0</v>
      </c>
      <c r="Q103" s="85">
        <f t="shared" si="112"/>
        <v>0</v>
      </c>
      <c r="R103" s="85">
        <f t="shared" si="112"/>
        <v>0</v>
      </c>
      <c r="S103" s="85">
        <f t="shared" si="112"/>
        <v>0</v>
      </c>
      <c r="T103" s="85">
        <f t="shared" ref="T103:U103" si="114">IF(T85&lt;0,T85*-1,0)</f>
        <v>0</v>
      </c>
      <c r="U103" s="85">
        <f t="shared" si="114"/>
        <v>0</v>
      </c>
      <c r="V103" s="85">
        <f t="shared" ref="V103:W103" si="115">IF(V85&lt;0,V85*-1,0)</f>
        <v>0</v>
      </c>
      <c r="W103" s="85">
        <f t="shared" si="115"/>
        <v>0</v>
      </c>
      <c r="X103" s="85">
        <f t="shared" ref="X103:Z103" si="116">IF(X85&lt;0,X85*-1,0)</f>
        <v>0</v>
      </c>
      <c r="Y103" s="85">
        <f t="shared" si="116"/>
        <v>0</v>
      </c>
      <c r="Z103" s="85">
        <f t="shared" si="116"/>
        <v>0</v>
      </c>
      <c r="AA103" s="85">
        <f t="shared" ref="AA103" si="117">IF(AA85&lt;0,AA85*-1,0)</f>
        <v>0</v>
      </c>
      <c r="AB103" s="85">
        <f t="shared" si="112"/>
        <v>0</v>
      </c>
      <c r="AC103" s="85">
        <f t="shared" si="112"/>
        <v>0</v>
      </c>
      <c r="AD103" s="85">
        <f t="shared" si="112"/>
        <v>0</v>
      </c>
      <c r="AE103" s="85">
        <f t="shared" si="112"/>
        <v>0</v>
      </c>
      <c r="AF103" s="85">
        <f t="shared" si="112"/>
        <v>0</v>
      </c>
      <c r="AG103" s="84"/>
      <c r="AH103" s="12">
        <f t="shared" si="60"/>
        <v>0</v>
      </c>
      <c r="AI103" s="11">
        <f t="shared" si="61"/>
        <v>0</v>
      </c>
      <c r="BF103" s="83"/>
      <c r="BG103" s="78">
        <v>50.5</v>
      </c>
      <c r="BH103" s="78">
        <v>0</v>
      </c>
      <c r="BI103" s="78">
        <v>170</v>
      </c>
      <c r="BJ103" s="78">
        <v>0</v>
      </c>
      <c r="BK103" s="78">
        <v>0</v>
      </c>
      <c r="BL103" s="78">
        <v>38.1</v>
      </c>
    </row>
    <row r="104" spans="1:64" x14ac:dyDescent="0.25">
      <c r="A104" s="82" t="s">
        <v>158</v>
      </c>
      <c r="B104" s="85">
        <f t="shared" ref="B104:C104" si="118">IF(B83&lt;0,B83*-1,0)</f>
        <v>0</v>
      </c>
      <c r="C104" s="85">
        <f t="shared" si="118"/>
        <v>0</v>
      </c>
      <c r="D104" s="85">
        <f t="shared" ref="D104" si="119">IF(D83&lt;0,D83*-1,0)</f>
        <v>0</v>
      </c>
      <c r="E104" s="85">
        <f t="shared" ref="E104:AF104" si="120">IF(E83&lt;0,E83*-1,0)</f>
        <v>0</v>
      </c>
      <c r="F104" s="85">
        <f t="shared" si="120"/>
        <v>0</v>
      </c>
      <c r="G104" s="85">
        <f t="shared" si="120"/>
        <v>0</v>
      </c>
      <c r="H104" s="85">
        <f t="shared" si="120"/>
        <v>0</v>
      </c>
      <c r="I104" s="85">
        <f t="shared" si="120"/>
        <v>0</v>
      </c>
      <c r="J104" s="85">
        <f t="shared" si="120"/>
        <v>0</v>
      </c>
      <c r="K104" s="85">
        <f t="shared" si="120"/>
        <v>0</v>
      </c>
      <c r="L104" s="85">
        <f t="shared" si="120"/>
        <v>0</v>
      </c>
      <c r="M104" s="85">
        <f t="shared" ref="M104" si="121">IF(M83&lt;0,M83*-1,0)</f>
        <v>0</v>
      </c>
      <c r="N104" s="85">
        <f t="shared" si="120"/>
        <v>0</v>
      </c>
      <c r="O104" s="85">
        <f t="shared" si="120"/>
        <v>0</v>
      </c>
      <c r="P104" s="85">
        <f t="shared" si="120"/>
        <v>0</v>
      </c>
      <c r="Q104" s="85">
        <f t="shared" si="120"/>
        <v>0</v>
      </c>
      <c r="R104" s="85">
        <f t="shared" si="120"/>
        <v>0</v>
      </c>
      <c r="S104" s="85">
        <f t="shared" si="120"/>
        <v>0</v>
      </c>
      <c r="T104" s="85">
        <f t="shared" ref="T104:U104" si="122">IF(T83&lt;0,T83*-1,0)</f>
        <v>0</v>
      </c>
      <c r="U104" s="85">
        <f t="shared" si="122"/>
        <v>0</v>
      </c>
      <c r="V104" s="85">
        <f t="shared" ref="V104:W104" si="123">IF(V83&lt;0,V83*-1,0)</f>
        <v>0</v>
      </c>
      <c r="W104" s="85">
        <f t="shared" si="123"/>
        <v>0</v>
      </c>
      <c r="X104" s="85">
        <f t="shared" ref="X104:Z104" si="124">IF(X83&lt;0,X83*-1,0)</f>
        <v>0</v>
      </c>
      <c r="Y104" s="85">
        <f t="shared" si="124"/>
        <v>0</v>
      </c>
      <c r="Z104" s="85">
        <f t="shared" si="124"/>
        <v>0</v>
      </c>
      <c r="AA104" s="85">
        <f t="shared" ref="AA104" si="125">IF(AA83&lt;0,AA83*-1,0)</f>
        <v>0</v>
      </c>
      <c r="AB104" s="85">
        <f t="shared" si="120"/>
        <v>0</v>
      </c>
      <c r="AC104" s="85">
        <f t="shared" si="120"/>
        <v>0</v>
      </c>
      <c r="AD104" s="85">
        <f t="shared" si="120"/>
        <v>0</v>
      </c>
      <c r="AE104" s="85">
        <f t="shared" si="120"/>
        <v>0</v>
      </c>
      <c r="AF104" s="85">
        <f t="shared" si="120"/>
        <v>0</v>
      </c>
      <c r="AG104" s="84"/>
      <c r="AH104" s="12">
        <f t="shared" si="60"/>
        <v>0</v>
      </c>
      <c r="AI104" s="11">
        <f t="shared" si="61"/>
        <v>0</v>
      </c>
      <c r="BF104" s="83"/>
      <c r="BG104" s="78">
        <v>37</v>
      </c>
      <c r="BH104" s="78">
        <v>0</v>
      </c>
      <c r="BI104" s="78">
        <v>118</v>
      </c>
      <c r="BJ104" s="78">
        <v>0</v>
      </c>
      <c r="BK104" s="78">
        <v>0</v>
      </c>
      <c r="BL104" s="78">
        <v>40</v>
      </c>
    </row>
    <row r="105" spans="1:64" x14ac:dyDescent="0.25">
      <c r="A105" s="82" t="s">
        <v>157</v>
      </c>
      <c r="B105" s="85">
        <f t="shared" ref="B105:C105" si="126">IF(B81&lt;0,B81*-1,0)</f>
        <v>0</v>
      </c>
      <c r="C105" s="85">
        <f t="shared" si="126"/>
        <v>0</v>
      </c>
      <c r="D105" s="85">
        <f t="shared" ref="D105" si="127">IF(D81&lt;0,D81*-1,0)</f>
        <v>0</v>
      </c>
      <c r="E105" s="85">
        <f t="shared" ref="E105:AF105" si="128">IF(E81&lt;0,E81*-1,0)</f>
        <v>0</v>
      </c>
      <c r="F105" s="85">
        <f t="shared" si="128"/>
        <v>0</v>
      </c>
      <c r="G105" s="85">
        <f t="shared" si="128"/>
        <v>0</v>
      </c>
      <c r="H105" s="85">
        <f t="shared" si="128"/>
        <v>0</v>
      </c>
      <c r="I105" s="85">
        <f t="shared" si="128"/>
        <v>0</v>
      </c>
      <c r="J105" s="85">
        <f t="shared" si="128"/>
        <v>0</v>
      </c>
      <c r="K105" s="85">
        <f t="shared" si="128"/>
        <v>0</v>
      </c>
      <c r="L105" s="85">
        <f t="shared" si="128"/>
        <v>0</v>
      </c>
      <c r="M105" s="85">
        <f t="shared" ref="M105" si="129">IF(M81&lt;0,M81*-1,0)</f>
        <v>0</v>
      </c>
      <c r="N105" s="85">
        <f t="shared" si="128"/>
        <v>0</v>
      </c>
      <c r="O105" s="85">
        <f t="shared" si="128"/>
        <v>0</v>
      </c>
      <c r="P105" s="85">
        <f t="shared" si="128"/>
        <v>0</v>
      </c>
      <c r="Q105" s="85">
        <f t="shared" si="128"/>
        <v>0</v>
      </c>
      <c r="R105" s="85">
        <f t="shared" si="128"/>
        <v>0</v>
      </c>
      <c r="S105" s="85">
        <f t="shared" si="128"/>
        <v>0</v>
      </c>
      <c r="T105" s="85">
        <f t="shared" ref="T105:U105" si="130">IF(T81&lt;0,T81*-1,0)</f>
        <v>0</v>
      </c>
      <c r="U105" s="85">
        <f t="shared" si="130"/>
        <v>0</v>
      </c>
      <c r="V105" s="85">
        <f t="shared" ref="V105:W105" si="131">IF(V81&lt;0,V81*-1,0)</f>
        <v>0</v>
      </c>
      <c r="W105" s="85">
        <f t="shared" si="131"/>
        <v>0</v>
      </c>
      <c r="X105" s="85">
        <f t="shared" ref="X105:Z105" si="132">IF(X81&lt;0,X81*-1,0)</f>
        <v>0</v>
      </c>
      <c r="Y105" s="85">
        <f t="shared" si="132"/>
        <v>0</v>
      </c>
      <c r="Z105" s="85">
        <f t="shared" si="132"/>
        <v>0</v>
      </c>
      <c r="AA105" s="85">
        <f t="shared" ref="AA105" si="133">IF(AA81&lt;0,AA81*-1,0)</f>
        <v>0</v>
      </c>
      <c r="AB105" s="85">
        <f t="shared" si="128"/>
        <v>0</v>
      </c>
      <c r="AC105" s="85">
        <f t="shared" si="128"/>
        <v>0</v>
      </c>
      <c r="AD105" s="85">
        <f t="shared" si="128"/>
        <v>0</v>
      </c>
      <c r="AE105" s="85">
        <f t="shared" si="128"/>
        <v>0</v>
      </c>
      <c r="AF105" s="85">
        <f t="shared" si="128"/>
        <v>0</v>
      </c>
      <c r="AG105" s="84"/>
      <c r="AH105" s="12">
        <f t="shared" si="60"/>
        <v>0</v>
      </c>
      <c r="AI105" s="11">
        <f t="shared" si="61"/>
        <v>0</v>
      </c>
      <c r="BF105" s="83"/>
      <c r="BG105" s="78">
        <v>34</v>
      </c>
      <c r="BH105" s="78">
        <v>0</v>
      </c>
      <c r="BI105" s="78">
        <v>82</v>
      </c>
      <c r="BJ105" s="78">
        <v>0</v>
      </c>
      <c r="BK105" s="78">
        <v>0</v>
      </c>
      <c r="BL105" s="78">
        <v>40</v>
      </c>
    </row>
    <row r="106" spans="1:64" ht="15.75" thickBot="1" x14ac:dyDescent="0.3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60"/>
        <v>0</v>
      </c>
      <c r="AI106" s="11">
        <f t="shared" si="61"/>
        <v>0</v>
      </c>
      <c r="BG106" s="78">
        <v>27</v>
      </c>
      <c r="BH106" s="78">
        <v>0</v>
      </c>
      <c r="BI106" s="78">
        <v>140</v>
      </c>
      <c r="BJ106" s="78">
        <v>0</v>
      </c>
      <c r="BK106" s="78">
        <v>0</v>
      </c>
      <c r="BL106" s="78">
        <v>43</v>
      </c>
    </row>
    <row r="107" spans="1:64" ht="15.75" thickBot="1" x14ac:dyDescent="0.3">
      <c r="A107" s="79" t="s">
        <v>155</v>
      </c>
      <c r="B107" s="76">
        <v>0</v>
      </c>
      <c r="C107" s="76">
        <v>0</v>
      </c>
      <c r="D107" s="76">
        <v>0</v>
      </c>
      <c r="E107" s="76">
        <f t="shared" ref="E107:AF107" si="134">SUM(E101:E106)</f>
        <v>0</v>
      </c>
      <c r="F107" s="76">
        <f t="shared" si="134"/>
        <v>0</v>
      </c>
      <c r="G107" s="76">
        <f t="shared" si="134"/>
        <v>0</v>
      </c>
      <c r="H107" s="76">
        <f t="shared" si="134"/>
        <v>0</v>
      </c>
      <c r="I107" s="76">
        <f t="shared" si="134"/>
        <v>0</v>
      </c>
      <c r="J107" s="76">
        <f t="shared" si="134"/>
        <v>0</v>
      </c>
      <c r="K107" s="76">
        <f t="shared" si="134"/>
        <v>0</v>
      </c>
      <c r="L107" s="76">
        <f t="shared" si="134"/>
        <v>0</v>
      </c>
      <c r="M107" s="76">
        <f t="shared" ref="M107" si="135">SUM(M101:M106)</f>
        <v>0</v>
      </c>
      <c r="N107" s="76">
        <f t="shared" si="134"/>
        <v>0</v>
      </c>
      <c r="O107" s="76">
        <f t="shared" si="134"/>
        <v>0</v>
      </c>
      <c r="P107" s="76">
        <f t="shared" si="134"/>
        <v>0</v>
      </c>
      <c r="Q107" s="76">
        <f t="shared" si="134"/>
        <v>0</v>
      </c>
      <c r="R107" s="76">
        <f t="shared" si="134"/>
        <v>0</v>
      </c>
      <c r="S107" s="76">
        <f t="shared" si="134"/>
        <v>0</v>
      </c>
      <c r="T107" s="76">
        <f t="shared" ref="T107:U107" si="136">SUM(T101:T106)</f>
        <v>0</v>
      </c>
      <c r="U107" s="76">
        <f t="shared" si="136"/>
        <v>0</v>
      </c>
      <c r="V107" s="76">
        <f t="shared" ref="V107" si="137">SUM(V101:V106)</f>
        <v>0</v>
      </c>
      <c r="W107" s="76">
        <v>0</v>
      </c>
      <c r="X107" s="76">
        <v>0</v>
      </c>
      <c r="Y107" s="76">
        <v>0</v>
      </c>
      <c r="Z107" s="76">
        <v>0</v>
      </c>
      <c r="AA107" s="76">
        <v>0</v>
      </c>
      <c r="AB107" s="76">
        <f t="shared" si="134"/>
        <v>0</v>
      </c>
      <c r="AC107" s="76">
        <f t="shared" si="134"/>
        <v>0</v>
      </c>
      <c r="AD107" s="76">
        <f t="shared" si="134"/>
        <v>0</v>
      </c>
      <c r="AE107" s="76">
        <f t="shared" si="134"/>
        <v>0</v>
      </c>
      <c r="AF107" s="76">
        <f t="shared" si="134"/>
        <v>0</v>
      </c>
      <c r="AG107" s="75"/>
      <c r="AH107" s="12">
        <f t="shared" si="60"/>
        <v>0</v>
      </c>
      <c r="AI107" s="11">
        <f t="shared" si="61"/>
        <v>0</v>
      </c>
      <c r="AK107" s="19"/>
      <c r="BG107" s="78">
        <v>10</v>
      </c>
      <c r="BH107" s="78">
        <v>0</v>
      </c>
      <c r="BI107" s="78">
        <v>30</v>
      </c>
      <c r="BJ107" s="78">
        <v>0</v>
      </c>
      <c r="BK107" s="78">
        <v>0</v>
      </c>
      <c r="BL107" s="78">
        <v>44</v>
      </c>
    </row>
    <row r="108" spans="1:64" ht="15.75" thickBot="1" x14ac:dyDescent="0.3">
      <c r="A108" s="77" t="s">
        <v>154</v>
      </c>
      <c r="B108" s="76">
        <f t="shared" ref="B108:C108" si="138">B92-B107</f>
        <v>84</v>
      </c>
      <c r="C108" s="76">
        <f t="shared" si="138"/>
        <v>104</v>
      </c>
      <c r="D108" s="76">
        <f t="shared" ref="D108" si="139">D92-D107</f>
        <v>100</v>
      </c>
      <c r="E108" s="76">
        <f t="shared" ref="E108:AF108" si="140">E92-E107</f>
        <v>136.5</v>
      </c>
      <c r="F108" s="76">
        <f t="shared" si="140"/>
        <v>112.7</v>
      </c>
      <c r="G108" s="76">
        <f t="shared" si="140"/>
        <v>130.6</v>
      </c>
      <c r="H108" s="76">
        <f t="shared" si="140"/>
        <v>158.30000000000001</v>
      </c>
      <c r="I108" s="76">
        <f t="shared" si="140"/>
        <v>143.4</v>
      </c>
      <c r="J108" s="76">
        <f t="shared" si="140"/>
        <v>584.5</v>
      </c>
      <c r="K108" s="76">
        <f t="shared" si="140"/>
        <v>616</v>
      </c>
      <c r="L108" s="76">
        <f t="shared" si="140"/>
        <v>596</v>
      </c>
      <c r="M108" s="76">
        <f t="shared" ref="M108" si="141">M92-M107</f>
        <v>762.6</v>
      </c>
      <c r="N108" s="76">
        <f t="shared" si="140"/>
        <v>800</v>
      </c>
      <c r="O108" s="76">
        <f t="shared" si="140"/>
        <v>812.8</v>
      </c>
      <c r="P108" s="76">
        <f t="shared" si="140"/>
        <v>810.40000000000009</v>
      </c>
      <c r="Q108" s="76">
        <f t="shared" si="140"/>
        <v>837.4</v>
      </c>
      <c r="R108" s="76">
        <f t="shared" si="140"/>
        <v>775.7</v>
      </c>
      <c r="S108" s="76">
        <f t="shared" si="140"/>
        <v>774</v>
      </c>
      <c r="T108" s="76">
        <f t="shared" ref="T108:U108" si="142">T92-T107</f>
        <v>788.59999999999991</v>
      </c>
      <c r="U108" s="76">
        <f t="shared" si="142"/>
        <v>837.69999999999993</v>
      </c>
      <c r="V108" s="76">
        <f t="shared" ref="V108:W108" si="143">V92-V107</f>
        <v>791.1</v>
      </c>
      <c r="W108" s="76">
        <f t="shared" si="143"/>
        <v>809.19999999999993</v>
      </c>
      <c r="X108" s="76">
        <f t="shared" ref="X108:Z108" si="144">X92-X107</f>
        <v>571.6</v>
      </c>
      <c r="Y108" s="76">
        <f t="shared" si="144"/>
        <v>300.40000000000003</v>
      </c>
      <c r="Z108" s="76">
        <f t="shared" si="144"/>
        <v>289.5</v>
      </c>
      <c r="AA108" s="76">
        <f t="shared" ref="AA108" si="145">AA92-AA107</f>
        <v>281.5</v>
      </c>
      <c r="AB108" s="76">
        <f t="shared" si="140"/>
        <v>258.60000000000002</v>
      </c>
      <c r="AC108" s="76">
        <f t="shared" si="140"/>
        <v>198</v>
      </c>
      <c r="AD108" s="76">
        <f t="shared" si="140"/>
        <v>195</v>
      </c>
      <c r="AE108" s="76">
        <f t="shared" si="140"/>
        <v>156</v>
      </c>
      <c r="AF108" s="76">
        <f t="shared" si="140"/>
        <v>210</v>
      </c>
      <c r="AG108" s="75"/>
      <c r="AH108" s="12">
        <f t="shared" si="60"/>
        <v>837.69999999999993</v>
      </c>
      <c r="AI108" s="11">
        <f t="shared" si="61"/>
        <v>84</v>
      </c>
    </row>
    <row r="109" spans="1:64" x14ac:dyDescent="0.25">
      <c r="A109" s="25" t="s">
        <v>153</v>
      </c>
      <c r="B109" s="74">
        <v>49.99</v>
      </c>
      <c r="C109" s="74">
        <v>50.05</v>
      </c>
      <c r="D109" s="74">
        <v>49.97</v>
      </c>
      <c r="E109" s="74">
        <v>49.962000000000003</v>
      </c>
      <c r="F109" s="74">
        <v>49.899000000000001</v>
      </c>
      <c r="G109" s="74">
        <v>49.917999999999999</v>
      </c>
      <c r="H109" s="74">
        <v>49.973999999999997</v>
      </c>
      <c r="I109" s="74">
        <v>50.02</v>
      </c>
      <c r="J109" s="74">
        <v>49.994999999999997</v>
      </c>
      <c r="K109" s="74">
        <v>50.026000000000003</v>
      </c>
      <c r="L109" s="74">
        <v>49.991999999999997</v>
      </c>
      <c r="M109" s="74">
        <v>49.93</v>
      </c>
      <c r="N109" s="74">
        <v>50.03</v>
      </c>
      <c r="O109" s="74">
        <v>50.054000000000002</v>
      </c>
      <c r="P109" s="74">
        <v>50.027999999999999</v>
      </c>
      <c r="Q109" s="74">
        <v>50.064999999999998</v>
      </c>
      <c r="R109" s="74">
        <v>49.951999999999998</v>
      </c>
      <c r="S109" s="74">
        <v>49.981999999999999</v>
      </c>
      <c r="T109" s="74">
        <v>49.99</v>
      </c>
      <c r="U109" s="74">
        <v>50.08</v>
      </c>
      <c r="V109" s="74">
        <v>49.97</v>
      </c>
      <c r="W109" s="74">
        <v>50.08</v>
      </c>
      <c r="X109" s="74">
        <v>50.06</v>
      </c>
      <c r="Y109" s="74">
        <v>50.05</v>
      </c>
      <c r="Z109" s="74">
        <v>49.97</v>
      </c>
      <c r="AA109" s="74">
        <v>50</v>
      </c>
      <c r="AB109" s="74">
        <v>50.04</v>
      </c>
      <c r="AC109" s="74">
        <v>49.981000000000002</v>
      </c>
      <c r="AD109" s="74">
        <v>50.046999999999997</v>
      </c>
      <c r="AE109" s="74">
        <v>50.034999999999997</v>
      </c>
      <c r="AF109" s="74">
        <v>50.054000000000002</v>
      </c>
      <c r="AG109" s="73"/>
      <c r="AH109" s="12">
        <f t="shared" si="60"/>
        <v>50.08</v>
      </c>
      <c r="AI109" s="11">
        <f t="shared" si="61"/>
        <v>49.899000000000001</v>
      </c>
    </row>
    <row r="110" spans="1:64" x14ac:dyDescent="0.25">
      <c r="A110" s="22" t="s">
        <v>152</v>
      </c>
      <c r="B110" s="70">
        <v>128.80000000000001</v>
      </c>
      <c r="C110" s="70">
        <v>128.80000000000001</v>
      </c>
      <c r="D110" s="70">
        <v>128.80000000000001</v>
      </c>
      <c r="E110" s="70">
        <v>129.5</v>
      </c>
      <c r="F110" s="70">
        <v>129.6</v>
      </c>
      <c r="G110" s="70">
        <v>129.9</v>
      </c>
      <c r="H110" s="70">
        <v>129</v>
      </c>
      <c r="I110" s="70">
        <v>127.8</v>
      </c>
      <c r="J110" s="70">
        <v>120.6</v>
      </c>
      <c r="K110" s="70">
        <v>128.80000000000001</v>
      </c>
      <c r="L110" s="70">
        <v>127.7</v>
      </c>
      <c r="M110" s="70">
        <v>126.9</v>
      </c>
      <c r="N110" s="70">
        <v>126.9</v>
      </c>
      <c r="O110" s="70">
        <v>126.8</v>
      </c>
      <c r="P110" s="70">
        <v>125.6</v>
      </c>
      <c r="Q110" s="70">
        <v>126</v>
      </c>
      <c r="R110" s="70">
        <v>127.3</v>
      </c>
      <c r="S110" s="70">
        <v>127</v>
      </c>
      <c r="T110" s="70">
        <v>126.6</v>
      </c>
      <c r="U110" s="70">
        <v>127.3</v>
      </c>
      <c r="V110" s="70">
        <v>127.3</v>
      </c>
      <c r="W110" s="70">
        <v>126.8</v>
      </c>
      <c r="X110" s="70">
        <v>126.8</v>
      </c>
      <c r="Y110" s="70">
        <v>127.3</v>
      </c>
      <c r="Z110" s="70">
        <v>125.5</v>
      </c>
      <c r="AA110" s="70">
        <v>125.5</v>
      </c>
      <c r="AB110" s="70">
        <v>127</v>
      </c>
      <c r="AC110" s="70">
        <v>126.4</v>
      </c>
      <c r="AD110" s="70">
        <v>127.2</v>
      </c>
      <c r="AE110" s="70">
        <v>129.30000000000001</v>
      </c>
      <c r="AF110" s="70">
        <v>128.80000000000001</v>
      </c>
      <c r="AG110" s="69"/>
      <c r="AH110" s="12">
        <f t="shared" si="60"/>
        <v>129.9</v>
      </c>
      <c r="AI110" s="11">
        <f t="shared" si="61"/>
        <v>120.6</v>
      </c>
    </row>
    <row r="111" spans="1:64" x14ac:dyDescent="0.25">
      <c r="A111" s="22" t="s">
        <v>151</v>
      </c>
      <c r="B111" s="70">
        <v>133.69999999999999</v>
      </c>
      <c r="C111" s="70">
        <v>133.69999999999999</v>
      </c>
      <c r="D111" s="70">
        <v>133.69999999999999</v>
      </c>
      <c r="E111" s="70">
        <v>134</v>
      </c>
      <c r="F111" s="70">
        <v>133.80000000000001</v>
      </c>
      <c r="G111" s="70">
        <v>133.6</v>
      </c>
      <c r="H111" s="70">
        <v>133.19999999999999</v>
      </c>
      <c r="I111" s="70">
        <v>132.30000000000001</v>
      </c>
      <c r="J111" s="70">
        <v>126.2</v>
      </c>
      <c r="K111" s="70">
        <v>130.9</v>
      </c>
      <c r="L111" s="70">
        <v>130.1</v>
      </c>
      <c r="M111" s="70">
        <v>129.30000000000001</v>
      </c>
      <c r="N111" s="70">
        <v>129.6</v>
      </c>
      <c r="O111" s="70">
        <v>129.19999999999999</v>
      </c>
      <c r="P111" s="70">
        <v>128.19999999999999</v>
      </c>
      <c r="Q111" s="70">
        <v>129</v>
      </c>
      <c r="R111" s="70">
        <v>129.80000000000001</v>
      </c>
      <c r="S111" s="70">
        <v>129.4</v>
      </c>
      <c r="T111" s="70">
        <v>128.9</v>
      </c>
      <c r="U111" s="70">
        <v>129.4</v>
      </c>
      <c r="V111" s="70">
        <v>129.4</v>
      </c>
      <c r="W111" s="70">
        <v>129.30000000000001</v>
      </c>
      <c r="X111" s="70">
        <v>129.30000000000001</v>
      </c>
      <c r="Y111" s="70">
        <v>129.30000000000001</v>
      </c>
      <c r="Z111" s="70">
        <v>128.80000000000001</v>
      </c>
      <c r="AA111" s="70">
        <v>128.80000000000001</v>
      </c>
      <c r="AB111" s="70">
        <v>131</v>
      </c>
      <c r="AC111" s="70">
        <v>130.4</v>
      </c>
      <c r="AD111" s="70">
        <v>131.1</v>
      </c>
      <c r="AE111" s="70">
        <v>132.9</v>
      </c>
      <c r="AF111" s="70">
        <v>132.9</v>
      </c>
      <c r="AG111" s="69"/>
      <c r="AH111" s="12">
        <f t="shared" si="60"/>
        <v>134</v>
      </c>
      <c r="AI111" s="11">
        <f t="shared" si="61"/>
        <v>126.2</v>
      </c>
    </row>
    <row r="112" spans="1:64" x14ac:dyDescent="0.25">
      <c r="A112" s="22" t="s">
        <v>150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>
        <v>127.5</v>
      </c>
      <c r="AD112" s="70">
        <v>129</v>
      </c>
      <c r="AE112" s="70">
        <v>131</v>
      </c>
      <c r="AF112" s="70">
        <v>130.80000000000001</v>
      </c>
      <c r="AG112" s="69"/>
      <c r="AH112" s="12">
        <f t="shared" si="60"/>
        <v>131</v>
      </c>
      <c r="AI112" s="11">
        <f t="shared" si="61"/>
        <v>127.5</v>
      </c>
    </row>
    <row r="113" spans="1:35" x14ac:dyDescent="0.25">
      <c r="A113" s="72" t="s">
        <v>149</v>
      </c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>
        <v>127.8</v>
      </c>
      <c r="AD113" s="70">
        <v>129.9</v>
      </c>
      <c r="AE113" s="70">
        <v>131</v>
      </c>
      <c r="AF113" s="70">
        <v>131.69999999999999</v>
      </c>
      <c r="AG113" s="69"/>
      <c r="AH113" s="12">
        <f t="shared" si="60"/>
        <v>131.69999999999999</v>
      </c>
      <c r="AI113" s="11">
        <f t="shared" si="61"/>
        <v>127.8</v>
      </c>
    </row>
    <row r="114" spans="1:35" x14ac:dyDescent="0.25">
      <c r="A114" s="72" t="s">
        <v>148</v>
      </c>
      <c r="B114" s="56">
        <v>135.9</v>
      </c>
      <c r="C114" s="56">
        <v>135.9</v>
      </c>
      <c r="D114" s="56">
        <v>135.9</v>
      </c>
      <c r="E114" s="56">
        <v>135.30000000000001</v>
      </c>
      <c r="F114" s="56">
        <v>134.19999999999999</v>
      </c>
      <c r="G114" s="56">
        <v>134.30000000000001</v>
      </c>
      <c r="H114" s="56">
        <v>134.69999999999999</v>
      </c>
      <c r="I114" s="56">
        <v>133.5</v>
      </c>
      <c r="J114" s="56">
        <v>128.69999999999999</v>
      </c>
      <c r="K114" s="56">
        <v>134.9</v>
      </c>
      <c r="L114" s="56">
        <v>132.6</v>
      </c>
      <c r="M114" s="56">
        <v>132.19999999999999</v>
      </c>
      <c r="N114" s="56">
        <v>134.4</v>
      </c>
      <c r="O114" s="56">
        <v>135.19999999999999</v>
      </c>
      <c r="P114" s="56">
        <v>130.5</v>
      </c>
      <c r="Q114" s="56">
        <v>133.5</v>
      </c>
      <c r="R114" s="56">
        <v>132.80000000000001</v>
      </c>
      <c r="S114" s="56">
        <v>130.9</v>
      </c>
      <c r="T114" s="56">
        <v>132.6</v>
      </c>
      <c r="U114" s="56">
        <v>132.30000000000001</v>
      </c>
      <c r="V114" s="56">
        <v>132.30000000000001</v>
      </c>
      <c r="W114" s="56">
        <v>132.30000000000001</v>
      </c>
      <c r="X114" s="56">
        <v>132.30000000000001</v>
      </c>
      <c r="Y114" s="56">
        <v>132.30000000000001</v>
      </c>
      <c r="Z114" s="56">
        <v>131.30000000000001</v>
      </c>
      <c r="AA114" s="56">
        <v>131.30000000000001</v>
      </c>
      <c r="AB114" s="56">
        <v>134.80000000000001</v>
      </c>
      <c r="AC114" s="56">
        <v>134.80000000000001</v>
      </c>
      <c r="AD114" s="56">
        <v>133.69999999999999</v>
      </c>
      <c r="AE114" s="56">
        <v>134.69999999999999</v>
      </c>
      <c r="AF114" s="56">
        <v>134.69999999999999</v>
      </c>
      <c r="AG114" s="71"/>
      <c r="AH114" s="12">
        <f t="shared" si="60"/>
        <v>135.9</v>
      </c>
      <c r="AI114" s="11">
        <f t="shared" si="61"/>
        <v>128.69999999999999</v>
      </c>
    </row>
    <row r="115" spans="1:35" x14ac:dyDescent="0.25">
      <c r="A115" s="22" t="s">
        <v>147</v>
      </c>
      <c r="B115" s="70">
        <v>133</v>
      </c>
      <c r="C115" s="70">
        <v>133</v>
      </c>
      <c r="D115" s="70">
        <v>133</v>
      </c>
      <c r="E115" s="70">
        <v>134.19999999999999</v>
      </c>
      <c r="F115" s="70">
        <v>133</v>
      </c>
      <c r="G115" s="70">
        <v>133</v>
      </c>
      <c r="H115" s="70">
        <v>131.4</v>
      </c>
      <c r="I115" s="70">
        <v>128.30000000000001</v>
      </c>
      <c r="J115" s="70">
        <v>129</v>
      </c>
      <c r="K115" s="70">
        <v>125.4</v>
      </c>
      <c r="L115" s="70">
        <v>125.9</v>
      </c>
      <c r="M115" s="70">
        <v>124.4</v>
      </c>
      <c r="N115" s="70">
        <v>118.3</v>
      </c>
      <c r="O115" s="70">
        <v>120.7</v>
      </c>
      <c r="P115" s="70">
        <v>122.2</v>
      </c>
      <c r="Q115" s="70">
        <v>124.6</v>
      </c>
      <c r="R115" s="70">
        <v>125.2</v>
      </c>
      <c r="S115" s="70">
        <v>128.1</v>
      </c>
      <c r="T115" s="70">
        <v>124.8</v>
      </c>
      <c r="U115" s="70">
        <v>120.3</v>
      </c>
      <c r="V115" s="70">
        <v>120.3</v>
      </c>
      <c r="W115" s="70">
        <v>120.3</v>
      </c>
      <c r="X115" s="70">
        <v>120.3</v>
      </c>
      <c r="Y115" s="70">
        <v>120.3</v>
      </c>
      <c r="Z115" s="70">
        <v>133.6</v>
      </c>
      <c r="AA115" s="70">
        <v>133.6</v>
      </c>
      <c r="AB115" s="70">
        <v>133.1</v>
      </c>
      <c r="AC115" s="70">
        <v>133.30000000000001</v>
      </c>
      <c r="AD115" s="70">
        <v>134.4</v>
      </c>
      <c r="AE115" s="70">
        <v>135.19999999999999</v>
      </c>
      <c r="AF115" s="70">
        <v>130.6</v>
      </c>
      <c r="AG115" s="69"/>
      <c r="AH115" s="12">
        <f t="shared" si="60"/>
        <v>135.19999999999999</v>
      </c>
      <c r="AI115" s="11">
        <f t="shared" si="61"/>
        <v>118.3</v>
      </c>
    </row>
    <row r="116" spans="1:35" ht="15.75" thickBot="1" x14ac:dyDescent="0.3">
      <c r="A116" s="22" t="s">
        <v>146</v>
      </c>
      <c r="B116" s="67">
        <v>66.8</v>
      </c>
      <c r="C116" s="67">
        <v>66.8</v>
      </c>
      <c r="D116" s="67">
        <v>66.8</v>
      </c>
      <c r="E116" s="67">
        <v>67.2</v>
      </c>
      <c r="F116" s="67">
        <v>67</v>
      </c>
      <c r="G116" s="67">
        <v>66.900000000000006</v>
      </c>
      <c r="H116" s="67">
        <v>66.7</v>
      </c>
      <c r="I116" s="67">
        <v>66.2</v>
      </c>
      <c r="J116" s="67">
        <v>65.900000000000006</v>
      </c>
      <c r="K116" s="67">
        <v>65.2</v>
      </c>
      <c r="L116" s="67">
        <v>64.900000000000006</v>
      </c>
      <c r="M116" s="67">
        <v>64.599999999999994</v>
      </c>
      <c r="N116" s="67">
        <v>64.400000000000006</v>
      </c>
      <c r="O116" s="67">
        <v>64.3</v>
      </c>
      <c r="P116" s="67">
        <v>63.9</v>
      </c>
      <c r="Q116" s="67">
        <v>64.2</v>
      </c>
      <c r="R116" s="67">
        <v>64.5</v>
      </c>
      <c r="S116" s="67">
        <v>64.400000000000006</v>
      </c>
      <c r="T116" s="67">
        <v>64.2</v>
      </c>
      <c r="U116" s="67">
        <v>64.3</v>
      </c>
      <c r="V116" s="67">
        <v>64.3</v>
      </c>
      <c r="W116" s="67">
        <v>64.3</v>
      </c>
      <c r="X116" s="67">
        <v>64.3</v>
      </c>
      <c r="Y116" s="67">
        <v>64.3</v>
      </c>
      <c r="Z116" s="67">
        <v>64.5</v>
      </c>
      <c r="AA116" s="67">
        <v>64.5</v>
      </c>
      <c r="AB116" s="67">
        <v>65.8</v>
      </c>
      <c r="AC116" s="67">
        <v>65.5</v>
      </c>
      <c r="AD116" s="67">
        <v>65.7</v>
      </c>
      <c r="AE116" s="67">
        <v>66.599999999999994</v>
      </c>
      <c r="AF116" s="67">
        <v>66.599999999999994</v>
      </c>
      <c r="AG116" s="66"/>
      <c r="AH116" s="12">
        <f t="shared" si="60"/>
        <v>67.2</v>
      </c>
      <c r="AI116" s="11">
        <f t="shared" si="61"/>
        <v>63.9</v>
      </c>
    </row>
    <row r="117" spans="1:35" ht="15.75" thickBot="1" x14ac:dyDescent="0.3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60"/>
        <v>0</v>
      </c>
      <c r="AI117" s="11">
        <f t="shared" si="61"/>
        <v>0</v>
      </c>
    </row>
    <row r="118" spans="1:35" ht="15.75" thickBot="1" x14ac:dyDescent="0.3">
      <c r="A118" s="65" t="s">
        <v>144</v>
      </c>
      <c r="B118" s="64">
        <f t="shared" ref="B118:C118" si="146">SUM(B22,B28,B31:B32,B66,B68:B69,B71,B73,B119:B123,B155,B161,B167,B176,B178,B190,B197,B200:B201,B208,B210,B212,B216:B218,B220:B222,B227,B233:B234,B236:B238,B246,B251)</f>
        <v>92.240000000000009</v>
      </c>
      <c r="C118" s="64">
        <f t="shared" si="146"/>
        <v>80.240000000000009</v>
      </c>
      <c r="D118" s="64">
        <f t="shared" ref="D118" si="147">SUM(D22,D28,D31:D32,D66,D68:D69,D71,D73,D119:D123,D155,D161,D167,D176,D178,D190,D197,D200:D201,D208,D210,D212,D216:D218,D220:D222,D227,D233:D234,D236:D238,D246,D251)</f>
        <v>81.240000000000009</v>
      </c>
      <c r="E118" s="64">
        <f t="shared" ref="E118:O118" si="148">SUM(E22,E28,E31:E32,E66,E68:E69,E71,E73,E119:E123,E155,E161,E167,E176,E178,E190,E197,E200:E201,E208,E210,E212,E216:E218,E220:E222,E227,E233:E234,E236:E238,E246,E251)</f>
        <v>75.539999999999992</v>
      </c>
      <c r="F118" s="64">
        <f t="shared" si="148"/>
        <v>96.039999999999978</v>
      </c>
      <c r="G118" s="64">
        <f t="shared" si="148"/>
        <v>105.13999999999997</v>
      </c>
      <c r="H118" s="64">
        <f t="shared" si="148"/>
        <v>134.94</v>
      </c>
      <c r="I118" s="64">
        <f>SUM(I22,I28,I31:I32,I66,I68:I69,I71,I73,I119:I123,I155,I161,I167,I176,I178,I190,I197,I200:I201,I208,I210,I212,I216:I218,I220:I222,I227,I233:I234,I236:I238,I246,I251)</f>
        <v>154.63999999999999</v>
      </c>
      <c r="J118" s="64">
        <f>SUM(J22,J28,J31:J32,J66,J68:J69,J71,J73,J119:J123,J155,J161,J167,J176,J178,J190,J197,J200:J201,J208,J210,J212,J216:J218,J220:J222,J227,J233:J234,J236:J238,J246,J251)</f>
        <v>180.44</v>
      </c>
      <c r="K118" s="64">
        <f t="shared" si="148"/>
        <v>234.74</v>
      </c>
      <c r="L118" s="64">
        <f t="shared" si="148"/>
        <v>277.14</v>
      </c>
      <c r="M118" s="64">
        <f t="shared" si="148"/>
        <v>301.04000000000002</v>
      </c>
      <c r="N118" s="64">
        <f t="shared" si="148"/>
        <v>291.33999999999997</v>
      </c>
      <c r="O118" s="64">
        <f t="shared" si="148"/>
        <v>300.24</v>
      </c>
      <c r="P118" s="64">
        <v>42</v>
      </c>
      <c r="Q118" s="64">
        <f t="shared" ref="Q118:S118" si="149">SUM(Q22,Q28,Q31:Q32,Q66,Q68:Q69,Q71,Q73,Q119:Q123,Q155,Q161,Q167,Q176,Q178,Q190,Q197,Q200:Q201,Q208,Q210,Q212,Q216:Q218,Q220:Q222,Q227,Q233:Q234,Q236:Q238,Q246,Q251)</f>
        <v>309.64000000000004</v>
      </c>
      <c r="R118" s="64">
        <f t="shared" si="149"/>
        <v>284.74</v>
      </c>
      <c r="S118" s="64">
        <f t="shared" si="149"/>
        <v>284.83999999999997</v>
      </c>
      <c r="T118" s="64">
        <f t="shared" ref="T118:U118" si="150">SUM(T22,T28,T31:T32,T66,T68:T69,T71,T73,T119:T123,T155,T161,T167,T176,T178,T190,T197,T200:T201,T208,T210,T212,T216:T218,T220:T222,T227,T233:T234,T236:T238,T246,T251)</f>
        <v>296.94</v>
      </c>
      <c r="U118" s="64">
        <f t="shared" si="150"/>
        <v>297.83999999999997</v>
      </c>
      <c r="V118" s="64">
        <f t="shared" ref="V118:W118" si="151">SUM(V22,V28,V31:V32,V66,V68:V69,V71,V73,V119:V123,V155,V161,V167,V176,V178,V190,V197,V200:V201,V208,V210,V212,V216:V218,V220:V222,V227,V233:V234,V236:V238,V246,V251)</f>
        <v>303.54000000000002</v>
      </c>
      <c r="W118" s="64">
        <f t="shared" si="151"/>
        <v>308.44</v>
      </c>
      <c r="X118" s="64">
        <f t="shared" ref="X118:Z118" si="152">SUM(X22,X28,X31:X32,X66,X68:X69,X71,X73,X119:X123,X155,X161,X167,X176,X178,X190,X197,X200:X201,X208,X210,X212,X216:X218,X220:X222,X227,X233:X234,X236:X238,X246,X251)</f>
        <v>306.64</v>
      </c>
      <c r="Y118" s="64">
        <f t="shared" si="152"/>
        <v>327.73999999999995</v>
      </c>
      <c r="Z118" s="64">
        <f t="shared" si="152"/>
        <v>375.04</v>
      </c>
      <c r="AA118" s="64">
        <f t="shared" ref="AA118" si="153">SUM(AA22,AA28,AA31:AA32,AA66,AA68:AA69,AA71,AA73,AA119:AA123,AA155,AA161,AA167,AA176,AA178,AA190,AA197,AA200:AA201,AA208,AA210,AA212,AA216:AA218,AA220:AA222,AA227,AA233:AA234,AA236:AA238,AA246,AA251)</f>
        <v>373.04</v>
      </c>
      <c r="AB118" s="64">
        <f t="shared" ref="AB118:AF118" si="154">SUM(AB22,AB28,AB31:AB32,AB66,AB68:AB69,AB71,AB73,AB119:AB123,AB155,AB161,AB167,AB176,AB178,AB190,AB197,AB200:AB201,AB208,AB210,AB212,AB216:AB218,AB220:AB222,AB227,AB233:AB234,AB236:AB238,AB246,AB251)</f>
        <v>301.74</v>
      </c>
      <c r="AC118" s="64">
        <f t="shared" si="154"/>
        <v>305.33999999999997</v>
      </c>
      <c r="AD118" s="64">
        <f t="shared" si="154"/>
        <v>230.33999999999997</v>
      </c>
      <c r="AE118" s="64">
        <f t="shared" si="154"/>
        <v>194.84</v>
      </c>
      <c r="AF118" s="64">
        <f t="shared" si="154"/>
        <v>141.84</v>
      </c>
      <c r="AG118" s="63"/>
      <c r="AH118" s="12">
        <f t="shared" si="60"/>
        <v>375.04</v>
      </c>
      <c r="AI118" s="11">
        <f t="shared" si="61"/>
        <v>42</v>
      </c>
    </row>
    <row r="119" spans="1:35" x14ac:dyDescent="0.25">
      <c r="A119" s="59" t="s">
        <v>143</v>
      </c>
      <c r="B119" s="62">
        <v>36</v>
      </c>
      <c r="C119" s="62">
        <v>30</v>
      </c>
      <c r="D119" s="62">
        <v>27</v>
      </c>
      <c r="E119" s="62">
        <v>24.3</v>
      </c>
      <c r="F119" s="62">
        <v>24.2</v>
      </c>
      <c r="G119" s="62">
        <v>25.8</v>
      </c>
      <c r="H119" s="62">
        <v>30.3</v>
      </c>
      <c r="I119" s="62">
        <v>32.4</v>
      </c>
      <c r="J119" s="62">
        <v>28</v>
      </c>
      <c r="K119" s="62">
        <v>23.4</v>
      </c>
      <c r="L119" s="62">
        <v>20.7</v>
      </c>
      <c r="M119" s="62">
        <v>20.399999999999999</v>
      </c>
      <c r="N119" s="62">
        <v>19.2</v>
      </c>
      <c r="O119" s="62">
        <v>18</v>
      </c>
      <c r="P119" s="62">
        <v>15.1</v>
      </c>
      <c r="Q119" s="62">
        <v>15.4</v>
      </c>
      <c r="R119" s="62">
        <v>10.5</v>
      </c>
      <c r="S119" s="62">
        <v>4.4000000000000004</v>
      </c>
      <c r="T119" s="62">
        <v>0.3</v>
      </c>
      <c r="U119" s="62">
        <v>-0.4</v>
      </c>
      <c r="V119" s="62">
        <v>5.4</v>
      </c>
      <c r="W119" s="62">
        <v>-1</v>
      </c>
      <c r="X119" s="62">
        <v>17.5</v>
      </c>
      <c r="Y119" s="62">
        <v>23.4</v>
      </c>
      <c r="Z119" s="62">
        <v>23.9</v>
      </c>
      <c r="AA119" s="62">
        <v>33.200000000000003</v>
      </c>
      <c r="AB119" s="62">
        <v>45</v>
      </c>
      <c r="AC119" s="62">
        <v>48.9</v>
      </c>
      <c r="AD119" s="62">
        <v>40.4</v>
      </c>
      <c r="AE119" s="62">
        <v>22.9</v>
      </c>
      <c r="AF119" s="62">
        <v>18.899999999999999</v>
      </c>
      <c r="AG119" s="55">
        <v>75</v>
      </c>
      <c r="AH119" s="12">
        <f t="shared" si="60"/>
        <v>48.9</v>
      </c>
      <c r="AI119" s="11">
        <f t="shared" si="61"/>
        <v>-1</v>
      </c>
    </row>
    <row r="120" spans="1:35" x14ac:dyDescent="0.25">
      <c r="A120" s="57" t="s">
        <v>142</v>
      </c>
      <c r="B120" s="61">
        <v>58</v>
      </c>
      <c r="C120" s="61">
        <v>51</v>
      </c>
      <c r="D120" s="61">
        <v>48</v>
      </c>
      <c r="E120" s="61">
        <v>43.1</v>
      </c>
      <c r="F120" s="61">
        <v>42.5</v>
      </c>
      <c r="G120" s="61">
        <v>43.3</v>
      </c>
      <c r="H120" s="61">
        <v>48.9</v>
      </c>
      <c r="I120" s="61">
        <v>51.7</v>
      </c>
      <c r="J120" s="61">
        <v>35</v>
      </c>
      <c r="K120" s="61">
        <v>29.6</v>
      </c>
      <c r="L120" s="61">
        <v>24.3</v>
      </c>
      <c r="M120" s="61">
        <v>24.3</v>
      </c>
      <c r="N120" s="61">
        <v>22.3</v>
      </c>
      <c r="O120" s="61">
        <v>19.8</v>
      </c>
      <c r="P120" s="61">
        <v>15.5</v>
      </c>
      <c r="Q120" s="61">
        <v>16.399999999999999</v>
      </c>
      <c r="R120" s="61">
        <v>10.1</v>
      </c>
      <c r="S120" s="61">
        <v>-0.9</v>
      </c>
      <c r="T120" s="61">
        <v>-5.2</v>
      </c>
      <c r="U120" s="61">
        <v>-7.5</v>
      </c>
      <c r="V120" s="61">
        <v>3.8</v>
      </c>
      <c r="W120" s="61">
        <v>-6.2</v>
      </c>
      <c r="X120" s="61">
        <v>25.8</v>
      </c>
      <c r="Y120" s="61">
        <v>33</v>
      </c>
      <c r="Z120" s="61">
        <v>33</v>
      </c>
      <c r="AA120" s="61">
        <v>46.5</v>
      </c>
      <c r="AB120" s="61">
        <v>63.4</v>
      </c>
      <c r="AC120" s="61">
        <v>75</v>
      </c>
      <c r="AD120" s="61">
        <v>63.8</v>
      </c>
      <c r="AE120" s="61">
        <v>42.5</v>
      </c>
      <c r="AF120" s="61">
        <v>38.5</v>
      </c>
      <c r="AG120" s="55">
        <v>240</v>
      </c>
      <c r="AH120" s="12">
        <f t="shared" si="60"/>
        <v>75</v>
      </c>
      <c r="AI120" s="11">
        <f t="shared" si="61"/>
        <v>-7.5</v>
      </c>
    </row>
    <row r="121" spans="1:35" x14ac:dyDescent="0.25">
      <c r="A121" s="57" t="s">
        <v>141</v>
      </c>
      <c r="B121" s="61">
        <v>-150</v>
      </c>
      <c r="C121" s="61">
        <v>-140</v>
      </c>
      <c r="D121" s="61">
        <v>-133</v>
      </c>
      <c r="E121" s="61">
        <v>-131.19999999999999</v>
      </c>
      <c r="F121" s="61">
        <v>-124.5</v>
      </c>
      <c r="G121" s="61">
        <v>-122.6</v>
      </c>
      <c r="H121" s="61">
        <v>-118.9</v>
      </c>
      <c r="I121" s="61">
        <v>-117.7</v>
      </c>
      <c r="J121" s="61">
        <v>-79.900000000000006</v>
      </c>
      <c r="K121" s="61">
        <v>-64.400000000000006</v>
      </c>
      <c r="L121" s="61">
        <v>-18.3</v>
      </c>
      <c r="M121" s="61">
        <v>4</v>
      </c>
      <c r="N121" s="61">
        <v>2.9</v>
      </c>
      <c r="O121" s="61">
        <v>10</v>
      </c>
      <c r="P121" s="61">
        <v>13.8</v>
      </c>
      <c r="Q121" s="61">
        <f>8.3+3.9</f>
        <v>12.200000000000001</v>
      </c>
      <c r="R121" s="61">
        <v>13.9</v>
      </c>
      <c r="S121" s="61">
        <v>22.9</v>
      </c>
      <c r="T121" s="61">
        <v>34</v>
      </c>
      <c r="U121" s="61">
        <v>39</v>
      </c>
      <c r="V121" s="61">
        <v>34</v>
      </c>
      <c r="W121" s="61">
        <v>39</v>
      </c>
      <c r="X121" s="61">
        <v>6</v>
      </c>
      <c r="Y121" s="61">
        <v>-13</v>
      </c>
      <c r="Z121" s="61">
        <v>-5</v>
      </c>
      <c r="AA121" s="61">
        <v>-27</v>
      </c>
      <c r="AB121" s="61">
        <v>-99.5</v>
      </c>
      <c r="AC121" s="61">
        <v>-88</v>
      </c>
      <c r="AD121" s="61">
        <v>-88</v>
      </c>
      <c r="AE121" s="61">
        <v>-62</v>
      </c>
      <c r="AF121" s="61">
        <v>-75</v>
      </c>
      <c r="AG121" s="55">
        <v>240</v>
      </c>
      <c r="AH121" s="12">
        <f t="shared" si="60"/>
        <v>39</v>
      </c>
      <c r="AI121" s="11">
        <f t="shared" si="61"/>
        <v>-150</v>
      </c>
    </row>
    <row r="122" spans="1:35" ht="15.75" thickBot="1" x14ac:dyDescent="0.3">
      <c r="A122" s="57" t="s">
        <v>140</v>
      </c>
      <c r="B122" s="61">
        <v>22</v>
      </c>
      <c r="C122" s="61">
        <v>22</v>
      </c>
      <c r="D122" s="61">
        <v>22</v>
      </c>
      <c r="E122" s="61">
        <v>22.5</v>
      </c>
      <c r="F122" s="61">
        <v>23.7</v>
      </c>
      <c r="G122" s="61">
        <v>22.3</v>
      </c>
      <c r="H122" s="61">
        <v>18.2</v>
      </c>
      <c r="I122" s="61">
        <v>19.600000000000001</v>
      </c>
      <c r="J122" s="61">
        <v>16</v>
      </c>
      <c r="K122" s="61">
        <v>21.3</v>
      </c>
      <c r="L122" s="61">
        <v>27.5</v>
      </c>
      <c r="M122" s="61">
        <v>24.2</v>
      </c>
      <c r="N122" s="61">
        <v>18.2</v>
      </c>
      <c r="O122" s="61">
        <v>18.899999999999999</v>
      </c>
      <c r="P122" s="61">
        <v>21.7</v>
      </c>
      <c r="Q122" s="61">
        <v>18.399999999999999</v>
      </c>
      <c r="R122" s="61">
        <v>17</v>
      </c>
      <c r="S122" s="61">
        <v>21.1</v>
      </c>
      <c r="T122" s="61">
        <v>29.5</v>
      </c>
      <c r="U122" s="61">
        <v>30.9</v>
      </c>
      <c r="V122" s="61">
        <v>31.3</v>
      </c>
      <c r="W122" s="61">
        <v>36.4</v>
      </c>
      <c r="X122" s="61">
        <v>28.5</v>
      </c>
      <c r="Y122" s="61">
        <v>34.200000000000003</v>
      </c>
      <c r="Z122" s="61">
        <v>37.799999999999997</v>
      </c>
      <c r="AA122" s="61">
        <v>36.700000000000003</v>
      </c>
      <c r="AB122" s="61">
        <v>31.4</v>
      </c>
      <c r="AC122" s="61">
        <v>27</v>
      </c>
      <c r="AD122" s="61">
        <v>26</v>
      </c>
      <c r="AE122" s="61">
        <v>27</v>
      </c>
      <c r="AF122" s="61">
        <v>25</v>
      </c>
      <c r="AG122" s="55">
        <v>60</v>
      </c>
      <c r="AH122" s="12">
        <f t="shared" si="60"/>
        <v>37.799999999999997</v>
      </c>
      <c r="AI122" s="11">
        <f t="shared" si="61"/>
        <v>16</v>
      </c>
    </row>
    <row r="123" spans="1:35" x14ac:dyDescent="0.25">
      <c r="A123" s="59" t="s">
        <v>139</v>
      </c>
      <c r="B123" s="58">
        <v>9</v>
      </c>
      <c r="C123" s="58">
        <v>0</v>
      </c>
      <c r="D123" s="58">
        <v>0</v>
      </c>
      <c r="E123" s="58">
        <v>-6.4</v>
      </c>
      <c r="F123" s="58">
        <v>7.6</v>
      </c>
      <c r="G123" s="58">
        <v>14.1</v>
      </c>
      <c r="H123" s="58">
        <v>34.200000000000003</v>
      </c>
      <c r="I123" s="58">
        <v>47.8</v>
      </c>
      <c r="J123" s="58">
        <v>59</v>
      </c>
      <c r="K123" s="58">
        <v>102.5</v>
      </c>
      <c r="L123" s="58">
        <v>98.2</v>
      </c>
      <c r="M123" s="58">
        <v>100.6</v>
      </c>
      <c r="N123" s="58">
        <v>101.2</v>
      </c>
      <c r="O123" s="58">
        <v>104.3</v>
      </c>
      <c r="P123" s="58">
        <v>115.3</v>
      </c>
      <c r="Q123" s="58">
        <v>114</v>
      </c>
      <c r="R123" s="58">
        <v>100</v>
      </c>
      <c r="S123" s="58">
        <v>108</v>
      </c>
      <c r="T123" s="58">
        <v>109</v>
      </c>
      <c r="U123" s="58">
        <v>114.8</v>
      </c>
      <c r="V123" s="58">
        <v>111.5</v>
      </c>
      <c r="W123" s="58">
        <v>124.2</v>
      </c>
      <c r="X123" s="58">
        <v>117.3</v>
      </c>
      <c r="Y123" s="58">
        <v>137.9</v>
      </c>
      <c r="Z123" s="58">
        <v>171.1</v>
      </c>
      <c r="AA123" s="58">
        <v>169.4</v>
      </c>
      <c r="AB123" s="58">
        <v>147</v>
      </c>
      <c r="AC123" s="58">
        <v>128</v>
      </c>
      <c r="AD123" s="58">
        <v>73.7</v>
      </c>
      <c r="AE123" s="58">
        <v>50</v>
      </c>
      <c r="AF123" s="58">
        <v>20</v>
      </c>
      <c r="AG123" s="60">
        <v>120</v>
      </c>
      <c r="AH123" s="12">
        <f t="shared" si="60"/>
        <v>171.1</v>
      </c>
      <c r="AI123" s="11">
        <f t="shared" si="61"/>
        <v>-6.4</v>
      </c>
    </row>
    <row r="124" spans="1:35" x14ac:dyDescent="0.25">
      <c r="A124" s="57" t="s">
        <v>138</v>
      </c>
      <c r="B124" s="58">
        <v>28</v>
      </c>
      <c r="C124" s="58">
        <v>23</v>
      </c>
      <c r="D124" s="58">
        <v>23</v>
      </c>
      <c r="E124" s="58">
        <v>19.8</v>
      </c>
      <c r="F124" s="58">
        <v>26.3</v>
      </c>
      <c r="G124" s="58">
        <v>29.9</v>
      </c>
      <c r="H124" s="58">
        <v>40</v>
      </c>
      <c r="I124" s="58">
        <v>46.7</v>
      </c>
      <c r="J124" s="58">
        <v>69.3</v>
      </c>
      <c r="K124" s="58">
        <v>72.3</v>
      </c>
      <c r="L124" s="58">
        <v>71.599999999999994</v>
      </c>
      <c r="M124" s="58">
        <v>73.099999999999994</v>
      </c>
      <c r="N124" s="58">
        <v>72.8</v>
      </c>
      <c r="O124" s="58">
        <v>74.2</v>
      </c>
      <c r="P124" s="58">
        <v>74.5</v>
      </c>
      <c r="Q124" s="58">
        <v>74</v>
      </c>
      <c r="R124" s="58">
        <v>71.2</v>
      </c>
      <c r="S124" s="58">
        <v>75.5</v>
      </c>
      <c r="T124" s="58">
        <v>70.8</v>
      </c>
      <c r="U124" s="58">
        <v>72.8</v>
      </c>
      <c r="V124" s="58">
        <v>68.7</v>
      </c>
      <c r="W124" s="58">
        <v>73.400000000000006</v>
      </c>
      <c r="X124" s="58">
        <v>70.400000000000006</v>
      </c>
      <c r="Y124" s="58">
        <v>79.900000000000006</v>
      </c>
      <c r="Z124" s="58">
        <v>95.5</v>
      </c>
      <c r="AA124" s="58">
        <v>96</v>
      </c>
      <c r="AB124" s="58">
        <v>91.2</v>
      </c>
      <c r="AC124" s="58">
        <v>84</v>
      </c>
      <c r="AD124" s="58">
        <v>58.5</v>
      </c>
      <c r="AE124" s="58">
        <v>47</v>
      </c>
      <c r="AF124" s="58">
        <v>32</v>
      </c>
      <c r="AG124" s="60"/>
      <c r="AH124" s="12">
        <f t="shared" si="60"/>
        <v>96</v>
      </c>
      <c r="AI124" s="11">
        <f t="shared" si="61"/>
        <v>19.8</v>
      </c>
    </row>
    <row r="125" spans="1:35" x14ac:dyDescent="0.25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60"/>
        <v>0</v>
      </c>
      <c r="AI125" s="11">
        <f t="shared" si="61"/>
        <v>0</v>
      </c>
    </row>
    <row r="126" spans="1:35" ht="15.75" thickBot="1" x14ac:dyDescent="0.3">
      <c r="A126" s="57" t="s">
        <v>136</v>
      </c>
      <c r="B126" s="58">
        <v>-15</v>
      </c>
      <c r="C126" s="58">
        <v>5</v>
      </c>
      <c r="D126" s="58">
        <v>5</v>
      </c>
      <c r="E126" s="58">
        <v>6.1</v>
      </c>
      <c r="F126" s="58">
        <v>12.9</v>
      </c>
      <c r="G126" s="58">
        <v>14.3</v>
      </c>
      <c r="H126" s="58">
        <v>18.899999999999999</v>
      </c>
      <c r="I126" s="58">
        <v>26.1</v>
      </c>
      <c r="J126" s="58">
        <v>59.6</v>
      </c>
      <c r="K126" s="58">
        <v>101.2</v>
      </c>
      <c r="L126" s="58">
        <v>68.2</v>
      </c>
      <c r="M126" s="58">
        <v>78.900000000000006</v>
      </c>
      <c r="N126" s="58">
        <v>89</v>
      </c>
      <c r="O126" s="58">
        <v>80</v>
      </c>
      <c r="P126" s="58">
        <v>85.5</v>
      </c>
      <c r="Q126" s="58">
        <v>88.9</v>
      </c>
      <c r="R126" s="58">
        <v>75</v>
      </c>
      <c r="S126" s="58">
        <v>93.4</v>
      </c>
      <c r="T126" s="58">
        <v>84.2</v>
      </c>
      <c r="U126" s="58">
        <v>86</v>
      </c>
      <c r="V126" s="58">
        <v>79.7</v>
      </c>
      <c r="W126" s="58">
        <v>91.1</v>
      </c>
      <c r="X126" s="58">
        <v>77.400000000000006</v>
      </c>
      <c r="Y126" s="58">
        <v>78.400000000000006</v>
      </c>
      <c r="Z126" s="58">
        <v>92.1</v>
      </c>
      <c r="AA126" s="58">
        <v>70.7</v>
      </c>
      <c r="AB126" s="58">
        <v>51</v>
      </c>
      <c r="AC126" s="58">
        <v>40</v>
      </c>
      <c r="AD126" s="58">
        <v>36</v>
      </c>
      <c r="AE126" s="58">
        <v>38</v>
      </c>
      <c r="AF126" s="58">
        <v>38</v>
      </c>
      <c r="AG126" s="55"/>
      <c r="AH126" s="12">
        <f>MAX(B126:AF126)</f>
        <v>101.2</v>
      </c>
      <c r="AI126" s="11">
        <f>MIN(B126:AF126)</f>
        <v>-15</v>
      </c>
    </row>
    <row r="127" spans="1:35" x14ac:dyDescent="0.25">
      <c r="A127" s="59" t="s">
        <v>135</v>
      </c>
      <c r="B127" s="58">
        <v>-98</v>
      </c>
      <c r="C127" s="58">
        <v>-91</v>
      </c>
      <c r="D127" s="58">
        <v>-88</v>
      </c>
      <c r="E127" s="58">
        <v>-78.099999999999994</v>
      </c>
      <c r="F127" s="58">
        <v>-71.2</v>
      </c>
      <c r="G127" s="58">
        <v>-67.5</v>
      </c>
      <c r="H127" s="58">
        <v>-56.9</v>
      </c>
      <c r="I127" s="58">
        <v>-76.099999999999994</v>
      </c>
      <c r="J127" s="58">
        <v>20</v>
      </c>
      <c r="K127" s="58">
        <v>28.3</v>
      </c>
      <c r="L127" s="58">
        <v>23.5</v>
      </c>
      <c r="M127" s="58">
        <v>24.5</v>
      </c>
      <c r="N127" s="58">
        <v>24.4</v>
      </c>
      <c r="O127" s="58">
        <v>28.3</v>
      </c>
      <c r="P127" s="58">
        <v>33.9</v>
      </c>
      <c r="Q127" s="58">
        <v>17.2</v>
      </c>
      <c r="R127" s="58">
        <v>25.1</v>
      </c>
      <c r="S127" s="58">
        <v>29.2</v>
      </c>
      <c r="T127" s="58">
        <v>30.7</v>
      </c>
      <c r="U127" s="58">
        <v>33</v>
      </c>
      <c r="V127" s="58">
        <v>31.5</v>
      </c>
      <c r="W127" s="58">
        <v>38.200000000000003</v>
      </c>
      <c r="X127" s="58">
        <v>27.4</v>
      </c>
      <c r="Y127" s="58">
        <v>-117.9</v>
      </c>
      <c r="Z127" s="58">
        <v>-143.4</v>
      </c>
      <c r="AA127" s="58">
        <v>-131</v>
      </c>
      <c r="AB127" s="58">
        <v>-123.7</v>
      </c>
      <c r="AC127" s="58">
        <v>-133</v>
      </c>
      <c r="AD127" s="58">
        <v>-128</v>
      </c>
      <c r="AE127" s="58">
        <v>-150</v>
      </c>
      <c r="AF127" s="58">
        <v>-106</v>
      </c>
      <c r="AG127" s="55"/>
      <c r="AH127" s="12">
        <f>MAX(B127:AF127)</f>
        <v>38.200000000000003</v>
      </c>
      <c r="AI127" s="11">
        <f>MIN(B127:AF127)</f>
        <v>-150</v>
      </c>
    </row>
    <row r="128" spans="1:35" x14ac:dyDescent="0.25">
      <c r="A128" s="57" t="s">
        <v>134</v>
      </c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>
        <v>0</v>
      </c>
      <c r="Z128" s="56">
        <v>0</v>
      </c>
      <c r="AA128" s="56">
        <v>0</v>
      </c>
      <c r="AB128" s="56"/>
      <c r="AC128" s="56">
        <v>-53</v>
      </c>
      <c r="AD128" s="56">
        <v>-44</v>
      </c>
      <c r="AE128" s="56">
        <v>-42</v>
      </c>
      <c r="AF128" s="56">
        <v>-34</v>
      </c>
      <c r="AG128" s="55"/>
      <c r="AH128" s="12">
        <f>MAX(B128:AF128)</f>
        <v>0</v>
      </c>
      <c r="AI128" s="11">
        <f>MIN(B128:AF128)</f>
        <v>-53</v>
      </c>
    </row>
    <row r="129" spans="1:37" x14ac:dyDescent="0.25">
      <c r="A129" s="57" t="s">
        <v>133</v>
      </c>
      <c r="B129" s="56">
        <v>87</v>
      </c>
      <c r="C129" s="56">
        <v>82</v>
      </c>
      <c r="D129" s="56">
        <v>76</v>
      </c>
      <c r="E129" s="56">
        <v>73.3</v>
      </c>
      <c r="F129" s="56">
        <v>66.3</v>
      </c>
      <c r="G129" s="56">
        <v>66</v>
      </c>
      <c r="H129" s="56">
        <v>63.2</v>
      </c>
      <c r="I129" s="56">
        <v>64.3</v>
      </c>
      <c r="J129" s="56">
        <v>127</v>
      </c>
      <c r="K129" s="56">
        <v>113.4</v>
      </c>
      <c r="L129" s="56">
        <v>129.80000000000001</v>
      </c>
      <c r="M129" s="56">
        <v>121.6</v>
      </c>
      <c r="N129" s="56">
        <v>125.4</v>
      </c>
      <c r="O129" s="56">
        <v>121</v>
      </c>
      <c r="P129" s="56">
        <v>124.3</v>
      </c>
      <c r="Q129" s="56">
        <v>118</v>
      </c>
      <c r="R129" s="56">
        <v>114.6</v>
      </c>
      <c r="S129" s="56">
        <v>123.4</v>
      </c>
      <c r="T129" s="56">
        <v>120</v>
      </c>
      <c r="U129" s="56">
        <v>126.2</v>
      </c>
      <c r="V129" s="56">
        <v>120.1</v>
      </c>
      <c r="W129" s="56">
        <v>120.8</v>
      </c>
      <c r="X129" s="56">
        <v>99.4</v>
      </c>
      <c r="Y129" s="56">
        <v>116.8</v>
      </c>
      <c r="Z129" s="56">
        <v>117.8</v>
      </c>
      <c r="AA129" s="56">
        <v>117.3</v>
      </c>
      <c r="AB129" s="56">
        <v>116.8</v>
      </c>
      <c r="AC129" s="56">
        <v>110</v>
      </c>
      <c r="AD129" s="56">
        <v>113</v>
      </c>
      <c r="AE129" s="56">
        <v>110</v>
      </c>
      <c r="AF129" s="56">
        <v>97</v>
      </c>
      <c r="AG129" s="55"/>
      <c r="AH129" s="12">
        <f>MAX(B129:AF129)</f>
        <v>129.80000000000001</v>
      </c>
      <c r="AI129" s="11">
        <f>MIN(B129:AF129)</f>
        <v>63.2</v>
      </c>
    </row>
    <row r="130" spans="1:37" ht="15.75" thickBot="1" x14ac:dyDescent="0.3">
      <c r="A130" s="57" t="s">
        <v>132</v>
      </c>
      <c r="B130" s="56">
        <v>99</v>
      </c>
      <c r="C130" s="56">
        <v>92</v>
      </c>
      <c r="D130" s="56">
        <v>86</v>
      </c>
      <c r="E130" s="56">
        <v>84.2</v>
      </c>
      <c r="F130" s="56">
        <v>76.3</v>
      </c>
      <c r="G130" s="56">
        <v>76.400000000000006</v>
      </c>
      <c r="H130" s="56">
        <v>74.5</v>
      </c>
      <c r="I130" s="56">
        <v>74.400000000000006</v>
      </c>
      <c r="J130" s="56">
        <v>127.8</v>
      </c>
      <c r="K130" s="56">
        <v>117.9</v>
      </c>
      <c r="L130" s="56">
        <v>130</v>
      </c>
      <c r="M130" s="56">
        <v>121.6</v>
      </c>
      <c r="N130" s="56">
        <v>118.4</v>
      </c>
      <c r="O130" s="56">
        <v>122.4</v>
      </c>
      <c r="P130" s="56">
        <v>120.1</v>
      </c>
      <c r="Q130" s="56">
        <v>124</v>
      </c>
      <c r="R130" s="56">
        <v>121.3</v>
      </c>
      <c r="S130" s="56">
        <v>124.2</v>
      </c>
      <c r="T130" s="56">
        <v>122.5</v>
      </c>
      <c r="U130" s="56">
        <v>129.9</v>
      </c>
      <c r="V130" s="56">
        <v>122.6</v>
      </c>
      <c r="W130" s="56">
        <v>125.9</v>
      </c>
      <c r="X130" s="56">
        <v>112.7</v>
      </c>
      <c r="Y130" s="56">
        <v>118.1</v>
      </c>
      <c r="Z130" s="56">
        <v>125.3</v>
      </c>
      <c r="AA130" s="56">
        <v>125.8</v>
      </c>
      <c r="AB130" s="56">
        <v>124.8</v>
      </c>
      <c r="AC130" s="56">
        <v>118</v>
      </c>
      <c r="AD130" s="56">
        <v>120</v>
      </c>
      <c r="AE130" s="56">
        <v>119</v>
      </c>
      <c r="AF130" s="56">
        <v>107</v>
      </c>
      <c r="AG130" s="55"/>
      <c r="AH130" s="12">
        <f>MAX(B130:AF130)</f>
        <v>130</v>
      </c>
      <c r="AI130" s="11">
        <f>MIN(B130:AF130)</f>
        <v>74.400000000000006</v>
      </c>
    </row>
    <row r="131" spans="1:37" x14ac:dyDescent="0.25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25">
      <c r="A132" s="47" t="s">
        <v>130</v>
      </c>
      <c r="B132" s="51">
        <v>1982.5</v>
      </c>
      <c r="C132" s="51">
        <v>1982.65</v>
      </c>
      <c r="D132" s="51">
        <v>1982.6</v>
      </c>
      <c r="E132" s="51">
        <v>1982.6</v>
      </c>
      <c r="F132" s="51">
        <v>1982.62</v>
      </c>
      <c r="G132" s="51">
        <v>1982.7</v>
      </c>
      <c r="H132" s="51"/>
      <c r="I132" s="51">
        <v>1982.72</v>
      </c>
      <c r="J132" s="51"/>
      <c r="K132" s="51">
        <v>1982.85</v>
      </c>
      <c r="L132" s="51"/>
      <c r="M132" s="51">
        <v>1983.25</v>
      </c>
      <c r="N132" s="51">
        <v>1983.62</v>
      </c>
      <c r="O132" s="51">
        <v>1983.95</v>
      </c>
      <c r="P132" s="51">
        <v>1984.28</v>
      </c>
      <c r="Q132" s="51">
        <v>1984.52</v>
      </c>
      <c r="R132" s="51">
        <v>1984.8</v>
      </c>
      <c r="S132" s="51">
        <v>1985.02</v>
      </c>
      <c r="T132" s="51">
        <v>1985.34</v>
      </c>
      <c r="U132" s="51">
        <v>1985.56</v>
      </c>
      <c r="V132" s="51">
        <v>1985.81</v>
      </c>
      <c r="W132" s="51"/>
      <c r="X132" s="51">
        <v>1986</v>
      </c>
      <c r="Y132" s="51"/>
      <c r="Z132" s="51">
        <v>1985.65</v>
      </c>
      <c r="AA132" s="51"/>
      <c r="AB132" s="51">
        <v>1984.8</v>
      </c>
      <c r="AC132" s="51"/>
      <c r="AD132" s="51">
        <v>1984.62</v>
      </c>
      <c r="AE132" s="51">
        <v>1983.95</v>
      </c>
      <c r="AF132" s="50">
        <v>1982.8</v>
      </c>
      <c r="AG132" s="44"/>
      <c r="AH132" s="12"/>
      <c r="AI132" s="11"/>
    </row>
    <row r="133" spans="1:37" x14ac:dyDescent="0.25">
      <c r="A133" s="47" t="s">
        <v>129</v>
      </c>
      <c r="B133" s="49">
        <v>520.14</v>
      </c>
      <c r="C133" s="49">
        <v>519.66</v>
      </c>
      <c r="D133" s="49">
        <v>519.29999999999995</v>
      </c>
      <c r="E133" s="49">
        <v>518.96</v>
      </c>
      <c r="F133" s="49">
        <v>518.97</v>
      </c>
      <c r="G133" s="49">
        <v>519</v>
      </c>
      <c r="H133" s="49"/>
      <c r="I133" s="49">
        <v>519</v>
      </c>
      <c r="J133" s="49"/>
      <c r="K133" s="49">
        <v>518.88</v>
      </c>
      <c r="L133" s="49"/>
      <c r="M133" s="49">
        <v>519.22</v>
      </c>
      <c r="N133" s="49">
        <v>519.69000000000005</v>
      </c>
      <c r="O133" s="49">
        <v>520.08000000000004</v>
      </c>
      <c r="P133" s="49">
        <v>520.48</v>
      </c>
      <c r="Q133" s="49">
        <v>520.79999999999995</v>
      </c>
      <c r="R133" s="49">
        <v>521.14</v>
      </c>
      <c r="S133" s="49">
        <v>521.45000000000005</v>
      </c>
      <c r="T133" s="49">
        <v>521.72</v>
      </c>
      <c r="U133" s="49">
        <v>521.98</v>
      </c>
      <c r="V133" s="49">
        <v>522.23</v>
      </c>
      <c r="W133" s="49"/>
      <c r="X133" s="49">
        <v>522.38</v>
      </c>
      <c r="Y133" s="49"/>
      <c r="Z133" s="49">
        <v>522.14</v>
      </c>
      <c r="AA133" s="49"/>
      <c r="AB133" s="49">
        <v>521.72</v>
      </c>
      <c r="AC133" s="49"/>
      <c r="AD133" s="49">
        <v>521.4</v>
      </c>
      <c r="AE133" s="49">
        <v>521.04999999999995</v>
      </c>
      <c r="AF133" s="48">
        <v>520.78</v>
      </c>
      <c r="AG133" s="44"/>
      <c r="AH133" s="12"/>
      <c r="AI133" s="11"/>
    </row>
    <row r="134" spans="1:37" x14ac:dyDescent="0.25">
      <c r="A134" s="47" t="s">
        <v>128</v>
      </c>
      <c r="B134" s="49">
        <v>623.84</v>
      </c>
      <c r="C134" s="49">
        <v>623.66</v>
      </c>
      <c r="D134" s="49">
        <v>623.54</v>
      </c>
      <c r="E134" s="49">
        <v>623.39</v>
      </c>
      <c r="F134" s="49">
        <v>623.30999999999995</v>
      </c>
      <c r="G134" s="49">
        <v>623.21</v>
      </c>
      <c r="H134" s="49"/>
      <c r="I134" s="49">
        <v>623.12</v>
      </c>
      <c r="J134" s="49"/>
      <c r="K134" s="49">
        <v>622.55999999999995</v>
      </c>
      <c r="L134" s="49"/>
      <c r="M134" s="49">
        <v>622.46</v>
      </c>
      <c r="N134" s="49">
        <v>622.39</v>
      </c>
      <c r="O134" s="49">
        <v>622.54</v>
      </c>
      <c r="P134" s="49">
        <v>622.77</v>
      </c>
      <c r="Q134" s="49">
        <v>622.94000000000005</v>
      </c>
      <c r="R134" s="49">
        <v>623.23</v>
      </c>
      <c r="S134" s="49">
        <v>623.84</v>
      </c>
      <c r="T134" s="49">
        <v>624.41999999999996</v>
      </c>
      <c r="U134" s="49">
        <v>624.80999999999995</v>
      </c>
      <c r="V134" s="49">
        <v>625.05999999999995</v>
      </c>
      <c r="W134" s="49"/>
      <c r="X134" s="49">
        <v>625.08000000000004</v>
      </c>
      <c r="Y134" s="49"/>
      <c r="Z134" s="49">
        <v>624.9</v>
      </c>
      <c r="AA134" s="49"/>
      <c r="AB134" s="49">
        <v>624.57000000000005</v>
      </c>
      <c r="AC134" s="49"/>
      <c r="AD134" s="49">
        <v>624.26</v>
      </c>
      <c r="AE134" s="49">
        <v>623.94000000000005</v>
      </c>
      <c r="AF134" s="48">
        <v>623.6</v>
      </c>
      <c r="AG134" s="44"/>
      <c r="AH134" s="12"/>
      <c r="AI134" s="11"/>
    </row>
    <row r="135" spans="1:37" x14ac:dyDescent="0.25">
      <c r="A135" s="47" t="s">
        <v>127</v>
      </c>
      <c r="B135" s="49">
        <v>336.33</v>
      </c>
      <c r="C135" s="49">
        <v>336.41</v>
      </c>
      <c r="D135" s="49">
        <v>336.49</v>
      </c>
      <c r="E135" s="49">
        <v>336.55</v>
      </c>
      <c r="F135" s="49">
        <v>336.59</v>
      </c>
      <c r="G135" s="49">
        <v>336.62</v>
      </c>
      <c r="H135" s="49"/>
      <c r="I135" s="49">
        <v>336.46</v>
      </c>
      <c r="J135" s="49"/>
      <c r="K135" s="49">
        <v>336.31</v>
      </c>
      <c r="L135" s="49"/>
      <c r="M135" s="49">
        <v>336.29</v>
      </c>
      <c r="N135" s="49">
        <v>336.3</v>
      </c>
      <c r="O135" s="49">
        <v>336.31</v>
      </c>
      <c r="P135" s="49">
        <v>336.37</v>
      </c>
      <c r="Q135" s="49">
        <v>336.47</v>
      </c>
      <c r="R135" s="49">
        <v>336.48</v>
      </c>
      <c r="S135" s="49">
        <v>336.45</v>
      </c>
      <c r="T135" s="49">
        <v>336.42</v>
      </c>
      <c r="U135" s="49">
        <v>336.42</v>
      </c>
      <c r="V135" s="49">
        <v>336.49</v>
      </c>
      <c r="W135" s="49"/>
      <c r="X135" s="49">
        <v>336.35</v>
      </c>
      <c r="Y135" s="49"/>
      <c r="Z135" s="49">
        <v>336.11</v>
      </c>
      <c r="AA135" s="49"/>
      <c r="AB135" s="49">
        <v>335.67</v>
      </c>
      <c r="AC135" s="49"/>
      <c r="AD135" s="49">
        <v>335.12</v>
      </c>
      <c r="AE135" s="49">
        <v>334.4</v>
      </c>
      <c r="AF135" s="48">
        <v>334</v>
      </c>
      <c r="AG135" s="44"/>
      <c r="AH135" s="12"/>
      <c r="AI135" s="11"/>
    </row>
    <row r="136" spans="1:37" x14ac:dyDescent="0.25">
      <c r="A136" s="47" t="s">
        <v>126</v>
      </c>
      <c r="B136" s="49">
        <v>885.4</v>
      </c>
      <c r="C136" s="49">
        <v>885.7</v>
      </c>
      <c r="D136" s="49">
        <v>886.3</v>
      </c>
      <c r="E136" s="49">
        <v>886.7</v>
      </c>
      <c r="F136" s="49">
        <v>887.1</v>
      </c>
      <c r="G136" s="49">
        <v>887.4</v>
      </c>
      <c r="H136" s="49"/>
      <c r="I136" s="49">
        <v>887.6</v>
      </c>
      <c r="J136" s="49"/>
      <c r="K136" s="49">
        <v>887.7</v>
      </c>
      <c r="L136" s="49"/>
      <c r="M136" s="49">
        <v>887.9</v>
      </c>
      <c r="N136" s="49">
        <v>888</v>
      </c>
      <c r="O136" s="49">
        <v>888</v>
      </c>
      <c r="P136" s="49">
        <v>887.9</v>
      </c>
      <c r="Q136" s="49">
        <v>887.7</v>
      </c>
      <c r="R136" s="49">
        <v>886.9</v>
      </c>
      <c r="S136" s="49">
        <v>886</v>
      </c>
      <c r="T136" s="49">
        <v>885.3</v>
      </c>
      <c r="U136" s="49">
        <v>884.4</v>
      </c>
      <c r="V136" s="49">
        <v>882.5</v>
      </c>
      <c r="W136" s="49"/>
      <c r="X136" s="49">
        <v>882.9</v>
      </c>
      <c r="Y136" s="49"/>
      <c r="Z136" s="49">
        <v>884</v>
      </c>
      <c r="AA136" s="49"/>
      <c r="AB136" s="49">
        <v>884.2</v>
      </c>
      <c r="AC136" s="49"/>
      <c r="AD136" s="49">
        <v>884.3</v>
      </c>
      <c r="AE136" s="49">
        <v>884.3</v>
      </c>
      <c r="AF136" s="48">
        <v>884.4</v>
      </c>
      <c r="AG136" s="44"/>
      <c r="AH136" s="12"/>
      <c r="AI136" s="11"/>
    </row>
    <row r="137" spans="1:37" ht="15.75" thickBot="1" x14ac:dyDescent="0.3">
      <c r="A137" s="47" t="s">
        <v>125</v>
      </c>
      <c r="B137" s="46">
        <v>1511.06</v>
      </c>
      <c r="C137" s="46">
        <v>1511.03</v>
      </c>
      <c r="D137" s="46">
        <v>1511</v>
      </c>
      <c r="E137" s="46">
        <v>1510.97</v>
      </c>
      <c r="F137" s="46">
        <v>1510.95</v>
      </c>
      <c r="G137" s="46">
        <v>1510.92</v>
      </c>
      <c r="H137" s="46"/>
      <c r="I137" s="46">
        <v>1510.89</v>
      </c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.75" thickBot="1" x14ac:dyDescent="0.3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25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25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25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25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25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25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25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25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25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25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25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25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25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25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25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25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25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25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25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25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25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25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25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25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25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25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25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25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25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25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25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25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25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25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25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25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25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25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25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25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25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25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25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25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25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25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25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25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25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25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25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25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25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25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25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25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25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25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25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25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25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25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25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25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25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25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25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25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25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25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25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25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25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25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25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25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25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25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25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25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25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25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25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25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25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25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25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25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25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25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25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25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25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25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25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25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25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25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25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25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25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25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25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25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.75" thickBot="1" x14ac:dyDescent="0.3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.75" thickBot="1" x14ac:dyDescent="0.3">
      <c r="A244" s="31" t="s">
        <v>17</v>
      </c>
      <c r="B244" s="30">
        <f t="shared" ref="B244:AG244" si="155">SUM(B139:B243)</f>
        <v>0</v>
      </c>
      <c r="C244" s="14">
        <f t="shared" si="155"/>
        <v>0</v>
      </c>
      <c r="D244" s="14">
        <f t="shared" si="155"/>
        <v>0</v>
      </c>
      <c r="E244" s="14">
        <f t="shared" si="155"/>
        <v>0</v>
      </c>
      <c r="F244" s="14">
        <f t="shared" si="155"/>
        <v>0</v>
      </c>
      <c r="G244" s="14">
        <f t="shared" si="155"/>
        <v>0</v>
      </c>
      <c r="H244" s="14">
        <f t="shared" si="155"/>
        <v>0</v>
      </c>
      <c r="I244" s="14">
        <f t="shared" si="155"/>
        <v>0</v>
      </c>
      <c r="J244" s="14">
        <f t="shared" si="155"/>
        <v>0</v>
      </c>
      <c r="K244" s="14">
        <f t="shared" si="155"/>
        <v>0</v>
      </c>
      <c r="L244" s="14">
        <f t="shared" si="155"/>
        <v>0</v>
      </c>
      <c r="M244" s="14">
        <f t="shared" si="155"/>
        <v>0</v>
      </c>
      <c r="N244" s="14">
        <f t="shared" si="155"/>
        <v>0</v>
      </c>
      <c r="O244" s="14">
        <f t="shared" si="155"/>
        <v>0</v>
      </c>
      <c r="P244" s="14">
        <f t="shared" si="155"/>
        <v>0</v>
      </c>
      <c r="Q244" s="14">
        <f t="shared" si="155"/>
        <v>0</v>
      </c>
      <c r="R244" s="14">
        <f t="shared" si="155"/>
        <v>0</v>
      </c>
      <c r="S244" s="14">
        <f t="shared" si="155"/>
        <v>0</v>
      </c>
      <c r="T244" s="14">
        <f t="shared" si="155"/>
        <v>0</v>
      </c>
      <c r="U244" s="14">
        <f t="shared" si="155"/>
        <v>0</v>
      </c>
      <c r="V244" s="14">
        <f t="shared" si="155"/>
        <v>0</v>
      </c>
      <c r="W244" s="14">
        <f t="shared" si="155"/>
        <v>0</v>
      </c>
      <c r="X244" s="14">
        <f t="shared" si="155"/>
        <v>0</v>
      </c>
      <c r="Y244" s="14">
        <f t="shared" si="155"/>
        <v>0</v>
      </c>
      <c r="Z244" s="14">
        <f t="shared" si="155"/>
        <v>0</v>
      </c>
      <c r="AA244" s="14">
        <f t="shared" si="155"/>
        <v>0</v>
      </c>
      <c r="AB244" s="14">
        <f t="shared" si="155"/>
        <v>0</v>
      </c>
      <c r="AC244" s="14">
        <f t="shared" si="155"/>
        <v>0</v>
      </c>
      <c r="AD244" s="14">
        <f t="shared" si="155"/>
        <v>0</v>
      </c>
      <c r="AE244" s="14">
        <f t="shared" si="155"/>
        <v>0</v>
      </c>
      <c r="AF244" s="29">
        <f t="shared" si="155"/>
        <v>0</v>
      </c>
      <c r="AG244" s="28">
        <f t="shared" si="155"/>
        <v>412.72299999999984</v>
      </c>
      <c r="AH244" s="12"/>
      <c r="AI244" s="11"/>
      <c r="AK244" s="19"/>
    </row>
    <row r="245" spans="1:37" ht="15.75" thickBot="1" x14ac:dyDescent="0.3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25">
      <c r="A246" s="25" t="s">
        <v>16</v>
      </c>
      <c r="B246" s="24">
        <f t="shared" ref="B246:B251" si="156">AF246</f>
        <v>0.3</v>
      </c>
      <c r="C246" s="24">
        <v>0.3</v>
      </c>
      <c r="D246" s="24">
        <f t="shared" ref="D246:AF251" si="157">C246</f>
        <v>0.3</v>
      </c>
      <c r="E246" s="24">
        <f t="shared" si="157"/>
        <v>0.3</v>
      </c>
      <c r="F246" s="24">
        <f t="shared" si="157"/>
        <v>0.3</v>
      </c>
      <c r="G246" s="24">
        <f t="shared" si="157"/>
        <v>0.3</v>
      </c>
      <c r="H246" s="24">
        <f t="shared" si="157"/>
        <v>0.3</v>
      </c>
      <c r="I246" s="24">
        <f t="shared" si="157"/>
        <v>0.3</v>
      </c>
      <c r="J246" s="24">
        <f t="shared" si="157"/>
        <v>0.3</v>
      </c>
      <c r="K246" s="24">
        <f t="shared" si="157"/>
        <v>0.3</v>
      </c>
      <c r="L246" s="24">
        <f t="shared" si="157"/>
        <v>0.3</v>
      </c>
      <c r="M246" s="24">
        <f t="shared" si="157"/>
        <v>0.3</v>
      </c>
      <c r="N246" s="24">
        <f t="shared" si="157"/>
        <v>0.3</v>
      </c>
      <c r="O246" s="24">
        <f t="shared" si="157"/>
        <v>0.3</v>
      </c>
      <c r="P246" s="24">
        <f t="shared" si="157"/>
        <v>0.3</v>
      </c>
      <c r="Q246" s="24">
        <f t="shared" si="157"/>
        <v>0.3</v>
      </c>
      <c r="R246" s="24">
        <f t="shared" si="157"/>
        <v>0.3</v>
      </c>
      <c r="S246" s="24">
        <f t="shared" si="157"/>
        <v>0.3</v>
      </c>
      <c r="T246" s="24">
        <f t="shared" si="157"/>
        <v>0.3</v>
      </c>
      <c r="U246" s="24">
        <f t="shared" si="157"/>
        <v>0.3</v>
      </c>
      <c r="V246" s="24">
        <f t="shared" si="157"/>
        <v>0.3</v>
      </c>
      <c r="W246" s="24">
        <f t="shared" si="157"/>
        <v>0.3</v>
      </c>
      <c r="X246" s="24">
        <f t="shared" si="157"/>
        <v>0.3</v>
      </c>
      <c r="Y246" s="24">
        <f t="shared" si="157"/>
        <v>0.3</v>
      </c>
      <c r="Z246" s="24">
        <f t="shared" si="157"/>
        <v>0.3</v>
      </c>
      <c r="AA246" s="24">
        <f t="shared" si="157"/>
        <v>0.3</v>
      </c>
      <c r="AB246" s="24">
        <f t="shared" si="157"/>
        <v>0.3</v>
      </c>
      <c r="AC246" s="24">
        <f t="shared" si="157"/>
        <v>0.3</v>
      </c>
      <c r="AD246" s="24">
        <f t="shared" si="157"/>
        <v>0.3</v>
      </c>
      <c r="AE246" s="24">
        <f t="shared" si="157"/>
        <v>0.3</v>
      </c>
      <c r="AF246" s="24">
        <f t="shared" si="157"/>
        <v>0.3</v>
      </c>
      <c r="AG246" s="23">
        <v>2.4</v>
      </c>
      <c r="AH246" s="12"/>
      <c r="AI246" s="11"/>
      <c r="AK246" s="19"/>
    </row>
    <row r="247" spans="1:37" x14ac:dyDescent="0.25">
      <c r="A247" s="22" t="s">
        <v>15</v>
      </c>
      <c r="B247" s="21">
        <f t="shared" si="156"/>
        <v>0.4</v>
      </c>
      <c r="C247" s="21">
        <v>0.4</v>
      </c>
      <c r="D247" s="21">
        <f t="shared" si="157"/>
        <v>0.4</v>
      </c>
      <c r="E247" s="21">
        <f t="shared" si="157"/>
        <v>0.4</v>
      </c>
      <c r="F247" s="21">
        <f t="shared" si="157"/>
        <v>0.4</v>
      </c>
      <c r="G247" s="21">
        <f t="shared" si="157"/>
        <v>0.4</v>
      </c>
      <c r="H247" s="21">
        <f t="shared" si="157"/>
        <v>0.4</v>
      </c>
      <c r="I247" s="21">
        <f t="shared" si="157"/>
        <v>0.4</v>
      </c>
      <c r="J247" s="21">
        <f t="shared" si="157"/>
        <v>0.4</v>
      </c>
      <c r="K247" s="21">
        <f t="shared" si="157"/>
        <v>0.4</v>
      </c>
      <c r="L247" s="21">
        <f t="shared" si="157"/>
        <v>0.4</v>
      </c>
      <c r="M247" s="21">
        <f t="shared" si="157"/>
        <v>0.4</v>
      </c>
      <c r="N247" s="21">
        <f t="shared" si="157"/>
        <v>0.4</v>
      </c>
      <c r="O247" s="21">
        <f t="shared" si="157"/>
        <v>0.4</v>
      </c>
      <c r="P247" s="21">
        <f t="shared" si="157"/>
        <v>0.4</v>
      </c>
      <c r="Q247" s="21">
        <f t="shared" si="157"/>
        <v>0.4</v>
      </c>
      <c r="R247" s="21">
        <f t="shared" si="157"/>
        <v>0.4</v>
      </c>
      <c r="S247" s="21">
        <f t="shared" si="157"/>
        <v>0.4</v>
      </c>
      <c r="T247" s="21">
        <f t="shared" si="157"/>
        <v>0.4</v>
      </c>
      <c r="U247" s="21">
        <f t="shared" si="157"/>
        <v>0.4</v>
      </c>
      <c r="V247" s="21">
        <f t="shared" si="157"/>
        <v>0.4</v>
      </c>
      <c r="W247" s="21">
        <f t="shared" si="157"/>
        <v>0.4</v>
      </c>
      <c r="X247" s="21">
        <f t="shared" si="157"/>
        <v>0.4</v>
      </c>
      <c r="Y247" s="21">
        <f t="shared" si="157"/>
        <v>0.4</v>
      </c>
      <c r="Z247" s="21">
        <f t="shared" si="157"/>
        <v>0.4</v>
      </c>
      <c r="AA247" s="21">
        <f t="shared" si="157"/>
        <v>0.4</v>
      </c>
      <c r="AB247" s="21">
        <f t="shared" si="157"/>
        <v>0.4</v>
      </c>
      <c r="AC247" s="21">
        <f t="shared" si="157"/>
        <v>0.4</v>
      </c>
      <c r="AD247" s="21">
        <f t="shared" si="157"/>
        <v>0.4</v>
      </c>
      <c r="AE247" s="21">
        <f t="shared" si="157"/>
        <v>0.4</v>
      </c>
      <c r="AF247" s="21">
        <f t="shared" si="157"/>
        <v>0.4</v>
      </c>
      <c r="AG247" s="20">
        <v>2</v>
      </c>
      <c r="AH247" s="12"/>
      <c r="AI247" s="11"/>
      <c r="AK247" s="19"/>
    </row>
    <row r="248" spans="1:37" x14ac:dyDescent="0.25">
      <c r="A248" s="22" t="s">
        <v>14</v>
      </c>
      <c r="B248" s="21">
        <f t="shared" si="156"/>
        <v>1.5</v>
      </c>
      <c r="C248" s="21">
        <v>1.5</v>
      </c>
      <c r="D248" s="21">
        <f t="shared" si="157"/>
        <v>1.5</v>
      </c>
      <c r="E248" s="21">
        <f t="shared" si="157"/>
        <v>1.5</v>
      </c>
      <c r="F248" s="21">
        <f t="shared" si="157"/>
        <v>1.5</v>
      </c>
      <c r="G248" s="21">
        <f t="shared" si="157"/>
        <v>1.5</v>
      </c>
      <c r="H248" s="21">
        <f t="shared" si="157"/>
        <v>1.5</v>
      </c>
      <c r="I248" s="21">
        <f t="shared" si="157"/>
        <v>1.5</v>
      </c>
      <c r="J248" s="21">
        <f t="shared" si="157"/>
        <v>1.5</v>
      </c>
      <c r="K248" s="21">
        <f t="shared" si="157"/>
        <v>1.5</v>
      </c>
      <c r="L248" s="21">
        <f t="shared" si="157"/>
        <v>1.5</v>
      </c>
      <c r="M248" s="21">
        <f t="shared" si="157"/>
        <v>1.5</v>
      </c>
      <c r="N248" s="21">
        <f t="shared" si="157"/>
        <v>1.5</v>
      </c>
      <c r="O248" s="21">
        <f t="shared" si="157"/>
        <v>1.5</v>
      </c>
      <c r="P248" s="21">
        <f t="shared" si="157"/>
        <v>1.5</v>
      </c>
      <c r="Q248" s="21">
        <f t="shared" si="157"/>
        <v>1.5</v>
      </c>
      <c r="R248" s="21">
        <f t="shared" si="157"/>
        <v>1.5</v>
      </c>
      <c r="S248" s="21">
        <f t="shared" si="157"/>
        <v>1.5</v>
      </c>
      <c r="T248" s="21">
        <f t="shared" si="157"/>
        <v>1.5</v>
      </c>
      <c r="U248" s="21">
        <f t="shared" si="157"/>
        <v>1.5</v>
      </c>
      <c r="V248" s="21">
        <f t="shared" si="157"/>
        <v>1.5</v>
      </c>
      <c r="W248" s="21">
        <f t="shared" si="157"/>
        <v>1.5</v>
      </c>
      <c r="X248" s="21">
        <f t="shared" si="157"/>
        <v>1.5</v>
      </c>
      <c r="Y248" s="21">
        <f t="shared" si="157"/>
        <v>1.5</v>
      </c>
      <c r="Z248" s="21">
        <f t="shared" si="157"/>
        <v>1.5</v>
      </c>
      <c r="AA248" s="21">
        <f t="shared" si="157"/>
        <v>1.5</v>
      </c>
      <c r="AB248" s="21">
        <f t="shared" si="157"/>
        <v>1.5</v>
      </c>
      <c r="AC248" s="21">
        <f t="shared" si="157"/>
        <v>1.5</v>
      </c>
      <c r="AD248" s="21">
        <f t="shared" si="157"/>
        <v>1.5</v>
      </c>
      <c r="AE248" s="21">
        <f t="shared" si="157"/>
        <v>1.5</v>
      </c>
      <c r="AF248" s="21">
        <f t="shared" si="157"/>
        <v>1.5</v>
      </c>
      <c r="AG248" s="20">
        <v>1.5</v>
      </c>
      <c r="AH248" s="12"/>
      <c r="AI248" s="11"/>
      <c r="AK248" s="19"/>
    </row>
    <row r="249" spans="1:37" x14ac:dyDescent="0.25">
      <c r="A249" s="22" t="s">
        <v>13</v>
      </c>
      <c r="B249" s="21">
        <f t="shared" si="156"/>
        <v>0.3</v>
      </c>
      <c r="C249" s="21">
        <v>0.3</v>
      </c>
      <c r="D249" s="21">
        <f t="shared" si="157"/>
        <v>0.3</v>
      </c>
      <c r="E249" s="21">
        <f t="shared" si="157"/>
        <v>0.3</v>
      </c>
      <c r="F249" s="21">
        <f t="shared" si="157"/>
        <v>0.3</v>
      </c>
      <c r="G249" s="21">
        <f t="shared" si="157"/>
        <v>0.3</v>
      </c>
      <c r="H249" s="21">
        <f t="shared" si="157"/>
        <v>0.3</v>
      </c>
      <c r="I249" s="21">
        <f t="shared" si="157"/>
        <v>0.3</v>
      </c>
      <c r="J249" s="21">
        <f t="shared" si="157"/>
        <v>0.3</v>
      </c>
      <c r="K249" s="21">
        <f t="shared" si="157"/>
        <v>0.3</v>
      </c>
      <c r="L249" s="21">
        <f t="shared" si="157"/>
        <v>0.3</v>
      </c>
      <c r="M249" s="21">
        <f t="shared" si="157"/>
        <v>0.3</v>
      </c>
      <c r="N249" s="21">
        <f t="shared" si="157"/>
        <v>0.3</v>
      </c>
      <c r="O249" s="21">
        <f t="shared" si="157"/>
        <v>0.3</v>
      </c>
      <c r="P249" s="21">
        <f t="shared" si="157"/>
        <v>0.3</v>
      </c>
      <c r="Q249" s="21">
        <f t="shared" si="157"/>
        <v>0.3</v>
      </c>
      <c r="R249" s="21">
        <f t="shared" si="157"/>
        <v>0.3</v>
      </c>
      <c r="S249" s="21">
        <f t="shared" si="157"/>
        <v>0.3</v>
      </c>
      <c r="T249" s="21">
        <f t="shared" si="157"/>
        <v>0.3</v>
      </c>
      <c r="U249" s="21">
        <f t="shared" si="157"/>
        <v>0.3</v>
      </c>
      <c r="V249" s="21">
        <f t="shared" si="157"/>
        <v>0.3</v>
      </c>
      <c r="W249" s="21">
        <f t="shared" si="157"/>
        <v>0.3</v>
      </c>
      <c r="X249" s="21">
        <f t="shared" si="157"/>
        <v>0.3</v>
      </c>
      <c r="Y249" s="21">
        <f t="shared" si="157"/>
        <v>0.3</v>
      </c>
      <c r="Z249" s="21">
        <f t="shared" si="157"/>
        <v>0.3</v>
      </c>
      <c r="AA249" s="21">
        <f t="shared" si="157"/>
        <v>0.3</v>
      </c>
      <c r="AB249" s="21">
        <f t="shared" si="157"/>
        <v>0.3</v>
      </c>
      <c r="AC249" s="21">
        <f t="shared" si="157"/>
        <v>0.3</v>
      </c>
      <c r="AD249" s="21">
        <f t="shared" si="157"/>
        <v>0.3</v>
      </c>
      <c r="AE249" s="21">
        <f t="shared" si="157"/>
        <v>0.3</v>
      </c>
      <c r="AF249" s="21">
        <f t="shared" si="157"/>
        <v>0.3</v>
      </c>
      <c r="AG249" s="20">
        <v>1</v>
      </c>
      <c r="AH249" s="12"/>
      <c r="AI249" s="11"/>
      <c r="AK249" s="19"/>
    </row>
    <row r="250" spans="1:37" x14ac:dyDescent="0.25">
      <c r="A250" s="22" t="s">
        <v>12</v>
      </c>
      <c r="B250" s="21">
        <f t="shared" si="156"/>
        <v>0.4</v>
      </c>
      <c r="C250" s="21">
        <v>0.4</v>
      </c>
      <c r="D250" s="21">
        <f t="shared" si="157"/>
        <v>0.4</v>
      </c>
      <c r="E250" s="21">
        <f t="shared" si="157"/>
        <v>0.4</v>
      </c>
      <c r="F250" s="21">
        <f t="shared" si="157"/>
        <v>0.4</v>
      </c>
      <c r="G250" s="21">
        <f t="shared" si="157"/>
        <v>0.4</v>
      </c>
      <c r="H250" s="21">
        <f t="shared" si="157"/>
        <v>0.4</v>
      </c>
      <c r="I250" s="21">
        <f t="shared" si="157"/>
        <v>0.4</v>
      </c>
      <c r="J250" s="21">
        <f t="shared" si="157"/>
        <v>0.4</v>
      </c>
      <c r="K250" s="21">
        <f t="shared" si="157"/>
        <v>0.4</v>
      </c>
      <c r="L250" s="21">
        <f t="shared" si="157"/>
        <v>0.4</v>
      </c>
      <c r="M250" s="21">
        <f t="shared" si="157"/>
        <v>0.4</v>
      </c>
      <c r="N250" s="21">
        <f t="shared" si="157"/>
        <v>0.4</v>
      </c>
      <c r="O250" s="21">
        <f t="shared" si="157"/>
        <v>0.4</v>
      </c>
      <c r="P250" s="21">
        <f t="shared" si="157"/>
        <v>0.4</v>
      </c>
      <c r="Q250" s="21">
        <f t="shared" si="157"/>
        <v>0.4</v>
      </c>
      <c r="R250" s="21">
        <f t="shared" si="157"/>
        <v>0.4</v>
      </c>
      <c r="S250" s="21">
        <f t="shared" si="157"/>
        <v>0.4</v>
      </c>
      <c r="T250" s="21">
        <f t="shared" si="157"/>
        <v>0.4</v>
      </c>
      <c r="U250" s="21">
        <f t="shared" si="157"/>
        <v>0.4</v>
      </c>
      <c r="V250" s="21">
        <f t="shared" si="157"/>
        <v>0.4</v>
      </c>
      <c r="W250" s="21">
        <f t="shared" si="157"/>
        <v>0.4</v>
      </c>
      <c r="X250" s="21">
        <f t="shared" si="157"/>
        <v>0.4</v>
      </c>
      <c r="Y250" s="21">
        <f t="shared" si="157"/>
        <v>0.4</v>
      </c>
      <c r="Z250" s="21">
        <f t="shared" si="157"/>
        <v>0.4</v>
      </c>
      <c r="AA250" s="21">
        <f t="shared" si="157"/>
        <v>0.4</v>
      </c>
      <c r="AB250" s="21">
        <f t="shared" si="157"/>
        <v>0.4</v>
      </c>
      <c r="AC250" s="21">
        <f t="shared" si="157"/>
        <v>0.4</v>
      </c>
      <c r="AD250" s="21">
        <f t="shared" si="157"/>
        <v>0.4</v>
      </c>
      <c r="AE250" s="21">
        <f t="shared" si="157"/>
        <v>0.4</v>
      </c>
      <c r="AF250" s="21">
        <f t="shared" si="157"/>
        <v>0.4</v>
      </c>
      <c r="AG250" s="20">
        <v>1</v>
      </c>
      <c r="AH250" s="12"/>
      <c r="AI250" s="11"/>
      <c r="AK250" s="19"/>
    </row>
    <row r="251" spans="1:37" ht="15.75" thickBot="1" x14ac:dyDescent="0.3">
      <c r="A251" s="18" t="s">
        <v>11</v>
      </c>
      <c r="B251" s="17">
        <f t="shared" si="156"/>
        <v>0.64</v>
      </c>
      <c r="C251" s="17">
        <v>0.64</v>
      </c>
      <c r="D251" s="17">
        <f t="shared" si="157"/>
        <v>0.64</v>
      </c>
      <c r="E251" s="17">
        <f t="shared" si="157"/>
        <v>0.64</v>
      </c>
      <c r="F251" s="17">
        <f t="shared" si="157"/>
        <v>0.64</v>
      </c>
      <c r="G251" s="17">
        <f t="shared" si="157"/>
        <v>0.64</v>
      </c>
      <c r="H251" s="17">
        <f t="shared" si="157"/>
        <v>0.64</v>
      </c>
      <c r="I251" s="17">
        <f t="shared" si="157"/>
        <v>0.64</v>
      </c>
      <c r="J251" s="17">
        <f t="shared" si="157"/>
        <v>0.64</v>
      </c>
      <c r="K251" s="17">
        <f t="shared" si="157"/>
        <v>0.64</v>
      </c>
      <c r="L251" s="17">
        <f t="shared" si="157"/>
        <v>0.64</v>
      </c>
      <c r="M251" s="17">
        <f t="shared" si="157"/>
        <v>0.64</v>
      </c>
      <c r="N251" s="17">
        <f t="shared" si="157"/>
        <v>0.64</v>
      </c>
      <c r="O251" s="17">
        <f t="shared" si="157"/>
        <v>0.64</v>
      </c>
      <c r="P251" s="17">
        <f t="shared" si="157"/>
        <v>0.64</v>
      </c>
      <c r="Q251" s="17">
        <f t="shared" si="157"/>
        <v>0.64</v>
      </c>
      <c r="R251" s="17">
        <f t="shared" si="157"/>
        <v>0.64</v>
      </c>
      <c r="S251" s="17">
        <f t="shared" si="157"/>
        <v>0.64</v>
      </c>
      <c r="T251" s="17">
        <f t="shared" si="157"/>
        <v>0.64</v>
      </c>
      <c r="U251" s="17">
        <f t="shared" si="157"/>
        <v>0.64</v>
      </c>
      <c r="V251" s="17">
        <f t="shared" si="157"/>
        <v>0.64</v>
      </c>
      <c r="W251" s="17">
        <f t="shared" si="157"/>
        <v>0.64</v>
      </c>
      <c r="X251" s="17">
        <f t="shared" si="157"/>
        <v>0.64</v>
      </c>
      <c r="Y251" s="17">
        <f t="shared" si="157"/>
        <v>0.64</v>
      </c>
      <c r="Z251" s="17">
        <f t="shared" si="157"/>
        <v>0.64</v>
      </c>
      <c r="AA251" s="17">
        <f t="shared" si="157"/>
        <v>0.64</v>
      </c>
      <c r="AB251" s="17">
        <f t="shared" si="157"/>
        <v>0.64</v>
      </c>
      <c r="AC251" s="17">
        <f t="shared" si="157"/>
        <v>0.64</v>
      </c>
      <c r="AD251" s="17">
        <f t="shared" si="157"/>
        <v>0.64</v>
      </c>
      <c r="AE251" s="17">
        <f t="shared" si="157"/>
        <v>0.64</v>
      </c>
      <c r="AF251" s="17">
        <f t="shared" si="157"/>
        <v>0.64</v>
      </c>
      <c r="AG251" s="16">
        <v>0.66</v>
      </c>
      <c r="AH251" s="12"/>
      <c r="AI251" s="11"/>
    </row>
    <row r="252" spans="1:37" ht="15.75" thickBot="1" x14ac:dyDescent="0.3">
      <c r="A252" s="15" t="s">
        <v>10</v>
      </c>
      <c r="B252" s="14">
        <f t="shared" ref="B252:AG252" si="158">SUM(B246:B251)</f>
        <v>3.54</v>
      </c>
      <c r="C252" s="14">
        <f t="shared" si="158"/>
        <v>3.54</v>
      </c>
      <c r="D252" s="14">
        <f t="shared" si="158"/>
        <v>3.54</v>
      </c>
      <c r="E252" s="14">
        <f t="shared" si="158"/>
        <v>3.54</v>
      </c>
      <c r="F252" s="14">
        <f t="shared" si="158"/>
        <v>3.54</v>
      </c>
      <c r="G252" s="14">
        <f t="shared" si="158"/>
        <v>3.54</v>
      </c>
      <c r="H252" s="14">
        <f t="shared" si="158"/>
        <v>3.54</v>
      </c>
      <c r="I252" s="14">
        <f t="shared" si="158"/>
        <v>3.54</v>
      </c>
      <c r="J252" s="14">
        <f t="shared" si="158"/>
        <v>3.54</v>
      </c>
      <c r="K252" s="14">
        <f t="shared" si="158"/>
        <v>3.54</v>
      </c>
      <c r="L252" s="14">
        <f t="shared" si="158"/>
        <v>3.54</v>
      </c>
      <c r="M252" s="14">
        <f t="shared" si="158"/>
        <v>3.54</v>
      </c>
      <c r="N252" s="14">
        <f t="shared" si="158"/>
        <v>3.54</v>
      </c>
      <c r="O252" s="14">
        <f t="shared" si="158"/>
        <v>3.54</v>
      </c>
      <c r="P252" s="14">
        <f t="shared" si="158"/>
        <v>3.54</v>
      </c>
      <c r="Q252" s="14">
        <f t="shared" si="158"/>
        <v>3.54</v>
      </c>
      <c r="R252" s="14">
        <f t="shared" si="158"/>
        <v>3.54</v>
      </c>
      <c r="S252" s="14">
        <f t="shared" si="158"/>
        <v>3.54</v>
      </c>
      <c r="T252" s="14">
        <f t="shared" si="158"/>
        <v>3.54</v>
      </c>
      <c r="U252" s="14">
        <f t="shared" si="158"/>
        <v>3.54</v>
      </c>
      <c r="V252" s="14">
        <f t="shared" si="158"/>
        <v>3.54</v>
      </c>
      <c r="W252" s="14">
        <f t="shared" si="158"/>
        <v>3.54</v>
      </c>
      <c r="X252" s="14">
        <f t="shared" si="158"/>
        <v>3.54</v>
      </c>
      <c r="Y252" s="14">
        <f t="shared" si="158"/>
        <v>3.54</v>
      </c>
      <c r="Z252" s="14">
        <f t="shared" si="158"/>
        <v>3.54</v>
      </c>
      <c r="AA252" s="14">
        <f t="shared" si="158"/>
        <v>3.54</v>
      </c>
      <c r="AB252" s="14">
        <f t="shared" si="158"/>
        <v>3.54</v>
      </c>
      <c r="AC252" s="14">
        <f t="shared" si="158"/>
        <v>3.54</v>
      </c>
      <c r="AD252" s="14">
        <f t="shared" si="158"/>
        <v>3.54</v>
      </c>
      <c r="AE252" s="14">
        <f t="shared" si="158"/>
        <v>3.54</v>
      </c>
      <c r="AF252" s="14">
        <f t="shared" si="158"/>
        <v>3.54</v>
      </c>
      <c r="AG252" s="13">
        <f t="shared" si="158"/>
        <v>8.56</v>
      </c>
      <c r="AH252" s="12"/>
      <c r="AI252" s="11"/>
    </row>
    <row r="253" spans="1:37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25">
      <c r="A256" s="9" t="s">
        <v>9</v>
      </c>
      <c r="B256" s="8">
        <f>MAX(G99:N99)</f>
        <v>1717.54</v>
      </c>
      <c r="C256" s="7">
        <f>INDEX(G9:N9,1,MATCH(MAX(G99:N99),G99:N99,0))</f>
        <v>0.375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25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2080/10/10)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25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25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25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25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25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25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25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25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25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25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25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25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25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25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3057" priority="89">
      <formula>$AH11=0</formula>
    </cfRule>
  </conditionalFormatting>
  <conditionalFormatting sqref="A132:A253">
    <cfRule type="expression" dxfId="3056" priority="90">
      <formula>$AH132=0</formula>
    </cfRule>
  </conditionalFormatting>
  <conditionalFormatting sqref="B8">
    <cfRule type="expression" dxfId="3055" priority="144">
      <formula>AND(C$9&gt;=14/24,C$9&lt;20/24)</formula>
    </cfRule>
    <cfRule type="expression" dxfId="3054" priority="146">
      <formula>C$9&lt;8/24</formula>
    </cfRule>
    <cfRule type="expression" dxfId="3053" priority="145">
      <formula>AND(C$9&gt;=8/24,C$9&lt;14/24)</formula>
    </cfRule>
    <cfRule type="expression" dxfId="3052" priority="147">
      <formula>C$9&gt;=20/24</formula>
    </cfRule>
  </conditionalFormatting>
  <conditionalFormatting sqref="B11:F52 G12:K52 L13:Y52 B59:D74 E69:AF74 B77:AF99 B9:AF10 B101:AF117 B119:AF137 B244:AF244 B246:B252">
    <cfRule type="expression" dxfId="3051" priority="41">
      <formula>B$9&gt;=20/24</formula>
    </cfRule>
  </conditionalFormatting>
  <conditionalFormatting sqref="B53:Y57">
    <cfRule type="expression" dxfId="3050" priority="53">
      <formula>B$9&lt;8/24</formula>
    </cfRule>
  </conditionalFormatting>
  <conditionalFormatting sqref="B9:AF10 B11:F52 G12:K52 L13:Y52 B59:D74 E69:AF74 B77:AF99 B101:AF117 B119:AF137 B244:AF244 B246:B252">
    <cfRule type="expression" dxfId="3049" priority="43">
      <formula>AND(B$9&gt;=8/24,B$9&lt;14/24)</formula>
    </cfRule>
    <cfRule type="expression" dxfId="3048" priority="42">
      <formula>AND(B$9&gt;=14/24,B$9&lt;20/24)</formula>
    </cfRule>
    <cfRule type="expression" dxfId="3047" priority="44">
      <formula>B$9&lt;8/24</formula>
    </cfRule>
  </conditionalFormatting>
  <conditionalFormatting sqref="D246:AF252">
    <cfRule type="expression" dxfId="3046" priority="131">
      <formula>AND(D$9&gt;=8/24,D$9&lt;14/24)</formula>
    </cfRule>
    <cfRule type="expression" dxfId="3045" priority="130">
      <formula>AND(D$9&gt;=14/24,D$9&lt;20/24)</formula>
    </cfRule>
    <cfRule type="expression" dxfId="3044" priority="129">
      <formula>D$9&gt;=20/24</formula>
    </cfRule>
    <cfRule type="expression" dxfId="3043" priority="132">
      <formula>D$9&lt;8/24</formula>
    </cfRule>
  </conditionalFormatting>
  <conditionalFormatting sqref="E11:F57 B11:D80 G12:K55 L13:Y55 G57:I57 J57:L58 M57:Y80 E58:I58 AB58:AF61 Z58:AA80 E59:L80 AB62:AG62 AB63:AF80 AG80">
    <cfRule type="expression" dxfId="3042" priority="40">
      <formula>B11&gt;$AG11</formula>
    </cfRule>
  </conditionalFormatting>
  <conditionalFormatting sqref="E63:I67 J64:J67 K66:K67">
    <cfRule type="expression" dxfId="3041" priority="56">
      <formula>AND(E$9&gt;=8/24,E$9&lt;14/24)</formula>
    </cfRule>
    <cfRule type="expression" dxfId="3040" priority="57">
      <formula>E$9&lt;8/24</formula>
    </cfRule>
    <cfRule type="expression" dxfId="3039" priority="55">
      <formula>AND(E$9&gt;=14/24,E$9&lt;20/24)</formula>
    </cfRule>
    <cfRule type="expression" dxfId="3038" priority="54">
      <formula>E$9&gt;=20/24</formula>
    </cfRule>
  </conditionalFormatting>
  <conditionalFormatting sqref="E11:R11 S11:Y12 Z11:AF52 L12:R12">
    <cfRule type="expression" dxfId="3037" priority="58">
      <formula>E11&gt;$AG11</formula>
    </cfRule>
    <cfRule type="expression" dxfId="3036" priority="62">
      <formula>E$9&lt;8/24</formula>
    </cfRule>
    <cfRule type="expression" dxfId="3035" priority="61">
      <formula>AND(E$9&gt;=8/24,E$9&lt;14/24)</formula>
    </cfRule>
    <cfRule type="expression" dxfId="3034" priority="60">
      <formula>AND(E$9&gt;=14/24,E$9&lt;20/24)</formula>
    </cfRule>
    <cfRule type="expression" dxfId="3033" priority="59">
      <formula>E$9&gt;=20/24</formula>
    </cfRule>
  </conditionalFormatting>
  <conditionalFormatting sqref="E68:Y68">
    <cfRule type="expression" dxfId="3032" priority="52">
      <formula>E$9&lt;8/24</formula>
    </cfRule>
    <cfRule type="expression" dxfId="3031" priority="51">
      <formula>AND(E$9&gt;=8/24,E$9&lt;14/24)</formula>
    </cfRule>
    <cfRule type="expression" dxfId="3030" priority="50">
      <formula>AND(E$9&gt;=14/24,E$9&lt;20/24)</formula>
    </cfRule>
    <cfRule type="expression" dxfId="3029" priority="49">
      <formula>E$9&gt;=20/24</formula>
    </cfRule>
  </conditionalFormatting>
  <conditionalFormatting sqref="E59:AF62">
    <cfRule type="expression" dxfId="3028" priority="67">
      <formula>E$9&gt;=20/24</formula>
    </cfRule>
    <cfRule type="expression" dxfId="3027" priority="68">
      <formula>AND(E$9&gt;=14/24,E$9&lt;20/24)</formula>
    </cfRule>
    <cfRule type="expression" dxfId="3026" priority="69">
      <formula>AND(E$9&gt;=8/24,E$9&lt;14/24)</formula>
    </cfRule>
    <cfRule type="expression" dxfId="3025" priority="70">
      <formula>E$9&lt;8/24</formula>
    </cfRule>
  </conditionalFormatting>
  <conditionalFormatting sqref="F63:N65">
    <cfRule type="expression" dxfId="3024" priority="83">
      <formula>AND(F$9&gt;=8/24,F$9&lt;14/24)</formula>
    </cfRule>
    <cfRule type="expression" dxfId="3023" priority="84">
      <formula>F$9&lt;8/24</formula>
    </cfRule>
    <cfRule type="expression" dxfId="3022" priority="81">
      <formula>F$9&gt;=20/24</formula>
    </cfRule>
    <cfRule type="expression" dxfId="3021" priority="82">
      <formula>AND(F$9&gt;=14/24,F$9&lt;20/24)</formula>
    </cfRule>
  </conditionalFormatting>
  <conditionalFormatting sqref="G56:Y56">
    <cfRule type="expression" dxfId="3020" priority="45">
      <formula>G56&gt;$AG56</formula>
    </cfRule>
  </conditionalFormatting>
  <conditionalFormatting sqref="G56:Y57">
    <cfRule type="expression" dxfId="3019" priority="46">
      <formula>G$9&gt;=20/24</formula>
    </cfRule>
    <cfRule type="expression" dxfId="3018" priority="47">
      <formula>AND(G$9&gt;=14/24,G$9&lt;20/24)</formula>
    </cfRule>
    <cfRule type="expression" dxfId="3017" priority="48">
      <formula>AND(G$9&gt;=8/24,G$9&lt;14/24)</formula>
    </cfRule>
  </conditionalFormatting>
  <conditionalFormatting sqref="M8 S8 AB8">
    <cfRule type="expression" dxfId="3016" priority="137">
      <formula>AND(N$9&gt;=8/24,N$9&lt;14/24)</formula>
    </cfRule>
    <cfRule type="expression" dxfId="3015" priority="138">
      <formula>N$9&lt;8/24</formula>
    </cfRule>
    <cfRule type="expression" dxfId="3014" priority="136">
      <formula>AND(N$9&gt;=14/24,N$9&lt;20/24)</formula>
    </cfRule>
  </conditionalFormatting>
  <conditionalFormatting sqref="N63:Y67">
    <cfRule type="expression" dxfId="3013" priority="85">
      <formula>N$9&gt;=20/24</formula>
    </cfRule>
    <cfRule type="expression" dxfId="3012" priority="86">
      <formula>AND(N$9&gt;=14/24,N$9&lt;20/24)</formula>
    </cfRule>
    <cfRule type="expression" dxfId="3011" priority="87">
      <formula>AND(N$9&gt;=8/24,N$9&lt;14/24)</formula>
    </cfRule>
    <cfRule type="expression" dxfId="3010" priority="88">
      <formula>N$9&lt;8/24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009" priority="135">
      <formula>N$9&gt;=20/24</formula>
    </cfRule>
  </conditionalFormatting>
  <conditionalFormatting sqref="S8">
    <cfRule type="expression" dxfId="3008" priority="122">
      <formula>U$9&gt;=20/24</formula>
    </cfRule>
    <cfRule type="expression" dxfId="3007" priority="125">
      <formula>U$9&lt;8/24</formula>
    </cfRule>
    <cfRule type="expression" dxfId="3006" priority="123">
      <formula>AND(U$9&gt;=14/24,U$9&lt;20/24)</formula>
    </cfRule>
    <cfRule type="expression" dxfId="3005" priority="124">
      <formula>AND(U$9&gt;=8/24,U$9&lt;14/24)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Z53:AF54 G53:Y55 B53:F57">
    <cfRule type="expression" dxfId="3004" priority="39">
      <formula>AND(B$9&gt;=8/24,B$9&lt;14/24)</formula>
    </cfRule>
    <cfRule type="expression" dxfId="3003" priority="38">
      <formula>AND(B$9&gt;=14/24,B$9&lt;20/24)</formula>
    </cfRule>
    <cfRule type="expression" dxfId="3002" priority="37">
      <formula>B$9&gt;=20/24</formula>
    </cfRule>
  </conditionalFormatting>
  <conditionalFormatting sqref="Z53:AF55">
    <cfRule type="expression" dxfId="3001" priority="76">
      <formula>Z53&gt;$AG53</formula>
    </cfRule>
  </conditionalFormatting>
  <conditionalFormatting sqref="Z53:AF57">
    <cfRule type="expression" dxfId="3000" priority="75">
      <formula>Z$9&lt;8/24</formula>
    </cfRule>
  </conditionalFormatting>
  <conditionalFormatting sqref="Z55:AF57">
    <cfRule type="expression" dxfId="2999" priority="66">
      <formula>AND(Z$9&gt;=8/24,Z$9&lt;14/24)</formula>
    </cfRule>
    <cfRule type="expression" dxfId="2998" priority="65">
      <formula>AND(Z$9&gt;=14/24,Z$9&lt;20/24)</formula>
    </cfRule>
    <cfRule type="expression" dxfId="2997" priority="64">
      <formula>Z$9&gt;=20/24</formula>
    </cfRule>
  </conditionalFormatting>
  <conditionalFormatting sqref="Z56:AF57">
    <cfRule type="expression" dxfId="2996" priority="63">
      <formula>Z56&gt;$AG56</formula>
    </cfRule>
  </conditionalFormatting>
  <conditionalFormatting sqref="Z63:AF68">
    <cfRule type="expression" dxfId="2995" priority="73">
      <formula>AND(Z$9&gt;=8/24,Z$9&lt;14/24)</formula>
    </cfRule>
    <cfRule type="expression" dxfId="2994" priority="74">
      <formula>Z$9&lt;8/24</formula>
    </cfRule>
    <cfRule type="expression" dxfId="2993" priority="71">
      <formula>Z$9&gt;=20/24</formula>
    </cfRule>
    <cfRule type="expression" dxfId="2992" priority="72">
      <formula>AND(Z$9&gt;=14/24,Z$9&lt;20/24)</formula>
    </cfRule>
  </conditionalFormatting>
  <conditionalFormatting sqref="AB8">
    <cfRule type="expression" dxfId="2991" priority="120">
      <formula>AND(AD$9&gt;=8/24,AD$9&lt;14/24)</formula>
    </cfRule>
    <cfRule type="expression" dxfId="2990" priority="118">
      <formula>AD$9&gt;=20/24</formula>
    </cfRule>
    <cfRule type="expression" dxfId="2989" priority="119">
      <formula>AND(AD$9&gt;=14/24,AD$9&lt;20/24)</formula>
    </cfRule>
    <cfRule type="expression" dxfId="2988" priority="121">
      <formula>AD$9&lt;8/24</formula>
    </cfRule>
  </conditionalFormatting>
  <conditionalFormatting sqref="AG58">
    <cfRule type="expression" dxfId="2987" priority="113">
      <formula>AG58&gt;$AG58</formula>
    </cfRule>
  </conditionalFormatting>
  <conditionalFormatting sqref="AG62">
    <cfRule type="expression" dxfId="2986" priority="99">
      <formula>AG$9&lt;8/24</formula>
    </cfRule>
    <cfRule type="expression" dxfId="2985" priority="97">
      <formula>AND(AG$9&gt;=14/24,AG$9&lt;20/24)</formula>
    </cfRule>
    <cfRule type="expression" dxfId="2984" priority="96">
      <formula>AG$9&gt;=20/24</formula>
    </cfRule>
    <cfRule type="expression" dxfId="2983" priority="98">
      <formula>AND(AG$9&gt;=8/24,AG$9&lt;14/24)</formula>
    </cfRule>
  </conditionalFormatting>
  <conditionalFormatting sqref="AG75:AG76">
    <cfRule type="expression" dxfId="2982" priority="91">
      <formula>AG75&gt;$AG75</formula>
    </cfRule>
  </conditionalFormatting>
  <conditionalFormatting sqref="AG80">
    <cfRule type="expression" dxfId="2981" priority="95">
      <formula>AG$9&lt;8/24</formula>
    </cfRule>
    <cfRule type="expression" dxfId="2980" priority="92">
      <formula>AG$9&gt;=20/24</formula>
    </cfRule>
    <cfRule type="expression" dxfId="2979" priority="93">
      <formula>AND(AG$9&gt;=14/24,AG$9&lt;20/24)</formula>
    </cfRule>
    <cfRule type="expression" dxfId="2978" priority="94">
      <formula>AND(AG$9&gt;=8/24,AG$9&lt;14/24)</formula>
    </cfRule>
  </conditionalFormatting>
  <conditionalFormatting sqref="AG97">
    <cfRule type="expression" dxfId="2977" priority="117">
      <formula>AG$9&lt;8/24</formula>
    </cfRule>
    <cfRule type="expression" dxfId="2976" priority="115">
      <formula>AND(AG$9&gt;=14/24,AG$9&lt;20/24)</formula>
    </cfRule>
    <cfRule type="expression" dxfId="2975" priority="114">
      <formula>AG$9&gt;=20/24</formula>
    </cfRule>
    <cfRule type="expression" dxfId="2974" priority="116">
      <formula>AND(AG$9&gt;=8/24,AG$9&lt;14/24)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973" priority="139">
      <formula>AJ$9&gt;=20/24</formula>
    </cfRule>
    <cfRule type="expression" dxfId="2972" priority="140">
      <formula>AND(AJ$9&gt;=14/24,AJ$9&lt;20/24)</formula>
    </cfRule>
    <cfRule type="expression" dxfId="2971" priority="141">
      <formula>AND(AJ$9&gt;=8/24,AJ$9&lt;14/24)</formula>
    </cfRule>
    <cfRule type="expression" dxfId="2970" priority="142">
      <formula>AJ$9&lt;8/24</formula>
    </cfRule>
  </conditionalFormatting>
  <conditionalFormatting sqref="AL88:AN88 AL94:AN94">
    <cfRule type="expression" dxfId="2969" priority="107">
      <formula>AND(AL$9&gt;=14/24,AL$9&lt;20/24)</formula>
    </cfRule>
    <cfRule type="expression" dxfId="2968" priority="108">
      <formula>AND(AL$9&gt;=8/24,AL$9&lt;14/24)</formula>
    </cfRule>
    <cfRule type="expression" dxfId="2967" priority="109">
      <formula>AL$9&lt;8/24</formula>
    </cfRule>
    <cfRule type="expression" dxfId="2966" priority="106">
      <formula>AL$9&gt;=20/24</formula>
    </cfRule>
  </conditionalFormatting>
  <conditionalFormatting sqref="AM15:AM21 AN16:AR21">
    <cfRule type="expression" dxfId="2965" priority="16">
      <formula>AX$9&lt;8/24</formula>
    </cfRule>
    <cfRule type="expression" dxfId="2964" priority="15">
      <formula>AND(AX$9&gt;=8/24,AX$9&lt;14/24)</formula>
    </cfRule>
    <cfRule type="expression" dxfId="2963" priority="14">
      <formula>AND(AX$9&gt;=14/24,AX$9&lt;20/24)</formula>
    </cfRule>
    <cfRule type="expression" dxfId="2962" priority="13">
      <formula>AX$9&gt;=20/24</formula>
    </cfRule>
  </conditionalFormatting>
  <conditionalFormatting sqref="AN89:AN92">
    <cfRule type="expression" dxfId="2961" priority="102">
      <formula>AN$9&gt;=20/24</formula>
    </cfRule>
    <cfRule type="expression" dxfId="2960" priority="103">
      <formula>AND(AN$9&gt;=14/24,AN$9&lt;20/24)</formula>
    </cfRule>
    <cfRule type="expression" dxfId="2959" priority="104">
      <formula>AND(AN$9&gt;=8/24,AN$9&lt;14/24)</formula>
    </cfRule>
    <cfRule type="expression" dxfId="2958" priority="105">
      <formula>AN$9&lt;8/24</formula>
    </cfRule>
  </conditionalFormatting>
  <conditionalFormatting sqref="AN15:AR15">
    <cfRule type="expression" dxfId="2957" priority="3">
      <formula>AND(U$9&gt;=8/24,U$9&lt;14/24)</formula>
    </cfRule>
    <cfRule type="expression" dxfId="2956" priority="4">
      <formula>U$9&lt;8/24</formula>
    </cfRule>
    <cfRule type="expression" dxfId="2955" priority="1">
      <formula>U$9&gt;=20/24</formula>
    </cfRule>
    <cfRule type="expression" dxfId="2954" priority="2">
      <formula>AND(U$9&gt;=14/24,U$9&lt;20/24)</formula>
    </cfRule>
  </conditionalFormatting>
  <conditionalFormatting sqref="AS15">
    <cfRule type="expression" dxfId="2953" priority="12">
      <formula>AA$9&lt;8/24</formula>
    </cfRule>
    <cfRule type="expression" dxfId="2952" priority="11">
      <formula>AND(AA$9&gt;=8/24,AA$9&lt;14/24)</formula>
    </cfRule>
    <cfRule type="expression" dxfId="2951" priority="10">
      <formula>AND(AA$9&gt;=14/24,AA$9&lt;20/24)</formula>
    </cfRule>
    <cfRule type="expression" dxfId="2950" priority="9">
      <formula>AA$9&gt;=20/24</formula>
    </cfRule>
  </conditionalFormatting>
  <conditionalFormatting sqref="AS16:AS21">
    <cfRule type="expression" dxfId="2949" priority="20">
      <formula>BE$9&lt;8/24</formula>
    </cfRule>
    <cfRule type="expression" dxfId="2948" priority="18">
      <formula>AND(BE$9&gt;=14/24,BE$9&lt;20/24)</formula>
    </cfRule>
    <cfRule type="expression" dxfId="2947" priority="17">
      <formula>BE$9&gt;=20/24</formula>
    </cfRule>
    <cfRule type="expression" dxfId="2946" priority="19">
      <formula>AND(BE$9&gt;=8/24,BE$9&lt;14/24)</formula>
    </cfRule>
  </conditionalFormatting>
  <conditionalFormatting sqref="AT15 AX15:BJ15">
    <cfRule type="expression" dxfId="2945" priority="23">
      <formula>AND(AC$9&gt;=8/24,AC$9&lt;14/24)</formula>
    </cfRule>
    <cfRule type="expression" dxfId="2944" priority="22">
      <formula>AND(AC$9&gt;=14/24,AC$9&lt;20/24)</formula>
    </cfRule>
    <cfRule type="expression" dxfId="2943" priority="21">
      <formula>AC$9&gt;=20/24</formula>
    </cfRule>
    <cfRule type="expression" dxfId="2942" priority="24">
      <formula>AC$9&lt;8/24</formula>
    </cfRule>
  </conditionalFormatting>
  <conditionalFormatting sqref="AT16:AT21">
    <cfRule type="expression" dxfId="2941" priority="25">
      <formula>BG$9&gt;=20/24</formula>
    </cfRule>
    <cfRule type="expression" dxfId="2940" priority="26">
      <formula>AND(BG$9&gt;=14/24,BG$9&lt;20/24)</formula>
    </cfRule>
    <cfRule type="expression" dxfId="2939" priority="27">
      <formula>AND(BG$9&gt;=8/24,BG$9&lt;14/24)</formula>
    </cfRule>
    <cfRule type="expression" dxfId="2938" priority="28">
      <formula>BG$9&lt;8/24</formula>
    </cfRule>
  </conditionalFormatting>
  <conditionalFormatting sqref="AU15:AV15">
    <cfRule type="expression" dxfId="2937" priority="32">
      <formula>AE$9&lt;8/24</formula>
    </cfRule>
    <cfRule type="expression" dxfId="2936" priority="29">
      <formula>AE$9&gt;=20/24</formula>
    </cfRule>
    <cfRule type="expression" dxfId="2935" priority="30">
      <formula>AND(AE$9&gt;=14/24,AE$9&lt;20/24)</formula>
    </cfRule>
    <cfRule type="expression" dxfId="2934" priority="31">
      <formula>AND(AE$9&gt;=8/24,AE$9&lt;14/24)</formula>
    </cfRule>
  </conditionalFormatting>
  <conditionalFormatting sqref="AU16:BJ21">
    <cfRule type="expression" dxfId="2933" priority="34">
      <formula>AND(BI$9&gt;=14/24,BI$9&lt;20/24)</formula>
    </cfRule>
    <cfRule type="expression" dxfId="2932" priority="35">
      <formula>AND(BI$9&gt;=8/24,BI$9&lt;14/24)</formula>
    </cfRule>
    <cfRule type="expression" dxfId="2931" priority="36">
      <formula>BI$9&lt;8/24</formula>
    </cfRule>
    <cfRule type="expression" dxfId="2930" priority="33">
      <formula>BI$9&gt;=20/24</formula>
    </cfRule>
  </conditionalFormatting>
  <conditionalFormatting sqref="AW15">
    <cfRule type="expression" dxfId="2929" priority="6">
      <formula>AND(B$9&gt;=14/24,B$9&lt;20/24)</formula>
    </cfRule>
    <cfRule type="expression" dxfId="2928" priority="5">
      <formula>B$9&gt;=20/24</formula>
    </cfRule>
    <cfRule type="expression" dxfId="2927" priority="8">
      <formula>B$9&lt;8/24</formula>
    </cfRule>
    <cfRule type="expression" dxfId="2926" priority="7">
      <formula>AND(B$9&gt;=8/24,B$9&lt;14/24)</formula>
    </cfRule>
  </conditionalFormatting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FB848-070E-4C46-B735-4D392BF04F15}">
  <dimension ref="A1:CJ294"/>
  <sheetViews>
    <sheetView zoomScaleNormal="100" workbookViewId="0">
      <pane xSplit="1" ySplit="10" topLeftCell="B79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97" sqref="A97:AF10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20.25" hidden="1" x14ac:dyDescent="0.2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9.5" hidden="1" thickBot="1" x14ac:dyDescent="0.3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3">
      <c r="A4" s="162" t="s">
        <v>273</v>
      </c>
      <c r="B4" s="205" t="str">
        <f ca="1">"2080/"&amp;"10/"&amp;INT(MID(CELL("filename",D6),FIND("]",CELL("filename",D6))+1,200))</f>
        <v>2080/10/11</v>
      </c>
      <c r="C4" s="205"/>
      <c r="D4" s="205"/>
      <c r="E4" s="206" t="str">
        <f ca="1">"2080/"&amp;"10/"&amp;INT(MID(CELL("filename",G6),FIND("]",CELL("filename",G6))+1,200))</f>
        <v>2080/10/11</v>
      </c>
      <c r="F4" s="206"/>
      <c r="G4" s="206"/>
      <c r="H4" s="206" t="str">
        <f ca="1">TEXT(E4,"dddd")</f>
        <v>Friday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3">
      <c r="A5" s="158"/>
      <c r="B5" s="161">
        <f t="shared" ref="B5:AE5" si="0">C92</f>
        <v>198</v>
      </c>
      <c r="C5" s="161">
        <f t="shared" si="0"/>
        <v>152.19999999999999</v>
      </c>
      <c r="D5" s="161">
        <f t="shared" si="0"/>
        <v>133.30000000000001</v>
      </c>
      <c r="E5" s="161">
        <f t="shared" si="0"/>
        <v>133.4</v>
      </c>
      <c r="F5" s="161">
        <f t="shared" si="0"/>
        <v>204</v>
      </c>
      <c r="G5" s="161">
        <f t="shared" si="0"/>
        <v>183.9</v>
      </c>
      <c r="H5" s="161">
        <f t="shared" si="0"/>
        <v>253.7</v>
      </c>
      <c r="I5" s="161">
        <f t="shared" si="0"/>
        <v>560.9</v>
      </c>
      <c r="J5" s="161">
        <f t="shared" si="0"/>
        <v>618.6</v>
      </c>
      <c r="K5" s="161">
        <f t="shared" si="0"/>
        <v>676.30000000000007</v>
      </c>
      <c r="L5" s="161">
        <f t="shared" si="0"/>
        <v>688</v>
      </c>
      <c r="M5" s="161">
        <f t="shared" si="0"/>
        <v>720.1</v>
      </c>
      <c r="N5" s="161">
        <f t="shared" si="0"/>
        <v>746.5</v>
      </c>
      <c r="O5" s="161">
        <f t="shared" si="0"/>
        <v>767.2</v>
      </c>
      <c r="P5" s="161">
        <f t="shared" si="0"/>
        <v>797.9</v>
      </c>
      <c r="Q5" s="161">
        <f t="shared" si="0"/>
        <v>744.19999999999993</v>
      </c>
      <c r="R5" s="161">
        <f t="shared" si="0"/>
        <v>714.80000000000007</v>
      </c>
      <c r="S5" s="161">
        <f t="shared" si="0"/>
        <v>0</v>
      </c>
      <c r="T5" s="161">
        <f t="shared" si="0"/>
        <v>576.1</v>
      </c>
      <c r="U5" s="161">
        <f t="shared" si="0"/>
        <v>696.3</v>
      </c>
      <c r="V5" s="161">
        <f t="shared" si="0"/>
        <v>691.9</v>
      </c>
      <c r="W5" s="161">
        <f t="shared" si="0"/>
        <v>665.6</v>
      </c>
      <c r="X5" s="161">
        <f t="shared" si="0"/>
        <v>175</v>
      </c>
      <c r="Y5" s="161">
        <f t="shared" si="0"/>
        <v>185.2</v>
      </c>
      <c r="Z5" s="161">
        <f t="shared" si="0"/>
        <v>166.5</v>
      </c>
      <c r="AA5" s="161">
        <f t="shared" si="0"/>
        <v>224.9</v>
      </c>
      <c r="AB5" s="161">
        <f t="shared" si="0"/>
        <v>243.9</v>
      </c>
      <c r="AC5" s="161">
        <f t="shared" si="0"/>
        <v>164</v>
      </c>
      <c r="AD5" s="161">
        <f t="shared" si="0"/>
        <v>131.20000000000002</v>
      </c>
      <c r="AE5" s="161">
        <f t="shared" si="0"/>
        <v>105</v>
      </c>
      <c r="AF5" s="161">
        <f>B92</f>
        <v>193.8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3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1707MW at 6:30hr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5" thickBot="1" x14ac:dyDescent="0.3">
      <c r="A7" s="151" t="str">
        <f>"Base Load="&amp;ROUND(MIN($B$7:$AF$7),0)</f>
        <v>Base Load=154</v>
      </c>
      <c r="B7" s="150">
        <f t="shared" ref="B7:AF7" si="1">B100</f>
        <v>1583.14</v>
      </c>
      <c r="C7" s="150">
        <f t="shared" si="1"/>
        <v>1587.3400000000001</v>
      </c>
      <c r="D7" s="150">
        <f t="shared" si="1"/>
        <v>1541.5400000000002</v>
      </c>
      <c r="E7" s="150">
        <f t="shared" si="1"/>
        <v>1528.84</v>
      </c>
      <c r="F7" s="150">
        <f t="shared" si="1"/>
        <v>1511.24</v>
      </c>
      <c r="G7" s="150">
        <f t="shared" si="1"/>
        <v>1533.34</v>
      </c>
      <c r="H7" s="150">
        <f t="shared" si="1"/>
        <v>1545.3400000000001</v>
      </c>
      <c r="I7" s="150">
        <f t="shared" si="1"/>
        <v>1622.74</v>
      </c>
      <c r="J7" s="150">
        <f t="shared" si="1"/>
        <v>1707.04</v>
      </c>
      <c r="K7" s="150">
        <f t="shared" si="1"/>
        <v>1614.44</v>
      </c>
      <c r="L7" s="150">
        <f t="shared" si="1"/>
        <v>1683.6399999999999</v>
      </c>
      <c r="M7" s="150">
        <f t="shared" si="1"/>
        <v>1639.94</v>
      </c>
      <c r="N7" s="150">
        <f t="shared" si="1"/>
        <v>1617.94</v>
      </c>
      <c r="O7" s="150">
        <f t="shared" si="1"/>
        <v>1705.6399999999999</v>
      </c>
      <c r="P7" s="150">
        <f t="shared" si="1"/>
        <v>1728.44</v>
      </c>
      <c r="Q7" s="150">
        <f t="shared" si="1"/>
        <v>1730.2399999999998</v>
      </c>
      <c r="R7" s="150">
        <f t="shared" si="1"/>
        <v>1682.04</v>
      </c>
      <c r="S7" s="150">
        <f t="shared" si="1"/>
        <v>1595.2399999999998</v>
      </c>
      <c r="T7" s="150">
        <f t="shared" si="1"/>
        <v>153.54</v>
      </c>
      <c r="U7" s="150">
        <f t="shared" si="1"/>
        <v>1526.1399999999999</v>
      </c>
      <c r="V7" s="150">
        <f t="shared" si="1"/>
        <v>1583.9399999999998</v>
      </c>
      <c r="W7" s="150">
        <f t="shared" si="1"/>
        <v>1579.2399999999998</v>
      </c>
      <c r="X7" s="150">
        <f t="shared" si="1"/>
        <v>1519.8400000000001</v>
      </c>
      <c r="Y7" s="150">
        <f t="shared" si="1"/>
        <v>1735.1</v>
      </c>
      <c r="Z7" s="150">
        <f t="shared" si="1"/>
        <v>1963</v>
      </c>
      <c r="AA7" s="150">
        <f t="shared" si="1"/>
        <v>1959.34</v>
      </c>
      <c r="AB7" s="150">
        <f t="shared" si="1"/>
        <v>1911.54</v>
      </c>
      <c r="AC7" s="150">
        <f t="shared" si="1"/>
        <v>1885.3400000000001</v>
      </c>
      <c r="AD7" s="150">
        <f t="shared" si="1"/>
        <v>1834.84</v>
      </c>
      <c r="AE7" s="150">
        <f t="shared" si="1"/>
        <v>1717.54</v>
      </c>
      <c r="AF7" s="150">
        <f t="shared" si="1"/>
        <v>1611.54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7.25" thickTop="1" thickBot="1" x14ac:dyDescent="0.3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1963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2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1963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.75" thickBot="1" x14ac:dyDescent="0.3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25">
      <c r="A11" s="89" t="s">
        <v>264</v>
      </c>
      <c r="B11" s="102">
        <v>22.2</v>
      </c>
      <c r="C11" s="102">
        <v>22.2</v>
      </c>
      <c r="D11" s="102">
        <v>22.2</v>
      </c>
      <c r="E11" s="102">
        <v>21.3</v>
      </c>
      <c r="F11" s="102">
        <v>22</v>
      </c>
      <c r="G11" s="102">
        <v>22</v>
      </c>
      <c r="H11" s="102">
        <v>21.9</v>
      </c>
      <c r="I11" s="102">
        <v>21.9</v>
      </c>
      <c r="J11" s="102">
        <v>21.9</v>
      </c>
      <c r="K11" s="102">
        <v>21.3</v>
      </c>
      <c r="L11" s="102">
        <v>21.3</v>
      </c>
      <c r="M11" s="102">
        <v>21.3</v>
      </c>
      <c r="N11" s="102">
        <v>21.3</v>
      </c>
      <c r="O11" s="102">
        <v>21.3</v>
      </c>
      <c r="P11" s="102">
        <v>21.3</v>
      </c>
      <c r="Q11" s="102">
        <v>21.3</v>
      </c>
      <c r="R11" s="102">
        <v>21.3</v>
      </c>
      <c r="S11" s="102">
        <v>21.3</v>
      </c>
      <c r="T11" s="102"/>
      <c r="U11" s="102">
        <v>21.3</v>
      </c>
      <c r="V11" s="102">
        <v>21.3</v>
      </c>
      <c r="W11" s="102">
        <v>21.3</v>
      </c>
      <c r="X11" s="102">
        <v>21.3</v>
      </c>
      <c r="Y11" s="102">
        <v>22.5</v>
      </c>
      <c r="Z11" s="102">
        <v>22.5</v>
      </c>
      <c r="AA11" s="102">
        <v>22.5</v>
      </c>
      <c r="AB11" s="102">
        <v>22.5</v>
      </c>
      <c r="AC11" s="102">
        <v>22.5</v>
      </c>
      <c r="AD11" s="102">
        <v>22.5</v>
      </c>
      <c r="AE11" s="102">
        <v>22.5</v>
      </c>
      <c r="AF11" s="102">
        <v>22.5</v>
      </c>
      <c r="AG11" s="140">
        <v>86</v>
      </c>
      <c r="AH11" s="12">
        <f t="shared" ref="AH11:AH16" si="2">MAX(B11:AF11)</f>
        <v>22.5</v>
      </c>
      <c r="AI11" s="11">
        <f t="shared" ref="AI11:AI16" si="3">MIN(B11:AF11)</f>
        <v>21.3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25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>
        <v>11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 t="s">
        <v>295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11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25">
      <c r="A13" s="89" t="s">
        <v>262</v>
      </c>
      <c r="B13" s="102">
        <v>23.3</v>
      </c>
      <c r="C13" s="102">
        <v>23.3</v>
      </c>
      <c r="D13" s="102">
        <v>23.3</v>
      </c>
      <c r="E13" s="102">
        <v>17.899999999999999</v>
      </c>
      <c r="F13" s="102">
        <v>17.899999999999999</v>
      </c>
      <c r="G13" s="102">
        <v>17.899999999999999</v>
      </c>
      <c r="H13" s="102">
        <v>17.899999999999999</v>
      </c>
      <c r="I13" s="102">
        <v>17.899999999999999</v>
      </c>
      <c r="J13" s="102">
        <v>17.899999999999999</v>
      </c>
      <c r="K13" s="102">
        <v>17.899999999999999</v>
      </c>
      <c r="L13" s="102">
        <v>17.899999999999999</v>
      </c>
      <c r="M13" s="102">
        <v>17.899999999999999</v>
      </c>
      <c r="N13" s="102">
        <v>17.899999999999999</v>
      </c>
      <c r="O13" s="102">
        <v>17.899999999999999</v>
      </c>
      <c r="P13" s="102">
        <v>17.899999999999999</v>
      </c>
      <c r="Q13" s="102">
        <v>17.899999999999999</v>
      </c>
      <c r="R13" s="102">
        <v>17.899999999999999</v>
      </c>
      <c r="S13" s="102">
        <v>17.899999999999999</v>
      </c>
      <c r="T13" s="102" t="s">
        <v>296</v>
      </c>
      <c r="U13" s="102">
        <v>17.899999999999999</v>
      </c>
      <c r="V13" s="102">
        <v>17.899999999999999</v>
      </c>
      <c r="W13" s="102">
        <v>17.899999999999999</v>
      </c>
      <c r="X13" s="102">
        <v>17.899999999999999</v>
      </c>
      <c r="Y13" s="102">
        <v>17.899999999999999</v>
      </c>
      <c r="Z13" s="102">
        <v>17.899999999999999</v>
      </c>
      <c r="AA13" s="102">
        <v>17.899999999999999</v>
      </c>
      <c r="AB13" s="102">
        <v>17.899999999999999</v>
      </c>
      <c r="AC13" s="102">
        <v>17.899999999999999</v>
      </c>
      <c r="AD13" s="102">
        <v>17.899999999999999</v>
      </c>
      <c r="AE13" s="102">
        <v>17.899999999999999</v>
      </c>
      <c r="AF13" s="102">
        <v>17.899999999999999</v>
      </c>
      <c r="AG13" s="130">
        <v>54</v>
      </c>
      <c r="AH13" s="12">
        <f t="shared" si="2"/>
        <v>23.3</v>
      </c>
      <c r="AI13" s="11">
        <f t="shared" si="3"/>
        <v>17.899999999999999</v>
      </c>
      <c r="AK13" s="19"/>
      <c r="AL13" s="6" t="str">
        <f ca="1">"Daily Load Curve(Excluding of Export) of Nepal ("&amp;A4&amp;" "&amp;B4&amp;")"</f>
        <v>Daily Load Curve(Excluding of Export) of Nepal (Nepali Date: 2080/10/11)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.75" thickBot="1" x14ac:dyDescent="0.3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 t="s">
        <v>295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13</v>
      </c>
      <c r="AD14" s="102">
        <v>13</v>
      </c>
      <c r="AE14" s="102">
        <v>13</v>
      </c>
      <c r="AF14" s="102">
        <v>13</v>
      </c>
      <c r="AG14" s="140">
        <v>52.4</v>
      </c>
      <c r="AH14" s="12">
        <f t="shared" si="2"/>
        <v>13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.75" thickTop="1" x14ac:dyDescent="0.25">
      <c r="A15" s="89" t="s">
        <v>260</v>
      </c>
      <c r="B15" s="102">
        <v>45.8</v>
      </c>
      <c r="C15" s="102">
        <v>45.8</v>
      </c>
      <c r="D15" s="102">
        <v>45.8</v>
      </c>
      <c r="E15" s="102">
        <v>49.7</v>
      </c>
      <c r="F15" s="102">
        <v>49.7</v>
      </c>
      <c r="G15" s="102">
        <v>49.7</v>
      </c>
      <c r="H15" s="102">
        <v>49.7</v>
      </c>
      <c r="I15" s="102">
        <v>49.7</v>
      </c>
      <c r="J15" s="102">
        <v>50</v>
      </c>
      <c r="K15" s="102">
        <v>50</v>
      </c>
      <c r="L15" s="102">
        <v>50</v>
      </c>
      <c r="M15" s="102">
        <v>50</v>
      </c>
      <c r="N15" s="102">
        <v>50</v>
      </c>
      <c r="O15" s="102">
        <v>50</v>
      </c>
      <c r="P15" s="102">
        <v>50</v>
      </c>
      <c r="Q15" s="102">
        <v>50</v>
      </c>
      <c r="R15" s="102">
        <v>50</v>
      </c>
      <c r="S15" s="102">
        <v>50</v>
      </c>
      <c r="T15" s="102" t="s">
        <v>297</v>
      </c>
      <c r="U15" s="102">
        <v>50</v>
      </c>
      <c r="V15" s="102">
        <v>50</v>
      </c>
      <c r="W15" s="102">
        <v>50</v>
      </c>
      <c r="X15" s="102">
        <v>50</v>
      </c>
      <c r="Y15" s="102">
        <v>50</v>
      </c>
      <c r="Z15" s="102">
        <v>50</v>
      </c>
      <c r="AA15" s="102">
        <v>50</v>
      </c>
      <c r="AB15" s="102">
        <v>50</v>
      </c>
      <c r="AC15" s="102">
        <v>50</v>
      </c>
      <c r="AD15" s="102">
        <v>50</v>
      </c>
      <c r="AE15" s="102">
        <v>50</v>
      </c>
      <c r="AF15" s="102">
        <v>50</v>
      </c>
      <c r="AG15" s="130">
        <v>50</v>
      </c>
      <c r="AH15" s="12">
        <f t="shared" si="2"/>
        <v>50</v>
      </c>
      <c r="AI15" s="11">
        <f t="shared" si="3"/>
        <v>45.8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25">
      <c r="A16" s="89" t="s">
        <v>258</v>
      </c>
      <c r="B16" s="102">
        <v>15.6</v>
      </c>
      <c r="C16" s="102">
        <v>15.6</v>
      </c>
      <c r="D16" s="102">
        <v>15.6</v>
      </c>
      <c r="E16" s="102">
        <v>15.6</v>
      </c>
      <c r="F16" s="102">
        <v>15.6</v>
      </c>
      <c r="G16" s="102">
        <v>15.6</v>
      </c>
      <c r="H16" s="102">
        <v>15.6</v>
      </c>
      <c r="I16" s="102">
        <v>15.6</v>
      </c>
      <c r="J16" s="102">
        <v>15.6</v>
      </c>
      <c r="K16" s="102">
        <v>15.6</v>
      </c>
      <c r="L16" s="102">
        <v>15.6</v>
      </c>
      <c r="M16" s="102">
        <v>15.6</v>
      </c>
      <c r="N16" s="102">
        <v>15.6</v>
      </c>
      <c r="O16" s="102">
        <v>15.6</v>
      </c>
      <c r="P16" s="102">
        <v>15.6</v>
      </c>
      <c r="Q16" s="102">
        <v>15.6</v>
      </c>
      <c r="R16" s="102">
        <v>15.6</v>
      </c>
      <c r="S16" s="102">
        <v>15.6</v>
      </c>
      <c r="T16" s="102" t="s">
        <v>298</v>
      </c>
      <c r="U16" s="102">
        <v>15.6</v>
      </c>
      <c r="V16" s="102">
        <v>15.6</v>
      </c>
      <c r="W16" s="102">
        <v>15.6</v>
      </c>
      <c r="X16" s="102">
        <v>15.6</v>
      </c>
      <c r="Y16" s="102">
        <v>15.6</v>
      </c>
      <c r="Z16" s="102">
        <v>15.6</v>
      </c>
      <c r="AA16" s="102">
        <v>15.6</v>
      </c>
      <c r="AB16" s="102">
        <v>15.6</v>
      </c>
      <c r="AC16" s="102">
        <v>15.6</v>
      </c>
      <c r="AD16" s="102">
        <v>15.6</v>
      </c>
      <c r="AE16" s="102">
        <v>15.6</v>
      </c>
      <c r="AF16" s="102">
        <v>15.6</v>
      </c>
      <c r="AG16" s="130">
        <v>45</v>
      </c>
      <c r="AH16" s="12">
        <f t="shared" si="2"/>
        <v>15.6</v>
      </c>
      <c r="AI16" s="11">
        <f t="shared" si="3"/>
        <v>15.6</v>
      </c>
      <c r="AK16" s="19"/>
      <c r="AL16" s="135" t="s">
        <v>7</v>
      </c>
      <c r="AM16" s="134">
        <f t="shared" ref="AM16:AR16" si="4">B58</f>
        <v>554.20000000000005</v>
      </c>
      <c r="AN16" s="134">
        <f t="shared" si="4"/>
        <v>554.20000000000005</v>
      </c>
      <c r="AO16" s="134">
        <f t="shared" si="4"/>
        <v>554.20000000000005</v>
      </c>
      <c r="AP16" s="134">
        <f t="shared" si="4"/>
        <v>551.59999999999991</v>
      </c>
      <c r="AQ16" s="134">
        <f t="shared" si="4"/>
        <v>552.29999999999995</v>
      </c>
      <c r="AR16" s="134">
        <f t="shared" si="4"/>
        <v>552.29999999999995</v>
      </c>
      <c r="AS16" s="134">
        <f>I58</f>
        <v>552.20000000000005</v>
      </c>
      <c r="AT16" s="134">
        <f>K58</f>
        <v>552.69999999999993</v>
      </c>
      <c r="AU16" s="134">
        <f t="shared" ref="AU16:BD16" si="5">M58</f>
        <v>552.69999999999993</v>
      </c>
      <c r="AV16" s="134">
        <f t="shared" si="5"/>
        <v>552.69999999999993</v>
      </c>
      <c r="AW16" s="134">
        <f t="shared" si="5"/>
        <v>552.69999999999993</v>
      </c>
      <c r="AX16" s="134">
        <f t="shared" si="5"/>
        <v>552.69999999999993</v>
      </c>
      <c r="AY16" s="134">
        <f t="shared" si="5"/>
        <v>552.69999999999993</v>
      </c>
      <c r="AZ16" s="134">
        <f t="shared" si="5"/>
        <v>552.69999999999993</v>
      </c>
      <c r="BA16" s="134">
        <f t="shared" si="5"/>
        <v>552.69999999999993</v>
      </c>
      <c r="BB16" s="134">
        <f t="shared" si="5"/>
        <v>150</v>
      </c>
      <c r="BC16" s="134">
        <f t="shared" si="5"/>
        <v>552.69999999999993</v>
      </c>
      <c r="BD16" s="134">
        <f t="shared" si="5"/>
        <v>552.69999999999993</v>
      </c>
      <c r="BE16" s="133">
        <f>X58</f>
        <v>552.69999999999993</v>
      </c>
      <c r="BF16" s="133">
        <f>Z58</f>
        <v>560.09999999999991</v>
      </c>
      <c r="BG16" s="133">
        <f>AB58</f>
        <v>560.09999999999991</v>
      </c>
      <c r="BH16" s="133">
        <f>AD58</f>
        <v>573.09999999999991</v>
      </c>
      <c r="BI16" s="133">
        <f>AE58</f>
        <v>573.09999999999991</v>
      </c>
      <c r="BJ16" s="133">
        <f>AF58</f>
        <v>573.09999999999991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25">
      <c r="A17" s="89" t="s">
        <v>257</v>
      </c>
      <c r="B17" s="102">
        <v>21</v>
      </c>
      <c r="C17" s="102">
        <v>21</v>
      </c>
      <c r="D17" s="102">
        <v>21</v>
      </c>
      <c r="E17" s="102">
        <v>21</v>
      </c>
      <c r="F17" s="102">
        <v>21</v>
      </c>
      <c r="G17" s="102">
        <v>21</v>
      </c>
      <c r="H17" s="102">
        <v>21</v>
      </c>
      <c r="I17" s="102">
        <v>21</v>
      </c>
      <c r="J17" s="102">
        <v>21</v>
      </c>
      <c r="K17" s="102">
        <v>21</v>
      </c>
      <c r="L17" s="102">
        <v>21</v>
      </c>
      <c r="M17" s="102">
        <v>21</v>
      </c>
      <c r="N17" s="102">
        <v>21</v>
      </c>
      <c r="O17" s="102">
        <v>21</v>
      </c>
      <c r="P17" s="102">
        <v>21</v>
      </c>
      <c r="Q17" s="102">
        <v>21</v>
      </c>
      <c r="R17" s="102">
        <v>21</v>
      </c>
      <c r="S17" s="102">
        <v>21</v>
      </c>
      <c r="T17" s="102" t="s">
        <v>299</v>
      </c>
      <c r="U17" s="102">
        <v>21</v>
      </c>
      <c r="V17" s="102">
        <v>21</v>
      </c>
      <c r="W17" s="102">
        <v>21</v>
      </c>
      <c r="X17" s="102">
        <v>21</v>
      </c>
      <c r="Y17" s="102">
        <v>21</v>
      </c>
      <c r="Z17" s="102">
        <v>21</v>
      </c>
      <c r="AA17" s="102">
        <v>21</v>
      </c>
      <c r="AB17" s="102">
        <v>21</v>
      </c>
      <c r="AC17" s="102">
        <v>21</v>
      </c>
      <c r="AD17" s="102">
        <v>21</v>
      </c>
      <c r="AE17" s="102">
        <v>21</v>
      </c>
      <c r="AF17" s="102">
        <v>21</v>
      </c>
      <c r="AG17" s="130">
        <v>44</v>
      </c>
      <c r="AH17" s="12">
        <f>MAX(B17:AG17)</f>
        <v>44</v>
      </c>
      <c r="AI17" s="11">
        <f>MIN(B17:AG17)</f>
        <v>21</v>
      </c>
      <c r="AK17" s="19"/>
      <c r="AL17" s="135" t="s">
        <v>256</v>
      </c>
      <c r="AM17" s="134">
        <f t="shared" ref="AM17:AR17" si="6">B62</f>
        <v>149.5</v>
      </c>
      <c r="AN17" s="134">
        <f t="shared" si="6"/>
        <v>149.5</v>
      </c>
      <c r="AO17" s="134">
        <f t="shared" si="6"/>
        <v>149.5</v>
      </c>
      <c r="AP17" s="134">
        <f t="shared" si="6"/>
        <v>149.5</v>
      </c>
      <c r="AQ17" s="134">
        <f t="shared" si="6"/>
        <v>142.30000000000001</v>
      </c>
      <c r="AR17" s="134">
        <f t="shared" si="6"/>
        <v>152</v>
      </c>
      <c r="AS17" s="134">
        <f>I62</f>
        <v>152.30000000000001</v>
      </c>
      <c r="AT17" s="134">
        <f>K62</f>
        <v>41.6</v>
      </c>
      <c r="AU17" s="134">
        <f t="shared" ref="AU17:BD17" si="7">M62</f>
        <v>41.6</v>
      </c>
      <c r="AV17" s="134">
        <f t="shared" si="7"/>
        <v>41.6</v>
      </c>
      <c r="AW17" s="134">
        <f t="shared" si="7"/>
        <v>41.6</v>
      </c>
      <c r="AX17" s="134">
        <f t="shared" si="7"/>
        <v>41.6</v>
      </c>
      <c r="AY17" s="134">
        <f t="shared" si="7"/>
        <v>41.6</v>
      </c>
      <c r="AZ17" s="134">
        <f t="shared" si="7"/>
        <v>41.6</v>
      </c>
      <c r="BA17" s="134">
        <f t="shared" si="7"/>
        <v>38.799999999999997</v>
      </c>
      <c r="BB17" s="134">
        <f t="shared" si="7"/>
        <v>0</v>
      </c>
      <c r="BC17" s="134">
        <f t="shared" si="7"/>
        <v>38.799999999999997</v>
      </c>
      <c r="BD17" s="134">
        <f t="shared" si="7"/>
        <v>35.200000000000003</v>
      </c>
      <c r="BE17" s="133">
        <f>X62</f>
        <v>35.200000000000003</v>
      </c>
      <c r="BF17" s="133">
        <f>Z62</f>
        <v>475.3</v>
      </c>
      <c r="BG17" s="133">
        <f>AB62</f>
        <v>415.3</v>
      </c>
      <c r="BH17" s="133">
        <f>AD62</f>
        <v>385.3</v>
      </c>
      <c r="BI17" s="133">
        <f>AE62</f>
        <v>276.60000000000002</v>
      </c>
      <c r="BJ17" s="133">
        <f>AF62</f>
        <v>206.5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25">
      <c r="A18" s="89" t="s">
        <v>255</v>
      </c>
      <c r="B18" s="102">
        <v>11</v>
      </c>
      <c r="C18" s="102">
        <v>11</v>
      </c>
      <c r="D18" s="102">
        <v>11</v>
      </c>
      <c r="E18" s="102">
        <v>11.3</v>
      </c>
      <c r="F18" s="102">
        <v>11.3</v>
      </c>
      <c r="G18" s="102">
        <v>11.3</v>
      </c>
      <c r="H18" s="102">
        <v>11.3</v>
      </c>
      <c r="I18" s="102">
        <v>11.3</v>
      </c>
      <c r="J18" s="102">
        <v>11.3</v>
      </c>
      <c r="K18" s="102">
        <v>11.3</v>
      </c>
      <c r="L18" s="102">
        <v>11.3</v>
      </c>
      <c r="M18" s="102">
        <v>11.3</v>
      </c>
      <c r="N18" s="102">
        <v>11.3</v>
      </c>
      <c r="O18" s="102">
        <v>11.3</v>
      </c>
      <c r="P18" s="102">
        <v>11.3</v>
      </c>
      <c r="Q18" s="102">
        <v>11.3</v>
      </c>
      <c r="R18" s="102">
        <v>11.3</v>
      </c>
      <c r="S18" s="102">
        <v>11.3</v>
      </c>
      <c r="T18" s="102"/>
      <c r="U18" s="102">
        <v>11.3</v>
      </c>
      <c r="V18" s="102">
        <v>11.3</v>
      </c>
      <c r="W18" s="102">
        <v>11.3</v>
      </c>
      <c r="X18" s="102">
        <v>11.3</v>
      </c>
      <c r="Y18" s="102">
        <v>14</v>
      </c>
      <c r="Z18" s="102">
        <v>14</v>
      </c>
      <c r="AA18" s="102">
        <v>14</v>
      </c>
      <c r="AB18" s="102">
        <v>14</v>
      </c>
      <c r="AC18" s="102">
        <v>14</v>
      </c>
      <c r="AD18" s="102">
        <v>14</v>
      </c>
      <c r="AE18" s="102">
        <v>14</v>
      </c>
      <c r="AF18" s="102">
        <v>14</v>
      </c>
      <c r="AG18" s="130">
        <v>42</v>
      </c>
      <c r="AH18" s="12">
        <f t="shared" ref="AH18:AH81" si="8">MAX(B18:AF18)</f>
        <v>14</v>
      </c>
      <c r="AI18" s="11">
        <f t="shared" ref="AI18:AI81" si="9">MIN(B18:AF18)</f>
        <v>11</v>
      </c>
      <c r="AK18" s="19"/>
      <c r="AL18" s="135" t="s">
        <v>254</v>
      </c>
      <c r="AM18" s="134">
        <f t="shared" ref="AM18:AR18" si="10">B76</f>
        <v>287.94</v>
      </c>
      <c r="AN18" s="134">
        <f t="shared" si="10"/>
        <v>287.94</v>
      </c>
      <c r="AO18" s="134">
        <f t="shared" si="10"/>
        <v>287.94</v>
      </c>
      <c r="AP18" s="134">
        <f t="shared" si="10"/>
        <v>296.64000000000004</v>
      </c>
      <c r="AQ18" s="134">
        <f t="shared" si="10"/>
        <v>284.94</v>
      </c>
      <c r="AR18" s="134">
        <f t="shared" si="10"/>
        <v>228.04000000000002</v>
      </c>
      <c r="AS18" s="134">
        <f>I76</f>
        <v>317.53999999999996</v>
      </c>
      <c r="AT18" s="134">
        <f>K76</f>
        <v>314.64</v>
      </c>
      <c r="AU18" s="134">
        <f t="shared" ref="AU18:BD18" si="11">M76</f>
        <v>260.44</v>
      </c>
      <c r="AV18" s="134">
        <f t="shared" si="11"/>
        <v>239.03999999999996</v>
      </c>
      <c r="AW18" s="134">
        <f t="shared" si="11"/>
        <v>268.14</v>
      </c>
      <c r="AX18" s="134">
        <f t="shared" si="11"/>
        <v>270.24000000000007</v>
      </c>
      <c r="AY18" s="134">
        <f t="shared" si="11"/>
        <v>241.33999999999997</v>
      </c>
      <c r="AZ18" s="134">
        <f t="shared" si="11"/>
        <v>246.84</v>
      </c>
      <c r="BA18" s="134">
        <f t="shared" si="11"/>
        <v>234.33999999999997</v>
      </c>
      <c r="BB18" s="134">
        <f t="shared" si="11"/>
        <v>3.54</v>
      </c>
      <c r="BC18" s="134">
        <f t="shared" si="11"/>
        <v>261.24</v>
      </c>
      <c r="BD18" s="134">
        <f t="shared" si="11"/>
        <v>210.94</v>
      </c>
      <c r="BE18" s="133">
        <f>X76</f>
        <v>188.84</v>
      </c>
      <c r="BF18" s="133">
        <f>Z76</f>
        <v>393.7</v>
      </c>
      <c r="BG18" s="133">
        <f>AB76</f>
        <v>362.54</v>
      </c>
      <c r="BH18" s="133">
        <f>AD76</f>
        <v>313.74</v>
      </c>
      <c r="BI18" s="133">
        <f>AE76</f>
        <v>297.94</v>
      </c>
      <c r="BJ18" s="133">
        <f>AF76</f>
        <v>288.24000000000007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25">
      <c r="A19" s="89" t="s">
        <v>253</v>
      </c>
      <c r="B19" s="102">
        <v>18.5</v>
      </c>
      <c r="C19" s="102">
        <v>18.5</v>
      </c>
      <c r="D19" s="102">
        <v>18.5</v>
      </c>
      <c r="E19" s="102">
        <v>18</v>
      </c>
      <c r="F19" s="102">
        <v>18</v>
      </c>
      <c r="G19" s="102">
        <v>18</v>
      </c>
      <c r="H19" s="102">
        <v>18</v>
      </c>
      <c r="I19" s="102">
        <v>18</v>
      </c>
      <c r="J19" s="102">
        <v>18</v>
      </c>
      <c r="K19" s="102">
        <v>18</v>
      </c>
      <c r="L19" s="102">
        <v>18</v>
      </c>
      <c r="M19" s="102">
        <v>18</v>
      </c>
      <c r="N19" s="102">
        <v>18</v>
      </c>
      <c r="O19" s="102">
        <v>18</v>
      </c>
      <c r="P19" s="102">
        <v>18</v>
      </c>
      <c r="Q19" s="102">
        <v>18</v>
      </c>
      <c r="R19" s="102">
        <v>18</v>
      </c>
      <c r="S19" s="102">
        <v>18</v>
      </c>
      <c r="T19" s="102" t="s">
        <v>300</v>
      </c>
      <c r="U19" s="102">
        <v>18</v>
      </c>
      <c r="V19" s="102">
        <v>18</v>
      </c>
      <c r="W19" s="102">
        <v>18</v>
      </c>
      <c r="X19" s="102">
        <v>18</v>
      </c>
      <c r="Y19" s="102">
        <v>18</v>
      </c>
      <c r="Z19" s="102">
        <v>18</v>
      </c>
      <c r="AA19" s="102">
        <v>18</v>
      </c>
      <c r="AB19" s="102">
        <v>18</v>
      </c>
      <c r="AC19" s="102">
        <v>18</v>
      </c>
      <c r="AD19" s="102">
        <v>18</v>
      </c>
      <c r="AE19" s="102">
        <v>18</v>
      </c>
      <c r="AF19" s="102">
        <v>18</v>
      </c>
      <c r="AG19" s="130">
        <v>38.46</v>
      </c>
      <c r="AH19" s="12">
        <f t="shared" si="8"/>
        <v>18.5</v>
      </c>
      <c r="AI19" s="11">
        <f t="shared" si="9"/>
        <v>18</v>
      </c>
      <c r="AK19" s="19"/>
      <c r="AL19" s="135" t="s">
        <v>252</v>
      </c>
      <c r="AM19" s="134">
        <f t="shared" ref="AM19:AR19" si="12">B92</f>
        <v>193.8</v>
      </c>
      <c r="AN19" s="134">
        <f t="shared" si="12"/>
        <v>198</v>
      </c>
      <c r="AO19" s="134">
        <f t="shared" si="12"/>
        <v>152.19999999999999</v>
      </c>
      <c r="AP19" s="134">
        <f t="shared" si="12"/>
        <v>133.30000000000001</v>
      </c>
      <c r="AQ19" s="134">
        <f t="shared" si="12"/>
        <v>133.4</v>
      </c>
      <c r="AR19" s="134">
        <f t="shared" si="12"/>
        <v>204</v>
      </c>
      <c r="AS19" s="134">
        <f>I92</f>
        <v>253.7</v>
      </c>
      <c r="AT19" s="134">
        <f>K92</f>
        <v>618.6</v>
      </c>
      <c r="AU19" s="134">
        <f t="shared" ref="AU19:BD19" si="13">M92</f>
        <v>688</v>
      </c>
      <c r="AV19" s="134">
        <f t="shared" si="13"/>
        <v>720.1</v>
      </c>
      <c r="AW19" s="134">
        <f t="shared" si="13"/>
        <v>746.5</v>
      </c>
      <c r="AX19" s="134">
        <f t="shared" si="13"/>
        <v>767.2</v>
      </c>
      <c r="AY19" s="134">
        <f t="shared" si="13"/>
        <v>797.9</v>
      </c>
      <c r="AZ19" s="134">
        <f t="shared" si="13"/>
        <v>744.19999999999993</v>
      </c>
      <c r="BA19" s="134">
        <f t="shared" si="13"/>
        <v>714.80000000000007</v>
      </c>
      <c r="BB19" s="134">
        <f t="shared" si="13"/>
        <v>0</v>
      </c>
      <c r="BC19" s="134">
        <f t="shared" si="13"/>
        <v>576.1</v>
      </c>
      <c r="BD19" s="134">
        <f t="shared" si="13"/>
        <v>696.3</v>
      </c>
      <c r="BE19" s="133">
        <f>X92</f>
        <v>665.6</v>
      </c>
      <c r="BF19" s="133">
        <f>Z92</f>
        <v>185.2</v>
      </c>
      <c r="BG19" s="133">
        <f>AB92</f>
        <v>224.9</v>
      </c>
      <c r="BH19" s="133">
        <f>AD92</f>
        <v>164</v>
      </c>
      <c r="BI19" s="133">
        <f>AE92</f>
        <v>131.20000000000002</v>
      </c>
      <c r="BJ19" s="133">
        <f>AF92</f>
        <v>105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25">
      <c r="A20" s="89" t="s">
        <v>251</v>
      </c>
      <c r="B20" s="102">
        <v>18</v>
      </c>
      <c r="C20" s="102">
        <v>18</v>
      </c>
      <c r="D20" s="102">
        <v>18</v>
      </c>
      <c r="E20" s="102">
        <v>18</v>
      </c>
      <c r="F20" s="102">
        <v>18</v>
      </c>
      <c r="G20" s="102">
        <v>18</v>
      </c>
      <c r="H20" s="102">
        <v>18</v>
      </c>
      <c r="I20" s="102">
        <v>18</v>
      </c>
      <c r="J20" s="102">
        <v>18</v>
      </c>
      <c r="K20" s="102">
        <v>18</v>
      </c>
      <c r="L20" s="102">
        <v>18</v>
      </c>
      <c r="M20" s="102">
        <v>18</v>
      </c>
      <c r="N20" s="102">
        <v>18</v>
      </c>
      <c r="O20" s="102">
        <v>18</v>
      </c>
      <c r="P20" s="102">
        <v>18</v>
      </c>
      <c r="Q20" s="102">
        <v>18</v>
      </c>
      <c r="R20" s="102">
        <v>18</v>
      </c>
      <c r="S20" s="102">
        <v>18</v>
      </c>
      <c r="T20" s="102" t="s">
        <v>301</v>
      </c>
      <c r="U20" s="102">
        <v>18</v>
      </c>
      <c r="V20" s="102">
        <v>18</v>
      </c>
      <c r="W20" s="102">
        <v>18</v>
      </c>
      <c r="X20" s="102">
        <v>18</v>
      </c>
      <c r="Y20" s="102">
        <v>18</v>
      </c>
      <c r="Z20" s="102">
        <v>18</v>
      </c>
      <c r="AA20" s="102">
        <v>18</v>
      </c>
      <c r="AB20" s="102">
        <v>18</v>
      </c>
      <c r="AC20" s="102">
        <v>18</v>
      </c>
      <c r="AD20" s="102">
        <v>18</v>
      </c>
      <c r="AE20" s="102">
        <v>18</v>
      </c>
      <c r="AF20" s="102">
        <v>18</v>
      </c>
      <c r="AG20" s="130">
        <v>38.46</v>
      </c>
      <c r="AH20" s="12">
        <f t="shared" si="8"/>
        <v>18</v>
      </c>
      <c r="AI20" s="11">
        <f t="shared" si="9"/>
        <v>18</v>
      </c>
      <c r="AK20" s="19"/>
      <c r="AL20" s="135" t="s">
        <v>250</v>
      </c>
      <c r="AM20" s="134">
        <f t="shared" ref="AM20:AR20" si="14">B80</f>
        <v>97.7</v>
      </c>
      <c r="AN20" s="134">
        <f t="shared" si="14"/>
        <v>97.7</v>
      </c>
      <c r="AO20" s="134">
        <f t="shared" si="14"/>
        <v>97.7</v>
      </c>
      <c r="AP20" s="134">
        <f t="shared" si="14"/>
        <v>97.8</v>
      </c>
      <c r="AQ20" s="134">
        <f t="shared" si="14"/>
        <v>98.3</v>
      </c>
      <c r="AR20" s="134">
        <f t="shared" si="14"/>
        <v>97</v>
      </c>
      <c r="AS20" s="134">
        <f>I80</f>
        <v>97</v>
      </c>
      <c r="AT20" s="134">
        <f>K80</f>
        <v>86.9</v>
      </c>
      <c r="AU20" s="134">
        <f t="shared" ref="AU20:BD20" si="15">M80</f>
        <v>97.2</v>
      </c>
      <c r="AV20" s="134">
        <f t="shared" si="15"/>
        <v>64.5</v>
      </c>
      <c r="AW20" s="134">
        <f t="shared" si="15"/>
        <v>96.699999999999989</v>
      </c>
      <c r="AX20" s="134">
        <f t="shared" si="15"/>
        <v>96.699999999999989</v>
      </c>
      <c r="AY20" s="134">
        <f t="shared" si="15"/>
        <v>96.699999999999989</v>
      </c>
      <c r="AZ20" s="134">
        <f t="shared" si="15"/>
        <v>96.699999999999989</v>
      </c>
      <c r="BA20" s="134">
        <f t="shared" si="15"/>
        <v>54.6</v>
      </c>
      <c r="BB20" s="134">
        <f t="shared" si="15"/>
        <v>0</v>
      </c>
      <c r="BC20" s="134">
        <f t="shared" si="15"/>
        <v>97.3</v>
      </c>
      <c r="BD20" s="134">
        <f t="shared" si="15"/>
        <v>88.8</v>
      </c>
      <c r="BE20" s="133">
        <f>X80</f>
        <v>77.500000000000014</v>
      </c>
      <c r="BF20" s="133">
        <f>Z80</f>
        <v>98.699999999999989</v>
      </c>
      <c r="BG20" s="133">
        <f>AB80</f>
        <v>98.699999999999989</v>
      </c>
      <c r="BH20" s="133">
        <f>AD80</f>
        <v>98.699999999999989</v>
      </c>
      <c r="BI20" s="133">
        <f>AE80</f>
        <v>98.699999999999989</v>
      </c>
      <c r="BJ20" s="133">
        <f>AF80</f>
        <v>98.699999999999989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25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>
        <v>11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 t="s">
        <v>295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11</v>
      </c>
      <c r="AG21" s="130">
        <v>36</v>
      </c>
      <c r="AH21" s="12">
        <f t="shared" si="8"/>
        <v>11</v>
      </c>
      <c r="AI21" s="11">
        <f t="shared" si="9"/>
        <v>11</v>
      </c>
      <c r="AK21" s="19"/>
      <c r="AL21" s="135" t="s">
        <v>248</v>
      </c>
      <c r="AM21" s="134">
        <f t="shared" ref="AM21:AR21" si="16">B98</f>
        <v>300</v>
      </c>
      <c r="AN21" s="134">
        <f t="shared" si="16"/>
        <v>300</v>
      </c>
      <c r="AO21" s="134">
        <f t="shared" si="16"/>
        <v>300</v>
      </c>
      <c r="AP21" s="134">
        <f t="shared" si="16"/>
        <v>300</v>
      </c>
      <c r="AQ21" s="134">
        <f t="shared" si="16"/>
        <v>300</v>
      </c>
      <c r="AR21" s="134">
        <f t="shared" si="16"/>
        <v>300</v>
      </c>
      <c r="AS21" s="134">
        <f>I98</f>
        <v>250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250</v>
      </c>
      <c r="BG21" s="133">
        <f>AB98</f>
        <v>250</v>
      </c>
      <c r="BH21" s="133">
        <f>AD98</f>
        <v>300</v>
      </c>
      <c r="BI21" s="133">
        <f>AE98</f>
        <v>340</v>
      </c>
      <c r="BJ21" s="133">
        <f>AF98</f>
        <v>340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25">
      <c r="A22" s="89" t="s">
        <v>247</v>
      </c>
      <c r="B22" s="102">
        <v>9.1</v>
      </c>
      <c r="C22" s="102">
        <v>9.1</v>
      </c>
      <c r="D22" s="102">
        <v>9.1</v>
      </c>
      <c r="E22" s="102">
        <v>9.1</v>
      </c>
      <c r="F22" s="102">
        <v>9.1</v>
      </c>
      <c r="G22" s="102">
        <v>9.1</v>
      </c>
      <c r="H22" s="102">
        <v>9.1</v>
      </c>
      <c r="I22" s="102">
        <v>9.1</v>
      </c>
      <c r="J22" s="102">
        <v>9.1</v>
      </c>
      <c r="K22" s="102">
        <v>9.1</v>
      </c>
      <c r="L22" s="102">
        <v>9.1</v>
      </c>
      <c r="M22" s="102">
        <v>9.1</v>
      </c>
      <c r="N22" s="102">
        <v>9.1</v>
      </c>
      <c r="O22" s="102">
        <v>9.1</v>
      </c>
      <c r="P22" s="102">
        <v>9.1</v>
      </c>
      <c r="Q22" s="102">
        <v>9.1</v>
      </c>
      <c r="R22" s="102">
        <v>9.1</v>
      </c>
      <c r="S22" s="102">
        <v>9.1</v>
      </c>
      <c r="T22" s="102" t="s">
        <v>297</v>
      </c>
      <c r="U22" s="102">
        <v>9.1</v>
      </c>
      <c r="V22" s="102">
        <v>9.1</v>
      </c>
      <c r="W22" s="102">
        <v>9.1</v>
      </c>
      <c r="X22" s="102">
        <v>9.1</v>
      </c>
      <c r="Y22" s="102">
        <v>9.1</v>
      </c>
      <c r="Z22" s="102">
        <v>9.1</v>
      </c>
      <c r="AA22" s="102">
        <v>9.1</v>
      </c>
      <c r="AB22" s="102">
        <v>9.1</v>
      </c>
      <c r="AC22" s="102">
        <v>9.1</v>
      </c>
      <c r="AD22" s="102">
        <v>9.1</v>
      </c>
      <c r="AE22" s="102">
        <v>9.1</v>
      </c>
      <c r="AF22" s="102">
        <v>9.1</v>
      </c>
      <c r="AG22" s="88">
        <v>30</v>
      </c>
      <c r="AH22" s="12">
        <f t="shared" si="8"/>
        <v>9.1</v>
      </c>
      <c r="AI22" s="11">
        <f t="shared" si="9"/>
        <v>9.1</v>
      </c>
      <c r="AK22" s="19"/>
      <c r="AL22" s="132" t="s">
        <v>246</v>
      </c>
      <c r="AM22" s="131">
        <f t="shared" ref="AM22:BJ22" si="18">SUM(AM16:AM21)</f>
        <v>1583.14</v>
      </c>
      <c r="AN22" s="131">
        <f t="shared" si="18"/>
        <v>1587.3400000000001</v>
      </c>
      <c r="AO22" s="131">
        <f t="shared" si="18"/>
        <v>1541.5400000000002</v>
      </c>
      <c r="AP22" s="131">
        <f t="shared" si="18"/>
        <v>1528.84</v>
      </c>
      <c r="AQ22" s="131">
        <f t="shared" si="18"/>
        <v>1511.24</v>
      </c>
      <c r="AR22" s="131">
        <f t="shared" si="18"/>
        <v>1533.34</v>
      </c>
      <c r="AS22" s="131">
        <f t="shared" si="18"/>
        <v>1622.74</v>
      </c>
      <c r="AT22" s="131">
        <f t="shared" si="18"/>
        <v>1614.44</v>
      </c>
      <c r="AU22" s="131">
        <f t="shared" si="18"/>
        <v>1639.94</v>
      </c>
      <c r="AV22" s="131">
        <f t="shared" si="18"/>
        <v>1617.94</v>
      </c>
      <c r="AW22" s="131">
        <f t="shared" si="18"/>
        <v>1705.64</v>
      </c>
      <c r="AX22" s="131">
        <f t="shared" si="18"/>
        <v>1728.44</v>
      </c>
      <c r="AY22" s="131">
        <f t="shared" si="18"/>
        <v>1730.24</v>
      </c>
      <c r="AZ22" s="131">
        <f t="shared" si="18"/>
        <v>1682.04</v>
      </c>
      <c r="BA22" s="131">
        <f t="shared" si="18"/>
        <v>1595.2399999999998</v>
      </c>
      <c r="BB22" s="131">
        <f t="shared" si="18"/>
        <v>153.54</v>
      </c>
      <c r="BC22" s="131">
        <f t="shared" si="18"/>
        <v>1526.1399999999999</v>
      </c>
      <c r="BD22" s="131">
        <f t="shared" si="18"/>
        <v>1583.9399999999998</v>
      </c>
      <c r="BE22" s="131">
        <f t="shared" si="18"/>
        <v>1519.8400000000001</v>
      </c>
      <c r="BF22" s="131">
        <f t="shared" si="18"/>
        <v>1963</v>
      </c>
      <c r="BG22" s="131">
        <f t="shared" si="18"/>
        <v>1911.54</v>
      </c>
      <c r="BH22" s="131">
        <f t="shared" si="18"/>
        <v>1834.84</v>
      </c>
      <c r="BI22" s="131">
        <f t="shared" si="18"/>
        <v>1717.54</v>
      </c>
      <c r="BJ22" s="131">
        <f t="shared" si="18"/>
        <v>1611.54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25">
      <c r="A23" s="89" t="s">
        <v>245</v>
      </c>
      <c r="B23" s="102">
        <v>9</v>
      </c>
      <c r="C23" s="102">
        <v>9</v>
      </c>
      <c r="D23" s="102">
        <v>9</v>
      </c>
      <c r="E23" s="102">
        <v>9</v>
      </c>
      <c r="F23" s="102">
        <v>9</v>
      </c>
      <c r="G23" s="102">
        <v>9</v>
      </c>
      <c r="H23" s="102">
        <v>9</v>
      </c>
      <c r="I23" s="102">
        <v>9</v>
      </c>
      <c r="J23" s="102">
        <v>9</v>
      </c>
      <c r="K23" s="102">
        <v>9</v>
      </c>
      <c r="L23" s="102">
        <v>9</v>
      </c>
      <c r="M23" s="102">
        <v>9</v>
      </c>
      <c r="N23" s="102">
        <v>9</v>
      </c>
      <c r="O23" s="102">
        <v>9</v>
      </c>
      <c r="P23" s="102">
        <v>9</v>
      </c>
      <c r="Q23" s="102">
        <v>9</v>
      </c>
      <c r="R23" s="102">
        <v>9</v>
      </c>
      <c r="S23" s="102">
        <v>9</v>
      </c>
      <c r="T23" s="102" t="s">
        <v>302</v>
      </c>
      <c r="U23" s="102">
        <v>9</v>
      </c>
      <c r="V23" s="102">
        <v>9</v>
      </c>
      <c r="W23" s="102">
        <v>9</v>
      </c>
      <c r="X23" s="102">
        <v>9</v>
      </c>
      <c r="Y23" s="102">
        <v>9</v>
      </c>
      <c r="Z23" s="102">
        <v>9</v>
      </c>
      <c r="AA23" s="102">
        <v>9</v>
      </c>
      <c r="AB23" s="102">
        <v>9</v>
      </c>
      <c r="AC23" s="102">
        <v>9</v>
      </c>
      <c r="AD23" s="102">
        <v>9</v>
      </c>
      <c r="AE23" s="102">
        <v>9</v>
      </c>
      <c r="AF23" s="102">
        <v>9</v>
      </c>
      <c r="AG23" s="130">
        <v>24.2</v>
      </c>
      <c r="AH23" s="12">
        <f t="shared" si="8"/>
        <v>9</v>
      </c>
      <c r="AI23" s="11">
        <f t="shared" si="9"/>
        <v>9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25">
      <c r="A24" s="89" t="s">
        <v>244</v>
      </c>
      <c r="B24" s="102">
        <v>8.3000000000000007</v>
      </c>
      <c r="C24" s="102">
        <v>8.3000000000000007</v>
      </c>
      <c r="D24" s="102">
        <v>8.3000000000000007</v>
      </c>
      <c r="E24" s="102">
        <v>8.3000000000000007</v>
      </c>
      <c r="F24" s="102">
        <v>8.3000000000000007</v>
      </c>
      <c r="G24" s="102">
        <v>8.3000000000000007</v>
      </c>
      <c r="H24" s="102">
        <v>8.3000000000000007</v>
      </c>
      <c r="I24" s="102">
        <v>8.3000000000000007</v>
      </c>
      <c r="J24" s="102">
        <v>8.3000000000000007</v>
      </c>
      <c r="K24" s="102">
        <v>8.3000000000000007</v>
      </c>
      <c r="L24" s="102">
        <v>8.3000000000000007</v>
      </c>
      <c r="M24" s="102">
        <v>8.3000000000000007</v>
      </c>
      <c r="N24" s="102">
        <v>8.3000000000000007</v>
      </c>
      <c r="O24" s="102">
        <v>8.3000000000000007</v>
      </c>
      <c r="P24" s="102">
        <v>8.3000000000000007</v>
      </c>
      <c r="Q24" s="102">
        <v>8.3000000000000007</v>
      </c>
      <c r="R24" s="102">
        <v>8.3000000000000007</v>
      </c>
      <c r="S24" s="102">
        <v>8.3000000000000007</v>
      </c>
      <c r="T24" s="102" t="s">
        <v>303</v>
      </c>
      <c r="U24" s="102">
        <v>8.3000000000000007</v>
      </c>
      <c r="V24" s="102">
        <v>8.3000000000000007</v>
      </c>
      <c r="W24" s="102">
        <v>8.3000000000000007</v>
      </c>
      <c r="X24" s="102">
        <v>8.3000000000000007</v>
      </c>
      <c r="Y24" s="102">
        <v>8.3000000000000007</v>
      </c>
      <c r="Z24" s="102">
        <v>8.3000000000000007</v>
      </c>
      <c r="AA24" s="102">
        <v>8.3000000000000007</v>
      </c>
      <c r="AB24" s="102">
        <v>8.3000000000000007</v>
      </c>
      <c r="AC24" s="102">
        <v>8.3000000000000007</v>
      </c>
      <c r="AD24" s="102">
        <v>8.3000000000000007</v>
      </c>
      <c r="AE24" s="102">
        <v>8.3000000000000007</v>
      </c>
      <c r="AF24" s="102">
        <v>8.3000000000000007</v>
      </c>
      <c r="AG24" s="130">
        <v>28</v>
      </c>
      <c r="AH24" s="12">
        <f t="shared" si="8"/>
        <v>8.3000000000000007</v>
      </c>
      <c r="AI24" s="11">
        <f t="shared" si="9"/>
        <v>8.3000000000000007</v>
      </c>
      <c r="AK24" s="19"/>
      <c r="AL24" s="132" t="s">
        <v>243</v>
      </c>
      <c r="AM24" s="131">
        <f t="shared" ref="AM24:BJ24" si="21">AM22+AM23</f>
        <v>1583.14</v>
      </c>
      <c r="AN24" s="131">
        <f t="shared" si="21"/>
        <v>1587.3400000000001</v>
      </c>
      <c r="AO24" s="131">
        <f t="shared" si="21"/>
        <v>1541.5400000000002</v>
      </c>
      <c r="AP24" s="131">
        <f t="shared" si="21"/>
        <v>1528.84</v>
      </c>
      <c r="AQ24" s="131">
        <f t="shared" si="21"/>
        <v>1511.24</v>
      </c>
      <c r="AR24" s="131">
        <f t="shared" si="21"/>
        <v>1533.34</v>
      </c>
      <c r="AS24" s="131">
        <f t="shared" si="21"/>
        <v>1622.74</v>
      </c>
      <c r="AT24" s="131">
        <f t="shared" si="21"/>
        <v>1614.44</v>
      </c>
      <c r="AU24" s="131">
        <f t="shared" si="21"/>
        <v>1639.94</v>
      </c>
      <c r="AV24" s="131">
        <f t="shared" si="21"/>
        <v>1617.94</v>
      </c>
      <c r="AW24" s="131">
        <f t="shared" si="21"/>
        <v>1705.64</v>
      </c>
      <c r="AX24" s="131">
        <f t="shared" si="21"/>
        <v>1728.44</v>
      </c>
      <c r="AY24" s="131">
        <f t="shared" si="21"/>
        <v>1730.24</v>
      </c>
      <c r="AZ24" s="131">
        <f t="shared" si="21"/>
        <v>1682.04</v>
      </c>
      <c r="BA24" s="131">
        <f t="shared" si="21"/>
        <v>1595.2399999999998</v>
      </c>
      <c r="BB24" s="131">
        <f t="shared" si="21"/>
        <v>153.54</v>
      </c>
      <c r="BC24" s="131">
        <f t="shared" si="21"/>
        <v>1526.1399999999999</v>
      </c>
      <c r="BD24" s="131">
        <f t="shared" si="21"/>
        <v>1583.9399999999998</v>
      </c>
      <c r="BE24" s="131">
        <f t="shared" si="21"/>
        <v>1519.8400000000001</v>
      </c>
      <c r="BF24" s="131">
        <f t="shared" si="21"/>
        <v>1963</v>
      </c>
      <c r="BG24" s="131">
        <f t="shared" si="21"/>
        <v>1911.54</v>
      </c>
      <c r="BH24" s="131">
        <f t="shared" si="21"/>
        <v>1834.84</v>
      </c>
      <c r="BI24" s="131">
        <f t="shared" si="21"/>
        <v>1717.54</v>
      </c>
      <c r="BJ24" s="131">
        <f t="shared" si="21"/>
        <v>1611.54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25">
      <c r="A25" s="89" t="s">
        <v>242</v>
      </c>
      <c r="B25" s="102">
        <v>7</v>
      </c>
      <c r="C25" s="102">
        <v>7</v>
      </c>
      <c r="D25" s="102">
        <v>7</v>
      </c>
      <c r="E25" s="102">
        <v>7</v>
      </c>
      <c r="F25" s="102">
        <v>7</v>
      </c>
      <c r="G25" s="102">
        <v>7</v>
      </c>
      <c r="H25" s="102">
        <v>7</v>
      </c>
      <c r="I25" s="102">
        <v>7</v>
      </c>
      <c r="J25" s="102">
        <v>8.6999999999999993</v>
      </c>
      <c r="K25" s="102">
        <v>8.6999999999999993</v>
      </c>
      <c r="L25" s="102">
        <v>8.6999999999999993</v>
      </c>
      <c r="M25" s="102">
        <v>8.6999999999999993</v>
      </c>
      <c r="N25" s="102">
        <v>8.6999999999999993</v>
      </c>
      <c r="O25" s="102">
        <v>8.6999999999999993</v>
      </c>
      <c r="P25" s="102">
        <v>8.6999999999999993</v>
      </c>
      <c r="Q25" s="102">
        <v>8.6999999999999993</v>
      </c>
      <c r="R25" s="102">
        <v>8.6999999999999993</v>
      </c>
      <c r="S25" s="102">
        <v>8.6999999999999993</v>
      </c>
      <c r="T25" s="102" t="s">
        <v>304</v>
      </c>
      <c r="U25" s="102">
        <v>8.6999999999999993</v>
      </c>
      <c r="V25" s="102">
        <v>8.6999999999999993</v>
      </c>
      <c r="W25" s="102">
        <v>8.6999999999999993</v>
      </c>
      <c r="X25" s="102">
        <v>8.6999999999999993</v>
      </c>
      <c r="Y25" s="102">
        <v>8.6999999999999993</v>
      </c>
      <c r="Z25" s="102">
        <v>8.6999999999999993</v>
      </c>
      <c r="AA25" s="102">
        <v>8.6999999999999993</v>
      </c>
      <c r="AB25" s="102">
        <v>8.6999999999999993</v>
      </c>
      <c r="AC25" s="102">
        <v>8.6999999999999993</v>
      </c>
      <c r="AD25" s="102">
        <v>8.6999999999999993</v>
      </c>
      <c r="AE25" s="102">
        <v>8.6999999999999993</v>
      </c>
      <c r="AF25" s="102">
        <v>8.6999999999999993</v>
      </c>
      <c r="AG25" s="88">
        <v>30</v>
      </c>
      <c r="AH25" s="12">
        <f t="shared" si="8"/>
        <v>8.6999999999999993</v>
      </c>
      <c r="AI25" s="11">
        <f t="shared" si="9"/>
        <v>7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25">
      <c r="A26" s="89" t="s">
        <v>241</v>
      </c>
      <c r="B26" s="102">
        <v>11.8</v>
      </c>
      <c r="C26" s="102">
        <v>11.8</v>
      </c>
      <c r="D26" s="102">
        <v>11.8</v>
      </c>
      <c r="E26" s="102">
        <v>11.8</v>
      </c>
      <c r="F26" s="102">
        <v>11.8</v>
      </c>
      <c r="G26" s="102">
        <v>11.8</v>
      </c>
      <c r="H26" s="102">
        <v>11.8</v>
      </c>
      <c r="I26" s="102">
        <v>11.8</v>
      </c>
      <c r="J26" s="102">
        <v>11.2</v>
      </c>
      <c r="K26" s="102">
        <v>11.2</v>
      </c>
      <c r="L26" s="102">
        <v>11.2</v>
      </c>
      <c r="M26" s="102">
        <v>11.2</v>
      </c>
      <c r="N26" s="102">
        <v>11.2</v>
      </c>
      <c r="O26" s="102">
        <v>11.2</v>
      </c>
      <c r="P26" s="102">
        <v>11.2</v>
      </c>
      <c r="Q26" s="102">
        <v>11.2</v>
      </c>
      <c r="R26" s="102">
        <v>11.2</v>
      </c>
      <c r="S26" s="102">
        <v>11.2</v>
      </c>
      <c r="T26" s="102"/>
      <c r="U26" s="102">
        <v>11.2</v>
      </c>
      <c r="V26" s="102">
        <v>11.2</v>
      </c>
      <c r="W26" s="102">
        <v>11.2</v>
      </c>
      <c r="X26" s="102">
        <v>11.2</v>
      </c>
      <c r="Y26" s="102">
        <v>13.1</v>
      </c>
      <c r="Z26" s="102">
        <v>13.1</v>
      </c>
      <c r="AA26" s="102">
        <v>13.1</v>
      </c>
      <c r="AB26" s="102">
        <v>13.1</v>
      </c>
      <c r="AC26" s="102">
        <v>13.1</v>
      </c>
      <c r="AD26" s="102">
        <v>13.1</v>
      </c>
      <c r="AE26" s="102">
        <v>13.1</v>
      </c>
      <c r="AF26" s="102">
        <v>13.1</v>
      </c>
      <c r="AG26" s="130">
        <v>25</v>
      </c>
      <c r="AH26" s="12">
        <f t="shared" si="8"/>
        <v>13.1</v>
      </c>
      <c r="AI26" s="11">
        <f t="shared" si="9"/>
        <v>11.2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25">
      <c r="A27" s="89" t="s">
        <v>240</v>
      </c>
      <c r="B27" s="102">
        <v>15</v>
      </c>
      <c r="C27" s="102">
        <v>15</v>
      </c>
      <c r="D27" s="102">
        <v>15</v>
      </c>
      <c r="E27" s="102">
        <v>15</v>
      </c>
      <c r="F27" s="102">
        <v>15</v>
      </c>
      <c r="G27" s="102">
        <v>15</v>
      </c>
      <c r="H27" s="102">
        <v>15</v>
      </c>
      <c r="I27" s="102">
        <v>15</v>
      </c>
      <c r="J27" s="102">
        <v>15</v>
      </c>
      <c r="K27" s="102">
        <v>15</v>
      </c>
      <c r="L27" s="102">
        <v>15</v>
      </c>
      <c r="M27" s="102">
        <v>15</v>
      </c>
      <c r="N27" s="102">
        <v>15</v>
      </c>
      <c r="O27" s="102">
        <v>15</v>
      </c>
      <c r="P27" s="102">
        <v>15</v>
      </c>
      <c r="Q27" s="102">
        <v>15</v>
      </c>
      <c r="R27" s="102">
        <v>15</v>
      </c>
      <c r="S27" s="102">
        <v>15</v>
      </c>
      <c r="T27" s="102"/>
      <c r="U27" s="102">
        <v>15</v>
      </c>
      <c r="V27" s="102">
        <v>15</v>
      </c>
      <c r="W27" s="102">
        <v>15</v>
      </c>
      <c r="X27" s="102">
        <v>15</v>
      </c>
      <c r="Y27" s="102">
        <v>15</v>
      </c>
      <c r="Z27" s="102">
        <v>15</v>
      </c>
      <c r="AA27" s="102">
        <v>15</v>
      </c>
      <c r="AB27" s="102">
        <v>15</v>
      </c>
      <c r="AC27" s="102">
        <v>15</v>
      </c>
      <c r="AD27" s="102">
        <v>15</v>
      </c>
      <c r="AE27" s="102">
        <v>15</v>
      </c>
      <c r="AF27" s="102">
        <v>15</v>
      </c>
      <c r="AG27" s="130">
        <v>25</v>
      </c>
      <c r="AH27" s="12">
        <f t="shared" si="8"/>
        <v>15</v>
      </c>
      <c r="AI27" s="11">
        <f t="shared" si="9"/>
        <v>15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25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/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25">
      <c r="A29" s="89" t="s">
        <v>238</v>
      </c>
      <c r="B29" s="102">
        <v>10.3</v>
      </c>
      <c r="C29" s="102">
        <v>10.3</v>
      </c>
      <c r="D29" s="102">
        <v>10.3</v>
      </c>
      <c r="E29" s="102">
        <v>10.3</v>
      </c>
      <c r="F29" s="102">
        <v>10.3</v>
      </c>
      <c r="G29" s="102">
        <v>10.3</v>
      </c>
      <c r="H29" s="102">
        <v>10.3</v>
      </c>
      <c r="I29" s="102">
        <v>10.3</v>
      </c>
      <c r="J29" s="102">
        <v>10.6</v>
      </c>
      <c r="K29" s="102">
        <v>10.6</v>
      </c>
      <c r="L29" s="102">
        <v>10.6</v>
      </c>
      <c r="M29" s="102">
        <v>10.6</v>
      </c>
      <c r="N29" s="102">
        <v>10.6</v>
      </c>
      <c r="O29" s="102">
        <v>10.6</v>
      </c>
      <c r="P29" s="102">
        <v>10.6</v>
      </c>
      <c r="Q29" s="102">
        <v>10.6</v>
      </c>
      <c r="R29" s="102">
        <v>10.6</v>
      </c>
      <c r="S29" s="102">
        <v>10.6</v>
      </c>
      <c r="T29" s="102"/>
      <c r="U29" s="102">
        <v>10.6</v>
      </c>
      <c r="V29" s="102">
        <v>10.6</v>
      </c>
      <c r="W29" s="102">
        <v>10.6</v>
      </c>
      <c r="X29" s="102">
        <v>10.6</v>
      </c>
      <c r="Y29" s="102">
        <v>10.6</v>
      </c>
      <c r="Z29" s="102">
        <v>10.6</v>
      </c>
      <c r="AA29" s="102">
        <v>10.6</v>
      </c>
      <c r="AB29" s="102">
        <v>10.6</v>
      </c>
      <c r="AC29" s="102">
        <v>10.6</v>
      </c>
      <c r="AD29" s="102">
        <v>10.6</v>
      </c>
      <c r="AE29" s="102">
        <v>10.6</v>
      </c>
      <c r="AF29" s="102">
        <v>10.6</v>
      </c>
      <c r="AG29" s="130">
        <v>25</v>
      </c>
      <c r="AH29" s="12">
        <f t="shared" si="8"/>
        <v>10.6</v>
      </c>
      <c r="AI29" s="11">
        <f t="shared" si="9"/>
        <v>10.3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25">
      <c r="A30" s="89" t="s">
        <v>237</v>
      </c>
      <c r="B30" s="102">
        <v>5.3</v>
      </c>
      <c r="C30" s="102">
        <v>5.3</v>
      </c>
      <c r="D30" s="102">
        <v>5.3</v>
      </c>
      <c r="E30" s="102">
        <v>5.3</v>
      </c>
      <c r="F30" s="102">
        <v>5.3</v>
      </c>
      <c r="G30" s="102">
        <v>5.3</v>
      </c>
      <c r="H30" s="102">
        <v>5.3</v>
      </c>
      <c r="I30" s="102">
        <v>5.3</v>
      </c>
      <c r="J30" s="102">
        <v>5.3</v>
      </c>
      <c r="K30" s="102">
        <v>5.3</v>
      </c>
      <c r="L30" s="102">
        <v>5.3</v>
      </c>
      <c r="M30" s="102">
        <v>5.3</v>
      </c>
      <c r="N30" s="102">
        <v>5.3</v>
      </c>
      <c r="O30" s="102">
        <v>5.3</v>
      </c>
      <c r="P30" s="102">
        <v>5.3</v>
      </c>
      <c r="Q30" s="102">
        <v>5.3</v>
      </c>
      <c r="R30" s="102">
        <v>5.3</v>
      </c>
      <c r="S30" s="102">
        <v>5.3</v>
      </c>
      <c r="T30" s="102"/>
      <c r="U30" s="102">
        <v>5.3</v>
      </c>
      <c r="V30" s="102">
        <v>5.3</v>
      </c>
      <c r="W30" s="102">
        <v>5.3</v>
      </c>
      <c r="X30" s="102">
        <v>5.3</v>
      </c>
      <c r="Y30" s="102">
        <v>5.3</v>
      </c>
      <c r="Z30" s="102">
        <v>5.3</v>
      </c>
      <c r="AA30" s="102">
        <v>5.3</v>
      </c>
      <c r="AB30" s="102">
        <v>5.3</v>
      </c>
      <c r="AC30" s="102">
        <v>5.3</v>
      </c>
      <c r="AD30" s="102">
        <v>5.3</v>
      </c>
      <c r="AE30" s="102">
        <v>5.3</v>
      </c>
      <c r="AF30" s="102">
        <v>5.3</v>
      </c>
      <c r="AG30" s="130">
        <v>23.5</v>
      </c>
      <c r="AH30" s="12">
        <f t="shared" si="8"/>
        <v>5.3</v>
      </c>
      <c r="AI30" s="11">
        <f t="shared" si="9"/>
        <v>5.3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25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/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25">
      <c r="A32" s="89" t="s">
        <v>235</v>
      </c>
      <c r="B32" s="102">
        <v>5.5</v>
      </c>
      <c r="C32" s="102">
        <v>5.5</v>
      </c>
      <c r="D32" s="102">
        <v>5.5</v>
      </c>
      <c r="E32" s="102">
        <v>5.5</v>
      </c>
      <c r="F32" s="102">
        <v>5.5</v>
      </c>
      <c r="G32" s="102">
        <v>5.5</v>
      </c>
      <c r="H32" s="102">
        <v>5.5</v>
      </c>
      <c r="I32" s="102">
        <v>5.5</v>
      </c>
      <c r="J32" s="102">
        <v>5.5</v>
      </c>
      <c r="K32" s="102">
        <v>5.5</v>
      </c>
      <c r="L32" s="102">
        <v>5.5</v>
      </c>
      <c r="M32" s="102">
        <v>5.5</v>
      </c>
      <c r="N32" s="102">
        <v>5.5</v>
      </c>
      <c r="O32" s="102">
        <v>5.5</v>
      </c>
      <c r="P32" s="102">
        <v>5.5</v>
      </c>
      <c r="Q32" s="102">
        <v>5.5</v>
      </c>
      <c r="R32" s="102">
        <v>5.5</v>
      </c>
      <c r="S32" s="102">
        <v>5.5</v>
      </c>
      <c r="T32" s="102"/>
      <c r="U32" s="102">
        <v>5.5</v>
      </c>
      <c r="V32" s="102">
        <v>5.5</v>
      </c>
      <c r="W32" s="102">
        <v>5.5</v>
      </c>
      <c r="X32" s="102">
        <v>5.5</v>
      </c>
      <c r="Y32" s="102">
        <v>5.5</v>
      </c>
      <c r="Z32" s="102">
        <v>5.5</v>
      </c>
      <c r="AA32" s="102">
        <v>5.5</v>
      </c>
      <c r="AB32" s="102">
        <v>5.5</v>
      </c>
      <c r="AC32" s="102">
        <v>5.5</v>
      </c>
      <c r="AD32" s="102">
        <v>5.5</v>
      </c>
      <c r="AE32" s="102">
        <v>5.5</v>
      </c>
      <c r="AF32" s="102">
        <v>5.5</v>
      </c>
      <c r="AG32" s="130">
        <v>22.1</v>
      </c>
      <c r="AH32" s="12">
        <f t="shared" si="8"/>
        <v>5.5</v>
      </c>
      <c r="AI32" s="11">
        <f t="shared" si="9"/>
        <v>5.5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25">
      <c r="A33" s="89" t="s">
        <v>234</v>
      </c>
      <c r="B33" s="102">
        <v>8</v>
      </c>
      <c r="C33" s="102">
        <v>8</v>
      </c>
      <c r="D33" s="102">
        <v>8</v>
      </c>
      <c r="E33" s="102">
        <v>8</v>
      </c>
      <c r="F33" s="102">
        <v>8</v>
      </c>
      <c r="G33" s="102">
        <v>8</v>
      </c>
      <c r="H33" s="102">
        <v>8</v>
      </c>
      <c r="I33" s="102">
        <v>8</v>
      </c>
      <c r="J33" s="102">
        <v>8</v>
      </c>
      <c r="K33" s="102">
        <v>8</v>
      </c>
      <c r="L33" s="102">
        <v>8</v>
      </c>
      <c r="M33" s="102">
        <v>8</v>
      </c>
      <c r="N33" s="102">
        <v>8</v>
      </c>
      <c r="O33" s="102">
        <v>8</v>
      </c>
      <c r="P33" s="102">
        <v>8</v>
      </c>
      <c r="Q33" s="102">
        <v>8</v>
      </c>
      <c r="R33" s="102">
        <v>8</v>
      </c>
      <c r="S33" s="102">
        <v>8</v>
      </c>
      <c r="T33" s="102"/>
      <c r="U33" s="102">
        <v>8</v>
      </c>
      <c r="V33" s="102">
        <v>8</v>
      </c>
      <c r="W33" s="102">
        <v>8</v>
      </c>
      <c r="X33" s="102">
        <v>8</v>
      </c>
      <c r="Y33" s="102">
        <v>8</v>
      </c>
      <c r="Z33" s="102">
        <v>8</v>
      </c>
      <c r="AA33" s="102">
        <v>8</v>
      </c>
      <c r="AB33" s="102">
        <v>8</v>
      </c>
      <c r="AC33" s="102">
        <v>8</v>
      </c>
      <c r="AD33" s="102">
        <v>8</v>
      </c>
      <c r="AE33" s="102">
        <v>8</v>
      </c>
      <c r="AF33" s="102">
        <v>8</v>
      </c>
      <c r="AG33" s="130">
        <v>22</v>
      </c>
      <c r="AH33" s="12">
        <f t="shared" si="8"/>
        <v>8</v>
      </c>
      <c r="AI33" s="11">
        <f t="shared" si="9"/>
        <v>8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25">
      <c r="A34" s="89" t="s">
        <v>233</v>
      </c>
      <c r="B34" s="102">
        <v>7.1</v>
      </c>
      <c r="C34" s="102">
        <v>7.1</v>
      </c>
      <c r="D34" s="102">
        <v>7.1</v>
      </c>
      <c r="E34" s="102">
        <v>7.1</v>
      </c>
      <c r="F34" s="102">
        <v>7.1</v>
      </c>
      <c r="G34" s="102">
        <v>7.1</v>
      </c>
      <c r="H34" s="102">
        <v>7.1</v>
      </c>
      <c r="I34" s="102">
        <v>7.1</v>
      </c>
      <c r="J34" s="102">
        <v>6.5</v>
      </c>
      <c r="K34" s="102">
        <v>6.5</v>
      </c>
      <c r="L34" s="102">
        <v>6.5</v>
      </c>
      <c r="M34" s="102">
        <v>6.5</v>
      </c>
      <c r="N34" s="102">
        <v>6.5</v>
      </c>
      <c r="O34" s="102">
        <v>6.5</v>
      </c>
      <c r="P34" s="102">
        <v>6.5</v>
      </c>
      <c r="Q34" s="102">
        <v>6.5</v>
      </c>
      <c r="R34" s="102">
        <v>6.5</v>
      </c>
      <c r="S34" s="102">
        <v>6.5</v>
      </c>
      <c r="T34" s="102"/>
      <c r="U34" s="102">
        <v>6.5</v>
      </c>
      <c r="V34" s="102">
        <v>6.5</v>
      </c>
      <c r="W34" s="102">
        <v>6.5</v>
      </c>
      <c r="X34" s="102">
        <v>6.5</v>
      </c>
      <c r="Y34" s="102">
        <v>6.5</v>
      </c>
      <c r="Z34" s="102">
        <v>6.5</v>
      </c>
      <c r="AA34" s="102">
        <v>6.5</v>
      </c>
      <c r="AB34" s="102">
        <v>6.5</v>
      </c>
      <c r="AC34" s="102">
        <v>6.5</v>
      </c>
      <c r="AD34" s="102">
        <v>6.5</v>
      </c>
      <c r="AE34" s="102">
        <v>6.5</v>
      </c>
      <c r="AF34" s="102">
        <v>6.5</v>
      </c>
      <c r="AG34" s="130">
        <v>22</v>
      </c>
      <c r="AH34" s="12">
        <f t="shared" si="8"/>
        <v>7.1</v>
      </c>
      <c r="AI34" s="11">
        <f t="shared" si="9"/>
        <v>6.5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25">
      <c r="A35" s="89" t="s">
        <v>232</v>
      </c>
      <c r="B35" s="102">
        <v>7.9</v>
      </c>
      <c r="C35" s="102">
        <v>7.9</v>
      </c>
      <c r="D35" s="102">
        <v>7.9</v>
      </c>
      <c r="E35" s="102">
        <v>7.9</v>
      </c>
      <c r="F35" s="102">
        <v>7.9</v>
      </c>
      <c r="G35" s="102">
        <v>7.9</v>
      </c>
      <c r="H35" s="102">
        <v>7.9</v>
      </c>
      <c r="I35" s="102">
        <v>7.9</v>
      </c>
      <c r="J35" s="102">
        <v>7.9</v>
      </c>
      <c r="K35" s="102">
        <v>7.9</v>
      </c>
      <c r="L35" s="102">
        <v>7.9</v>
      </c>
      <c r="M35" s="102">
        <v>7.9</v>
      </c>
      <c r="N35" s="102">
        <v>7.9</v>
      </c>
      <c r="O35" s="102">
        <v>7.9</v>
      </c>
      <c r="P35" s="102">
        <v>7.9</v>
      </c>
      <c r="Q35" s="102">
        <v>7.9</v>
      </c>
      <c r="R35" s="102">
        <v>7.9</v>
      </c>
      <c r="S35" s="102">
        <v>7.9</v>
      </c>
      <c r="T35" s="102"/>
      <c r="U35" s="102">
        <v>7.9</v>
      </c>
      <c r="V35" s="102">
        <v>7.9</v>
      </c>
      <c r="W35" s="102">
        <v>7.9</v>
      </c>
      <c r="X35" s="102">
        <v>7.9</v>
      </c>
      <c r="Y35" s="102">
        <v>9.5</v>
      </c>
      <c r="Z35" s="102">
        <v>9.5</v>
      </c>
      <c r="AA35" s="102">
        <v>9.5</v>
      </c>
      <c r="AB35" s="102">
        <v>9.5</v>
      </c>
      <c r="AC35" s="102">
        <v>9.5</v>
      </c>
      <c r="AD35" s="102">
        <v>9.5</v>
      </c>
      <c r="AE35" s="102">
        <v>9.5</v>
      </c>
      <c r="AF35" s="102">
        <v>9.5</v>
      </c>
      <c r="AG35" s="130">
        <v>20</v>
      </c>
      <c r="AH35" s="12">
        <f t="shared" si="8"/>
        <v>9.5</v>
      </c>
      <c r="AI35" s="11">
        <f t="shared" si="9"/>
        <v>7.9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25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/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25">
      <c r="A37" s="89" t="s">
        <v>230</v>
      </c>
      <c r="B37" s="102">
        <v>7.9</v>
      </c>
      <c r="C37" s="102">
        <v>7.9</v>
      </c>
      <c r="D37" s="102">
        <v>7.9</v>
      </c>
      <c r="E37" s="102">
        <v>7.9</v>
      </c>
      <c r="F37" s="102">
        <v>7.9</v>
      </c>
      <c r="G37" s="102">
        <v>7.9</v>
      </c>
      <c r="H37" s="102">
        <v>7.9</v>
      </c>
      <c r="I37" s="102">
        <v>7.9</v>
      </c>
      <c r="J37" s="102">
        <v>7.9</v>
      </c>
      <c r="K37" s="102">
        <v>7.9</v>
      </c>
      <c r="L37" s="102">
        <v>7.9</v>
      </c>
      <c r="M37" s="102">
        <v>7.9</v>
      </c>
      <c r="N37" s="102">
        <v>7.9</v>
      </c>
      <c r="O37" s="102">
        <v>7.9</v>
      </c>
      <c r="P37" s="102">
        <v>7.9</v>
      </c>
      <c r="Q37" s="102">
        <v>7.9</v>
      </c>
      <c r="R37" s="102">
        <v>7.9</v>
      </c>
      <c r="S37" s="102">
        <v>7.9</v>
      </c>
      <c r="T37" s="102"/>
      <c r="U37" s="102">
        <v>7.9</v>
      </c>
      <c r="V37" s="102">
        <v>7.9</v>
      </c>
      <c r="W37" s="102">
        <v>7.9</v>
      </c>
      <c r="X37" s="102">
        <v>7.9</v>
      </c>
      <c r="Y37" s="102">
        <v>7.9</v>
      </c>
      <c r="Z37" s="102">
        <v>7.9</v>
      </c>
      <c r="AA37" s="102">
        <v>7.9</v>
      </c>
      <c r="AB37" s="102">
        <v>7.9</v>
      </c>
      <c r="AC37" s="102">
        <v>7.9</v>
      </c>
      <c r="AD37" s="102">
        <v>7.9</v>
      </c>
      <c r="AE37" s="102">
        <v>7.9</v>
      </c>
      <c r="AF37" s="102">
        <v>7.9</v>
      </c>
      <c r="AG37" s="130">
        <v>18</v>
      </c>
      <c r="AH37" s="12">
        <f t="shared" si="8"/>
        <v>7.9</v>
      </c>
      <c r="AI37" s="11">
        <f t="shared" si="9"/>
        <v>7.9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25">
      <c r="A38" s="89" t="s">
        <v>229</v>
      </c>
      <c r="B38" s="102">
        <v>7</v>
      </c>
      <c r="C38" s="102">
        <v>7</v>
      </c>
      <c r="D38" s="102">
        <v>7</v>
      </c>
      <c r="E38" s="102">
        <v>7</v>
      </c>
      <c r="F38" s="102">
        <v>7</v>
      </c>
      <c r="G38" s="102">
        <v>7</v>
      </c>
      <c r="H38" s="102">
        <v>7</v>
      </c>
      <c r="I38" s="102">
        <v>7</v>
      </c>
      <c r="J38" s="102">
        <v>7</v>
      </c>
      <c r="K38" s="102">
        <v>7</v>
      </c>
      <c r="L38" s="102">
        <v>7</v>
      </c>
      <c r="M38" s="102">
        <v>7</v>
      </c>
      <c r="N38" s="102">
        <v>7</v>
      </c>
      <c r="O38" s="102">
        <v>7</v>
      </c>
      <c r="P38" s="102">
        <v>7</v>
      </c>
      <c r="Q38" s="102">
        <v>7</v>
      </c>
      <c r="R38" s="102">
        <v>7</v>
      </c>
      <c r="S38" s="102">
        <v>7</v>
      </c>
      <c r="T38" s="102"/>
      <c r="U38" s="102">
        <v>7</v>
      </c>
      <c r="V38" s="102">
        <v>7</v>
      </c>
      <c r="W38" s="102">
        <v>7</v>
      </c>
      <c r="X38" s="102">
        <v>7</v>
      </c>
      <c r="Y38" s="102">
        <v>7</v>
      </c>
      <c r="Z38" s="102">
        <v>7</v>
      </c>
      <c r="AA38" s="102">
        <v>7</v>
      </c>
      <c r="AB38" s="102">
        <v>7</v>
      </c>
      <c r="AC38" s="102">
        <v>7</v>
      </c>
      <c r="AD38" s="102">
        <v>7</v>
      </c>
      <c r="AE38" s="102">
        <v>7</v>
      </c>
      <c r="AF38" s="102">
        <v>7</v>
      </c>
      <c r="AG38" s="130">
        <v>14.9</v>
      </c>
      <c r="AH38" s="12">
        <f t="shared" si="8"/>
        <v>7</v>
      </c>
      <c r="AI38" s="11">
        <f t="shared" si="9"/>
        <v>7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25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/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25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/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25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/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25">
      <c r="A42" s="89" t="s">
        <v>225</v>
      </c>
      <c r="B42" s="102">
        <v>6</v>
      </c>
      <c r="C42" s="102">
        <v>6</v>
      </c>
      <c r="D42" s="102">
        <v>6</v>
      </c>
      <c r="E42" s="102">
        <v>6</v>
      </c>
      <c r="F42" s="102">
        <v>6</v>
      </c>
      <c r="G42" s="102">
        <v>6</v>
      </c>
      <c r="H42" s="102">
        <v>6</v>
      </c>
      <c r="I42" s="102">
        <v>6</v>
      </c>
      <c r="J42" s="102">
        <v>6</v>
      </c>
      <c r="K42" s="102">
        <v>6</v>
      </c>
      <c r="L42" s="102">
        <v>6</v>
      </c>
      <c r="M42" s="102">
        <v>6</v>
      </c>
      <c r="N42" s="102">
        <v>6</v>
      </c>
      <c r="O42" s="102">
        <v>6</v>
      </c>
      <c r="P42" s="102">
        <v>6</v>
      </c>
      <c r="Q42" s="102">
        <v>6</v>
      </c>
      <c r="R42" s="102">
        <v>6</v>
      </c>
      <c r="S42" s="102">
        <v>6</v>
      </c>
      <c r="T42" s="102"/>
      <c r="U42" s="102">
        <v>6</v>
      </c>
      <c r="V42" s="102">
        <v>6</v>
      </c>
      <c r="W42" s="102">
        <v>6</v>
      </c>
      <c r="X42" s="102">
        <v>6</v>
      </c>
      <c r="Y42" s="102">
        <v>6</v>
      </c>
      <c r="Z42" s="102">
        <v>6</v>
      </c>
      <c r="AA42" s="102">
        <v>6</v>
      </c>
      <c r="AB42" s="102">
        <v>6</v>
      </c>
      <c r="AC42" s="102">
        <v>6</v>
      </c>
      <c r="AD42" s="102">
        <v>6</v>
      </c>
      <c r="AE42" s="102">
        <v>6</v>
      </c>
      <c r="AF42" s="102">
        <v>6</v>
      </c>
      <c r="AG42" s="130">
        <v>13.6</v>
      </c>
      <c r="AH42" s="12">
        <f t="shared" si="8"/>
        <v>6</v>
      </c>
      <c r="AI42" s="11">
        <f t="shared" si="9"/>
        <v>6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25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/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25">
      <c r="A44" s="89" t="s">
        <v>223</v>
      </c>
      <c r="B44" s="102">
        <v>6.4</v>
      </c>
      <c r="C44" s="102">
        <v>6.4</v>
      </c>
      <c r="D44" s="102">
        <v>6.4</v>
      </c>
      <c r="E44" s="102">
        <v>6.4</v>
      </c>
      <c r="F44" s="102">
        <v>6.4</v>
      </c>
      <c r="G44" s="102">
        <v>6.4</v>
      </c>
      <c r="H44" s="102">
        <v>6.4</v>
      </c>
      <c r="I44" s="102">
        <v>6.4</v>
      </c>
      <c r="J44" s="102">
        <v>6.4</v>
      </c>
      <c r="K44" s="102">
        <v>6.4</v>
      </c>
      <c r="L44" s="102">
        <v>6.4</v>
      </c>
      <c r="M44" s="102">
        <v>6.4</v>
      </c>
      <c r="N44" s="102">
        <v>6.4</v>
      </c>
      <c r="O44" s="102">
        <v>6.4</v>
      </c>
      <c r="P44" s="102">
        <v>6.4</v>
      </c>
      <c r="Q44" s="102">
        <v>6.4</v>
      </c>
      <c r="R44" s="102">
        <v>6.4</v>
      </c>
      <c r="S44" s="102">
        <v>6.4</v>
      </c>
      <c r="T44" s="102"/>
      <c r="U44" s="102">
        <v>6.4</v>
      </c>
      <c r="V44" s="102">
        <v>6.4</v>
      </c>
      <c r="W44" s="102">
        <v>6.4</v>
      </c>
      <c r="X44" s="102">
        <v>6.4</v>
      </c>
      <c r="Y44" s="102">
        <v>6.4</v>
      </c>
      <c r="Z44" s="102">
        <v>6.4</v>
      </c>
      <c r="AA44" s="102">
        <v>6.4</v>
      </c>
      <c r="AB44" s="102">
        <v>6.4</v>
      </c>
      <c r="AC44" s="102">
        <v>6.4</v>
      </c>
      <c r="AD44" s="102">
        <v>6.4</v>
      </c>
      <c r="AE44" s="102">
        <v>6.4</v>
      </c>
      <c r="AF44" s="102">
        <v>6.4</v>
      </c>
      <c r="AG44" s="130">
        <v>12</v>
      </c>
      <c r="AH44" s="12">
        <f t="shared" si="8"/>
        <v>6.4</v>
      </c>
      <c r="AI44" s="11">
        <f t="shared" si="9"/>
        <v>6.4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25">
      <c r="A45" s="89" t="s">
        <v>222</v>
      </c>
      <c r="B45" s="102">
        <v>9</v>
      </c>
      <c r="C45" s="102">
        <v>9</v>
      </c>
      <c r="D45" s="102">
        <v>9</v>
      </c>
      <c r="E45" s="102">
        <v>9</v>
      </c>
      <c r="F45" s="102">
        <v>9</v>
      </c>
      <c r="G45" s="102">
        <v>9</v>
      </c>
      <c r="H45" s="102">
        <v>9</v>
      </c>
      <c r="I45" s="102">
        <v>9</v>
      </c>
      <c r="J45" s="102">
        <v>9</v>
      </c>
      <c r="K45" s="102">
        <v>9</v>
      </c>
      <c r="L45" s="102">
        <v>9</v>
      </c>
      <c r="M45" s="102">
        <v>9</v>
      </c>
      <c r="N45" s="102">
        <v>9</v>
      </c>
      <c r="O45" s="102">
        <v>9</v>
      </c>
      <c r="P45" s="102">
        <v>9</v>
      </c>
      <c r="Q45" s="102">
        <v>9</v>
      </c>
      <c r="R45" s="102">
        <v>9</v>
      </c>
      <c r="S45" s="102">
        <v>9</v>
      </c>
      <c r="T45" s="102"/>
      <c r="U45" s="102">
        <v>9</v>
      </c>
      <c r="V45" s="102">
        <v>9</v>
      </c>
      <c r="W45" s="102">
        <v>9</v>
      </c>
      <c r="X45" s="102">
        <v>9</v>
      </c>
      <c r="Y45" s="102">
        <v>9</v>
      </c>
      <c r="Z45" s="102">
        <v>9</v>
      </c>
      <c r="AA45" s="102">
        <v>9</v>
      </c>
      <c r="AB45" s="102">
        <v>9</v>
      </c>
      <c r="AC45" s="102">
        <v>9</v>
      </c>
      <c r="AD45" s="102">
        <v>9</v>
      </c>
      <c r="AE45" s="102">
        <v>9</v>
      </c>
      <c r="AF45" s="102">
        <v>9</v>
      </c>
      <c r="AG45" s="130">
        <v>12</v>
      </c>
      <c r="AH45" s="12">
        <f t="shared" si="8"/>
        <v>9</v>
      </c>
      <c r="AI45" s="11">
        <f t="shared" si="9"/>
        <v>9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25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/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25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/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25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/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25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/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25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/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25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/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25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/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25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/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25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/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25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/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25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.75" thickBot="1" x14ac:dyDescent="0.3">
      <c r="A57" s="124" t="s">
        <v>210</v>
      </c>
      <c r="B57" s="122">
        <v>33.799999999999997</v>
      </c>
      <c r="C57" s="122">
        <v>33.799999999999997</v>
      </c>
      <c r="D57" s="122">
        <v>33.799999999999997</v>
      </c>
      <c r="E57" s="122">
        <v>40</v>
      </c>
      <c r="F57" s="122">
        <v>40</v>
      </c>
      <c r="G57" s="122">
        <v>41</v>
      </c>
      <c r="H57" s="122">
        <v>40.4</v>
      </c>
      <c r="I57" s="122">
        <v>40.6</v>
      </c>
      <c r="J57" s="122">
        <v>40.6</v>
      </c>
      <c r="K57" s="122">
        <v>40.6</v>
      </c>
      <c r="L57" s="122">
        <v>40.6</v>
      </c>
      <c r="M57" s="122">
        <v>-4.5</v>
      </c>
      <c r="N57" s="122">
        <v>43</v>
      </c>
      <c r="O57" s="122">
        <v>39</v>
      </c>
      <c r="P57" s="122">
        <v>37.799999999999997</v>
      </c>
      <c r="Q57" s="122">
        <v>40.700000000000003</v>
      </c>
      <c r="R57" s="122">
        <v>40.700000000000003</v>
      </c>
      <c r="S57" s="123">
        <v>40</v>
      </c>
      <c r="T57" s="123"/>
      <c r="U57" s="123">
        <v>40</v>
      </c>
      <c r="V57" s="123">
        <v>30</v>
      </c>
      <c r="W57" s="123">
        <v>29.7</v>
      </c>
      <c r="X57" s="123">
        <v>31.4</v>
      </c>
      <c r="Y57" s="123">
        <v>32.4</v>
      </c>
      <c r="Z57" s="123">
        <v>27.6</v>
      </c>
      <c r="AA57" s="123">
        <v>27.6</v>
      </c>
      <c r="AB57" s="123">
        <v>27.6</v>
      </c>
      <c r="AC57" s="123">
        <f>13.6+18.9</f>
        <v>32.5</v>
      </c>
      <c r="AD57" s="123">
        <f>13.6+18.9</f>
        <v>32.5</v>
      </c>
      <c r="AE57" s="123">
        <v>33.5</v>
      </c>
      <c r="AF57" s="123">
        <v>33.5</v>
      </c>
      <c r="AG57" s="86">
        <v>240</v>
      </c>
      <c r="AH57" s="12">
        <f t="shared" si="8"/>
        <v>43</v>
      </c>
      <c r="AI57" s="11">
        <f t="shared" si="9"/>
        <v>-4.5</v>
      </c>
      <c r="AK57" s="19"/>
    </row>
    <row r="58" spans="1:88" ht="15.75" thickBot="1" x14ac:dyDescent="0.3">
      <c r="A58" s="121" t="s">
        <v>209</v>
      </c>
      <c r="B58" s="76">
        <f t="shared" ref="B58:AB58" si="22">SUM(B11:B56)</f>
        <v>554.20000000000005</v>
      </c>
      <c r="C58" s="76">
        <f t="shared" si="22"/>
        <v>554.20000000000005</v>
      </c>
      <c r="D58" s="76">
        <f t="shared" si="22"/>
        <v>554.20000000000005</v>
      </c>
      <c r="E58" s="76">
        <f t="shared" si="22"/>
        <v>551.59999999999991</v>
      </c>
      <c r="F58" s="76">
        <f t="shared" si="22"/>
        <v>552.29999999999995</v>
      </c>
      <c r="G58" s="76">
        <f t="shared" si="22"/>
        <v>552.29999999999995</v>
      </c>
      <c r="H58" s="76">
        <f t="shared" si="22"/>
        <v>552.20000000000005</v>
      </c>
      <c r="I58" s="76">
        <f t="shared" si="22"/>
        <v>552.20000000000005</v>
      </c>
      <c r="J58" s="76">
        <f t="shared" ref="J58" si="23">SUM(J11:J56)</f>
        <v>553.29999999999995</v>
      </c>
      <c r="K58" s="76">
        <f t="shared" si="22"/>
        <v>552.69999999999993</v>
      </c>
      <c r="L58" s="76">
        <f t="shared" si="22"/>
        <v>552.69999999999993</v>
      </c>
      <c r="M58" s="76">
        <f t="shared" ref="M58:N58" si="24">SUM(M11:M56)</f>
        <v>552.69999999999993</v>
      </c>
      <c r="N58" s="76">
        <f t="shared" si="24"/>
        <v>552.69999999999993</v>
      </c>
      <c r="O58" s="76">
        <f t="shared" ref="O58:P58" si="25">SUM(O11:O56)</f>
        <v>552.69999999999993</v>
      </c>
      <c r="P58" s="76">
        <f t="shared" si="25"/>
        <v>552.69999999999993</v>
      </c>
      <c r="Q58" s="76">
        <f t="shared" ref="Q58:R58" si="26">SUM(Q11:Q56)</f>
        <v>552.69999999999993</v>
      </c>
      <c r="R58" s="76">
        <f t="shared" si="26"/>
        <v>552.69999999999993</v>
      </c>
      <c r="S58" s="76">
        <f t="shared" si="22"/>
        <v>552.69999999999993</v>
      </c>
      <c r="T58" s="76">
        <f t="shared" si="22"/>
        <v>150</v>
      </c>
      <c r="U58" s="76">
        <f t="shared" si="22"/>
        <v>552.69999999999993</v>
      </c>
      <c r="V58" s="76">
        <f t="shared" si="22"/>
        <v>552.69999999999993</v>
      </c>
      <c r="W58" s="76">
        <f t="shared" si="22"/>
        <v>552.69999999999993</v>
      </c>
      <c r="X58" s="76">
        <f t="shared" si="22"/>
        <v>552.69999999999993</v>
      </c>
      <c r="Y58" s="76">
        <f t="shared" si="22"/>
        <v>560.09999999999991</v>
      </c>
      <c r="Z58" s="76">
        <f t="shared" si="22"/>
        <v>560.09999999999991</v>
      </c>
      <c r="AA58" s="76">
        <f t="shared" si="22"/>
        <v>560.09999999999991</v>
      </c>
      <c r="AB58" s="76">
        <f t="shared" si="22"/>
        <v>560.09999999999991</v>
      </c>
      <c r="AC58" s="76">
        <f t="shared" ref="AC58:AD58" si="27">SUM(AC11:AC56)</f>
        <v>573.09999999999991</v>
      </c>
      <c r="AD58" s="76">
        <f t="shared" si="27"/>
        <v>573.09999999999991</v>
      </c>
      <c r="AE58" s="76">
        <f t="shared" ref="AE58:AF58" si="28">SUM(AE11:AE56)</f>
        <v>573.09999999999991</v>
      </c>
      <c r="AF58" s="76">
        <f t="shared" si="28"/>
        <v>573.09999999999991</v>
      </c>
      <c r="AG58" s="93">
        <f>SUM(AG14:AG56)</f>
        <v>1042.4000000000001</v>
      </c>
      <c r="AH58" s="12">
        <f t="shared" si="8"/>
        <v>573.09999999999991</v>
      </c>
      <c r="AI58" s="11">
        <f t="shared" si="9"/>
        <v>150</v>
      </c>
      <c r="AK58" s="19"/>
    </row>
    <row r="59" spans="1:88" x14ac:dyDescent="0.25">
      <c r="A59" s="120" t="s">
        <v>208</v>
      </c>
      <c r="B59" s="102">
        <v>110</v>
      </c>
      <c r="C59" s="102">
        <v>110</v>
      </c>
      <c r="D59" s="102">
        <v>110</v>
      </c>
      <c r="E59" s="102">
        <v>110</v>
      </c>
      <c r="F59" s="102">
        <v>100</v>
      </c>
      <c r="G59" s="102">
        <v>110.6</v>
      </c>
      <c r="H59" s="102">
        <v>110.6</v>
      </c>
      <c r="I59" s="102">
        <v>110.7</v>
      </c>
      <c r="J59" s="102">
        <v>50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19"/>
      <c r="U59" s="119">
        <v>0</v>
      </c>
      <c r="V59" s="119">
        <v>0</v>
      </c>
      <c r="W59" s="119">
        <v>0</v>
      </c>
      <c r="X59" s="119">
        <v>0</v>
      </c>
      <c r="Y59" s="119">
        <v>304</v>
      </c>
      <c r="Z59" s="102">
        <v>440</v>
      </c>
      <c r="AA59" s="102">
        <v>456</v>
      </c>
      <c r="AB59" s="102">
        <v>380</v>
      </c>
      <c r="AC59" s="102">
        <v>350</v>
      </c>
      <c r="AD59" s="102">
        <v>350</v>
      </c>
      <c r="AE59" s="102">
        <v>241.3</v>
      </c>
      <c r="AF59" s="102">
        <v>171.2</v>
      </c>
      <c r="AG59" s="88">
        <v>456</v>
      </c>
      <c r="AH59" s="12">
        <f t="shared" si="8"/>
        <v>456</v>
      </c>
      <c r="AI59" s="11">
        <f t="shared" si="9"/>
        <v>0</v>
      </c>
      <c r="AK59" s="19"/>
    </row>
    <row r="60" spans="1:88" x14ac:dyDescent="0.25">
      <c r="A60" s="118" t="s">
        <v>207</v>
      </c>
      <c r="B60" s="70">
        <v>21.1</v>
      </c>
      <c r="C60" s="70">
        <v>21.1</v>
      </c>
      <c r="D60" s="70">
        <v>21.1</v>
      </c>
      <c r="E60" s="70">
        <v>21.1</v>
      </c>
      <c r="F60" s="70">
        <v>21</v>
      </c>
      <c r="G60" s="70">
        <v>20.100000000000001</v>
      </c>
      <c r="H60" s="70">
        <v>20.100000000000001</v>
      </c>
      <c r="I60" s="70">
        <v>20.3</v>
      </c>
      <c r="J60" s="70">
        <v>20.3</v>
      </c>
      <c r="K60" s="70">
        <v>20.3</v>
      </c>
      <c r="L60" s="70">
        <v>20.3</v>
      </c>
      <c r="M60" s="70">
        <v>20.3</v>
      </c>
      <c r="N60" s="70">
        <v>20.3</v>
      </c>
      <c r="O60" s="70">
        <v>20.3</v>
      </c>
      <c r="P60" s="70">
        <v>20.3</v>
      </c>
      <c r="Q60" s="70">
        <v>20.3</v>
      </c>
      <c r="R60" s="70">
        <v>20.3</v>
      </c>
      <c r="S60" s="70">
        <v>20.3</v>
      </c>
      <c r="T60" s="70"/>
      <c r="U60" s="70">
        <v>20.3</v>
      </c>
      <c r="V60" s="70">
        <v>20.3</v>
      </c>
      <c r="W60" s="70">
        <v>20.3</v>
      </c>
      <c r="X60" s="70">
        <v>20.3</v>
      </c>
      <c r="Y60" s="70">
        <v>20.3</v>
      </c>
      <c r="Z60" s="70">
        <v>20.3</v>
      </c>
      <c r="AA60" s="70">
        <v>20.3</v>
      </c>
      <c r="AB60" s="70">
        <v>20.3</v>
      </c>
      <c r="AC60" s="70">
        <v>20.3</v>
      </c>
      <c r="AD60" s="70">
        <v>20.3</v>
      </c>
      <c r="AE60" s="70">
        <v>20.3</v>
      </c>
      <c r="AF60" s="70">
        <v>20.3</v>
      </c>
      <c r="AG60" s="86">
        <v>60</v>
      </c>
      <c r="AH60" s="12">
        <f t="shared" si="8"/>
        <v>21.1</v>
      </c>
      <c r="AI60" s="11">
        <f t="shared" si="9"/>
        <v>20.100000000000001</v>
      </c>
      <c r="AK60" s="19"/>
    </row>
    <row r="61" spans="1:88" ht="15.75" thickBot="1" x14ac:dyDescent="0.3">
      <c r="A61" s="117" t="s">
        <v>206</v>
      </c>
      <c r="B61" s="110">
        <v>18.399999999999999</v>
      </c>
      <c r="C61" s="110">
        <v>18.399999999999999</v>
      </c>
      <c r="D61" s="110">
        <v>18.399999999999999</v>
      </c>
      <c r="E61" s="110">
        <v>18.399999999999999</v>
      </c>
      <c r="F61" s="110">
        <v>21.3</v>
      </c>
      <c r="G61" s="110">
        <v>21.3</v>
      </c>
      <c r="H61" s="110">
        <v>21.3</v>
      </c>
      <c r="I61" s="110">
        <v>21.3</v>
      </c>
      <c r="J61" s="110">
        <v>21.3</v>
      </c>
      <c r="K61" s="110">
        <v>21.3</v>
      </c>
      <c r="L61" s="110">
        <v>21.3</v>
      </c>
      <c r="M61" s="110">
        <v>21.3</v>
      </c>
      <c r="N61" s="110">
        <v>21.3</v>
      </c>
      <c r="O61" s="110">
        <v>21.3</v>
      </c>
      <c r="P61" s="110">
        <v>21.3</v>
      </c>
      <c r="Q61" s="110">
        <v>21.3</v>
      </c>
      <c r="R61" s="110">
        <v>21.3</v>
      </c>
      <c r="S61" s="110">
        <v>18.5</v>
      </c>
      <c r="T61" s="110"/>
      <c r="U61" s="110">
        <v>18.5</v>
      </c>
      <c r="V61" s="110">
        <v>14.9</v>
      </c>
      <c r="W61" s="110">
        <v>14.9</v>
      </c>
      <c r="X61" s="110">
        <v>14.9</v>
      </c>
      <c r="Y61" s="110">
        <v>14.9</v>
      </c>
      <c r="Z61" s="110">
        <v>15</v>
      </c>
      <c r="AA61" s="110">
        <v>15</v>
      </c>
      <c r="AB61" s="110">
        <v>15</v>
      </c>
      <c r="AC61" s="110">
        <v>15</v>
      </c>
      <c r="AD61" s="110">
        <v>15</v>
      </c>
      <c r="AE61" s="110">
        <v>15</v>
      </c>
      <c r="AF61" s="110">
        <v>15</v>
      </c>
      <c r="AG61" s="109">
        <v>22.1</v>
      </c>
      <c r="AH61" s="12">
        <f t="shared" si="8"/>
        <v>21.3</v>
      </c>
      <c r="AI61" s="11">
        <f t="shared" si="9"/>
        <v>14.9</v>
      </c>
      <c r="AK61" s="19"/>
    </row>
    <row r="62" spans="1:88" ht="15.75" thickBot="1" x14ac:dyDescent="0.3">
      <c r="A62" s="116" t="s">
        <v>205</v>
      </c>
      <c r="B62" s="76">
        <f t="shared" ref="B62:AG62" si="29">SUM(B59:B61)</f>
        <v>149.5</v>
      </c>
      <c r="C62" s="76">
        <f t="shared" si="29"/>
        <v>149.5</v>
      </c>
      <c r="D62" s="76">
        <f t="shared" si="29"/>
        <v>149.5</v>
      </c>
      <c r="E62" s="76">
        <f t="shared" ref="E62" si="30">SUM(E59:E61)</f>
        <v>149.5</v>
      </c>
      <c r="F62" s="76">
        <f t="shared" si="29"/>
        <v>142.30000000000001</v>
      </c>
      <c r="G62" s="76">
        <f t="shared" si="29"/>
        <v>152</v>
      </c>
      <c r="H62" s="76">
        <f t="shared" si="29"/>
        <v>152</v>
      </c>
      <c r="I62" s="76">
        <f t="shared" si="29"/>
        <v>152.30000000000001</v>
      </c>
      <c r="J62" s="76">
        <f t="shared" ref="J62" si="31">SUM(J59:J61)</f>
        <v>91.6</v>
      </c>
      <c r="K62" s="76">
        <f t="shared" si="29"/>
        <v>41.6</v>
      </c>
      <c r="L62" s="76">
        <f t="shared" si="29"/>
        <v>41.6</v>
      </c>
      <c r="M62" s="76">
        <f t="shared" ref="M62:N62" si="32">SUM(M59:M61)</f>
        <v>41.6</v>
      </c>
      <c r="N62" s="76">
        <f t="shared" si="32"/>
        <v>41.6</v>
      </c>
      <c r="O62" s="76">
        <f t="shared" ref="O62:P62" si="33">SUM(O59:O61)</f>
        <v>41.6</v>
      </c>
      <c r="P62" s="76">
        <f t="shared" si="33"/>
        <v>41.6</v>
      </c>
      <c r="Q62" s="76">
        <f t="shared" ref="Q62:R62" si="34">SUM(Q59:Q61)</f>
        <v>41.6</v>
      </c>
      <c r="R62" s="76">
        <f t="shared" si="34"/>
        <v>41.6</v>
      </c>
      <c r="S62" s="76">
        <f t="shared" si="29"/>
        <v>38.799999999999997</v>
      </c>
      <c r="T62" s="76">
        <f t="shared" si="29"/>
        <v>0</v>
      </c>
      <c r="U62" s="76">
        <f t="shared" si="29"/>
        <v>38.799999999999997</v>
      </c>
      <c r="V62" s="76">
        <f t="shared" si="29"/>
        <v>35.200000000000003</v>
      </c>
      <c r="W62" s="76">
        <f t="shared" si="29"/>
        <v>35.200000000000003</v>
      </c>
      <c r="X62" s="76">
        <f t="shared" si="29"/>
        <v>35.200000000000003</v>
      </c>
      <c r="Y62" s="76">
        <f t="shared" si="29"/>
        <v>339.2</v>
      </c>
      <c r="Z62" s="76">
        <f t="shared" si="29"/>
        <v>475.3</v>
      </c>
      <c r="AA62" s="76">
        <f t="shared" si="29"/>
        <v>491.3</v>
      </c>
      <c r="AB62" s="76">
        <f t="shared" si="29"/>
        <v>415.3</v>
      </c>
      <c r="AC62" s="76">
        <f t="shared" ref="AC62:AD62" si="35">SUM(AC59:AC61)</f>
        <v>385.3</v>
      </c>
      <c r="AD62" s="76">
        <f t="shared" si="35"/>
        <v>385.3</v>
      </c>
      <c r="AE62" s="76">
        <f t="shared" ref="AE62:AF62" si="36">SUM(AE59:AE61)</f>
        <v>276.60000000000002</v>
      </c>
      <c r="AF62" s="76">
        <f t="shared" si="36"/>
        <v>206.5</v>
      </c>
      <c r="AG62" s="93">
        <f t="shared" si="29"/>
        <v>538.1</v>
      </c>
      <c r="AH62" s="12">
        <f t="shared" si="8"/>
        <v>491.3</v>
      </c>
      <c r="AI62" s="11">
        <f t="shared" si="9"/>
        <v>0</v>
      </c>
      <c r="AK62" s="19"/>
    </row>
    <row r="63" spans="1:88" x14ac:dyDescent="0.25">
      <c r="A63" s="89" t="s">
        <v>204</v>
      </c>
      <c r="B63" s="102">
        <v>97</v>
      </c>
      <c r="C63" s="102">
        <v>97</v>
      </c>
      <c r="D63" s="102">
        <v>97</v>
      </c>
      <c r="E63" s="102">
        <v>97.5</v>
      </c>
      <c r="F63" s="102">
        <v>87.5</v>
      </c>
      <c r="G63" s="102">
        <v>60.5</v>
      </c>
      <c r="H63" s="102">
        <v>61</v>
      </c>
      <c r="I63" s="102">
        <v>97.8</v>
      </c>
      <c r="J63" s="102">
        <v>80</v>
      </c>
      <c r="K63" s="102">
        <v>81.400000000000006</v>
      </c>
      <c r="L63" s="102">
        <v>81</v>
      </c>
      <c r="M63" s="102">
        <v>60</v>
      </c>
      <c r="N63" s="102">
        <v>48.7</v>
      </c>
      <c r="O63" s="102">
        <v>35.700000000000003</v>
      </c>
      <c r="P63" s="102">
        <v>36.1</v>
      </c>
      <c r="Q63" s="102">
        <v>30</v>
      </c>
      <c r="R63" s="102">
        <v>30</v>
      </c>
      <c r="S63" s="102">
        <v>30</v>
      </c>
      <c r="T63" s="102"/>
      <c r="U63" s="102">
        <v>61.7</v>
      </c>
      <c r="V63" s="102">
        <v>45.8</v>
      </c>
      <c r="W63" s="102">
        <v>45.8</v>
      </c>
      <c r="X63" s="102">
        <v>45.8</v>
      </c>
      <c r="Y63" s="102">
        <v>92.4</v>
      </c>
      <c r="Z63" s="102">
        <v>145</v>
      </c>
      <c r="AA63" s="102">
        <v>144</v>
      </c>
      <c r="AB63" s="102">
        <v>144</v>
      </c>
      <c r="AC63" s="102">
        <v>130.6</v>
      </c>
      <c r="AD63" s="102">
        <v>121.5</v>
      </c>
      <c r="AE63" s="102">
        <v>107.1</v>
      </c>
      <c r="AF63" s="102">
        <v>97.4</v>
      </c>
      <c r="AG63" s="88">
        <v>144</v>
      </c>
      <c r="AH63" s="12">
        <f t="shared" si="8"/>
        <v>145</v>
      </c>
      <c r="AI63" s="11">
        <f t="shared" si="9"/>
        <v>30</v>
      </c>
      <c r="AK63" s="19"/>
    </row>
    <row r="64" spans="1:88" x14ac:dyDescent="0.25">
      <c r="A64" s="87" t="s">
        <v>203</v>
      </c>
      <c r="B64" s="70">
        <v>67</v>
      </c>
      <c r="C64" s="70">
        <v>67</v>
      </c>
      <c r="D64" s="70">
        <v>67</v>
      </c>
      <c r="E64" s="70">
        <v>66.2</v>
      </c>
      <c r="F64" s="70">
        <v>64.400000000000006</v>
      </c>
      <c r="G64" s="70">
        <v>34.5</v>
      </c>
      <c r="H64" s="70">
        <v>34</v>
      </c>
      <c r="I64" s="70">
        <v>34</v>
      </c>
      <c r="J64" s="70">
        <v>34</v>
      </c>
      <c r="K64" s="70">
        <v>34</v>
      </c>
      <c r="L64" s="70">
        <v>34</v>
      </c>
      <c r="M64" s="70">
        <v>24</v>
      </c>
      <c r="N64" s="70">
        <v>25.2</v>
      </c>
      <c r="O64" s="70">
        <v>29.6</v>
      </c>
      <c r="P64" s="70">
        <v>30.3</v>
      </c>
      <c r="Q64" s="70">
        <v>25.4</v>
      </c>
      <c r="R64" s="70">
        <v>25.4</v>
      </c>
      <c r="S64" s="70">
        <v>25.4</v>
      </c>
      <c r="T64" s="70"/>
      <c r="U64" s="70">
        <v>50</v>
      </c>
      <c r="V64" s="70">
        <v>49</v>
      </c>
      <c r="W64" s="70">
        <v>49</v>
      </c>
      <c r="X64" s="70">
        <v>29.4</v>
      </c>
      <c r="Y64" s="70">
        <v>59.2</v>
      </c>
      <c r="Z64" s="102">
        <v>59.2</v>
      </c>
      <c r="AA64" s="102">
        <v>59.2</v>
      </c>
      <c r="AB64" s="102">
        <v>49</v>
      </c>
      <c r="AC64" s="102">
        <v>49.3</v>
      </c>
      <c r="AD64" s="102">
        <v>34.700000000000003</v>
      </c>
      <c r="AE64" s="102">
        <v>34.700000000000003</v>
      </c>
      <c r="AF64" s="102">
        <v>34.700000000000003</v>
      </c>
      <c r="AG64" s="86">
        <v>70</v>
      </c>
      <c r="AH64" s="12">
        <f t="shared" si="8"/>
        <v>67</v>
      </c>
      <c r="AI64" s="11">
        <f t="shared" si="9"/>
        <v>24</v>
      </c>
      <c r="AK64" s="19"/>
    </row>
    <row r="65" spans="1:75" x14ac:dyDescent="0.25">
      <c r="A65" s="87" t="s">
        <v>202</v>
      </c>
      <c r="B65" s="70">
        <v>15</v>
      </c>
      <c r="C65" s="70">
        <v>15</v>
      </c>
      <c r="D65" s="70">
        <v>15</v>
      </c>
      <c r="E65" s="70">
        <v>16.3</v>
      </c>
      <c r="F65" s="70">
        <v>16.399999999999999</v>
      </c>
      <c r="G65" s="70">
        <v>16.600000000000001</v>
      </c>
      <c r="H65" s="70">
        <v>68.900000000000006</v>
      </c>
      <c r="I65" s="70">
        <v>69</v>
      </c>
      <c r="J65" s="70">
        <v>68.099999999999994</v>
      </c>
      <c r="K65" s="70">
        <v>68.099999999999994</v>
      </c>
      <c r="L65" s="70">
        <v>69</v>
      </c>
      <c r="M65" s="70">
        <v>51.4</v>
      </c>
      <c r="N65" s="70">
        <v>40.6</v>
      </c>
      <c r="O65" s="70">
        <v>70.2</v>
      </c>
      <c r="P65" s="70">
        <v>69.5</v>
      </c>
      <c r="Q65" s="70">
        <v>49.6</v>
      </c>
      <c r="R65" s="70">
        <v>60.5</v>
      </c>
      <c r="S65" s="70">
        <v>51.2</v>
      </c>
      <c r="T65" s="70"/>
      <c r="U65" s="70">
        <v>40</v>
      </c>
      <c r="V65" s="70">
        <v>15.8</v>
      </c>
      <c r="W65" s="70">
        <v>15.8</v>
      </c>
      <c r="X65" s="70">
        <v>15.8</v>
      </c>
      <c r="Y65" s="70">
        <v>63</v>
      </c>
      <c r="Z65" s="102">
        <v>67</v>
      </c>
      <c r="AA65" s="102">
        <v>67</v>
      </c>
      <c r="AB65" s="102">
        <v>51</v>
      </c>
      <c r="AC65" s="102">
        <v>50.8</v>
      </c>
      <c r="AD65" s="102">
        <v>50.8</v>
      </c>
      <c r="AE65" s="102">
        <v>50.8</v>
      </c>
      <c r="AF65" s="102">
        <v>50.8</v>
      </c>
      <c r="AG65" s="86">
        <v>69</v>
      </c>
      <c r="AH65" s="12">
        <f t="shared" si="8"/>
        <v>70.2</v>
      </c>
      <c r="AI65" s="11">
        <f t="shared" si="9"/>
        <v>15</v>
      </c>
      <c r="AK65" s="19"/>
    </row>
    <row r="66" spans="1:75" x14ac:dyDescent="0.25">
      <c r="A66" s="87" t="s">
        <v>201</v>
      </c>
      <c r="B66" s="70">
        <v>54.4</v>
      </c>
      <c r="C66" s="70">
        <v>54.4</v>
      </c>
      <c r="D66" s="70">
        <v>54.4</v>
      </c>
      <c r="E66" s="70">
        <v>60.9</v>
      </c>
      <c r="F66" s="70">
        <v>60.9</v>
      </c>
      <c r="G66" s="70">
        <v>60.7</v>
      </c>
      <c r="H66" s="70">
        <v>60.7</v>
      </c>
      <c r="I66" s="70">
        <v>60.7</v>
      </c>
      <c r="J66" s="70">
        <v>60.7</v>
      </c>
      <c r="K66" s="70">
        <v>60.7</v>
      </c>
      <c r="L66" s="122">
        <v>60.7</v>
      </c>
      <c r="M66" s="122">
        <v>60.7</v>
      </c>
      <c r="N66" s="122">
        <v>60.7</v>
      </c>
      <c r="O66" s="122">
        <v>60.7</v>
      </c>
      <c r="P66" s="122">
        <v>60.7</v>
      </c>
      <c r="Q66" s="122">
        <v>60.7</v>
      </c>
      <c r="R66" s="122">
        <v>60.7</v>
      </c>
      <c r="S66" s="122">
        <v>56.7</v>
      </c>
      <c r="T66" s="70"/>
      <c r="U66" s="70">
        <v>60</v>
      </c>
      <c r="V66" s="70">
        <v>55</v>
      </c>
      <c r="W66" s="70">
        <v>55</v>
      </c>
      <c r="X66" s="70">
        <v>55</v>
      </c>
      <c r="Y66" s="70">
        <v>55</v>
      </c>
      <c r="Z66" s="102">
        <v>55</v>
      </c>
      <c r="AA66" s="102">
        <v>55</v>
      </c>
      <c r="AB66" s="102">
        <v>51</v>
      </c>
      <c r="AC66" s="102">
        <v>51</v>
      </c>
      <c r="AD66" s="102">
        <v>51</v>
      </c>
      <c r="AE66" s="102">
        <v>53.1</v>
      </c>
      <c r="AF66" s="102">
        <v>53.1</v>
      </c>
      <c r="AG66" s="86">
        <v>60</v>
      </c>
      <c r="AH66" s="12">
        <f t="shared" si="8"/>
        <v>60.9</v>
      </c>
      <c r="AI66" s="11">
        <f t="shared" si="9"/>
        <v>51</v>
      </c>
      <c r="AK66" s="19"/>
    </row>
    <row r="67" spans="1:75" x14ac:dyDescent="0.25">
      <c r="A67" s="87" t="s">
        <v>200</v>
      </c>
      <c r="B67" s="102">
        <v>10.5</v>
      </c>
      <c r="C67" s="102">
        <v>10.5</v>
      </c>
      <c r="D67" s="102">
        <v>10.5</v>
      </c>
      <c r="E67" s="70">
        <v>10.8</v>
      </c>
      <c r="F67" s="70">
        <v>10.8</v>
      </c>
      <c r="G67" s="70">
        <v>10.8</v>
      </c>
      <c r="H67" s="70">
        <v>10.7</v>
      </c>
      <c r="I67" s="70">
        <v>10.7</v>
      </c>
      <c r="J67" s="70">
        <v>15</v>
      </c>
      <c r="K67" s="70">
        <v>24</v>
      </c>
      <c r="L67" s="122">
        <v>23.9</v>
      </c>
      <c r="M67" s="122">
        <v>14.2</v>
      </c>
      <c r="N67" s="122">
        <v>10.1</v>
      </c>
      <c r="O67" s="122">
        <v>14.4</v>
      </c>
      <c r="P67" s="122">
        <v>14.4</v>
      </c>
      <c r="Q67" s="122">
        <v>14.4</v>
      </c>
      <c r="R67" s="122">
        <v>9.9</v>
      </c>
      <c r="S67" s="122">
        <v>14</v>
      </c>
      <c r="T67" s="70"/>
      <c r="U67" s="70">
        <v>0</v>
      </c>
      <c r="V67" s="70">
        <v>0</v>
      </c>
      <c r="W67" s="70">
        <v>0</v>
      </c>
      <c r="X67" s="70">
        <v>0</v>
      </c>
      <c r="Y67" s="70">
        <v>0</v>
      </c>
      <c r="Z67" s="102">
        <v>25</v>
      </c>
      <c r="AA67" s="102">
        <v>25</v>
      </c>
      <c r="AB67" s="102">
        <v>25</v>
      </c>
      <c r="AC67" s="102">
        <v>10.1</v>
      </c>
      <c r="AD67" s="102">
        <v>13.2</v>
      </c>
      <c r="AE67" s="102">
        <v>9.6999999999999993</v>
      </c>
      <c r="AF67" s="102">
        <v>9.6999999999999993</v>
      </c>
      <c r="AG67" s="86">
        <v>30</v>
      </c>
      <c r="AH67" s="12">
        <f t="shared" si="8"/>
        <v>25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25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0.4</v>
      </c>
      <c r="J68" s="102">
        <v>1.5</v>
      </c>
      <c r="K68" s="102">
        <v>1.5</v>
      </c>
      <c r="L68" s="70">
        <v>4.4000000000000004</v>
      </c>
      <c r="M68" s="70">
        <v>7.3</v>
      </c>
      <c r="N68" s="70">
        <v>10.9</v>
      </c>
      <c r="O68" s="70">
        <v>14.7</v>
      </c>
      <c r="P68" s="70">
        <v>16.399999999999999</v>
      </c>
      <c r="Q68" s="70">
        <v>18.399999999999999</v>
      </c>
      <c r="R68" s="70">
        <v>17.5</v>
      </c>
      <c r="S68" s="70">
        <v>14.2</v>
      </c>
      <c r="T68" s="70"/>
      <c r="U68" s="70">
        <v>5.5</v>
      </c>
      <c r="V68" s="70">
        <v>1.3</v>
      </c>
      <c r="W68" s="70">
        <v>1</v>
      </c>
      <c r="X68" s="70">
        <v>0.3</v>
      </c>
      <c r="Y68" s="70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18.399999999999999</v>
      </c>
      <c r="AI68" s="11">
        <f t="shared" si="9"/>
        <v>0</v>
      </c>
      <c r="AK68" s="19"/>
      <c r="AY68" s="1" t="s">
        <v>198</v>
      </c>
      <c r="AZ68" s="78">
        <f>ROUND(C81,0)</f>
        <v>25</v>
      </c>
      <c r="BA68" s="83">
        <f t="shared" ref="BA68:BD72" si="37">D81</f>
        <v>23.2</v>
      </c>
      <c r="BB68" s="83">
        <f t="shared" si="37"/>
        <v>19.899999999999999</v>
      </c>
      <c r="BC68" s="83">
        <f t="shared" si="37"/>
        <v>17.5</v>
      </c>
      <c r="BD68" s="83">
        <f t="shared" si="37"/>
        <v>34.5</v>
      </c>
      <c r="BE68" s="78">
        <f>I81</f>
        <v>29.5</v>
      </c>
      <c r="BF68" s="78">
        <f>K81</f>
        <v>62.5</v>
      </c>
      <c r="BG68" s="78">
        <f t="shared" ref="BG68:BP72" si="38">M81</f>
        <v>73.8</v>
      </c>
      <c r="BH68" s="78">
        <f t="shared" si="38"/>
        <v>67.7</v>
      </c>
      <c r="BI68" s="78">
        <f t="shared" si="38"/>
        <v>73.2</v>
      </c>
      <c r="BJ68" s="78">
        <f t="shared" si="38"/>
        <v>62.3</v>
      </c>
      <c r="BK68" s="78">
        <f t="shared" si="38"/>
        <v>59.5</v>
      </c>
      <c r="BL68" s="78">
        <f t="shared" si="38"/>
        <v>66.400000000000006</v>
      </c>
      <c r="BM68" s="78">
        <f t="shared" si="38"/>
        <v>74.900000000000006</v>
      </c>
      <c r="BN68" s="78">
        <f t="shared" si="38"/>
        <v>0</v>
      </c>
      <c r="BO68" s="78">
        <f t="shared" si="38"/>
        <v>62.1</v>
      </c>
      <c r="BP68" s="78">
        <f t="shared" si="38"/>
        <v>60.8</v>
      </c>
      <c r="BQ68" s="78">
        <f>X81</f>
        <v>66.599999999999994</v>
      </c>
      <c r="BR68" s="78">
        <f>Z81</f>
        <v>20</v>
      </c>
      <c r="BS68" s="83">
        <f>AB81</f>
        <v>16</v>
      </c>
      <c r="BT68" s="83">
        <f t="shared" ref="BT68:BV72" si="39">AD81</f>
        <v>34.799999999999997</v>
      </c>
      <c r="BU68" s="83">
        <f t="shared" si="39"/>
        <v>37.6</v>
      </c>
      <c r="BV68" s="83">
        <f t="shared" si="39"/>
        <v>32.700000000000003</v>
      </c>
      <c r="BW68" s="83">
        <f>B81</f>
        <v>25</v>
      </c>
    </row>
    <row r="69" spans="1:75" x14ac:dyDescent="0.25">
      <c r="A69" s="87" t="s">
        <v>197</v>
      </c>
      <c r="B69" s="70">
        <v>15</v>
      </c>
      <c r="C69" s="70">
        <v>15</v>
      </c>
      <c r="D69" s="70">
        <v>15</v>
      </c>
      <c r="E69" s="70">
        <v>15</v>
      </c>
      <c r="F69" s="70">
        <v>15</v>
      </c>
      <c r="G69" s="70">
        <v>15</v>
      </c>
      <c r="H69" s="70">
        <v>15</v>
      </c>
      <c r="I69" s="70">
        <v>15</v>
      </c>
      <c r="J69" s="70">
        <v>15</v>
      </c>
      <c r="K69" s="70">
        <v>15</v>
      </c>
      <c r="L69" s="70">
        <v>15</v>
      </c>
      <c r="M69" s="70">
        <v>15</v>
      </c>
      <c r="N69" s="70">
        <v>15</v>
      </c>
      <c r="O69" s="70">
        <v>15</v>
      </c>
      <c r="P69" s="70">
        <v>15</v>
      </c>
      <c r="Q69" s="70">
        <v>15</v>
      </c>
      <c r="R69" s="70">
        <v>15</v>
      </c>
      <c r="S69" s="70">
        <v>15</v>
      </c>
      <c r="T69" s="70"/>
      <c r="U69" s="70">
        <v>15</v>
      </c>
      <c r="V69" s="70">
        <v>15</v>
      </c>
      <c r="W69" s="70">
        <v>15</v>
      </c>
      <c r="X69" s="70">
        <v>15</v>
      </c>
      <c r="Y69" s="70">
        <v>15</v>
      </c>
      <c r="Z69" s="70">
        <v>15</v>
      </c>
      <c r="AA69" s="70">
        <v>15</v>
      </c>
      <c r="AB69" s="70">
        <v>15</v>
      </c>
      <c r="AC69" s="70">
        <v>15</v>
      </c>
      <c r="AD69" s="70">
        <v>15</v>
      </c>
      <c r="AE69" s="70">
        <v>15</v>
      </c>
      <c r="AF69" s="70">
        <v>15</v>
      </c>
      <c r="AG69" s="86">
        <v>24</v>
      </c>
      <c r="AH69" s="12">
        <f t="shared" si="8"/>
        <v>15</v>
      </c>
      <c r="AI69" s="11">
        <f t="shared" si="9"/>
        <v>15</v>
      </c>
      <c r="AK69" s="19"/>
      <c r="AY69" s="1" t="s">
        <v>196</v>
      </c>
      <c r="AZ69" s="78">
        <f>ROUND(C82,0)</f>
        <v>0</v>
      </c>
      <c r="BA69" s="83">
        <f t="shared" si="37"/>
        <v>0</v>
      </c>
      <c r="BB69" s="83">
        <f t="shared" si="37"/>
        <v>0</v>
      </c>
      <c r="BC69" s="83">
        <f t="shared" si="37"/>
        <v>0</v>
      </c>
      <c r="BD69" s="83">
        <f t="shared" si="37"/>
        <v>0</v>
      </c>
      <c r="BE69" s="78">
        <f>I82</f>
        <v>0</v>
      </c>
      <c r="BF69" s="78">
        <f>K82</f>
        <v>0</v>
      </c>
      <c r="BG69" s="78">
        <f t="shared" si="38"/>
        <v>0</v>
      </c>
      <c r="BH69" s="78">
        <f t="shared" si="38"/>
        <v>0</v>
      </c>
      <c r="BI69" s="78">
        <f t="shared" si="38"/>
        <v>0</v>
      </c>
      <c r="BJ69" s="78">
        <f t="shared" si="38"/>
        <v>0</v>
      </c>
      <c r="BK69" s="78">
        <f t="shared" si="38"/>
        <v>0</v>
      </c>
      <c r="BL69" s="78">
        <f t="shared" si="38"/>
        <v>0</v>
      </c>
      <c r="BM69" s="78">
        <f t="shared" si="38"/>
        <v>0</v>
      </c>
      <c r="BN69" s="78">
        <f t="shared" si="38"/>
        <v>0</v>
      </c>
      <c r="BO69" s="78">
        <f t="shared" si="38"/>
        <v>0</v>
      </c>
      <c r="BP69" s="78">
        <f t="shared" si="38"/>
        <v>0</v>
      </c>
      <c r="BQ69" s="78">
        <f>X82</f>
        <v>0</v>
      </c>
      <c r="BR69" s="78">
        <f>Z82</f>
        <v>0</v>
      </c>
      <c r="BS69" s="83">
        <f>AB82</f>
        <v>0</v>
      </c>
      <c r="BT69" s="83">
        <f t="shared" si="39"/>
        <v>0</v>
      </c>
      <c r="BU69" s="83">
        <f t="shared" si="39"/>
        <v>0</v>
      </c>
      <c r="BV69" s="83">
        <f t="shared" si="39"/>
        <v>0</v>
      </c>
      <c r="BW69" s="83">
        <f>B82</f>
        <v>0</v>
      </c>
    </row>
    <row r="70" spans="1:75" x14ac:dyDescent="0.25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/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126</v>
      </c>
      <c r="BA70" s="83">
        <f t="shared" si="37"/>
        <v>85</v>
      </c>
      <c r="BB70" s="83">
        <f t="shared" si="37"/>
        <v>70.599999999999994</v>
      </c>
      <c r="BC70" s="83">
        <f t="shared" si="37"/>
        <v>71.8</v>
      </c>
      <c r="BD70" s="83">
        <f t="shared" si="37"/>
        <v>130</v>
      </c>
      <c r="BE70" s="78">
        <f>I83</f>
        <v>185</v>
      </c>
      <c r="BF70" s="78">
        <f>K83</f>
        <v>516</v>
      </c>
      <c r="BG70" s="78">
        <f t="shared" si="38"/>
        <v>388.8</v>
      </c>
      <c r="BH70" s="78">
        <f t="shared" si="38"/>
        <v>490.5</v>
      </c>
      <c r="BI70" s="78">
        <f t="shared" si="38"/>
        <v>504.3</v>
      </c>
      <c r="BJ70" s="78">
        <f t="shared" si="38"/>
        <v>498.1</v>
      </c>
      <c r="BK70" s="78">
        <f t="shared" si="38"/>
        <v>506.3</v>
      </c>
      <c r="BL70" s="78">
        <f t="shared" si="38"/>
        <v>473.6</v>
      </c>
      <c r="BM70" s="78">
        <f t="shared" si="38"/>
        <v>430</v>
      </c>
      <c r="BN70" s="78">
        <f t="shared" si="38"/>
        <v>0</v>
      </c>
      <c r="BO70" s="78">
        <f t="shared" si="38"/>
        <v>321.8</v>
      </c>
      <c r="BP70" s="78">
        <f t="shared" si="38"/>
        <v>433.1</v>
      </c>
      <c r="BQ70" s="78">
        <f>X83</f>
        <v>445</v>
      </c>
      <c r="BR70" s="78">
        <f>Z83</f>
        <v>132</v>
      </c>
      <c r="BS70" s="83">
        <f>AB83</f>
        <v>171</v>
      </c>
      <c r="BT70" s="83">
        <f t="shared" si="39"/>
        <v>87.5</v>
      </c>
      <c r="BU70" s="83">
        <f t="shared" si="39"/>
        <v>51.2</v>
      </c>
      <c r="BV70" s="83">
        <f t="shared" si="39"/>
        <v>29</v>
      </c>
      <c r="BW70" s="83">
        <f>B83</f>
        <v>122</v>
      </c>
    </row>
    <row r="71" spans="1:75" s="115" customFormat="1" x14ac:dyDescent="0.25">
      <c r="A71" s="87" t="s">
        <v>193</v>
      </c>
      <c r="B71" s="70">
        <v>12.5</v>
      </c>
      <c r="C71" s="70">
        <v>12.5</v>
      </c>
      <c r="D71" s="70">
        <v>12.5</v>
      </c>
      <c r="E71" s="70">
        <v>13</v>
      </c>
      <c r="F71" s="70">
        <v>13</v>
      </c>
      <c r="G71" s="70">
        <v>13</v>
      </c>
      <c r="H71" s="70">
        <v>13</v>
      </c>
      <c r="I71" s="70">
        <v>13</v>
      </c>
      <c r="J71" s="70">
        <v>13</v>
      </c>
      <c r="K71" s="70">
        <v>13</v>
      </c>
      <c r="L71" s="70">
        <v>11.1</v>
      </c>
      <c r="M71" s="70">
        <v>11.1</v>
      </c>
      <c r="N71" s="70">
        <v>11.1</v>
      </c>
      <c r="O71" s="70">
        <v>11.1</v>
      </c>
      <c r="P71" s="70">
        <v>11.1</v>
      </c>
      <c r="Q71" s="70">
        <v>11.1</v>
      </c>
      <c r="R71" s="70">
        <v>11.1</v>
      </c>
      <c r="S71" s="70">
        <v>11.1</v>
      </c>
      <c r="T71" s="70"/>
      <c r="U71" s="70">
        <v>12.3</v>
      </c>
      <c r="V71" s="70">
        <v>12.3</v>
      </c>
      <c r="W71" s="70">
        <v>12.3</v>
      </c>
      <c r="X71" s="70">
        <v>10.8</v>
      </c>
      <c r="Y71" s="70">
        <v>10.8</v>
      </c>
      <c r="Z71" s="70">
        <v>10.8</v>
      </c>
      <c r="AA71" s="70">
        <v>10.8</v>
      </c>
      <c r="AB71" s="70">
        <v>10.8</v>
      </c>
      <c r="AC71" s="70">
        <v>10.8</v>
      </c>
      <c r="AD71" s="70">
        <v>10.8</v>
      </c>
      <c r="AE71" s="70">
        <v>10.8</v>
      </c>
      <c r="AF71" s="70">
        <v>10.8</v>
      </c>
      <c r="AG71" s="86">
        <v>14.1</v>
      </c>
      <c r="AH71" s="12">
        <f t="shared" si="8"/>
        <v>13</v>
      </c>
      <c r="AI71" s="11">
        <f t="shared" si="9"/>
        <v>10.8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37"/>
        <v>0</v>
      </c>
      <c r="BB71" s="83">
        <f t="shared" si="37"/>
        <v>0</v>
      </c>
      <c r="BC71" s="83">
        <f t="shared" si="37"/>
        <v>0</v>
      </c>
      <c r="BD71" s="83">
        <f t="shared" si="37"/>
        <v>0</v>
      </c>
      <c r="BE71" s="78">
        <f>I84</f>
        <v>0</v>
      </c>
      <c r="BF71" s="78">
        <f>K84</f>
        <v>0</v>
      </c>
      <c r="BG71" s="78">
        <f t="shared" si="38"/>
        <v>56.1</v>
      </c>
      <c r="BH71" s="78">
        <f t="shared" si="38"/>
        <v>0</v>
      </c>
      <c r="BI71" s="78">
        <f t="shared" si="38"/>
        <v>0</v>
      </c>
      <c r="BJ71" s="78">
        <f t="shared" si="38"/>
        <v>31.3</v>
      </c>
      <c r="BK71" s="78">
        <f t="shared" si="38"/>
        <v>48.6</v>
      </c>
      <c r="BL71" s="78">
        <f t="shared" si="38"/>
        <v>28.4</v>
      </c>
      <c r="BM71" s="78">
        <f t="shared" si="38"/>
        <v>44.2</v>
      </c>
      <c r="BN71" s="78">
        <f t="shared" si="38"/>
        <v>0</v>
      </c>
      <c r="BO71" s="78">
        <f t="shared" si="38"/>
        <v>38.4</v>
      </c>
      <c r="BP71" s="78">
        <f t="shared" si="38"/>
        <v>36.6</v>
      </c>
      <c r="BQ71" s="78">
        <f>X84</f>
        <v>34.4</v>
      </c>
      <c r="BR71" s="78">
        <f>Z84</f>
        <v>0</v>
      </c>
      <c r="BS71" s="83">
        <f>AB84</f>
        <v>0</v>
      </c>
      <c r="BT71" s="83">
        <f t="shared" si="39"/>
        <v>0</v>
      </c>
      <c r="BU71" s="83">
        <f t="shared" si="39"/>
        <v>0</v>
      </c>
      <c r="BV71" s="83">
        <f t="shared" si="39"/>
        <v>0</v>
      </c>
      <c r="BW71" s="83">
        <f>B84</f>
        <v>0</v>
      </c>
    </row>
    <row r="72" spans="1:75" x14ac:dyDescent="0.25">
      <c r="A72" s="111" t="s">
        <v>191</v>
      </c>
      <c r="B72" s="70">
        <v>7</v>
      </c>
      <c r="C72" s="70">
        <v>7</v>
      </c>
      <c r="D72" s="70">
        <v>7</v>
      </c>
      <c r="E72" s="70">
        <v>7.4</v>
      </c>
      <c r="F72" s="70">
        <v>7.4</v>
      </c>
      <c r="G72" s="70">
        <v>7.4</v>
      </c>
      <c r="H72" s="70">
        <v>7.4</v>
      </c>
      <c r="I72" s="70">
        <v>7.4</v>
      </c>
      <c r="J72" s="70">
        <v>7.4</v>
      </c>
      <c r="K72" s="70">
        <v>7.4</v>
      </c>
      <c r="L72" s="70">
        <v>7.2</v>
      </c>
      <c r="M72" s="70">
        <v>7.2</v>
      </c>
      <c r="N72" s="70">
        <v>7.2</v>
      </c>
      <c r="O72" s="70">
        <v>7.2</v>
      </c>
      <c r="P72" s="70">
        <v>7.2</v>
      </c>
      <c r="Q72" s="70">
        <v>7.2</v>
      </c>
      <c r="R72" s="70">
        <v>7.2</v>
      </c>
      <c r="S72" s="70">
        <v>7.2</v>
      </c>
      <c r="T72" s="70"/>
      <c r="U72" s="70">
        <v>7.2</v>
      </c>
      <c r="V72" s="70">
        <v>7.2</v>
      </c>
      <c r="W72" s="70">
        <v>7.2</v>
      </c>
      <c r="X72" s="70">
        <v>7.2</v>
      </c>
      <c r="Y72" s="70">
        <v>7.2</v>
      </c>
      <c r="Z72" s="70">
        <v>7.2</v>
      </c>
      <c r="AA72" s="70">
        <v>7.2</v>
      </c>
      <c r="AB72" s="70">
        <v>7.2</v>
      </c>
      <c r="AC72" s="70">
        <v>7.2</v>
      </c>
      <c r="AD72" s="70">
        <v>7.2</v>
      </c>
      <c r="AE72" s="70">
        <v>7.2</v>
      </c>
      <c r="AF72" s="70">
        <v>7.2</v>
      </c>
      <c r="AG72" s="86">
        <v>14</v>
      </c>
      <c r="AH72" s="12">
        <f t="shared" si="8"/>
        <v>7.4</v>
      </c>
      <c r="AI72" s="11">
        <f t="shared" si="9"/>
        <v>7</v>
      </c>
      <c r="AK72" s="19"/>
      <c r="AY72" s="1" t="s">
        <v>190</v>
      </c>
      <c r="AZ72" s="78">
        <f>ROUND(C85,0)</f>
        <v>0</v>
      </c>
      <c r="BA72" s="83">
        <f t="shared" si="37"/>
        <v>0</v>
      </c>
      <c r="BB72" s="83">
        <f t="shared" si="37"/>
        <v>0</v>
      </c>
      <c r="BC72" s="83">
        <f t="shared" si="37"/>
        <v>0</v>
      </c>
      <c r="BD72" s="83">
        <f t="shared" si="37"/>
        <v>0</v>
      </c>
      <c r="BE72" s="78">
        <f>I85</f>
        <v>0</v>
      </c>
      <c r="BF72" s="78">
        <f>K85</f>
        <v>0</v>
      </c>
      <c r="BG72" s="78">
        <f t="shared" si="38"/>
        <v>119.8</v>
      </c>
      <c r="BH72" s="78">
        <f t="shared" si="38"/>
        <v>114.6</v>
      </c>
      <c r="BI72" s="78">
        <f t="shared" si="38"/>
        <v>125.7</v>
      </c>
      <c r="BJ72" s="78">
        <f t="shared" si="38"/>
        <v>129.30000000000001</v>
      </c>
      <c r="BK72" s="78">
        <f t="shared" si="38"/>
        <v>130</v>
      </c>
      <c r="BL72" s="78">
        <f t="shared" si="38"/>
        <v>131.4</v>
      </c>
      <c r="BM72" s="78">
        <f t="shared" si="38"/>
        <v>122.1</v>
      </c>
      <c r="BN72" s="78">
        <f t="shared" si="38"/>
        <v>0</v>
      </c>
      <c r="BO72" s="78">
        <f t="shared" si="38"/>
        <v>106.3</v>
      </c>
      <c r="BP72" s="78">
        <f t="shared" si="38"/>
        <v>126.8</v>
      </c>
      <c r="BQ72" s="78">
        <f>X85</f>
        <v>84.6</v>
      </c>
      <c r="BR72" s="78">
        <f>Z85</f>
        <v>0</v>
      </c>
      <c r="BS72" s="83">
        <f>AB85</f>
        <v>0</v>
      </c>
      <c r="BT72" s="83">
        <f t="shared" si="39"/>
        <v>0</v>
      </c>
      <c r="BU72" s="83">
        <f t="shared" si="39"/>
        <v>0</v>
      </c>
      <c r="BV72" s="83">
        <f t="shared" si="39"/>
        <v>0</v>
      </c>
      <c r="BW72" s="83">
        <f>B85</f>
        <v>0</v>
      </c>
    </row>
    <row r="73" spans="1:75" x14ac:dyDescent="0.25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/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8"/>
        <v>4</v>
      </c>
      <c r="AI73" s="11">
        <f t="shared" si="9"/>
        <v>4</v>
      </c>
      <c r="AK73" s="19"/>
      <c r="AY73" s="1" t="s">
        <v>188</v>
      </c>
      <c r="AZ73" s="78">
        <f>ROUND(C91,0)</f>
        <v>47</v>
      </c>
      <c r="BA73" s="78">
        <f>D91</f>
        <v>44</v>
      </c>
      <c r="BB73" s="78">
        <f>E91</f>
        <v>42.8</v>
      </c>
      <c r="BC73" s="78">
        <f>F91</f>
        <v>44.1</v>
      </c>
      <c r="BD73" s="78">
        <f>G91</f>
        <v>39.5</v>
      </c>
      <c r="BE73" s="78">
        <f>I91</f>
        <v>39.200000000000003</v>
      </c>
      <c r="BF73" s="78">
        <f>K91</f>
        <v>40.1</v>
      </c>
      <c r="BG73" s="78">
        <f t="shared" ref="BG73:BP73" si="40">M91</f>
        <v>49.5</v>
      </c>
      <c r="BH73" s="78">
        <f t="shared" si="40"/>
        <v>47.3</v>
      </c>
      <c r="BI73" s="78">
        <f t="shared" si="40"/>
        <v>43.3</v>
      </c>
      <c r="BJ73" s="78">
        <f t="shared" si="40"/>
        <v>46.2</v>
      </c>
      <c r="BK73" s="78">
        <f t="shared" si="40"/>
        <v>53.5</v>
      </c>
      <c r="BL73" s="78">
        <f t="shared" si="40"/>
        <v>44.4</v>
      </c>
      <c r="BM73" s="78">
        <f t="shared" si="40"/>
        <v>43.6</v>
      </c>
      <c r="BN73" s="78">
        <f t="shared" si="40"/>
        <v>0</v>
      </c>
      <c r="BO73" s="78">
        <f t="shared" si="40"/>
        <v>47.5</v>
      </c>
      <c r="BP73" s="78">
        <f t="shared" si="40"/>
        <v>39</v>
      </c>
      <c r="BQ73" s="78">
        <f>X91</f>
        <v>35</v>
      </c>
      <c r="BR73" s="78">
        <f>Z91</f>
        <v>33.200000000000003</v>
      </c>
      <c r="BS73" s="78">
        <f>AB91</f>
        <v>37.9</v>
      </c>
      <c r="BT73" s="78">
        <f>AD91</f>
        <v>41.7</v>
      </c>
      <c r="BU73" s="78">
        <f>AE91</f>
        <v>42.4</v>
      </c>
      <c r="BV73" s="78">
        <f>AF91</f>
        <v>43.3</v>
      </c>
      <c r="BW73" s="78">
        <f>B91</f>
        <v>46.8</v>
      </c>
    </row>
    <row r="74" spans="1:75" x14ac:dyDescent="0.25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/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.75" thickBot="1" x14ac:dyDescent="0.3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3.5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</v>
      </c>
      <c r="AK75" s="19"/>
      <c r="AZ75" s="78">
        <f t="shared" ref="AZ75:BW80" si="41">VALUE(AZ68)</f>
        <v>25</v>
      </c>
      <c r="BA75" s="78">
        <f t="shared" si="41"/>
        <v>23.2</v>
      </c>
      <c r="BB75" s="78">
        <f t="shared" si="41"/>
        <v>19.899999999999999</v>
      </c>
      <c r="BC75" s="78">
        <f t="shared" si="41"/>
        <v>17.5</v>
      </c>
      <c r="BD75" s="78">
        <f t="shared" si="41"/>
        <v>34.5</v>
      </c>
      <c r="BE75" s="78">
        <f t="shared" si="41"/>
        <v>29.5</v>
      </c>
      <c r="BF75" s="78">
        <f t="shared" si="41"/>
        <v>62.5</v>
      </c>
      <c r="BG75" s="78">
        <f t="shared" si="41"/>
        <v>73.8</v>
      </c>
      <c r="BH75" s="78">
        <f t="shared" si="41"/>
        <v>67.7</v>
      </c>
      <c r="BI75" s="78">
        <f t="shared" si="41"/>
        <v>73.2</v>
      </c>
      <c r="BJ75" s="78">
        <f t="shared" si="41"/>
        <v>62.3</v>
      </c>
      <c r="BK75" s="78">
        <f t="shared" si="41"/>
        <v>59.5</v>
      </c>
      <c r="BL75" s="78">
        <f t="shared" si="41"/>
        <v>66.400000000000006</v>
      </c>
      <c r="BM75" s="78">
        <f t="shared" si="41"/>
        <v>74.900000000000006</v>
      </c>
      <c r="BN75" s="78">
        <f t="shared" si="41"/>
        <v>0</v>
      </c>
      <c r="BO75" s="78">
        <f t="shared" si="41"/>
        <v>62.1</v>
      </c>
      <c r="BP75" s="78">
        <f t="shared" si="41"/>
        <v>60.8</v>
      </c>
      <c r="BQ75" s="78">
        <f t="shared" si="41"/>
        <v>66.599999999999994</v>
      </c>
      <c r="BR75" s="78">
        <f t="shared" si="41"/>
        <v>20</v>
      </c>
      <c r="BS75" s="78">
        <f t="shared" si="41"/>
        <v>16</v>
      </c>
      <c r="BT75" s="78">
        <f t="shared" si="41"/>
        <v>34.799999999999997</v>
      </c>
      <c r="BU75" s="78">
        <f t="shared" si="41"/>
        <v>37.6</v>
      </c>
      <c r="BV75" s="78">
        <f t="shared" si="41"/>
        <v>32.700000000000003</v>
      </c>
      <c r="BW75" s="78">
        <f t="shared" si="41"/>
        <v>25</v>
      </c>
    </row>
    <row r="76" spans="1:75" ht="15.75" thickBot="1" x14ac:dyDescent="0.3">
      <c r="A76" s="77" t="s">
        <v>186</v>
      </c>
      <c r="B76" s="76">
        <f t="shared" ref="B76:AG76" si="42">SUM(B63:B75)</f>
        <v>287.94</v>
      </c>
      <c r="C76" s="76">
        <f t="shared" si="42"/>
        <v>287.94</v>
      </c>
      <c r="D76" s="76">
        <f t="shared" si="42"/>
        <v>287.94</v>
      </c>
      <c r="E76" s="76">
        <f t="shared" si="42"/>
        <v>296.64000000000004</v>
      </c>
      <c r="F76" s="76">
        <f t="shared" si="42"/>
        <v>284.94</v>
      </c>
      <c r="G76" s="76">
        <f t="shared" si="42"/>
        <v>228.04000000000002</v>
      </c>
      <c r="H76" s="76">
        <f t="shared" si="42"/>
        <v>280.24</v>
      </c>
      <c r="I76" s="76">
        <f t="shared" si="42"/>
        <v>317.53999999999996</v>
      </c>
      <c r="J76" s="76">
        <f t="shared" ref="J76" si="43">SUM(J63:J75)</f>
        <v>304.24</v>
      </c>
      <c r="K76" s="76">
        <f t="shared" si="42"/>
        <v>314.64</v>
      </c>
      <c r="L76" s="76">
        <f t="shared" si="42"/>
        <v>315.83999999999997</v>
      </c>
      <c r="M76" s="76">
        <f t="shared" ref="M76:N76" si="44">SUM(M63:M75)</f>
        <v>260.44</v>
      </c>
      <c r="N76" s="76">
        <f t="shared" si="44"/>
        <v>239.03999999999996</v>
      </c>
      <c r="O76" s="76">
        <f t="shared" ref="O76:P76" si="45">SUM(O63:O75)</f>
        <v>268.14</v>
      </c>
      <c r="P76" s="76">
        <f t="shared" si="45"/>
        <v>270.24000000000007</v>
      </c>
      <c r="Q76" s="76">
        <f t="shared" ref="Q76:R76" si="46">SUM(Q63:Q75)</f>
        <v>241.33999999999997</v>
      </c>
      <c r="R76" s="76">
        <f t="shared" si="46"/>
        <v>246.84</v>
      </c>
      <c r="S76" s="76">
        <f t="shared" si="42"/>
        <v>234.33999999999997</v>
      </c>
      <c r="T76" s="76">
        <f t="shared" si="42"/>
        <v>3.54</v>
      </c>
      <c r="U76" s="76">
        <f t="shared" si="42"/>
        <v>261.24</v>
      </c>
      <c r="V76" s="76">
        <f t="shared" si="42"/>
        <v>210.94</v>
      </c>
      <c r="W76" s="76">
        <f t="shared" si="42"/>
        <v>210.64</v>
      </c>
      <c r="X76" s="76">
        <f t="shared" si="42"/>
        <v>188.84</v>
      </c>
      <c r="Y76" s="76">
        <f t="shared" si="42"/>
        <v>312.10000000000002</v>
      </c>
      <c r="Z76" s="76">
        <f t="shared" si="42"/>
        <v>393.7</v>
      </c>
      <c r="AA76" s="76">
        <f t="shared" si="42"/>
        <v>392.74</v>
      </c>
      <c r="AB76" s="76">
        <f t="shared" si="42"/>
        <v>362.54</v>
      </c>
      <c r="AC76" s="76">
        <f t="shared" ref="AC76:AD76" si="47">SUM(AC63:AC75)</f>
        <v>334.34000000000003</v>
      </c>
      <c r="AD76" s="76">
        <f t="shared" si="47"/>
        <v>313.74</v>
      </c>
      <c r="AE76" s="76">
        <f t="shared" ref="AE76:AF76" si="48">SUM(AE63:AE75)</f>
        <v>297.94</v>
      </c>
      <c r="AF76" s="76">
        <f t="shared" si="48"/>
        <v>288.24000000000007</v>
      </c>
      <c r="AG76" s="93">
        <f t="shared" si="42"/>
        <v>489.91</v>
      </c>
      <c r="AH76" s="12">
        <f t="shared" si="8"/>
        <v>393.7</v>
      </c>
      <c r="AI76" s="11">
        <f t="shared" si="9"/>
        <v>3.54</v>
      </c>
      <c r="AK76" s="19"/>
      <c r="AZ76" s="78">
        <f t="shared" si="41"/>
        <v>0</v>
      </c>
      <c r="BA76" s="78">
        <f t="shared" si="41"/>
        <v>0</v>
      </c>
      <c r="BB76" s="78">
        <f t="shared" si="41"/>
        <v>0</v>
      </c>
      <c r="BC76" s="78">
        <f t="shared" si="41"/>
        <v>0</v>
      </c>
      <c r="BD76" s="78">
        <f t="shared" si="41"/>
        <v>0</v>
      </c>
      <c r="BE76" s="78">
        <f t="shared" si="41"/>
        <v>0</v>
      </c>
      <c r="BF76" s="78">
        <f t="shared" si="41"/>
        <v>0</v>
      </c>
      <c r="BG76" s="78">
        <f t="shared" si="41"/>
        <v>0</v>
      </c>
      <c r="BH76" s="78">
        <f t="shared" si="41"/>
        <v>0</v>
      </c>
      <c r="BI76" s="78">
        <f t="shared" si="41"/>
        <v>0</v>
      </c>
      <c r="BJ76" s="78">
        <f t="shared" si="41"/>
        <v>0</v>
      </c>
      <c r="BK76" s="78">
        <f t="shared" si="41"/>
        <v>0</v>
      </c>
      <c r="BL76" s="78">
        <f t="shared" si="41"/>
        <v>0</v>
      </c>
      <c r="BM76" s="78">
        <f t="shared" si="41"/>
        <v>0</v>
      </c>
      <c r="BN76" s="78">
        <f t="shared" si="41"/>
        <v>0</v>
      </c>
      <c r="BO76" s="78">
        <f t="shared" si="41"/>
        <v>0</v>
      </c>
      <c r="BP76" s="78">
        <f t="shared" si="41"/>
        <v>0</v>
      </c>
      <c r="BQ76" s="78">
        <f t="shared" si="41"/>
        <v>0</v>
      </c>
      <c r="BR76" s="78">
        <f t="shared" si="41"/>
        <v>0</v>
      </c>
      <c r="BS76" s="78">
        <f t="shared" si="41"/>
        <v>0</v>
      </c>
      <c r="BT76" s="78">
        <f t="shared" si="41"/>
        <v>0</v>
      </c>
      <c r="BU76" s="78">
        <f t="shared" si="41"/>
        <v>0</v>
      </c>
      <c r="BV76" s="78">
        <f t="shared" si="41"/>
        <v>0</v>
      </c>
      <c r="BW76" s="78">
        <f t="shared" si="41"/>
        <v>0</v>
      </c>
    </row>
    <row r="77" spans="1:75" x14ac:dyDescent="0.25">
      <c r="A77" s="89" t="s">
        <v>185</v>
      </c>
      <c r="B77" s="102">
        <v>59.7</v>
      </c>
      <c r="C77" s="102">
        <v>59.7</v>
      </c>
      <c r="D77" s="102">
        <v>59.7</v>
      </c>
      <c r="E77" s="102">
        <v>60</v>
      </c>
      <c r="F77" s="102">
        <v>59.8</v>
      </c>
      <c r="G77" s="102">
        <v>59.7</v>
      </c>
      <c r="H77" s="102">
        <v>59.7</v>
      </c>
      <c r="I77" s="102">
        <v>59.7</v>
      </c>
      <c r="J77" s="102">
        <v>59.7</v>
      </c>
      <c r="K77" s="102">
        <v>49.6</v>
      </c>
      <c r="L77" s="102">
        <v>59.2</v>
      </c>
      <c r="M77" s="102">
        <v>59.2</v>
      </c>
      <c r="N77" s="102">
        <v>40.200000000000003</v>
      </c>
      <c r="O77" s="102">
        <v>59</v>
      </c>
      <c r="P77" s="102">
        <v>59</v>
      </c>
      <c r="Q77" s="102">
        <v>59</v>
      </c>
      <c r="R77" s="102">
        <v>59</v>
      </c>
      <c r="S77" s="102">
        <v>35</v>
      </c>
      <c r="T77" s="102"/>
      <c r="U77" s="102">
        <v>59.4</v>
      </c>
      <c r="V77" s="102">
        <v>55</v>
      </c>
      <c r="W77" s="102">
        <v>55</v>
      </c>
      <c r="X77" s="102">
        <v>45.2</v>
      </c>
      <c r="Y77" s="102">
        <v>59.1</v>
      </c>
      <c r="Z77" s="102">
        <v>59.1</v>
      </c>
      <c r="AA77" s="102">
        <v>59.1</v>
      </c>
      <c r="AB77" s="102">
        <v>59.1</v>
      </c>
      <c r="AC77" s="102">
        <v>59.1</v>
      </c>
      <c r="AD77" s="102">
        <v>59.1</v>
      </c>
      <c r="AE77" s="102">
        <v>59.1</v>
      </c>
      <c r="AF77" s="102">
        <v>59.1</v>
      </c>
      <c r="AG77" s="88">
        <v>60</v>
      </c>
      <c r="AH77" s="12">
        <f t="shared" si="8"/>
        <v>60</v>
      </c>
      <c r="AI77" s="11">
        <f t="shared" si="9"/>
        <v>35</v>
      </c>
      <c r="AK77" s="19"/>
      <c r="AZ77" s="78">
        <f t="shared" si="41"/>
        <v>126</v>
      </c>
      <c r="BA77" s="78">
        <f t="shared" si="41"/>
        <v>85</v>
      </c>
      <c r="BB77" s="78">
        <f t="shared" si="41"/>
        <v>70.599999999999994</v>
      </c>
      <c r="BC77" s="78">
        <f t="shared" si="41"/>
        <v>71.8</v>
      </c>
      <c r="BD77" s="78">
        <f t="shared" si="41"/>
        <v>130</v>
      </c>
      <c r="BE77" s="78">
        <f t="shared" si="41"/>
        <v>185</v>
      </c>
      <c r="BF77" s="78">
        <f t="shared" si="41"/>
        <v>516</v>
      </c>
      <c r="BG77" s="78">
        <f t="shared" si="41"/>
        <v>388.8</v>
      </c>
      <c r="BH77" s="78">
        <f t="shared" si="41"/>
        <v>490.5</v>
      </c>
      <c r="BI77" s="78">
        <f t="shared" si="41"/>
        <v>504.3</v>
      </c>
      <c r="BJ77" s="78">
        <f t="shared" si="41"/>
        <v>498.1</v>
      </c>
      <c r="BK77" s="78">
        <f t="shared" si="41"/>
        <v>506.3</v>
      </c>
      <c r="BL77" s="78">
        <f t="shared" si="41"/>
        <v>473.6</v>
      </c>
      <c r="BM77" s="78">
        <f t="shared" si="41"/>
        <v>430</v>
      </c>
      <c r="BN77" s="78">
        <f t="shared" si="41"/>
        <v>0</v>
      </c>
      <c r="BO77" s="78">
        <f t="shared" si="41"/>
        <v>321.8</v>
      </c>
      <c r="BP77" s="78">
        <f t="shared" si="41"/>
        <v>433.1</v>
      </c>
      <c r="BQ77" s="78">
        <f t="shared" si="41"/>
        <v>445</v>
      </c>
      <c r="BR77" s="78">
        <f t="shared" si="41"/>
        <v>132</v>
      </c>
      <c r="BS77" s="78">
        <f t="shared" si="41"/>
        <v>171</v>
      </c>
      <c r="BT77" s="78">
        <f t="shared" si="41"/>
        <v>87.5</v>
      </c>
      <c r="BU77" s="78">
        <f t="shared" si="41"/>
        <v>51.2</v>
      </c>
      <c r="BV77" s="78">
        <f t="shared" si="41"/>
        <v>29</v>
      </c>
      <c r="BW77" s="78">
        <f t="shared" si="41"/>
        <v>122</v>
      </c>
    </row>
    <row r="78" spans="1:75" x14ac:dyDescent="0.25">
      <c r="A78" s="87" t="s">
        <v>184</v>
      </c>
      <c r="B78" s="70">
        <v>28</v>
      </c>
      <c r="C78" s="70">
        <v>28</v>
      </c>
      <c r="D78" s="70">
        <v>28</v>
      </c>
      <c r="E78" s="70">
        <v>27.7</v>
      </c>
      <c r="F78" s="70">
        <v>28.2</v>
      </c>
      <c r="G78" s="70">
        <v>27.3</v>
      </c>
      <c r="H78" s="70">
        <v>27.3</v>
      </c>
      <c r="I78" s="70">
        <v>27.3</v>
      </c>
      <c r="J78" s="70">
        <v>27.3</v>
      </c>
      <c r="K78" s="70">
        <v>27.3</v>
      </c>
      <c r="L78" s="70">
        <v>27.8</v>
      </c>
      <c r="M78" s="70">
        <v>27.8</v>
      </c>
      <c r="N78" s="70">
        <v>17.8</v>
      </c>
      <c r="O78" s="70">
        <v>27.6</v>
      </c>
      <c r="P78" s="70">
        <v>27.6</v>
      </c>
      <c r="Q78" s="70">
        <v>27.6</v>
      </c>
      <c r="R78" s="70">
        <v>27.6</v>
      </c>
      <c r="S78" s="70">
        <v>14.4</v>
      </c>
      <c r="T78" s="70"/>
      <c r="U78" s="70">
        <v>27.8</v>
      </c>
      <c r="V78" s="70">
        <v>24.8</v>
      </c>
      <c r="W78" s="70">
        <v>24.8</v>
      </c>
      <c r="X78" s="70">
        <v>23.6</v>
      </c>
      <c r="Y78" s="70">
        <v>29</v>
      </c>
      <c r="Z78" s="70">
        <v>29</v>
      </c>
      <c r="AA78" s="70">
        <v>29</v>
      </c>
      <c r="AB78" s="70">
        <v>29</v>
      </c>
      <c r="AC78" s="70">
        <v>29</v>
      </c>
      <c r="AD78" s="70">
        <v>29</v>
      </c>
      <c r="AE78" s="70">
        <v>29</v>
      </c>
      <c r="AF78" s="70">
        <v>29</v>
      </c>
      <c r="AG78" s="86">
        <v>32</v>
      </c>
      <c r="AH78" s="12">
        <f t="shared" si="8"/>
        <v>29</v>
      </c>
      <c r="AI78" s="11">
        <f t="shared" si="9"/>
        <v>14.4</v>
      </c>
      <c r="AK78" s="19"/>
      <c r="AZ78" s="78">
        <f t="shared" si="41"/>
        <v>0</v>
      </c>
      <c r="BA78" s="78">
        <f t="shared" si="41"/>
        <v>0</v>
      </c>
      <c r="BB78" s="78">
        <f t="shared" si="41"/>
        <v>0</v>
      </c>
      <c r="BC78" s="78">
        <f t="shared" si="41"/>
        <v>0</v>
      </c>
      <c r="BD78" s="78">
        <f t="shared" si="41"/>
        <v>0</v>
      </c>
      <c r="BE78" s="78">
        <f t="shared" si="41"/>
        <v>0</v>
      </c>
      <c r="BF78" s="78">
        <f t="shared" si="41"/>
        <v>0</v>
      </c>
      <c r="BG78" s="78">
        <f t="shared" si="41"/>
        <v>56.1</v>
      </c>
      <c r="BH78" s="78">
        <f t="shared" si="41"/>
        <v>0</v>
      </c>
      <c r="BI78" s="78">
        <f t="shared" si="41"/>
        <v>0</v>
      </c>
      <c r="BJ78" s="78">
        <f t="shared" si="41"/>
        <v>31.3</v>
      </c>
      <c r="BK78" s="78">
        <f t="shared" si="41"/>
        <v>48.6</v>
      </c>
      <c r="BL78" s="78">
        <f t="shared" si="41"/>
        <v>28.4</v>
      </c>
      <c r="BM78" s="78">
        <f t="shared" si="41"/>
        <v>44.2</v>
      </c>
      <c r="BN78" s="78">
        <f t="shared" si="41"/>
        <v>0</v>
      </c>
      <c r="BO78" s="78">
        <f t="shared" si="41"/>
        <v>38.4</v>
      </c>
      <c r="BP78" s="78">
        <f t="shared" si="41"/>
        <v>36.6</v>
      </c>
      <c r="BQ78" s="78">
        <f t="shared" si="41"/>
        <v>34.4</v>
      </c>
      <c r="BR78" s="78">
        <f t="shared" si="41"/>
        <v>0</v>
      </c>
      <c r="BS78" s="78">
        <f t="shared" si="41"/>
        <v>0</v>
      </c>
      <c r="BT78" s="78">
        <f t="shared" si="41"/>
        <v>0</v>
      </c>
      <c r="BU78" s="78">
        <f t="shared" si="41"/>
        <v>0</v>
      </c>
      <c r="BV78" s="78">
        <f t="shared" si="41"/>
        <v>0</v>
      </c>
      <c r="BW78" s="78">
        <f t="shared" si="41"/>
        <v>0</v>
      </c>
    </row>
    <row r="79" spans="1:75" ht="15.75" thickBot="1" x14ac:dyDescent="0.3">
      <c r="A79" s="111" t="s">
        <v>183</v>
      </c>
      <c r="B79" s="110">
        <v>10</v>
      </c>
      <c r="C79" s="110">
        <v>10</v>
      </c>
      <c r="D79" s="110">
        <v>10</v>
      </c>
      <c r="E79" s="110">
        <v>10.1</v>
      </c>
      <c r="F79" s="110">
        <v>10.3</v>
      </c>
      <c r="G79" s="110">
        <v>10</v>
      </c>
      <c r="H79" s="110">
        <v>10</v>
      </c>
      <c r="I79" s="110">
        <v>10</v>
      </c>
      <c r="J79" s="110">
        <v>10</v>
      </c>
      <c r="K79" s="110">
        <v>10</v>
      </c>
      <c r="L79" s="110">
        <v>10.199999999999999</v>
      </c>
      <c r="M79" s="110">
        <v>10.199999999999999</v>
      </c>
      <c r="N79" s="110">
        <v>6.5</v>
      </c>
      <c r="O79" s="110">
        <v>10.1</v>
      </c>
      <c r="P79" s="110">
        <v>10.1</v>
      </c>
      <c r="Q79" s="110">
        <v>10.1</v>
      </c>
      <c r="R79" s="110">
        <v>10.1</v>
      </c>
      <c r="S79" s="110">
        <v>5.2</v>
      </c>
      <c r="T79" s="110"/>
      <c r="U79" s="110">
        <v>10.1</v>
      </c>
      <c r="V79" s="110">
        <v>9</v>
      </c>
      <c r="W79" s="110">
        <v>9</v>
      </c>
      <c r="X79" s="110">
        <v>8.6999999999999993</v>
      </c>
      <c r="Y79" s="110">
        <v>10.6</v>
      </c>
      <c r="Z79" s="110">
        <v>10.6</v>
      </c>
      <c r="AA79" s="110">
        <v>10.6</v>
      </c>
      <c r="AB79" s="110">
        <v>10.6</v>
      </c>
      <c r="AC79" s="110">
        <v>10.6</v>
      </c>
      <c r="AD79" s="110">
        <v>10.6</v>
      </c>
      <c r="AE79" s="110">
        <v>10.6</v>
      </c>
      <c r="AF79" s="110">
        <v>10.6</v>
      </c>
      <c r="AG79" s="109">
        <v>14</v>
      </c>
      <c r="AH79" s="12">
        <f t="shared" si="8"/>
        <v>10.6</v>
      </c>
      <c r="AI79" s="11">
        <f t="shared" si="9"/>
        <v>5.2</v>
      </c>
      <c r="AK79" s="19"/>
      <c r="AZ79" s="78">
        <f t="shared" si="41"/>
        <v>0</v>
      </c>
      <c r="BA79" s="78">
        <f t="shared" si="41"/>
        <v>0</v>
      </c>
      <c r="BB79" s="78">
        <f t="shared" si="41"/>
        <v>0</v>
      </c>
      <c r="BC79" s="78">
        <f t="shared" si="41"/>
        <v>0</v>
      </c>
      <c r="BD79" s="78">
        <f t="shared" si="41"/>
        <v>0</v>
      </c>
      <c r="BE79" s="78">
        <f t="shared" si="41"/>
        <v>0</v>
      </c>
      <c r="BF79" s="78">
        <f t="shared" si="41"/>
        <v>0</v>
      </c>
      <c r="BG79" s="78">
        <f t="shared" si="41"/>
        <v>119.8</v>
      </c>
      <c r="BH79" s="78">
        <f t="shared" si="41"/>
        <v>114.6</v>
      </c>
      <c r="BI79" s="78">
        <f t="shared" si="41"/>
        <v>125.7</v>
      </c>
      <c r="BJ79" s="78">
        <f t="shared" si="41"/>
        <v>129.30000000000001</v>
      </c>
      <c r="BK79" s="78">
        <f t="shared" si="41"/>
        <v>130</v>
      </c>
      <c r="BL79" s="78">
        <f t="shared" si="41"/>
        <v>131.4</v>
      </c>
      <c r="BM79" s="78">
        <f t="shared" si="41"/>
        <v>122.1</v>
      </c>
      <c r="BN79" s="78">
        <f t="shared" si="41"/>
        <v>0</v>
      </c>
      <c r="BO79" s="78">
        <f t="shared" si="41"/>
        <v>106.3</v>
      </c>
      <c r="BP79" s="78">
        <f t="shared" si="41"/>
        <v>126.8</v>
      </c>
      <c r="BQ79" s="78">
        <f t="shared" si="41"/>
        <v>84.6</v>
      </c>
      <c r="BR79" s="78">
        <f t="shared" si="41"/>
        <v>0</v>
      </c>
      <c r="BS79" s="78">
        <f t="shared" si="41"/>
        <v>0</v>
      </c>
      <c r="BT79" s="78">
        <f t="shared" si="41"/>
        <v>0</v>
      </c>
      <c r="BU79" s="78">
        <f t="shared" si="41"/>
        <v>0</v>
      </c>
      <c r="BV79" s="78">
        <f t="shared" si="41"/>
        <v>0</v>
      </c>
      <c r="BW79" s="78">
        <f t="shared" si="41"/>
        <v>0</v>
      </c>
    </row>
    <row r="80" spans="1:75" ht="15.75" thickBot="1" x14ac:dyDescent="0.3">
      <c r="A80" s="77" t="s">
        <v>182</v>
      </c>
      <c r="B80" s="76">
        <f t="shared" ref="B80:AB80" si="49">B77+B78+B79</f>
        <v>97.7</v>
      </c>
      <c r="C80" s="76">
        <f t="shared" si="49"/>
        <v>97.7</v>
      </c>
      <c r="D80" s="76">
        <f t="shared" si="49"/>
        <v>97.7</v>
      </c>
      <c r="E80" s="76">
        <f t="shared" si="49"/>
        <v>97.8</v>
      </c>
      <c r="F80" s="76">
        <f t="shared" si="49"/>
        <v>98.3</v>
      </c>
      <c r="G80" s="76">
        <f t="shared" si="49"/>
        <v>97</v>
      </c>
      <c r="H80" s="76">
        <f t="shared" si="49"/>
        <v>97</v>
      </c>
      <c r="I80" s="76">
        <f t="shared" si="49"/>
        <v>97</v>
      </c>
      <c r="J80" s="76">
        <f t="shared" ref="J80" si="50">J77+J78+J79</f>
        <v>97</v>
      </c>
      <c r="K80" s="76">
        <f t="shared" si="49"/>
        <v>86.9</v>
      </c>
      <c r="L80" s="76">
        <f t="shared" si="49"/>
        <v>97.2</v>
      </c>
      <c r="M80" s="76">
        <f t="shared" ref="M80:N80" si="51">M77+M78+M79</f>
        <v>97.2</v>
      </c>
      <c r="N80" s="76">
        <f t="shared" si="51"/>
        <v>64.5</v>
      </c>
      <c r="O80" s="76">
        <f t="shared" ref="O80:P80" si="52">O77+O78+O79</f>
        <v>96.699999999999989</v>
      </c>
      <c r="P80" s="76">
        <f t="shared" si="52"/>
        <v>96.699999999999989</v>
      </c>
      <c r="Q80" s="76">
        <f t="shared" ref="Q80:R80" si="53">Q77+Q78+Q79</f>
        <v>96.699999999999989</v>
      </c>
      <c r="R80" s="76">
        <f t="shared" si="53"/>
        <v>96.699999999999989</v>
      </c>
      <c r="S80" s="76">
        <f t="shared" si="49"/>
        <v>54.6</v>
      </c>
      <c r="T80" s="76">
        <f t="shared" si="49"/>
        <v>0</v>
      </c>
      <c r="U80" s="76">
        <f t="shared" si="49"/>
        <v>97.3</v>
      </c>
      <c r="V80" s="76">
        <f t="shared" si="49"/>
        <v>88.8</v>
      </c>
      <c r="W80" s="76">
        <f t="shared" si="49"/>
        <v>88.8</v>
      </c>
      <c r="X80" s="76">
        <f t="shared" si="49"/>
        <v>77.500000000000014</v>
      </c>
      <c r="Y80" s="76">
        <f t="shared" si="49"/>
        <v>98.699999999999989</v>
      </c>
      <c r="Z80" s="76">
        <f t="shared" si="49"/>
        <v>98.699999999999989</v>
      </c>
      <c r="AA80" s="76">
        <f t="shared" si="49"/>
        <v>98.699999999999989</v>
      </c>
      <c r="AB80" s="76">
        <f t="shared" si="49"/>
        <v>98.699999999999989</v>
      </c>
      <c r="AC80" s="76">
        <f t="shared" ref="AC80:AD80" si="54">AC77+AC78+AC79</f>
        <v>98.699999999999989</v>
      </c>
      <c r="AD80" s="76">
        <f t="shared" si="54"/>
        <v>98.699999999999989</v>
      </c>
      <c r="AE80" s="76">
        <f t="shared" ref="AE80:AF80" si="55">AE77+AE78+AE79</f>
        <v>98.699999999999989</v>
      </c>
      <c r="AF80" s="76">
        <f t="shared" si="55"/>
        <v>98.699999999999989</v>
      </c>
      <c r="AG80" s="93">
        <f>SUM(AG77:AG79)</f>
        <v>106</v>
      </c>
      <c r="AH80" s="12">
        <f t="shared" si="8"/>
        <v>98.699999999999989</v>
      </c>
      <c r="AI80" s="11">
        <f t="shared" si="9"/>
        <v>0</v>
      </c>
      <c r="AK80" s="19"/>
      <c r="AZ80" s="78">
        <f t="shared" si="41"/>
        <v>47</v>
      </c>
      <c r="BA80" s="78">
        <f t="shared" si="41"/>
        <v>44</v>
      </c>
      <c r="BB80" s="78">
        <f t="shared" si="41"/>
        <v>42.8</v>
      </c>
      <c r="BC80" s="78">
        <f t="shared" si="41"/>
        <v>44.1</v>
      </c>
      <c r="BD80" s="78">
        <f t="shared" si="41"/>
        <v>39.5</v>
      </c>
      <c r="BE80" s="78">
        <f t="shared" si="41"/>
        <v>39.200000000000003</v>
      </c>
      <c r="BF80" s="78">
        <f t="shared" si="41"/>
        <v>40.1</v>
      </c>
      <c r="BG80" s="78">
        <f t="shared" si="41"/>
        <v>49.5</v>
      </c>
      <c r="BH80" s="78">
        <f t="shared" si="41"/>
        <v>47.3</v>
      </c>
      <c r="BI80" s="78">
        <f t="shared" si="41"/>
        <v>43.3</v>
      </c>
      <c r="BJ80" s="78">
        <f t="shared" si="41"/>
        <v>46.2</v>
      </c>
      <c r="BK80" s="78">
        <f t="shared" si="41"/>
        <v>53.5</v>
      </c>
      <c r="BL80" s="78">
        <f t="shared" si="41"/>
        <v>44.4</v>
      </c>
      <c r="BM80" s="78">
        <f t="shared" si="41"/>
        <v>43.6</v>
      </c>
      <c r="BN80" s="78">
        <f t="shared" si="41"/>
        <v>0</v>
      </c>
      <c r="BO80" s="78">
        <f t="shared" si="41"/>
        <v>47.5</v>
      </c>
      <c r="BP80" s="78">
        <f t="shared" si="41"/>
        <v>39</v>
      </c>
      <c r="BQ80" s="78">
        <f t="shared" si="41"/>
        <v>35</v>
      </c>
      <c r="BR80" s="78">
        <f t="shared" si="41"/>
        <v>33.200000000000003</v>
      </c>
      <c r="BS80" s="78">
        <f t="shared" si="41"/>
        <v>37.9</v>
      </c>
      <c r="BT80" s="78">
        <f t="shared" si="41"/>
        <v>41.7</v>
      </c>
      <c r="BU80" s="78">
        <f t="shared" si="41"/>
        <v>42.4</v>
      </c>
      <c r="BV80" s="78">
        <f t="shared" si="41"/>
        <v>43.3</v>
      </c>
      <c r="BW80" s="78">
        <f t="shared" si="41"/>
        <v>46.8</v>
      </c>
    </row>
    <row r="81" spans="1:64" x14ac:dyDescent="0.25">
      <c r="A81" s="89" t="s">
        <v>157</v>
      </c>
      <c r="B81" s="102">
        <v>25</v>
      </c>
      <c r="C81" s="102">
        <v>25</v>
      </c>
      <c r="D81" s="102">
        <v>23.2</v>
      </c>
      <c r="E81" s="102">
        <v>19.899999999999999</v>
      </c>
      <c r="F81" s="102">
        <v>17.5</v>
      </c>
      <c r="G81" s="102">
        <v>34.5</v>
      </c>
      <c r="H81" s="102">
        <v>29.3</v>
      </c>
      <c r="I81" s="102">
        <v>29.5</v>
      </c>
      <c r="J81" s="102">
        <v>65</v>
      </c>
      <c r="K81" s="102">
        <v>62.5</v>
      </c>
      <c r="L81" s="102">
        <v>63.2</v>
      </c>
      <c r="M81" s="102">
        <v>73.8</v>
      </c>
      <c r="N81" s="102">
        <v>67.7</v>
      </c>
      <c r="O81" s="102">
        <v>73.2</v>
      </c>
      <c r="P81" s="102">
        <v>62.3</v>
      </c>
      <c r="Q81" s="102">
        <v>59.5</v>
      </c>
      <c r="R81" s="102">
        <v>66.400000000000006</v>
      </c>
      <c r="S81" s="102">
        <v>74.900000000000006</v>
      </c>
      <c r="T81" s="102"/>
      <c r="U81" s="102">
        <v>62.1</v>
      </c>
      <c r="V81" s="102">
        <v>60.8</v>
      </c>
      <c r="W81" s="102">
        <v>63</v>
      </c>
      <c r="X81" s="102">
        <v>66.599999999999994</v>
      </c>
      <c r="Y81" s="102">
        <v>64.5</v>
      </c>
      <c r="Z81" s="102">
        <v>20</v>
      </c>
      <c r="AA81" s="102">
        <v>25.5</v>
      </c>
      <c r="AB81" s="102">
        <v>16</v>
      </c>
      <c r="AC81" s="102">
        <v>38.9</v>
      </c>
      <c r="AD81" s="102">
        <v>34.799999999999997</v>
      </c>
      <c r="AE81" s="102">
        <v>37.6</v>
      </c>
      <c r="AF81" s="102">
        <v>32.700000000000003</v>
      </c>
      <c r="AG81" s="88"/>
      <c r="AH81" s="12">
        <f t="shared" si="8"/>
        <v>74.900000000000006</v>
      </c>
      <c r="AI81" s="11">
        <f t="shared" si="9"/>
        <v>16</v>
      </c>
      <c r="AK81" s="19"/>
      <c r="AY81" s="78"/>
    </row>
    <row r="82" spans="1:64" x14ac:dyDescent="0.25">
      <c r="A82" s="87" t="s">
        <v>160</v>
      </c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12">
        <f t="shared" ref="AH82:AH125" si="56">MAX(B82:AF82)</f>
        <v>0</v>
      </c>
      <c r="AI82" s="11">
        <f t="shared" ref="AI82:AI125" si="57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25">
      <c r="A83" s="87" t="s">
        <v>181</v>
      </c>
      <c r="B83" s="70">
        <v>122</v>
      </c>
      <c r="C83" s="70">
        <v>126</v>
      </c>
      <c r="D83" s="70">
        <v>85</v>
      </c>
      <c r="E83" s="70">
        <v>70.599999999999994</v>
      </c>
      <c r="F83" s="70">
        <v>71.8</v>
      </c>
      <c r="G83" s="70">
        <v>130</v>
      </c>
      <c r="H83" s="70">
        <v>116</v>
      </c>
      <c r="I83" s="70">
        <v>185</v>
      </c>
      <c r="J83" s="70">
        <v>453</v>
      </c>
      <c r="K83" s="70">
        <v>516</v>
      </c>
      <c r="L83" s="70">
        <v>564</v>
      </c>
      <c r="M83" s="70">
        <v>388.8</v>
      </c>
      <c r="N83" s="70">
        <v>490.5</v>
      </c>
      <c r="O83" s="70">
        <v>504.3</v>
      </c>
      <c r="P83" s="70">
        <v>498.1</v>
      </c>
      <c r="Q83" s="70">
        <v>506.3</v>
      </c>
      <c r="R83" s="70">
        <v>473.6</v>
      </c>
      <c r="S83" s="70">
        <v>430</v>
      </c>
      <c r="T83" s="70"/>
      <c r="U83" s="70">
        <v>321.8</v>
      </c>
      <c r="V83" s="70">
        <v>433.1</v>
      </c>
      <c r="W83" s="70">
        <v>431</v>
      </c>
      <c r="X83" s="70">
        <v>445</v>
      </c>
      <c r="Y83" s="70">
        <v>76</v>
      </c>
      <c r="Z83" s="70">
        <v>132</v>
      </c>
      <c r="AA83" s="70">
        <v>0</v>
      </c>
      <c r="AB83" s="70">
        <v>171</v>
      </c>
      <c r="AC83" s="70">
        <v>163</v>
      </c>
      <c r="AD83" s="70">
        <v>87.5</v>
      </c>
      <c r="AE83" s="70">
        <v>51.2</v>
      </c>
      <c r="AF83" s="70">
        <v>29</v>
      </c>
      <c r="AG83" s="96"/>
      <c r="AH83" s="12">
        <f t="shared" si="56"/>
        <v>564</v>
      </c>
      <c r="AI83" s="11">
        <f t="shared" si="57"/>
        <v>0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25">
      <c r="A84" s="87" t="s">
        <v>161</v>
      </c>
      <c r="B84" s="70">
        <v>0</v>
      </c>
      <c r="C84" s="70"/>
      <c r="D84" s="70"/>
      <c r="E84" s="85"/>
      <c r="F84" s="85"/>
      <c r="G84" s="85"/>
      <c r="H84" s="85"/>
      <c r="I84" s="85"/>
      <c r="J84" s="85"/>
      <c r="K84" s="85"/>
      <c r="L84" s="85"/>
      <c r="M84" s="85">
        <v>56.1</v>
      </c>
      <c r="N84" s="85">
        <v>0</v>
      </c>
      <c r="O84" s="85">
        <v>0</v>
      </c>
      <c r="P84" s="85">
        <v>31.3</v>
      </c>
      <c r="Q84" s="85">
        <v>48.6</v>
      </c>
      <c r="R84" s="85">
        <v>28.4</v>
      </c>
      <c r="S84" s="85">
        <v>44.2</v>
      </c>
      <c r="T84" s="85"/>
      <c r="U84" s="85">
        <v>38.4</v>
      </c>
      <c r="V84" s="85">
        <v>36.6</v>
      </c>
      <c r="W84" s="85">
        <v>39.4</v>
      </c>
      <c r="X84" s="85">
        <v>34.4</v>
      </c>
      <c r="Y84" s="85">
        <v>0</v>
      </c>
      <c r="Z84" s="85"/>
      <c r="AA84" s="85">
        <v>12</v>
      </c>
      <c r="AB84" s="85">
        <v>0</v>
      </c>
      <c r="AC84" s="85">
        <v>0</v>
      </c>
      <c r="AD84" s="85">
        <v>0</v>
      </c>
      <c r="AE84" s="85">
        <v>0</v>
      </c>
      <c r="AF84" s="85">
        <v>0</v>
      </c>
      <c r="AG84" s="96"/>
      <c r="AH84" s="12">
        <f t="shared" si="56"/>
        <v>56.1</v>
      </c>
      <c r="AI84" s="11">
        <f t="shared" si="57"/>
        <v>0</v>
      </c>
      <c r="AK84" s="19"/>
      <c r="AY84" s="78"/>
      <c r="BF84" s="83"/>
      <c r="BG84" s="78">
        <f t="array" ref="BG84:BL107">TRANSPOSE(AZ68:BW73)</f>
        <v>25</v>
      </c>
      <c r="BH84" s="78">
        <v>0</v>
      </c>
      <c r="BI84" s="78">
        <v>126</v>
      </c>
      <c r="BJ84" s="78">
        <v>0</v>
      </c>
      <c r="BK84" s="78">
        <v>0</v>
      </c>
      <c r="BL84" s="78">
        <v>47</v>
      </c>
    </row>
    <row r="85" spans="1:64" x14ac:dyDescent="0.25">
      <c r="A85" s="87" t="s">
        <v>180</v>
      </c>
      <c r="B85" s="102">
        <v>0</v>
      </c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>
        <v>119.8</v>
      </c>
      <c r="N85" s="102">
        <v>114.6</v>
      </c>
      <c r="O85" s="102">
        <v>125.7</v>
      </c>
      <c r="P85" s="102">
        <v>129.30000000000001</v>
      </c>
      <c r="Q85" s="102">
        <v>130</v>
      </c>
      <c r="R85" s="102">
        <v>131.4</v>
      </c>
      <c r="S85" s="102">
        <v>122.1</v>
      </c>
      <c r="T85" s="102"/>
      <c r="U85" s="102">
        <v>106.3</v>
      </c>
      <c r="V85" s="102">
        <v>126.8</v>
      </c>
      <c r="W85" s="102">
        <v>118</v>
      </c>
      <c r="X85" s="102">
        <v>84.6</v>
      </c>
      <c r="Y85" s="102">
        <v>0</v>
      </c>
      <c r="Z85" s="102"/>
      <c r="AA85" s="102">
        <v>93</v>
      </c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56"/>
        <v>131.4</v>
      </c>
      <c r="AI85" s="11">
        <f t="shared" si="57"/>
        <v>0</v>
      </c>
      <c r="AK85" s="19"/>
      <c r="AY85" s="78"/>
      <c r="BF85" s="83"/>
      <c r="BG85" s="78">
        <v>23.2</v>
      </c>
      <c r="BH85" s="78">
        <v>0</v>
      </c>
      <c r="BI85" s="78">
        <v>85</v>
      </c>
      <c r="BJ85" s="78">
        <v>0</v>
      </c>
      <c r="BK85" s="78">
        <v>0</v>
      </c>
      <c r="BL85" s="78">
        <v>44</v>
      </c>
    </row>
    <row r="86" spans="1:64" x14ac:dyDescent="0.25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56"/>
        <v>0</v>
      </c>
      <c r="AI86" s="11">
        <f t="shared" si="57"/>
        <v>0</v>
      </c>
      <c r="AK86" s="19"/>
      <c r="AY86" s="78"/>
      <c r="BF86" s="83"/>
      <c r="BG86" s="78">
        <v>19.899999999999999</v>
      </c>
      <c r="BH86" s="78">
        <v>0</v>
      </c>
      <c r="BI86" s="78">
        <v>70.599999999999994</v>
      </c>
      <c r="BJ86" s="78">
        <v>0</v>
      </c>
      <c r="BK86" s="78">
        <v>0</v>
      </c>
      <c r="BL86" s="78">
        <v>42.8</v>
      </c>
    </row>
    <row r="87" spans="1:64" ht="15.75" thickBot="1" x14ac:dyDescent="0.3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56"/>
        <v>0</v>
      </c>
      <c r="AI87" s="11">
        <f t="shared" si="57"/>
        <v>0</v>
      </c>
      <c r="AK87" s="19"/>
      <c r="AL87" s="108" t="s">
        <v>177</v>
      </c>
      <c r="AM87" s="108"/>
      <c r="AY87" s="78"/>
      <c r="BF87" s="78"/>
      <c r="BG87" s="78">
        <v>17.5</v>
      </c>
      <c r="BH87" s="78">
        <v>0</v>
      </c>
      <c r="BI87" s="78">
        <v>71.8</v>
      </c>
      <c r="BJ87" s="78">
        <v>0</v>
      </c>
      <c r="BK87" s="78">
        <v>0</v>
      </c>
      <c r="BL87" s="78">
        <v>44.1</v>
      </c>
    </row>
    <row r="88" spans="1:64" x14ac:dyDescent="0.25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56"/>
        <v>0</v>
      </c>
      <c r="AI88" s="11">
        <f t="shared" si="57"/>
        <v>0</v>
      </c>
      <c r="AK88" s="107"/>
      <c r="AL88" s="106"/>
      <c r="AM88" s="106"/>
      <c r="AN88" s="105"/>
      <c r="AY88" s="78"/>
      <c r="BF88" s="78"/>
      <c r="BG88" s="78">
        <v>34.5</v>
      </c>
      <c r="BH88" s="78">
        <v>0</v>
      </c>
      <c r="BI88" s="78">
        <v>130</v>
      </c>
      <c r="BJ88" s="78">
        <v>0</v>
      </c>
      <c r="BK88" s="78">
        <v>0</v>
      </c>
      <c r="BL88" s="78">
        <v>39.5</v>
      </c>
    </row>
    <row r="89" spans="1:64" x14ac:dyDescent="0.25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56"/>
        <v>0</v>
      </c>
      <c r="AI89" s="11">
        <f t="shared" si="57"/>
        <v>0</v>
      </c>
      <c r="AK89" s="104" t="s">
        <v>174</v>
      </c>
      <c r="AL89" s="70"/>
      <c r="AM89" s="85"/>
      <c r="AN89" s="103"/>
      <c r="AY89" s="78"/>
      <c r="BF89" s="78"/>
      <c r="BG89" s="78">
        <v>29.5</v>
      </c>
      <c r="BH89" s="78">
        <v>0</v>
      </c>
      <c r="BI89" s="78">
        <v>185</v>
      </c>
      <c r="BJ89" s="78">
        <v>0</v>
      </c>
      <c r="BK89" s="78">
        <v>0</v>
      </c>
      <c r="BL89" s="78">
        <v>39.200000000000003</v>
      </c>
    </row>
    <row r="90" spans="1:64" x14ac:dyDescent="0.25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56"/>
        <v>0</v>
      </c>
      <c r="AI90" s="11">
        <f t="shared" si="57"/>
        <v>0</v>
      </c>
      <c r="AK90" s="104" t="s">
        <v>172</v>
      </c>
      <c r="AL90" s="85"/>
      <c r="AM90" s="85"/>
      <c r="AN90" s="103"/>
      <c r="AY90" s="78"/>
      <c r="BF90" s="78"/>
      <c r="BG90" s="78">
        <v>62.5</v>
      </c>
      <c r="BH90" s="78">
        <v>0</v>
      </c>
      <c r="BI90" s="78">
        <v>516</v>
      </c>
      <c r="BJ90" s="78">
        <v>0</v>
      </c>
      <c r="BK90" s="78">
        <v>0</v>
      </c>
      <c r="BL90" s="78">
        <v>40.1</v>
      </c>
    </row>
    <row r="91" spans="1:64" ht="15.75" thickBot="1" x14ac:dyDescent="0.3">
      <c r="A91" s="82" t="s">
        <v>171</v>
      </c>
      <c r="B91" s="97">
        <v>46.8</v>
      </c>
      <c r="C91" s="97">
        <v>47</v>
      </c>
      <c r="D91" s="97">
        <v>44</v>
      </c>
      <c r="E91" s="97">
        <v>42.8</v>
      </c>
      <c r="F91" s="97">
        <v>44.1</v>
      </c>
      <c r="G91" s="97">
        <v>39.5</v>
      </c>
      <c r="H91" s="97">
        <v>38.6</v>
      </c>
      <c r="I91" s="97">
        <v>39.200000000000003</v>
      </c>
      <c r="J91" s="97">
        <v>42.9</v>
      </c>
      <c r="K91" s="97">
        <v>40.1</v>
      </c>
      <c r="L91" s="97">
        <v>49.1</v>
      </c>
      <c r="M91" s="97">
        <v>49.5</v>
      </c>
      <c r="N91" s="97">
        <v>47.3</v>
      </c>
      <c r="O91" s="97">
        <v>43.3</v>
      </c>
      <c r="P91" s="97">
        <v>46.2</v>
      </c>
      <c r="Q91" s="97">
        <v>53.5</v>
      </c>
      <c r="R91" s="97">
        <v>44.4</v>
      </c>
      <c r="S91" s="97">
        <v>43.6</v>
      </c>
      <c r="T91" s="97"/>
      <c r="U91" s="97">
        <v>47.5</v>
      </c>
      <c r="V91" s="97">
        <v>39</v>
      </c>
      <c r="W91" s="97">
        <v>40.5</v>
      </c>
      <c r="X91" s="97">
        <v>35</v>
      </c>
      <c r="Y91" s="97">
        <v>34.5</v>
      </c>
      <c r="Z91" s="97">
        <v>33.200000000000003</v>
      </c>
      <c r="AA91" s="97">
        <v>36</v>
      </c>
      <c r="AB91" s="97">
        <v>37.9</v>
      </c>
      <c r="AC91" s="97">
        <v>42</v>
      </c>
      <c r="AD91" s="97">
        <v>41.7</v>
      </c>
      <c r="AE91" s="97">
        <v>42.4</v>
      </c>
      <c r="AF91" s="97">
        <v>43.3</v>
      </c>
      <c r="AG91" s="80"/>
      <c r="AH91" s="12">
        <f t="shared" si="56"/>
        <v>53.5</v>
      </c>
      <c r="AI91" s="11">
        <f t="shared" si="57"/>
        <v>33.200000000000003</v>
      </c>
      <c r="AK91" s="98"/>
      <c r="AL91" s="102"/>
      <c r="AM91" s="102"/>
      <c r="AN91" s="101"/>
      <c r="AY91" s="78"/>
      <c r="BF91" s="78"/>
      <c r="BG91" s="78">
        <v>73.8</v>
      </c>
      <c r="BH91" s="78">
        <v>0</v>
      </c>
      <c r="BI91" s="78">
        <v>388.8</v>
      </c>
      <c r="BJ91" s="78">
        <v>56.1</v>
      </c>
      <c r="BK91" s="78">
        <v>119.8</v>
      </c>
      <c r="BL91" s="78">
        <v>49.5</v>
      </c>
    </row>
    <row r="92" spans="1:64" ht="15.75" thickBot="1" x14ac:dyDescent="0.3">
      <c r="A92" s="77" t="s">
        <v>170</v>
      </c>
      <c r="B92" s="76">
        <f t="shared" ref="B92:AB92" si="58">SUMIF(B81:B91,"&gt;0")</f>
        <v>193.8</v>
      </c>
      <c r="C92" s="76">
        <f t="shared" si="58"/>
        <v>198</v>
      </c>
      <c r="D92" s="76">
        <f t="shared" si="58"/>
        <v>152.19999999999999</v>
      </c>
      <c r="E92" s="76">
        <f t="shared" si="58"/>
        <v>133.30000000000001</v>
      </c>
      <c r="F92" s="76">
        <f t="shared" si="58"/>
        <v>133.4</v>
      </c>
      <c r="G92" s="76">
        <f t="shared" si="58"/>
        <v>204</v>
      </c>
      <c r="H92" s="76">
        <f t="shared" si="58"/>
        <v>183.9</v>
      </c>
      <c r="I92" s="76">
        <f t="shared" si="58"/>
        <v>253.7</v>
      </c>
      <c r="J92" s="76">
        <f t="shared" si="58"/>
        <v>560.9</v>
      </c>
      <c r="K92" s="76">
        <f t="shared" si="58"/>
        <v>618.6</v>
      </c>
      <c r="L92" s="76">
        <f t="shared" si="58"/>
        <v>676.30000000000007</v>
      </c>
      <c r="M92" s="76">
        <f t="shared" ref="M92:N92" si="59">SUMIF(M81:M91,"&gt;0")</f>
        <v>688</v>
      </c>
      <c r="N92" s="76">
        <f t="shared" si="59"/>
        <v>720.1</v>
      </c>
      <c r="O92" s="76">
        <f t="shared" ref="O92:P92" si="60">SUMIF(O81:O91,"&gt;0")</f>
        <v>746.5</v>
      </c>
      <c r="P92" s="76">
        <f t="shared" si="60"/>
        <v>767.2</v>
      </c>
      <c r="Q92" s="76">
        <f t="shared" ref="Q92:R92" si="61">SUMIF(Q81:Q91,"&gt;0")</f>
        <v>797.9</v>
      </c>
      <c r="R92" s="76">
        <f t="shared" si="61"/>
        <v>744.19999999999993</v>
      </c>
      <c r="S92" s="76">
        <f t="shared" si="58"/>
        <v>714.80000000000007</v>
      </c>
      <c r="T92" s="76">
        <f t="shared" si="58"/>
        <v>0</v>
      </c>
      <c r="U92" s="76">
        <f t="shared" si="58"/>
        <v>576.1</v>
      </c>
      <c r="V92" s="76">
        <f t="shared" si="58"/>
        <v>696.3</v>
      </c>
      <c r="W92" s="76">
        <f t="shared" si="58"/>
        <v>691.9</v>
      </c>
      <c r="X92" s="76">
        <f t="shared" si="58"/>
        <v>665.6</v>
      </c>
      <c r="Y92" s="76">
        <f t="shared" si="58"/>
        <v>175</v>
      </c>
      <c r="Z92" s="76">
        <f t="shared" si="58"/>
        <v>185.2</v>
      </c>
      <c r="AA92" s="76">
        <f t="shared" si="58"/>
        <v>166.5</v>
      </c>
      <c r="AB92" s="76">
        <f t="shared" si="58"/>
        <v>224.9</v>
      </c>
      <c r="AC92" s="76">
        <f t="shared" ref="AC92:AD92" si="62">SUMIF(AC81:AC91,"&gt;0")</f>
        <v>243.9</v>
      </c>
      <c r="AD92" s="76">
        <f t="shared" si="62"/>
        <v>164</v>
      </c>
      <c r="AE92" s="76">
        <f t="shared" ref="AE92:AF92" si="63">SUMIF(AE81:AE91,"&gt;0")</f>
        <v>131.20000000000002</v>
      </c>
      <c r="AF92" s="76">
        <f t="shared" si="63"/>
        <v>105</v>
      </c>
      <c r="AG92" s="75">
        <f>SUM(AG81:AG91)</f>
        <v>0</v>
      </c>
      <c r="AH92" s="12">
        <f t="shared" si="56"/>
        <v>797.9</v>
      </c>
      <c r="AI92" s="11">
        <f t="shared" si="57"/>
        <v>0</v>
      </c>
      <c r="AK92" s="98"/>
      <c r="AL92" s="97"/>
      <c r="AM92" s="100"/>
      <c r="AN92" s="220"/>
      <c r="AY92" s="78"/>
      <c r="BF92" s="78"/>
      <c r="BG92" s="78">
        <v>67.7</v>
      </c>
      <c r="BH92" s="78">
        <v>0</v>
      </c>
      <c r="BI92" s="78">
        <v>490.5</v>
      </c>
      <c r="BJ92" s="78">
        <v>0</v>
      </c>
      <c r="BK92" s="78">
        <v>114.6</v>
      </c>
      <c r="BL92" s="78">
        <v>47.3</v>
      </c>
    </row>
    <row r="93" spans="1:64" x14ac:dyDescent="0.25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56"/>
        <v>0</v>
      </c>
      <c r="AI93" s="11">
        <f t="shared" si="57"/>
        <v>0</v>
      </c>
      <c r="AK93" s="98"/>
      <c r="AL93" s="97"/>
      <c r="AM93" s="97"/>
      <c r="AN93" s="221"/>
      <c r="BF93" s="78"/>
      <c r="BG93" s="78">
        <v>73.2</v>
      </c>
      <c r="BH93" s="78">
        <v>0</v>
      </c>
      <c r="BI93" s="78">
        <v>504.3</v>
      </c>
      <c r="BJ93" s="78">
        <v>0</v>
      </c>
      <c r="BK93" s="78">
        <v>125.7</v>
      </c>
      <c r="BL93" s="78">
        <v>43.3</v>
      </c>
    </row>
    <row r="94" spans="1:64" ht="15.75" thickBot="1" x14ac:dyDescent="0.3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56"/>
        <v>0</v>
      </c>
      <c r="AI94" s="11">
        <f t="shared" si="57"/>
        <v>0</v>
      </c>
      <c r="AK94" s="95"/>
      <c r="AL94" s="67"/>
      <c r="AM94" s="67"/>
      <c r="AN94" s="94"/>
      <c r="BF94" s="78"/>
      <c r="BG94" s="78">
        <v>62.3</v>
      </c>
      <c r="BH94" s="78">
        <v>0</v>
      </c>
      <c r="BI94" s="78">
        <v>498.1</v>
      </c>
      <c r="BJ94" s="78">
        <v>31.3</v>
      </c>
      <c r="BK94" s="78">
        <v>129.30000000000001</v>
      </c>
      <c r="BL94" s="78">
        <v>46.2</v>
      </c>
    </row>
    <row r="95" spans="1:64" ht="15.75" thickBot="1" x14ac:dyDescent="0.3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56"/>
        <v>0</v>
      </c>
      <c r="AI95" s="11">
        <f t="shared" si="57"/>
        <v>0</v>
      </c>
      <c r="BF95" s="78"/>
      <c r="BG95" s="78">
        <v>59.5</v>
      </c>
      <c r="BH95" s="78">
        <v>0</v>
      </c>
      <c r="BI95" s="78">
        <v>506.3</v>
      </c>
      <c r="BJ95" s="78">
        <v>48.6</v>
      </c>
      <c r="BK95" s="78">
        <v>130</v>
      </c>
      <c r="BL95" s="78">
        <v>53.5</v>
      </c>
    </row>
    <row r="96" spans="1:64" ht="15.75" thickBot="1" x14ac:dyDescent="0.3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56"/>
        <v>0</v>
      </c>
      <c r="AI96" s="11">
        <f t="shared" si="57"/>
        <v>0</v>
      </c>
      <c r="BF96" s="78"/>
      <c r="BG96" s="78">
        <v>66.400000000000006</v>
      </c>
      <c r="BH96" s="78">
        <v>0</v>
      </c>
      <c r="BI96" s="78">
        <v>473.6</v>
      </c>
      <c r="BJ96" s="78">
        <v>28.4</v>
      </c>
      <c r="BK96" s="78">
        <v>131.4</v>
      </c>
      <c r="BL96" s="78">
        <v>44.4</v>
      </c>
    </row>
    <row r="97" spans="1:64" ht="15.75" thickBot="1" x14ac:dyDescent="0.3">
      <c r="A97" s="77" t="s">
        <v>165</v>
      </c>
      <c r="B97" s="90">
        <f t="shared" ref="B97:AG97" si="64">B58+B62+B80+B76+B92+B96</f>
        <v>1283.1400000000001</v>
      </c>
      <c r="C97" s="90">
        <f t="shared" si="64"/>
        <v>1287.3400000000001</v>
      </c>
      <c r="D97" s="90">
        <f t="shared" si="64"/>
        <v>1241.5400000000002</v>
      </c>
      <c r="E97" s="90">
        <f t="shared" si="64"/>
        <v>1228.8399999999999</v>
      </c>
      <c r="F97" s="90">
        <f t="shared" si="64"/>
        <v>1211.24</v>
      </c>
      <c r="G97" s="90">
        <f t="shared" si="64"/>
        <v>1233.3399999999999</v>
      </c>
      <c r="H97" s="90">
        <f t="shared" si="64"/>
        <v>1265.3400000000001</v>
      </c>
      <c r="I97" s="90">
        <f t="shared" si="64"/>
        <v>1372.74</v>
      </c>
      <c r="J97" s="90">
        <f t="shared" si="64"/>
        <v>1607.04</v>
      </c>
      <c r="K97" s="90">
        <f t="shared" si="64"/>
        <v>1614.44</v>
      </c>
      <c r="L97" s="90">
        <f t="shared" si="64"/>
        <v>1683.6399999999999</v>
      </c>
      <c r="M97" s="90">
        <f t="shared" ref="M97:N97" si="65">M58+M62+M80+M76+M92+M96</f>
        <v>1639.94</v>
      </c>
      <c r="N97" s="90">
        <f t="shared" si="65"/>
        <v>1617.94</v>
      </c>
      <c r="O97" s="90">
        <f t="shared" ref="O97:P97" si="66">O58+O62+O80+O76+O92+O96</f>
        <v>1705.6399999999999</v>
      </c>
      <c r="P97" s="90">
        <f t="shared" si="66"/>
        <v>1728.44</v>
      </c>
      <c r="Q97" s="90">
        <f t="shared" ref="Q97:R97" si="67">Q58+Q62+Q80+Q76+Q92+Q96</f>
        <v>1730.2399999999998</v>
      </c>
      <c r="R97" s="90">
        <f t="shared" si="67"/>
        <v>1682.04</v>
      </c>
      <c r="S97" s="90">
        <f t="shared" si="64"/>
        <v>1595.2399999999998</v>
      </c>
      <c r="T97" s="90">
        <f t="shared" si="64"/>
        <v>153.54</v>
      </c>
      <c r="U97" s="90">
        <f t="shared" si="64"/>
        <v>1526.1399999999999</v>
      </c>
      <c r="V97" s="90">
        <f t="shared" si="64"/>
        <v>1583.9399999999998</v>
      </c>
      <c r="W97" s="90">
        <f t="shared" si="64"/>
        <v>1579.2399999999998</v>
      </c>
      <c r="X97" s="90">
        <f t="shared" si="64"/>
        <v>1519.8400000000001</v>
      </c>
      <c r="Y97" s="90">
        <f t="shared" si="64"/>
        <v>1485.1</v>
      </c>
      <c r="Z97" s="90">
        <f t="shared" si="64"/>
        <v>1713</v>
      </c>
      <c r="AA97" s="90">
        <f t="shared" si="64"/>
        <v>1709.34</v>
      </c>
      <c r="AB97" s="90">
        <f t="shared" si="64"/>
        <v>1661.54</v>
      </c>
      <c r="AC97" s="90">
        <f t="shared" ref="AC97:AD97" si="68">AC58+AC62+AC80+AC76+AC92+AC96</f>
        <v>1635.3400000000001</v>
      </c>
      <c r="AD97" s="90">
        <f t="shared" si="68"/>
        <v>1534.84</v>
      </c>
      <c r="AE97" s="90">
        <f t="shared" ref="AE97:AF97" si="69">AE58+AE62+AE80+AE76+AE92+AE96</f>
        <v>1377.54</v>
      </c>
      <c r="AF97" s="90">
        <f t="shared" si="69"/>
        <v>1271.54</v>
      </c>
      <c r="AG97" s="93">
        <f t="shared" si="64"/>
        <v>2231.81</v>
      </c>
      <c r="AH97" s="12">
        <f t="shared" si="56"/>
        <v>1730.2399999999998</v>
      </c>
      <c r="AI97" s="11">
        <f t="shared" si="57"/>
        <v>153.54</v>
      </c>
      <c r="BF97" s="78"/>
      <c r="BG97" s="78">
        <v>74.900000000000006</v>
      </c>
      <c r="BH97" s="78">
        <v>0</v>
      </c>
      <c r="BI97" s="78">
        <v>430</v>
      </c>
      <c r="BJ97" s="78">
        <v>44.2</v>
      </c>
      <c r="BK97" s="78">
        <v>122.1</v>
      </c>
      <c r="BL97" s="78">
        <v>43.6</v>
      </c>
    </row>
    <row r="98" spans="1:64" ht="15.75" thickBot="1" x14ac:dyDescent="0.3">
      <c r="A98" s="92" t="s">
        <v>164</v>
      </c>
      <c r="B98" s="91">
        <v>300</v>
      </c>
      <c r="C98" s="91">
        <v>300</v>
      </c>
      <c r="D98" s="91">
        <v>300</v>
      </c>
      <c r="E98" s="91">
        <v>300</v>
      </c>
      <c r="F98" s="91">
        <v>300</v>
      </c>
      <c r="G98" s="91">
        <v>300</v>
      </c>
      <c r="H98" s="91">
        <v>280</v>
      </c>
      <c r="I98" s="91">
        <v>250</v>
      </c>
      <c r="J98" s="91">
        <v>100</v>
      </c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>
        <v>250</v>
      </c>
      <c r="Z98" s="91">
        <v>250</v>
      </c>
      <c r="AA98" s="91">
        <v>250</v>
      </c>
      <c r="AB98" s="91">
        <v>250</v>
      </c>
      <c r="AC98" s="91">
        <v>250</v>
      </c>
      <c r="AD98" s="91">
        <v>300</v>
      </c>
      <c r="AE98" s="91">
        <v>340</v>
      </c>
      <c r="AF98" s="91">
        <v>340</v>
      </c>
      <c r="AG98" s="75"/>
      <c r="AH98" s="12">
        <f t="shared" si="56"/>
        <v>340</v>
      </c>
      <c r="AI98" s="11">
        <f t="shared" si="57"/>
        <v>100</v>
      </c>
      <c r="BF98" s="78"/>
      <c r="BG98" s="78">
        <v>0</v>
      </c>
      <c r="BH98" s="78">
        <v>0</v>
      </c>
      <c r="BI98" s="78">
        <v>0</v>
      </c>
      <c r="BJ98" s="78">
        <v>0</v>
      </c>
      <c r="BK98" s="78">
        <v>0</v>
      </c>
      <c r="BL98" s="78">
        <v>0</v>
      </c>
    </row>
    <row r="99" spans="1:64" ht="15.75" thickBot="1" x14ac:dyDescent="0.3">
      <c r="A99" s="77" t="s">
        <v>163</v>
      </c>
      <c r="B99" s="90">
        <f t="shared" ref="B99:AB99" si="70">B97+B98</f>
        <v>1583.14</v>
      </c>
      <c r="C99" s="90">
        <f t="shared" si="70"/>
        <v>1587.3400000000001</v>
      </c>
      <c r="D99" s="90">
        <f t="shared" si="70"/>
        <v>1541.5400000000002</v>
      </c>
      <c r="E99" s="90">
        <f t="shared" si="70"/>
        <v>1528.84</v>
      </c>
      <c r="F99" s="90">
        <f t="shared" si="70"/>
        <v>1511.24</v>
      </c>
      <c r="G99" s="90">
        <f t="shared" si="70"/>
        <v>1533.34</v>
      </c>
      <c r="H99" s="90">
        <f t="shared" si="70"/>
        <v>1545.3400000000001</v>
      </c>
      <c r="I99" s="90">
        <f t="shared" si="70"/>
        <v>1622.74</v>
      </c>
      <c r="J99" s="90">
        <f t="shared" si="70"/>
        <v>1707.04</v>
      </c>
      <c r="K99" s="90">
        <f t="shared" si="70"/>
        <v>1614.44</v>
      </c>
      <c r="L99" s="90">
        <f t="shared" si="70"/>
        <v>1683.6399999999999</v>
      </c>
      <c r="M99" s="90">
        <f t="shared" ref="M99:N99" si="71">M97+M98</f>
        <v>1639.94</v>
      </c>
      <c r="N99" s="90">
        <f t="shared" si="71"/>
        <v>1617.94</v>
      </c>
      <c r="O99" s="90">
        <f t="shared" ref="O99:P99" si="72">O97+O98</f>
        <v>1705.6399999999999</v>
      </c>
      <c r="P99" s="90">
        <f t="shared" si="72"/>
        <v>1728.44</v>
      </c>
      <c r="Q99" s="90">
        <f t="shared" ref="Q99:R99" si="73">Q97+Q98</f>
        <v>1730.2399999999998</v>
      </c>
      <c r="R99" s="90">
        <f t="shared" si="73"/>
        <v>1682.04</v>
      </c>
      <c r="S99" s="90">
        <f t="shared" si="70"/>
        <v>1595.2399999999998</v>
      </c>
      <c r="T99" s="90">
        <f t="shared" si="70"/>
        <v>153.54</v>
      </c>
      <c r="U99" s="90">
        <f t="shared" si="70"/>
        <v>1526.1399999999999</v>
      </c>
      <c r="V99" s="90">
        <f t="shared" si="70"/>
        <v>1583.9399999999998</v>
      </c>
      <c r="W99" s="90">
        <f t="shared" si="70"/>
        <v>1579.2399999999998</v>
      </c>
      <c r="X99" s="90">
        <f t="shared" si="70"/>
        <v>1519.8400000000001</v>
      </c>
      <c r="Y99" s="90">
        <f t="shared" si="70"/>
        <v>1735.1</v>
      </c>
      <c r="Z99" s="90">
        <f t="shared" si="70"/>
        <v>1963</v>
      </c>
      <c r="AA99" s="90">
        <f t="shared" si="70"/>
        <v>1959.34</v>
      </c>
      <c r="AB99" s="90">
        <f t="shared" si="70"/>
        <v>1911.54</v>
      </c>
      <c r="AC99" s="90">
        <f t="shared" ref="AC99:AD99" si="74">AC97+AC98</f>
        <v>1885.3400000000001</v>
      </c>
      <c r="AD99" s="90">
        <f t="shared" si="74"/>
        <v>1834.84</v>
      </c>
      <c r="AE99" s="90">
        <f t="shared" ref="AE99:AF99" si="75">AE97+AE98</f>
        <v>1717.54</v>
      </c>
      <c r="AF99" s="90">
        <f t="shared" si="75"/>
        <v>1611.54</v>
      </c>
      <c r="AG99" s="75">
        <f>AG96+AG92+AG80+AG76+AG58+AG98</f>
        <v>1693.71</v>
      </c>
      <c r="AH99" s="12">
        <f t="shared" si="56"/>
        <v>1963</v>
      </c>
      <c r="AI99" s="11">
        <f t="shared" si="57"/>
        <v>153.54</v>
      </c>
      <c r="BF99" s="78"/>
      <c r="BG99" s="78">
        <v>62.1</v>
      </c>
      <c r="BH99" s="78">
        <v>0</v>
      </c>
      <c r="BI99" s="78">
        <v>321.8</v>
      </c>
      <c r="BJ99" s="78">
        <v>38.4</v>
      </c>
      <c r="BK99" s="78">
        <v>106.3</v>
      </c>
      <c r="BL99" s="78">
        <v>47.5</v>
      </c>
    </row>
    <row r="100" spans="1:64" ht="15.75" thickBot="1" x14ac:dyDescent="0.3">
      <c r="A100" s="77" t="s">
        <v>162</v>
      </c>
      <c r="B100" s="90">
        <f t="shared" ref="B100:AB100" si="76">B99-(B107)</f>
        <v>1583.14</v>
      </c>
      <c r="C100" s="90">
        <f t="shared" si="76"/>
        <v>1587.3400000000001</v>
      </c>
      <c r="D100" s="90">
        <f t="shared" si="76"/>
        <v>1541.5400000000002</v>
      </c>
      <c r="E100" s="90">
        <f t="shared" si="76"/>
        <v>1528.84</v>
      </c>
      <c r="F100" s="90">
        <f t="shared" si="76"/>
        <v>1511.24</v>
      </c>
      <c r="G100" s="90">
        <f t="shared" si="76"/>
        <v>1533.34</v>
      </c>
      <c r="H100" s="90">
        <f t="shared" si="76"/>
        <v>1545.3400000000001</v>
      </c>
      <c r="I100" s="90">
        <f t="shared" si="76"/>
        <v>1622.74</v>
      </c>
      <c r="J100" s="90">
        <f t="shared" si="76"/>
        <v>1707.04</v>
      </c>
      <c r="K100" s="90">
        <f t="shared" si="76"/>
        <v>1614.44</v>
      </c>
      <c r="L100" s="90">
        <f t="shared" si="76"/>
        <v>1683.6399999999999</v>
      </c>
      <c r="M100" s="90">
        <f t="shared" ref="M100:N100" si="77">M99-(M107)</f>
        <v>1639.94</v>
      </c>
      <c r="N100" s="90">
        <f t="shared" si="77"/>
        <v>1617.94</v>
      </c>
      <c r="O100" s="90">
        <f t="shared" ref="O100:P100" si="78">O99-(O107)</f>
        <v>1705.6399999999999</v>
      </c>
      <c r="P100" s="90">
        <f t="shared" si="78"/>
        <v>1728.44</v>
      </c>
      <c r="Q100" s="90">
        <f t="shared" ref="Q100:R100" si="79">Q99-(Q107)</f>
        <v>1730.2399999999998</v>
      </c>
      <c r="R100" s="90">
        <f t="shared" si="79"/>
        <v>1682.04</v>
      </c>
      <c r="S100" s="90">
        <f t="shared" si="76"/>
        <v>1595.2399999999998</v>
      </c>
      <c r="T100" s="90">
        <f t="shared" si="76"/>
        <v>153.54</v>
      </c>
      <c r="U100" s="90">
        <f t="shared" si="76"/>
        <v>1526.1399999999999</v>
      </c>
      <c r="V100" s="90">
        <f t="shared" si="76"/>
        <v>1583.9399999999998</v>
      </c>
      <c r="W100" s="90">
        <f t="shared" si="76"/>
        <v>1579.2399999999998</v>
      </c>
      <c r="X100" s="90">
        <f t="shared" si="76"/>
        <v>1519.8400000000001</v>
      </c>
      <c r="Y100" s="90">
        <f t="shared" si="76"/>
        <v>1735.1</v>
      </c>
      <c r="Z100" s="90">
        <f t="shared" si="76"/>
        <v>1963</v>
      </c>
      <c r="AA100" s="90">
        <f t="shared" si="76"/>
        <v>1959.34</v>
      </c>
      <c r="AB100" s="90">
        <f t="shared" si="76"/>
        <v>1911.54</v>
      </c>
      <c r="AC100" s="90">
        <f t="shared" ref="AC100:AD100" si="80">AC99-(AC107)</f>
        <v>1885.3400000000001</v>
      </c>
      <c r="AD100" s="90">
        <f t="shared" si="80"/>
        <v>1834.84</v>
      </c>
      <c r="AE100" s="90">
        <f t="shared" ref="AE100:AF100" si="81">AE99-(AE107)</f>
        <v>1717.54</v>
      </c>
      <c r="AF100" s="90">
        <f t="shared" si="81"/>
        <v>1611.54</v>
      </c>
      <c r="AG100" s="75"/>
      <c r="AH100" s="12">
        <f t="shared" si="56"/>
        <v>1963</v>
      </c>
      <c r="AI100" s="11">
        <f t="shared" si="57"/>
        <v>153.54</v>
      </c>
      <c r="BF100" s="78"/>
      <c r="BG100" s="78">
        <v>60.8</v>
      </c>
      <c r="BH100" s="78">
        <v>0</v>
      </c>
      <c r="BI100" s="78">
        <v>433.1</v>
      </c>
      <c r="BJ100" s="78">
        <v>36.6</v>
      </c>
      <c r="BK100" s="78">
        <v>126.8</v>
      </c>
      <c r="BL100" s="78">
        <v>39</v>
      </c>
    </row>
    <row r="101" spans="1:64" x14ac:dyDescent="0.25">
      <c r="A101" s="89" t="s">
        <v>161</v>
      </c>
      <c r="B101" s="85">
        <f t="shared" ref="B101:AB101" si="82">IF(B84&lt;0,B84*-1,0)</f>
        <v>0</v>
      </c>
      <c r="C101" s="85">
        <f t="shared" si="82"/>
        <v>0</v>
      </c>
      <c r="D101" s="85">
        <f t="shared" si="82"/>
        <v>0</v>
      </c>
      <c r="E101" s="85">
        <f t="shared" si="82"/>
        <v>0</v>
      </c>
      <c r="F101" s="85">
        <f t="shared" si="82"/>
        <v>0</v>
      </c>
      <c r="G101" s="85">
        <f t="shared" si="82"/>
        <v>0</v>
      </c>
      <c r="H101" s="85">
        <f t="shared" si="82"/>
        <v>0</v>
      </c>
      <c r="I101" s="85">
        <f t="shared" si="82"/>
        <v>0</v>
      </c>
      <c r="J101" s="85">
        <f t="shared" si="82"/>
        <v>0</v>
      </c>
      <c r="K101" s="85">
        <f t="shared" si="82"/>
        <v>0</v>
      </c>
      <c r="L101" s="85">
        <f t="shared" si="82"/>
        <v>0</v>
      </c>
      <c r="M101" s="85">
        <f t="shared" ref="M101:N101" si="83">IF(M84&lt;0,M84*-1,0)</f>
        <v>0</v>
      </c>
      <c r="N101" s="85">
        <f t="shared" si="83"/>
        <v>0</v>
      </c>
      <c r="O101" s="85">
        <f t="shared" ref="O101:P101" si="84">IF(O84&lt;0,O84*-1,0)</f>
        <v>0</v>
      </c>
      <c r="P101" s="85">
        <f t="shared" si="84"/>
        <v>0</v>
      </c>
      <c r="Q101" s="85">
        <f t="shared" ref="Q101:R101" si="85">IF(Q84&lt;0,Q84*-1,0)</f>
        <v>0</v>
      </c>
      <c r="R101" s="85">
        <f t="shared" si="85"/>
        <v>0</v>
      </c>
      <c r="S101" s="85">
        <f t="shared" si="82"/>
        <v>0</v>
      </c>
      <c r="T101" s="85">
        <f t="shared" si="82"/>
        <v>0</v>
      </c>
      <c r="U101" s="85">
        <f t="shared" si="82"/>
        <v>0</v>
      </c>
      <c r="V101" s="85">
        <f t="shared" si="82"/>
        <v>0</v>
      </c>
      <c r="W101" s="85">
        <f t="shared" si="82"/>
        <v>0</v>
      </c>
      <c r="X101" s="85">
        <f t="shared" si="82"/>
        <v>0</v>
      </c>
      <c r="Y101" s="85">
        <f t="shared" si="82"/>
        <v>0</v>
      </c>
      <c r="Z101" s="85">
        <f t="shared" si="82"/>
        <v>0</v>
      </c>
      <c r="AA101" s="85">
        <f t="shared" si="82"/>
        <v>0</v>
      </c>
      <c r="AB101" s="85">
        <f t="shared" si="82"/>
        <v>0</v>
      </c>
      <c r="AC101" s="85">
        <f t="shared" ref="AC101:AD101" si="86">IF(AC84&lt;0,AC84*-1,0)</f>
        <v>0</v>
      </c>
      <c r="AD101" s="85">
        <f t="shared" si="86"/>
        <v>0</v>
      </c>
      <c r="AE101" s="85">
        <f t="shared" ref="AE101:AF101" si="87">IF(AE84&lt;0,AE84*-1,0)</f>
        <v>0</v>
      </c>
      <c r="AF101" s="85">
        <f t="shared" si="87"/>
        <v>0</v>
      </c>
      <c r="AG101" s="88"/>
      <c r="AH101" s="12">
        <f t="shared" si="56"/>
        <v>0</v>
      </c>
      <c r="AI101" s="11">
        <f t="shared" si="57"/>
        <v>0</v>
      </c>
      <c r="BF101" s="83"/>
      <c r="BG101" s="78">
        <v>66.599999999999994</v>
      </c>
      <c r="BH101" s="78">
        <v>0</v>
      </c>
      <c r="BI101" s="78">
        <v>445</v>
      </c>
      <c r="BJ101" s="78">
        <v>34.4</v>
      </c>
      <c r="BK101" s="78">
        <v>84.6</v>
      </c>
      <c r="BL101" s="78">
        <v>35</v>
      </c>
    </row>
    <row r="102" spans="1:64" x14ac:dyDescent="0.25">
      <c r="A102" s="87" t="s">
        <v>160</v>
      </c>
      <c r="B102" s="85">
        <f t="shared" ref="B102:AB102" si="88">IF(B82&lt;0,B82*-1,0)</f>
        <v>0</v>
      </c>
      <c r="C102" s="85">
        <f t="shared" si="88"/>
        <v>0</v>
      </c>
      <c r="D102" s="85">
        <f t="shared" si="88"/>
        <v>0</v>
      </c>
      <c r="E102" s="85">
        <f t="shared" si="88"/>
        <v>0</v>
      </c>
      <c r="F102" s="85">
        <f t="shared" si="88"/>
        <v>0</v>
      </c>
      <c r="G102" s="85">
        <f t="shared" si="88"/>
        <v>0</v>
      </c>
      <c r="H102" s="85">
        <f t="shared" si="88"/>
        <v>0</v>
      </c>
      <c r="I102" s="85">
        <f t="shared" si="88"/>
        <v>0</v>
      </c>
      <c r="J102" s="85">
        <f t="shared" si="88"/>
        <v>0</v>
      </c>
      <c r="K102" s="85">
        <f t="shared" si="88"/>
        <v>0</v>
      </c>
      <c r="L102" s="85">
        <f t="shared" si="88"/>
        <v>0</v>
      </c>
      <c r="M102" s="85">
        <f t="shared" ref="M102:N102" si="89">IF(M82&lt;0,M82*-1,0)</f>
        <v>0</v>
      </c>
      <c r="N102" s="85">
        <f t="shared" si="89"/>
        <v>0</v>
      </c>
      <c r="O102" s="85">
        <f t="shared" ref="O102:P102" si="90">IF(O82&lt;0,O82*-1,0)</f>
        <v>0</v>
      </c>
      <c r="P102" s="85">
        <f t="shared" si="90"/>
        <v>0</v>
      </c>
      <c r="Q102" s="85">
        <f t="shared" ref="Q102:R102" si="91">IF(Q82&lt;0,Q82*-1,0)</f>
        <v>0</v>
      </c>
      <c r="R102" s="85">
        <f t="shared" si="91"/>
        <v>0</v>
      </c>
      <c r="S102" s="85">
        <f t="shared" si="88"/>
        <v>0</v>
      </c>
      <c r="T102" s="85">
        <f t="shared" si="88"/>
        <v>0</v>
      </c>
      <c r="U102" s="85">
        <f t="shared" si="88"/>
        <v>0</v>
      </c>
      <c r="V102" s="85">
        <f t="shared" si="88"/>
        <v>0</v>
      </c>
      <c r="W102" s="85">
        <f t="shared" si="88"/>
        <v>0</v>
      </c>
      <c r="X102" s="85">
        <f t="shared" si="88"/>
        <v>0</v>
      </c>
      <c r="Y102" s="85">
        <f t="shared" si="88"/>
        <v>0</v>
      </c>
      <c r="Z102" s="85">
        <f t="shared" si="88"/>
        <v>0</v>
      </c>
      <c r="AA102" s="85">
        <f t="shared" si="88"/>
        <v>0</v>
      </c>
      <c r="AB102" s="85">
        <f t="shared" si="88"/>
        <v>0</v>
      </c>
      <c r="AC102" s="85">
        <f t="shared" ref="AC102:AD102" si="92">IF(AC82&lt;0,AC82*-1,0)</f>
        <v>0</v>
      </c>
      <c r="AD102" s="85">
        <f t="shared" si="92"/>
        <v>0</v>
      </c>
      <c r="AE102" s="85">
        <f t="shared" ref="AE102:AF102" si="93">IF(AE82&lt;0,AE82*-1,0)</f>
        <v>0</v>
      </c>
      <c r="AF102" s="85">
        <f t="shared" si="93"/>
        <v>0</v>
      </c>
      <c r="AG102" s="86"/>
      <c r="AH102" s="12">
        <f t="shared" si="56"/>
        <v>0</v>
      </c>
      <c r="AI102" s="11">
        <f t="shared" si="57"/>
        <v>0</v>
      </c>
      <c r="BF102" s="83"/>
      <c r="BG102" s="78">
        <v>20</v>
      </c>
      <c r="BH102" s="78">
        <v>0</v>
      </c>
      <c r="BI102" s="78">
        <v>132</v>
      </c>
      <c r="BJ102" s="78">
        <v>0</v>
      </c>
      <c r="BK102" s="78">
        <v>0</v>
      </c>
      <c r="BL102" s="78">
        <v>33.200000000000003</v>
      </c>
    </row>
    <row r="103" spans="1:64" x14ac:dyDescent="0.25">
      <c r="A103" s="82" t="s">
        <v>159</v>
      </c>
      <c r="B103" s="85">
        <f t="shared" ref="B103:AB103" si="94">IF(B85&lt;0,B85*-1,0)</f>
        <v>0</v>
      </c>
      <c r="C103" s="85">
        <f t="shared" si="94"/>
        <v>0</v>
      </c>
      <c r="D103" s="85">
        <f t="shared" si="94"/>
        <v>0</v>
      </c>
      <c r="E103" s="85">
        <f t="shared" si="94"/>
        <v>0</v>
      </c>
      <c r="F103" s="85">
        <f t="shared" si="94"/>
        <v>0</v>
      </c>
      <c r="G103" s="85">
        <f t="shared" si="94"/>
        <v>0</v>
      </c>
      <c r="H103" s="85">
        <f t="shared" si="94"/>
        <v>0</v>
      </c>
      <c r="I103" s="85">
        <f t="shared" si="94"/>
        <v>0</v>
      </c>
      <c r="J103" s="85">
        <f t="shared" si="94"/>
        <v>0</v>
      </c>
      <c r="K103" s="85">
        <f t="shared" si="94"/>
        <v>0</v>
      </c>
      <c r="L103" s="85">
        <f t="shared" si="94"/>
        <v>0</v>
      </c>
      <c r="M103" s="85">
        <f t="shared" ref="M103:N103" si="95">IF(M85&lt;0,M85*-1,0)</f>
        <v>0</v>
      </c>
      <c r="N103" s="85">
        <f t="shared" si="95"/>
        <v>0</v>
      </c>
      <c r="O103" s="85">
        <f t="shared" ref="O103:P103" si="96">IF(O85&lt;0,O85*-1,0)</f>
        <v>0</v>
      </c>
      <c r="P103" s="85">
        <f t="shared" si="96"/>
        <v>0</v>
      </c>
      <c r="Q103" s="85">
        <f t="shared" ref="Q103:R103" si="97">IF(Q85&lt;0,Q85*-1,0)</f>
        <v>0</v>
      </c>
      <c r="R103" s="85">
        <f t="shared" si="97"/>
        <v>0</v>
      </c>
      <c r="S103" s="85">
        <f t="shared" si="94"/>
        <v>0</v>
      </c>
      <c r="T103" s="85">
        <f t="shared" si="94"/>
        <v>0</v>
      </c>
      <c r="U103" s="85">
        <f t="shared" si="94"/>
        <v>0</v>
      </c>
      <c r="V103" s="85">
        <f t="shared" si="94"/>
        <v>0</v>
      </c>
      <c r="W103" s="85">
        <f t="shared" si="94"/>
        <v>0</v>
      </c>
      <c r="X103" s="85">
        <f t="shared" si="94"/>
        <v>0</v>
      </c>
      <c r="Y103" s="85">
        <f t="shared" si="94"/>
        <v>0</v>
      </c>
      <c r="Z103" s="85">
        <f t="shared" si="94"/>
        <v>0</v>
      </c>
      <c r="AA103" s="85">
        <f t="shared" si="94"/>
        <v>0</v>
      </c>
      <c r="AB103" s="85">
        <f t="shared" si="94"/>
        <v>0</v>
      </c>
      <c r="AC103" s="85">
        <f t="shared" ref="AC103:AD103" si="98">IF(AC85&lt;0,AC85*-1,0)</f>
        <v>0</v>
      </c>
      <c r="AD103" s="85">
        <f t="shared" si="98"/>
        <v>0</v>
      </c>
      <c r="AE103" s="85">
        <f t="shared" ref="AE103:AF103" si="99">IF(AE85&lt;0,AE85*-1,0)</f>
        <v>0</v>
      </c>
      <c r="AF103" s="85">
        <f t="shared" si="99"/>
        <v>0</v>
      </c>
      <c r="AG103" s="84"/>
      <c r="AH103" s="12">
        <f t="shared" si="56"/>
        <v>0</v>
      </c>
      <c r="AI103" s="11">
        <f t="shared" si="57"/>
        <v>0</v>
      </c>
      <c r="BF103" s="83"/>
      <c r="BG103" s="78">
        <v>16</v>
      </c>
      <c r="BH103" s="78">
        <v>0</v>
      </c>
      <c r="BI103" s="78">
        <v>171</v>
      </c>
      <c r="BJ103" s="78">
        <v>0</v>
      </c>
      <c r="BK103" s="78">
        <v>0</v>
      </c>
      <c r="BL103" s="78">
        <v>37.9</v>
      </c>
    </row>
    <row r="104" spans="1:64" x14ac:dyDescent="0.25">
      <c r="A104" s="82" t="s">
        <v>158</v>
      </c>
      <c r="B104" s="85">
        <f t="shared" ref="B104:AB104" si="100">IF(B83&lt;0,B83*-1,0)</f>
        <v>0</v>
      </c>
      <c r="C104" s="85">
        <f t="shared" si="100"/>
        <v>0</v>
      </c>
      <c r="D104" s="85">
        <f t="shared" si="100"/>
        <v>0</v>
      </c>
      <c r="E104" s="85">
        <f t="shared" si="100"/>
        <v>0</v>
      </c>
      <c r="F104" s="85">
        <f t="shared" si="100"/>
        <v>0</v>
      </c>
      <c r="G104" s="85">
        <f t="shared" si="100"/>
        <v>0</v>
      </c>
      <c r="H104" s="85">
        <f t="shared" si="100"/>
        <v>0</v>
      </c>
      <c r="I104" s="85">
        <f t="shared" si="100"/>
        <v>0</v>
      </c>
      <c r="J104" s="85">
        <f t="shared" si="100"/>
        <v>0</v>
      </c>
      <c r="K104" s="85">
        <f t="shared" si="100"/>
        <v>0</v>
      </c>
      <c r="L104" s="85">
        <f t="shared" si="100"/>
        <v>0</v>
      </c>
      <c r="M104" s="85">
        <f t="shared" ref="M104:N104" si="101">IF(M83&lt;0,M83*-1,0)</f>
        <v>0</v>
      </c>
      <c r="N104" s="85">
        <f t="shared" si="101"/>
        <v>0</v>
      </c>
      <c r="O104" s="85">
        <f t="shared" ref="O104:P104" si="102">IF(O83&lt;0,O83*-1,0)</f>
        <v>0</v>
      </c>
      <c r="P104" s="85">
        <f t="shared" si="102"/>
        <v>0</v>
      </c>
      <c r="Q104" s="85">
        <f t="shared" ref="Q104:R104" si="103">IF(Q83&lt;0,Q83*-1,0)</f>
        <v>0</v>
      </c>
      <c r="R104" s="85">
        <f t="shared" si="103"/>
        <v>0</v>
      </c>
      <c r="S104" s="85">
        <f t="shared" si="100"/>
        <v>0</v>
      </c>
      <c r="T104" s="85">
        <f t="shared" si="100"/>
        <v>0</v>
      </c>
      <c r="U104" s="85">
        <f t="shared" si="100"/>
        <v>0</v>
      </c>
      <c r="V104" s="85">
        <f t="shared" si="100"/>
        <v>0</v>
      </c>
      <c r="W104" s="85">
        <f t="shared" si="100"/>
        <v>0</v>
      </c>
      <c r="X104" s="85">
        <f t="shared" si="100"/>
        <v>0</v>
      </c>
      <c r="Y104" s="85">
        <f t="shared" si="100"/>
        <v>0</v>
      </c>
      <c r="Z104" s="85">
        <f t="shared" si="100"/>
        <v>0</v>
      </c>
      <c r="AA104" s="85">
        <f t="shared" si="100"/>
        <v>0</v>
      </c>
      <c r="AB104" s="85">
        <f t="shared" si="100"/>
        <v>0</v>
      </c>
      <c r="AC104" s="85">
        <f t="shared" ref="AC104:AD104" si="104">IF(AC83&lt;0,AC83*-1,0)</f>
        <v>0</v>
      </c>
      <c r="AD104" s="85">
        <f t="shared" si="104"/>
        <v>0</v>
      </c>
      <c r="AE104" s="85">
        <f t="shared" ref="AE104:AF104" si="105">IF(AE83&lt;0,AE83*-1,0)</f>
        <v>0</v>
      </c>
      <c r="AF104" s="85">
        <f t="shared" si="105"/>
        <v>0</v>
      </c>
      <c r="AG104" s="84"/>
      <c r="AH104" s="12">
        <f t="shared" si="56"/>
        <v>0</v>
      </c>
      <c r="AI104" s="11">
        <f t="shared" si="57"/>
        <v>0</v>
      </c>
      <c r="BF104" s="83"/>
      <c r="BG104" s="78">
        <v>34.799999999999997</v>
      </c>
      <c r="BH104" s="78">
        <v>0</v>
      </c>
      <c r="BI104" s="78">
        <v>87.5</v>
      </c>
      <c r="BJ104" s="78">
        <v>0</v>
      </c>
      <c r="BK104" s="78">
        <v>0</v>
      </c>
      <c r="BL104" s="78">
        <v>41.7</v>
      </c>
    </row>
    <row r="105" spans="1:64" x14ac:dyDescent="0.25">
      <c r="A105" s="82" t="s">
        <v>157</v>
      </c>
      <c r="B105" s="85">
        <f t="shared" ref="B105:AB105" si="106">IF(B81&lt;0,B81*-1,0)</f>
        <v>0</v>
      </c>
      <c r="C105" s="85">
        <f t="shared" si="106"/>
        <v>0</v>
      </c>
      <c r="D105" s="85">
        <f t="shared" si="106"/>
        <v>0</v>
      </c>
      <c r="E105" s="85">
        <f t="shared" si="106"/>
        <v>0</v>
      </c>
      <c r="F105" s="85">
        <f t="shared" si="106"/>
        <v>0</v>
      </c>
      <c r="G105" s="85">
        <f t="shared" si="106"/>
        <v>0</v>
      </c>
      <c r="H105" s="85">
        <f t="shared" si="106"/>
        <v>0</v>
      </c>
      <c r="I105" s="85">
        <f t="shared" si="106"/>
        <v>0</v>
      </c>
      <c r="J105" s="85">
        <f t="shared" si="106"/>
        <v>0</v>
      </c>
      <c r="K105" s="85">
        <f t="shared" si="106"/>
        <v>0</v>
      </c>
      <c r="L105" s="85">
        <f t="shared" si="106"/>
        <v>0</v>
      </c>
      <c r="M105" s="85">
        <f t="shared" ref="M105:N105" si="107">IF(M81&lt;0,M81*-1,0)</f>
        <v>0</v>
      </c>
      <c r="N105" s="85">
        <f t="shared" si="107"/>
        <v>0</v>
      </c>
      <c r="O105" s="85">
        <f t="shared" ref="O105:P105" si="108">IF(O81&lt;0,O81*-1,0)</f>
        <v>0</v>
      </c>
      <c r="P105" s="85">
        <f t="shared" si="108"/>
        <v>0</v>
      </c>
      <c r="Q105" s="85">
        <f t="shared" ref="Q105:R105" si="109">IF(Q81&lt;0,Q81*-1,0)</f>
        <v>0</v>
      </c>
      <c r="R105" s="85">
        <f t="shared" si="109"/>
        <v>0</v>
      </c>
      <c r="S105" s="85">
        <f t="shared" si="106"/>
        <v>0</v>
      </c>
      <c r="T105" s="85">
        <f t="shared" si="106"/>
        <v>0</v>
      </c>
      <c r="U105" s="85">
        <f t="shared" si="106"/>
        <v>0</v>
      </c>
      <c r="V105" s="85">
        <f t="shared" si="106"/>
        <v>0</v>
      </c>
      <c r="W105" s="85">
        <f t="shared" si="106"/>
        <v>0</v>
      </c>
      <c r="X105" s="85">
        <f t="shared" si="106"/>
        <v>0</v>
      </c>
      <c r="Y105" s="85">
        <f t="shared" si="106"/>
        <v>0</v>
      </c>
      <c r="Z105" s="85">
        <f t="shared" si="106"/>
        <v>0</v>
      </c>
      <c r="AA105" s="85">
        <f t="shared" si="106"/>
        <v>0</v>
      </c>
      <c r="AB105" s="85">
        <f t="shared" si="106"/>
        <v>0</v>
      </c>
      <c r="AC105" s="85">
        <f t="shared" ref="AC105:AD105" si="110">IF(AC81&lt;0,AC81*-1,0)</f>
        <v>0</v>
      </c>
      <c r="AD105" s="85">
        <f t="shared" si="110"/>
        <v>0</v>
      </c>
      <c r="AE105" s="85">
        <f t="shared" ref="AE105:AF105" si="111">IF(AE81&lt;0,AE81*-1,0)</f>
        <v>0</v>
      </c>
      <c r="AF105" s="85">
        <f t="shared" si="111"/>
        <v>0</v>
      </c>
      <c r="AG105" s="84"/>
      <c r="AH105" s="12">
        <f t="shared" si="56"/>
        <v>0</v>
      </c>
      <c r="AI105" s="11">
        <f t="shared" si="57"/>
        <v>0</v>
      </c>
      <c r="BF105" s="83"/>
      <c r="BG105" s="78">
        <v>37.6</v>
      </c>
      <c r="BH105" s="78">
        <v>0</v>
      </c>
      <c r="BI105" s="78">
        <v>51.2</v>
      </c>
      <c r="BJ105" s="78">
        <v>0</v>
      </c>
      <c r="BK105" s="78">
        <v>0</v>
      </c>
      <c r="BL105" s="78">
        <v>42.4</v>
      </c>
    </row>
    <row r="106" spans="1:64" ht="15.75" thickBot="1" x14ac:dyDescent="0.3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56"/>
        <v>0</v>
      </c>
      <c r="AI106" s="11">
        <f t="shared" si="57"/>
        <v>0</v>
      </c>
      <c r="BG106" s="78">
        <v>32.700000000000003</v>
      </c>
      <c r="BH106" s="78">
        <v>0</v>
      </c>
      <c r="BI106" s="78">
        <v>29</v>
      </c>
      <c r="BJ106" s="78">
        <v>0</v>
      </c>
      <c r="BK106" s="78">
        <v>0</v>
      </c>
      <c r="BL106" s="78">
        <v>43.3</v>
      </c>
    </row>
    <row r="107" spans="1:64" ht="15.75" thickBot="1" x14ac:dyDescent="0.3">
      <c r="A107" s="79" t="s">
        <v>155</v>
      </c>
      <c r="B107" s="76">
        <f t="shared" ref="B107:AB107" si="112">SUM(B101:B106)</f>
        <v>0</v>
      </c>
      <c r="C107" s="76">
        <f t="shared" si="112"/>
        <v>0</v>
      </c>
      <c r="D107" s="76">
        <f t="shared" si="112"/>
        <v>0</v>
      </c>
      <c r="E107" s="76">
        <f t="shared" si="112"/>
        <v>0</v>
      </c>
      <c r="F107" s="76">
        <f t="shared" si="112"/>
        <v>0</v>
      </c>
      <c r="G107" s="76">
        <f t="shared" si="112"/>
        <v>0</v>
      </c>
      <c r="H107" s="76">
        <f t="shared" si="112"/>
        <v>0</v>
      </c>
      <c r="I107" s="76">
        <f t="shared" si="112"/>
        <v>0</v>
      </c>
      <c r="J107" s="76">
        <f t="shared" si="112"/>
        <v>0</v>
      </c>
      <c r="K107" s="76">
        <f t="shared" si="112"/>
        <v>0</v>
      </c>
      <c r="L107" s="76">
        <f t="shared" si="112"/>
        <v>0</v>
      </c>
      <c r="M107" s="76">
        <f t="shared" ref="M107:N107" si="113">SUM(M101:M106)</f>
        <v>0</v>
      </c>
      <c r="N107" s="76">
        <f t="shared" si="113"/>
        <v>0</v>
      </c>
      <c r="O107" s="76">
        <f t="shared" ref="O107:P107" si="114">SUM(O101:O106)</f>
        <v>0</v>
      </c>
      <c r="P107" s="76">
        <f t="shared" si="114"/>
        <v>0</v>
      </c>
      <c r="Q107" s="76">
        <f t="shared" ref="Q107:R107" si="115">SUM(Q101:Q106)</f>
        <v>0</v>
      </c>
      <c r="R107" s="76">
        <f t="shared" si="115"/>
        <v>0</v>
      </c>
      <c r="S107" s="76">
        <f t="shared" si="112"/>
        <v>0</v>
      </c>
      <c r="T107" s="76">
        <f t="shared" si="112"/>
        <v>0</v>
      </c>
      <c r="U107" s="76">
        <f t="shared" si="112"/>
        <v>0</v>
      </c>
      <c r="V107" s="76">
        <f t="shared" si="112"/>
        <v>0</v>
      </c>
      <c r="W107" s="76">
        <f t="shared" si="112"/>
        <v>0</v>
      </c>
      <c r="X107" s="76">
        <f t="shared" si="112"/>
        <v>0</v>
      </c>
      <c r="Y107" s="76">
        <f t="shared" si="112"/>
        <v>0</v>
      </c>
      <c r="Z107" s="76">
        <f t="shared" si="112"/>
        <v>0</v>
      </c>
      <c r="AA107" s="76">
        <f t="shared" si="112"/>
        <v>0</v>
      </c>
      <c r="AB107" s="76">
        <f t="shared" si="112"/>
        <v>0</v>
      </c>
      <c r="AC107" s="76">
        <f t="shared" ref="AC107:AD107" si="116">SUM(AC101:AC106)</f>
        <v>0</v>
      </c>
      <c r="AD107" s="76">
        <f t="shared" si="116"/>
        <v>0</v>
      </c>
      <c r="AE107" s="76">
        <f t="shared" ref="AE107:AF107" si="117">SUM(AE101:AE106)</f>
        <v>0</v>
      </c>
      <c r="AF107" s="76">
        <f t="shared" si="117"/>
        <v>0</v>
      </c>
      <c r="AG107" s="75"/>
      <c r="AH107" s="12">
        <f t="shared" si="56"/>
        <v>0</v>
      </c>
      <c r="AI107" s="11">
        <f t="shared" si="57"/>
        <v>0</v>
      </c>
      <c r="AK107" s="19"/>
      <c r="BG107" s="78">
        <v>25</v>
      </c>
      <c r="BH107" s="78">
        <v>0</v>
      </c>
      <c r="BI107" s="78">
        <v>122</v>
      </c>
      <c r="BJ107" s="78">
        <v>0</v>
      </c>
      <c r="BK107" s="78">
        <v>0</v>
      </c>
      <c r="BL107" s="78">
        <v>46.8</v>
      </c>
    </row>
    <row r="108" spans="1:64" ht="15.75" thickBot="1" x14ac:dyDescent="0.3">
      <c r="A108" s="77" t="s">
        <v>154</v>
      </c>
      <c r="B108" s="76">
        <f t="shared" ref="B108:AB108" si="118">B92-B107</f>
        <v>193.8</v>
      </c>
      <c r="C108" s="76">
        <f t="shared" si="118"/>
        <v>198</v>
      </c>
      <c r="D108" s="76">
        <f t="shared" si="118"/>
        <v>152.19999999999999</v>
      </c>
      <c r="E108" s="76">
        <f t="shared" si="118"/>
        <v>133.30000000000001</v>
      </c>
      <c r="F108" s="76">
        <f t="shared" si="118"/>
        <v>133.4</v>
      </c>
      <c r="G108" s="76">
        <f t="shared" si="118"/>
        <v>204</v>
      </c>
      <c r="H108" s="76">
        <f t="shared" si="118"/>
        <v>183.9</v>
      </c>
      <c r="I108" s="76">
        <f t="shared" si="118"/>
        <v>253.7</v>
      </c>
      <c r="J108" s="76">
        <f t="shared" si="118"/>
        <v>560.9</v>
      </c>
      <c r="K108" s="76">
        <f t="shared" si="118"/>
        <v>618.6</v>
      </c>
      <c r="L108" s="76">
        <f t="shared" si="118"/>
        <v>676.30000000000007</v>
      </c>
      <c r="M108" s="76">
        <f t="shared" ref="M108:N108" si="119">M92-M107</f>
        <v>688</v>
      </c>
      <c r="N108" s="76">
        <f t="shared" si="119"/>
        <v>720.1</v>
      </c>
      <c r="O108" s="76">
        <f t="shared" ref="O108:P108" si="120">O92-O107</f>
        <v>746.5</v>
      </c>
      <c r="P108" s="76">
        <f t="shared" si="120"/>
        <v>767.2</v>
      </c>
      <c r="Q108" s="76">
        <f t="shared" ref="Q108:R108" si="121">Q92-Q107</f>
        <v>797.9</v>
      </c>
      <c r="R108" s="76">
        <f t="shared" si="121"/>
        <v>744.19999999999993</v>
      </c>
      <c r="S108" s="76">
        <f t="shared" si="118"/>
        <v>714.80000000000007</v>
      </c>
      <c r="T108" s="76">
        <f t="shared" si="118"/>
        <v>0</v>
      </c>
      <c r="U108" s="76">
        <f t="shared" si="118"/>
        <v>576.1</v>
      </c>
      <c r="V108" s="76">
        <f t="shared" si="118"/>
        <v>696.3</v>
      </c>
      <c r="W108" s="76">
        <f t="shared" si="118"/>
        <v>691.9</v>
      </c>
      <c r="X108" s="76">
        <f t="shared" si="118"/>
        <v>665.6</v>
      </c>
      <c r="Y108" s="76">
        <f t="shared" si="118"/>
        <v>175</v>
      </c>
      <c r="Z108" s="76">
        <f t="shared" si="118"/>
        <v>185.2</v>
      </c>
      <c r="AA108" s="76">
        <f t="shared" si="118"/>
        <v>166.5</v>
      </c>
      <c r="AB108" s="76">
        <f t="shared" si="118"/>
        <v>224.9</v>
      </c>
      <c r="AC108" s="76">
        <f t="shared" ref="AC108:AD108" si="122">AC92-AC107</f>
        <v>243.9</v>
      </c>
      <c r="AD108" s="76">
        <f t="shared" si="122"/>
        <v>164</v>
      </c>
      <c r="AE108" s="76">
        <f t="shared" ref="AE108:AF108" si="123">AE92-AE107</f>
        <v>131.20000000000002</v>
      </c>
      <c r="AF108" s="76">
        <f t="shared" si="123"/>
        <v>105</v>
      </c>
      <c r="AG108" s="75"/>
      <c r="AH108" s="12">
        <f t="shared" si="56"/>
        <v>797.9</v>
      </c>
      <c r="AI108" s="11">
        <f t="shared" si="57"/>
        <v>0</v>
      </c>
    </row>
    <row r="109" spans="1:64" x14ac:dyDescent="0.25">
      <c r="A109" s="25" t="s">
        <v>153</v>
      </c>
      <c r="B109" s="74">
        <v>50.051000000000002</v>
      </c>
      <c r="C109" s="74">
        <v>50.034999999999997</v>
      </c>
      <c r="D109" s="74">
        <v>49.94</v>
      </c>
      <c r="E109" s="74">
        <v>49.978999999999999</v>
      </c>
      <c r="F109" s="74">
        <v>50.026000000000003</v>
      </c>
      <c r="G109" s="74">
        <v>49.942</v>
      </c>
      <c r="H109" s="74">
        <v>50.021000000000001</v>
      </c>
      <c r="I109" s="74">
        <v>49.959000000000003</v>
      </c>
      <c r="J109" s="74">
        <v>50.095999999999997</v>
      </c>
      <c r="K109" s="74">
        <v>50.136000000000003</v>
      </c>
      <c r="L109" s="74">
        <v>49.96</v>
      </c>
      <c r="M109" s="74">
        <v>50.09</v>
      </c>
      <c r="N109" s="74">
        <v>49.97</v>
      </c>
      <c r="O109" s="74">
        <v>50.05</v>
      </c>
      <c r="P109" s="74">
        <v>49.98</v>
      </c>
      <c r="Q109" s="74">
        <v>49.96</v>
      </c>
      <c r="R109" s="74">
        <v>49.99</v>
      </c>
      <c r="S109" s="74">
        <v>50</v>
      </c>
      <c r="T109" s="74"/>
      <c r="U109" s="74">
        <v>49.972000000000001</v>
      </c>
      <c r="V109" s="74">
        <v>50.07</v>
      </c>
      <c r="W109" s="74">
        <v>50.091999999999999</v>
      </c>
      <c r="X109" s="74">
        <v>50.052</v>
      </c>
      <c r="Y109" s="74">
        <v>50.048000000000002</v>
      </c>
      <c r="Z109" s="74">
        <v>50.011000000000003</v>
      </c>
      <c r="AA109" s="74">
        <v>50.055999999999997</v>
      </c>
      <c r="AB109" s="74">
        <v>50.06</v>
      </c>
      <c r="AC109" s="74">
        <v>50.04</v>
      </c>
      <c r="AD109" s="74">
        <v>50.04</v>
      </c>
      <c r="AE109" s="74">
        <v>50.05</v>
      </c>
      <c r="AF109" s="74">
        <v>49.89</v>
      </c>
      <c r="AG109" s="73"/>
      <c r="AH109" s="12">
        <f t="shared" si="56"/>
        <v>50.136000000000003</v>
      </c>
      <c r="AI109" s="11">
        <f t="shared" si="57"/>
        <v>49.89</v>
      </c>
    </row>
    <row r="110" spans="1:64" x14ac:dyDescent="0.25">
      <c r="A110" s="22" t="s">
        <v>152</v>
      </c>
      <c r="B110" s="70">
        <v>130.19999999999999</v>
      </c>
      <c r="C110" s="70">
        <v>131.1</v>
      </c>
      <c r="D110" s="70">
        <v>131.30000000000001</v>
      </c>
      <c r="E110" s="70">
        <v>130.80000000000001</v>
      </c>
      <c r="F110" s="70">
        <v>131.80000000000001</v>
      </c>
      <c r="G110" s="70">
        <v>131.6</v>
      </c>
      <c r="H110" s="70">
        <v>130.30000000000001</v>
      </c>
      <c r="I110" s="70">
        <v>127.8</v>
      </c>
      <c r="J110" s="70">
        <v>124</v>
      </c>
      <c r="K110" s="70">
        <v>124.1</v>
      </c>
      <c r="L110" s="70">
        <v>120.3</v>
      </c>
      <c r="M110" s="70">
        <v>120.3</v>
      </c>
      <c r="N110" s="70">
        <v>125.4</v>
      </c>
      <c r="O110" s="70">
        <v>125.6</v>
      </c>
      <c r="P110" s="70">
        <v>126.1</v>
      </c>
      <c r="Q110" s="70">
        <v>126.1</v>
      </c>
      <c r="R110" s="70">
        <v>126.3</v>
      </c>
      <c r="S110" s="70">
        <v>128.6</v>
      </c>
      <c r="T110" s="70"/>
      <c r="U110" s="70">
        <v>130</v>
      </c>
      <c r="V110" s="70">
        <v>127.3</v>
      </c>
      <c r="W110" s="70">
        <v>128</v>
      </c>
      <c r="X110" s="70">
        <v>128.19999999999999</v>
      </c>
      <c r="Y110" s="70">
        <v>127.5</v>
      </c>
      <c r="Z110" s="70">
        <v>125.8</v>
      </c>
      <c r="AA110" s="70">
        <v>129.19999999999999</v>
      </c>
      <c r="AB110" s="70">
        <v>125.6</v>
      </c>
      <c r="AC110" s="70">
        <v>125.6</v>
      </c>
      <c r="AD110" s="70">
        <v>128.30000000000001</v>
      </c>
      <c r="AE110" s="70">
        <v>128.30000000000001</v>
      </c>
      <c r="AF110" s="70">
        <v>128.30000000000001</v>
      </c>
      <c r="AG110" s="69"/>
      <c r="AH110" s="12">
        <f t="shared" si="56"/>
        <v>131.80000000000001</v>
      </c>
      <c r="AI110" s="11">
        <f t="shared" si="57"/>
        <v>120.3</v>
      </c>
    </row>
    <row r="111" spans="1:64" x14ac:dyDescent="0.25">
      <c r="A111" s="22" t="s">
        <v>151</v>
      </c>
      <c r="B111" s="70">
        <v>133.9</v>
      </c>
      <c r="C111" s="70">
        <v>134.69999999999999</v>
      </c>
      <c r="D111" s="70">
        <v>134.80000000000001</v>
      </c>
      <c r="E111" s="70">
        <v>134.5</v>
      </c>
      <c r="F111" s="70">
        <v>135.19999999999999</v>
      </c>
      <c r="G111" s="70">
        <v>134.9</v>
      </c>
      <c r="H111" s="70">
        <v>133.69999999999999</v>
      </c>
      <c r="I111" s="70">
        <v>131.69999999999999</v>
      </c>
      <c r="J111" s="70">
        <v>128.69999999999999</v>
      </c>
      <c r="K111" s="70">
        <v>128.6</v>
      </c>
      <c r="L111" s="70">
        <v>125.7</v>
      </c>
      <c r="M111" s="70">
        <v>125.7</v>
      </c>
      <c r="N111" s="70">
        <v>128.19999999999999</v>
      </c>
      <c r="O111" s="70">
        <v>128.19999999999999</v>
      </c>
      <c r="P111" s="70">
        <v>128.80000000000001</v>
      </c>
      <c r="Q111" s="70">
        <v>128.80000000000001</v>
      </c>
      <c r="R111" s="70">
        <v>128.9</v>
      </c>
      <c r="S111" s="70">
        <v>131</v>
      </c>
      <c r="T111" s="70"/>
      <c r="U111" s="70">
        <v>132.30000000000001</v>
      </c>
      <c r="V111" s="70">
        <v>130.30000000000001</v>
      </c>
      <c r="W111" s="70">
        <v>130.5</v>
      </c>
      <c r="X111" s="70">
        <v>131.4</v>
      </c>
      <c r="Y111" s="70">
        <v>131.1</v>
      </c>
      <c r="Z111" s="70">
        <v>129.80000000000001</v>
      </c>
      <c r="AA111" s="70">
        <v>132.1</v>
      </c>
      <c r="AB111" s="70">
        <v>130.1</v>
      </c>
      <c r="AC111" s="70">
        <v>130.1</v>
      </c>
      <c r="AD111" s="70">
        <v>132.1</v>
      </c>
      <c r="AE111" s="70">
        <v>132.1</v>
      </c>
      <c r="AF111" s="70">
        <v>132.1</v>
      </c>
      <c r="AG111" s="69"/>
      <c r="AH111" s="12">
        <f t="shared" si="56"/>
        <v>135.19999999999999</v>
      </c>
      <c r="AI111" s="11">
        <f t="shared" si="57"/>
        <v>125.7</v>
      </c>
    </row>
    <row r="112" spans="1:64" x14ac:dyDescent="0.25">
      <c r="A112" s="22" t="s">
        <v>150</v>
      </c>
      <c r="B112" s="70">
        <v>130.9</v>
      </c>
      <c r="C112" s="70">
        <v>131.4</v>
      </c>
      <c r="D112" s="70">
        <v>132.80000000000001</v>
      </c>
      <c r="E112" s="70">
        <v>131.1</v>
      </c>
      <c r="F112" s="70">
        <v>132.6</v>
      </c>
      <c r="G112" s="70">
        <v>132.1</v>
      </c>
      <c r="H112" s="70">
        <v>132.30000000000001</v>
      </c>
      <c r="I112" s="70">
        <v>127.3</v>
      </c>
      <c r="J112" s="70">
        <v>123.6</v>
      </c>
      <c r="K112" s="70">
        <v>122.7</v>
      </c>
      <c r="L112" s="70">
        <v>122.2</v>
      </c>
      <c r="M112" s="70">
        <v>122.2</v>
      </c>
      <c r="N112" s="70">
        <v>123.8</v>
      </c>
      <c r="O112" s="70">
        <v>123.8</v>
      </c>
      <c r="P112" s="70">
        <v>130.69999999999999</v>
      </c>
      <c r="Q112" s="70">
        <v>130.69999999999999</v>
      </c>
      <c r="R112" s="70">
        <v>129.19999999999999</v>
      </c>
      <c r="S112" s="70">
        <v>128.19999999999999</v>
      </c>
      <c r="T112" s="70"/>
      <c r="U112" s="70">
        <v>127.2</v>
      </c>
      <c r="V112" s="70">
        <v>127.1</v>
      </c>
      <c r="W112" s="70">
        <v>125.4</v>
      </c>
      <c r="X112" s="70">
        <v>129.80000000000001</v>
      </c>
      <c r="Y112" s="70">
        <v>121.3</v>
      </c>
      <c r="Z112" s="70">
        <v>129</v>
      </c>
      <c r="AA112" s="70">
        <v>126</v>
      </c>
      <c r="AB112" s="70">
        <v>129.4</v>
      </c>
      <c r="AC112" s="70">
        <v>129.4</v>
      </c>
      <c r="AD112" s="70">
        <v>131.4</v>
      </c>
      <c r="AE112" s="70">
        <v>131.4</v>
      </c>
      <c r="AF112" s="70">
        <v>131.4</v>
      </c>
      <c r="AG112" s="69"/>
      <c r="AH112" s="12">
        <f t="shared" si="56"/>
        <v>132.80000000000001</v>
      </c>
      <c r="AI112" s="11">
        <f t="shared" si="57"/>
        <v>121.3</v>
      </c>
    </row>
    <row r="113" spans="1:35" x14ac:dyDescent="0.25">
      <c r="A113" s="72" t="s">
        <v>149</v>
      </c>
      <c r="B113" s="70">
        <v>130.4</v>
      </c>
      <c r="C113" s="70">
        <v>131.1</v>
      </c>
      <c r="D113" s="70">
        <v>132.6</v>
      </c>
      <c r="E113" s="70">
        <v>132.30000000000001</v>
      </c>
      <c r="F113" s="70">
        <v>133.80000000000001</v>
      </c>
      <c r="G113" s="70">
        <v>133.19999999999999</v>
      </c>
      <c r="H113" s="70">
        <v>132.9</v>
      </c>
      <c r="I113" s="70">
        <v>127.5</v>
      </c>
      <c r="J113" s="70">
        <v>124.7</v>
      </c>
      <c r="K113" s="70">
        <v>122.7</v>
      </c>
      <c r="L113" s="70">
        <v>122.4</v>
      </c>
      <c r="M113" s="70">
        <v>122.4</v>
      </c>
      <c r="N113" s="70">
        <v>123.2</v>
      </c>
      <c r="O113" s="70">
        <v>123.2</v>
      </c>
      <c r="P113" s="70">
        <v>131</v>
      </c>
      <c r="Q113" s="70">
        <v>131</v>
      </c>
      <c r="R113" s="70">
        <v>127.4</v>
      </c>
      <c r="S113" s="70">
        <v>125.8</v>
      </c>
      <c r="T113" s="70"/>
      <c r="U113" s="70">
        <v>127.8</v>
      </c>
      <c r="V113" s="70">
        <v>126.1</v>
      </c>
      <c r="W113" s="70">
        <v>125.3</v>
      </c>
      <c r="X113" s="70">
        <v>130.19999999999999</v>
      </c>
      <c r="Y113" s="70">
        <v>119</v>
      </c>
      <c r="Z113" s="70">
        <v>127.6</v>
      </c>
      <c r="AA113" s="70">
        <v>124.7</v>
      </c>
      <c r="AB113" s="70">
        <v>127.1</v>
      </c>
      <c r="AC113" s="70">
        <v>127.1</v>
      </c>
      <c r="AD113" s="70">
        <v>130.30000000000001</v>
      </c>
      <c r="AE113" s="70">
        <v>130.30000000000001</v>
      </c>
      <c r="AF113" s="70">
        <v>130.30000000000001</v>
      </c>
      <c r="AG113" s="69"/>
      <c r="AH113" s="12">
        <f t="shared" si="56"/>
        <v>133.80000000000001</v>
      </c>
      <c r="AI113" s="11">
        <f t="shared" si="57"/>
        <v>119</v>
      </c>
    </row>
    <row r="114" spans="1:35" x14ac:dyDescent="0.25">
      <c r="A114" s="72" t="s">
        <v>148</v>
      </c>
      <c r="B114" s="56">
        <v>136.19999999999999</v>
      </c>
      <c r="C114" s="56">
        <v>136</v>
      </c>
      <c r="D114" s="56">
        <v>135.19999999999999</v>
      </c>
      <c r="E114" s="56">
        <v>135.80000000000001</v>
      </c>
      <c r="F114" s="56">
        <v>136.30000000000001</v>
      </c>
      <c r="G114" s="56">
        <v>137.1</v>
      </c>
      <c r="H114" s="56">
        <v>135.9</v>
      </c>
      <c r="I114" s="56">
        <v>130.30000000000001</v>
      </c>
      <c r="J114" s="56">
        <v>130.6</v>
      </c>
      <c r="K114" s="56">
        <v>132.69999999999999</v>
      </c>
      <c r="L114" s="56">
        <v>130</v>
      </c>
      <c r="M114" s="56">
        <v>130</v>
      </c>
      <c r="N114" s="56">
        <v>132</v>
      </c>
      <c r="O114" s="56">
        <v>132</v>
      </c>
      <c r="P114" s="56">
        <v>131.1</v>
      </c>
      <c r="Q114" s="56">
        <v>131.1</v>
      </c>
      <c r="R114" s="56">
        <v>132.1</v>
      </c>
      <c r="S114" s="56">
        <v>135.1</v>
      </c>
      <c r="T114" s="56"/>
      <c r="U114" s="56">
        <v>136.1</v>
      </c>
      <c r="V114" s="56">
        <v>132.9</v>
      </c>
      <c r="W114" s="56">
        <v>133.9</v>
      </c>
      <c r="X114" s="56">
        <v>136.5</v>
      </c>
      <c r="Y114" s="56">
        <v>132.9</v>
      </c>
      <c r="Z114" s="56">
        <v>133.6</v>
      </c>
      <c r="AA114" s="56">
        <v>134.5</v>
      </c>
      <c r="AB114" s="56">
        <v>135.5</v>
      </c>
      <c r="AC114" s="56">
        <v>135.5</v>
      </c>
      <c r="AD114" s="56">
        <v>135.1</v>
      </c>
      <c r="AE114" s="56">
        <v>135.1</v>
      </c>
      <c r="AF114" s="56">
        <v>135.1</v>
      </c>
      <c r="AG114" s="71"/>
      <c r="AH114" s="12">
        <f t="shared" si="56"/>
        <v>137.1</v>
      </c>
      <c r="AI114" s="11">
        <f t="shared" si="57"/>
        <v>130</v>
      </c>
    </row>
    <row r="115" spans="1:35" x14ac:dyDescent="0.25">
      <c r="A115" s="22" t="s">
        <v>147</v>
      </c>
      <c r="B115" s="70">
        <v>132.4</v>
      </c>
      <c r="C115" s="70">
        <v>132.80000000000001</v>
      </c>
      <c r="D115" s="70">
        <v>133.6</v>
      </c>
      <c r="E115" s="70">
        <v>134.5</v>
      </c>
      <c r="F115" s="70">
        <v>135.69999999999999</v>
      </c>
      <c r="G115" s="70">
        <v>135.30000000000001</v>
      </c>
      <c r="H115" s="70">
        <v>132.30000000000001</v>
      </c>
      <c r="I115" s="70">
        <v>132.1</v>
      </c>
      <c r="J115" s="70">
        <v>127.7</v>
      </c>
      <c r="K115" s="70">
        <v>121.8</v>
      </c>
      <c r="L115" s="70">
        <v>124.4</v>
      </c>
      <c r="M115" s="70">
        <v>124.4</v>
      </c>
      <c r="N115" s="70">
        <v>130</v>
      </c>
      <c r="O115" s="70">
        <v>130</v>
      </c>
      <c r="P115" s="70">
        <v>124.1</v>
      </c>
      <c r="Q115" s="70">
        <v>124.1</v>
      </c>
      <c r="R115" s="70">
        <v>132.19999999999999</v>
      </c>
      <c r="S115" s="70">
        <v>127.5</v>
      </c>
      <c r="T115" s="70"/>
      <c r="U115" s="70">
        <v>134.9</v>
      </c>
      <c r="V115" s="70">
        <v>123.5</v>
      </c>
      <c r="W115" s="70">
        <v>121.7</v>
      </c>
      <c r="X115" s="70">
        <v>125.1</v>
      </c>
      <c r="Y115" s="70">
        <v>124.9</v>
      </c>
      <c r="Z115" s="70">
        <v>125</v>
      </c>
      <c r="AA115" s="70">
        <v>123.1</v>
      </c>
      <c r="AB115" s="70">
        <v>125.9</v>
      </c>
      <c r="AC115" s="70">
        <v>125.9</v>
      </c>
      <c r="AD115" s="70">
        <v>133.5</v>
      </c>
      <c r="AE115" s="70">
        <v>133.5</v>
      </c>
      <c r="AF115" s="70">
        <v>133.5</v>
      </c>
      <c r="AG115" s="69"/>
      <c r="AH115" s="12">
        <f t="shared" si="56"/>
        <v>135.69999999999999</v>
      </c>
      <c r="AI115" s="11">
        <f t="shared" si="57"/>
        <v>121.7</v>
      </c>
    </row>
    <row r="116" spans="1:35" ht="15.75" thickBot="1" x14ac:dyDescent="0.3">
      <c r="A116" s="22" t="s">
        <v>146</v>
      </c>
      <c r="B116" s="67">
        <v>67.099999999999994</v>
      </c>
      <c r="C116" s="67">
        <v>67.599999999999994</v>
      </c>
      <c r="D116" s="67">
        <v>67.7</v>
      </c>
      <c r="E116" s="67">
        <v>67.599999999999994</v>
      </c>
      <c r="F116" s="67">
        <v>67.900000000000006</v>
      </c>
      <c r="G116" s="67">
        <v>67.7</v>
      </c>
      <c r="H116" s="67">
        <v>67.099999999999994</v>
      </c>
      <c r="I116" s="67">
        <v>66.099999999999994</v>
      </c>
      <c r="J116" s="67">
        <v>64.599999999999994</v>
      </c>
      <c r="K116" s="67">
        <v>64.3</v>
      </c>
      <c r="L116" s="67">
        <v>63.1</v>
      </c>
      <c r="M116" s="67">
        <v>63.1</v>
      </c>
      <c r="N116" s="67">
        <v>63.9</v>
      </c>
      <c r="O116" s="67">
        <v>63.9</v>
      </c>
      <c r="P116" s="67">
        <v>64.3</v>
      </c>
      <c r="Q116" s="67">
        <v>64.3</v>
      </c>
      <c r="R116" s="67">
        <v>64.2</v>
      </c>
      <c r="S116" s="67">
        <v>65.3</v>
      </c>
      <c r="T116" s="67"/>
      <c r="U116" s="67">
        <v>65.900000000000006</v>
      </c>
      <c r="V116" s="67">
        <v>65.099999999999994</v>
      </c>
      <c r="W116" s="67">
        <v>65.2</v>
      </c>
      <c r="X116" s="67">
        <v>65.599999999999994</v>
      </c>
      <c r="Y116" s="67">
        <v>65.2</v>
      </c>
      <c r="Z116" s="67">
        <v>64.8</v>
      </c>
      <c r="AA116" s="67">
        <v>66</v>
      </c>
      <c r="AB116" s="67">
        <v>65.099999999999994</v>
      </c>
      <c r="AC116" s="67">
        <v>65.099999999999994</v>
      </c>
      <c r="AD116" s="67">
        <v>66.099999999999994</v>
      </c>
      <c r="AE116" s="67">
        <v>66.099999999999994</v>
      </c>
      <c r="AF116" s="67">
        <v>66.099999999999994</v>
      </c>
      <c r="AG116" s="66"/>
      <c r="AH116" s="12">
        <f t="shared" si="56"/>
        <v>67.900000000000006</v>
      </c>
      <c r="AI116" s="11">
        <f t="shared" si="57"/>
        <v>63.1</v>
      </c>
    </row>
    <row r="117" spans="1:35" ht="15.75" thickBot="1" x14ac:dyDescent="0.3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56"/>
        <v>0</v>
      </c>
      <c r="AI117" s="11">
        <f t="shared" si="57"/>
        <v>0</v>
      </c>
    </row>
    <row r="118" spans="1:35" ht="15.75" thickBot="1" x14ac:dyDescent="0.3">
      <c r="A118" s="65" t="s">
        <v>144</v>
      </c>
      <c r="B118" s="64">
        <f t="shared" ref="B118:L118" si="124">SUM(B22,B28,B31:B32,B66,B68:B69,B71,B73,B119:B123,B155,B161,B167,B176,B178,B190,B197,B200:B201,B208,B210,B212,B216:B218,B220:B222,B227,B233:B234,B236:B238,B246,B251)</f>
        <v>130.04</v>
      </c>
      <c r="C118" s="64">
        <f t="shared" si="124"/>
        <v>122.04000000000002</v>
      </c>
      <c r="D118" s="64">
        <f t="shared" si="124"/>
        <v>115.34</v>
      </c>
      <c r="E118" s="64">
        <f t="shared" si="124"/>
        <v>64.040000000000006</v>
      </c>
      <c r="F118" s="64">
        <f t="shared" si="124"/>
        <v>84.440000000000012</v>
      </c>
      <c r="G118" s="64">
        <f t="shared" si="124"/>
        <v>111.04000000000003</v>
      </c>
      <c r="H118" s="64">
        <f t="shared" si="124"/>
        <v>158.14000000000001</v>
      </c>
      <c r="I118" s="64">
        <f t="shared" si="124"/>
        <v>179.34</v>
      </c>
      <c r="J118" s="64">
        <f t="shared" si="124"/>
        <v>207.64</v>
      </c>
      <c r="K118" s="64">
        <f t="shared" si="124"/>
        <v>236.64000000000004</v>
      </c>
      <c r="L118" s="64">
        <f t="shared" si="124"/>
        <v>362.04</v>
      </c>
      <c r="M118" s="64">
        <f t="shared" ref="M118:N118" si="125">SUM(M22,M28,M31:M32,M66,M68:M69,M71,M73,M119:M123,M155,M161,M167,M176,M178,M190,M197,M200:M201,M208,M210,M212,M216:M218,M220:M222,M227,M233:M234,M236:M238,M246,M251)</f>
        <v>322.23999999999995</v>
      </c>
      <c r="N118" s="64">
        <f t="shared" si="125"/>
        <v>297.84000000000003</v>
      </c>
      <c r="O118" s="64">
        <f t="shared" ref="O118:P118" si="126">SUM(O22,O28,O31:O32,O66,O68:O69,O71,O73,O119:O123,O155,O161,O167,O176,O178,O190,O197,O200:O201,O208,O210,O212,O216:O218,O220:O222,O227,O233:O234,O236:O238,O246,O251)</f>
        <v>252.84000000000003</v>
      </c>
      <c r="P118" s="64">
        <f t="shared" si="126"/>
        <v>297.64</v>
      </c>
      <c r="Q118" s="64">
        <f t="shared" ref="Q118:R118" si="127">SUM(Q22,Q28,Q31:Q32,Q66,Q68:Q69,Q71,Q73,Q119:Q123,Q155,Q161,Q167,Q176,Q178,Q190,Q197,Q200:Q201,Q208,Q210,Q212,Q216:Q218,Q220:Q222,Q227,Q233:Q234,Q236:Q238,Q246,Q251)</f>
        <v>283.83999999999997</v>
      </c>
      <c r="R118" s="64">
        <f t="shared" si="127"/>
        <v>286.04000000000002</v>
      </c>
      <c r="S118" s="64">
        <f t="shared" ref="S118:X118" si="128">SUM(S22,S28,S31:S32,S66,S68:S69,S71,S73,S119:S123,S155,S161,S167,S176,S178,S190,S197,S200:S201,S208,S210,S212,S216:S218,S220:S222,S227,S233:S234,S236:S238,S246,S251)</f>
        <v>277.14000000000004</v>
      </c>
      <c r="T118" s="64">
        <f t="shared" si="128"/>
        <v>0.94</v>
      </c>
      <c r="U118" s="64">
        <f t="shared" si="128"/>
        <v>292.64</v>
      </c>
      <c r="V118" s="64">
        <f t="shared" si="128"/>
        <v>295.64</v>
      </c>
      <c r="W118" s="64">
        <f t="shared" si="128"/>
        <v>297.44</v>
      </c>
      <c r="X118" s="64">
        <f t="shared" si="128"/>
        <v>303.33999999999997</v>
      </c>
      <c r="Y118" s="64">
        <f>SUM(Y20,Y26,Y37:Y38,Y66,Y68:Y69,Y71,Y73,Y119:Y123,Y148,Y154,Y160,Y169,Y171,Y183,Y190,Y193:Y194,Y201,Y203,Y205,Y209:Y211,Y213:Y215,Y220,Y226:Y227,Y229:Y231,Y239,Y244)</f>
        <v>130.80000000000001</v>
      </c>
      <c r="Z118" s="64">
        <f>SUM(Z20,Z26,Z37:Z38,Z66,Z68:Z69,Z71,Z73,Z119:Z123,Z148,Z154,Z160,Z169,Z171,Z183,Z190,Z193:Z194,Z201,Z203,Z205,Z209:Z211,Z213:Z215,Z220,Z226:Z227,Z229:Z231,Z239,Z244)</f>
        <v>388.3</v>
      </c>
      <c r="AA118" s="64">
        <f t="shared" ref="AA118:AB118" si="129">SUM(AA22,AA28,AA31:AA32,AA66,AA68:AA69,AA71,AA73,AA119:AA123,AA155,AA161,AA167,AA176,AA178,AA190,AA197,AA200:AA201,AA208,AA210,AA212,AA216:AA218,AA220:AA222,AA227,AA233:AA234,AA236:AA238,AA246,AA251)</f>
        <v>367.44</v>
      </c>
      <c r="AB118" s="64">
        <f t="shared" si="129"/>
        <v>333.34</v>
      </c>
      <c r="AC118" s="64">
        <f t="shared" ref="AC118:AD118" si="130">SUM(AC22,AC28,AC31:AC32,AC66,AC68:AC69,AC71,AC73,AC119:AC123,AC155,AC161,AC167,AC176,AC178,AC190,AC197,AC200:AC201,AC208,AC210,AC212,AC216:AC218,AC220:AC222,AC227,AC233:AC234,AC236:AC238,AC246,AC251)</f>
        <v>303.94</v>
      </c>
      <c r="AD118" s="64">
        <f t="shared" si="130"/>
        <v>274.44</v>
      </c>
      <c r="AE118" s="64">
        <f t="shared" ref="AE118:AF118" si="131">SUM(AE22,AE28,AE31:AE32,AE66,AE68:AE69,AE71,AE73,AE119:AE123,AE155,AE161,AE167,AE176,AE178,AE190,AE197,AE200:AE201,AE208,AE210,AE212,AE216:AE218,AE220:AE222,AE227,AE233:AE234,AE236:AE238,AE246,AE251)</f>
        <v>213.34</v>
      </c>
      <c r="AF118" s="64">
        <f t="shared" si="131"/>
        <v>162.04000000000002</v>
      </c>
      <c r="AG118" s="63"/>
      <c r="AH118" s="12">
        <f t="shared" si="56"/>
        <v>388.3</v>
      </c>
      <c r="AI118" s="11">
        <f t="shared" si="57"/>
        <v>0.94</v>
      </c>
    </row>
    <row r="119" spans="1:35" x14ac:dyDescent="0.25">
      <c r="A119" s="59" t="s">
        <v>143</v>
      </c>
      <c r="B119" s="62">
        <v>25.7</v>
      </c>
      <c r="C119" s="62">
        <v>21.8</v>
      </c>
      <c r="D119" s="62">
        <v>27.3</v>
      </c>
      <c r="E119" s="62">
        <v>29.8</v>
      </c>
      <c r="F119" s="62">
        <v>21.8</v>
      </c>
      <c r="G119" s="62">
        <v>6.4</v>
      </c>
      <c r="H119" s="62">
        <v>24.5</v>
      </c>
      <c r="I119" s="62">
        <v>23.4</v>
      </c>
      <c r="J119" s="62">
        <v>13.6</v>
      </c>
      <c r="K119" s="62">
        <v>19.8</v>
      </c>
      <c r="L119" s="62">
        <v>22.8</v>
      </c>
      <c r="M119" s="62">
        <v>11.9</v>
      </c>
      <c r="N119" s="62">
        <v>9.3000000000000007</v>
      </c>
      <c r="O119" s="62">
        <v>9.1</v>
      </c>
      <c r="P119" s="62">
        <v>11</v>
      </c>
      <c r="Q119" s="62">
        <v>4.2</v>
      </c>
      <c r="R119" s="62">
        <v>5.5</v>
      </c>
      <c r="S119" s="62">
        <v>8.1</v>
      </c>
      <c r="T119" s="62"/>
      <c r="U119" s="62">
        <v>21.5</v>
      </c>
      <c r="V119" s="62">
        <v>11.4</v>
      </c>
      <c r="W119" s="62">
        <v>6.4</v>
      </c>
      <c r="X119" s="62">
        <v>3.1</v>
      </c>
      <c r="Y119" s="62"/>
      <c r="Z119" s="62">
        <v>25.5</v>
      </c>
      <c r="AA119" s="62">
        <v>27.1</v>
      </c>
      <c r="AB119" s="62">
        <v>19</v>
      </c>
      <c r="AC119" s="62">
        <v>18</v>
      </c>
      <c r="AD119" s="62">
        <v>15.4</v>
      </c>
      <c r="AE119" s="62">
        <v>13.5</v>
      </c>
      <c r="AF119" s="62">
        <v>17.100000000000001</v>
      </c>
      <c r="AG119" s="55">
        <v>75</v>
      </c>
      <c r="AH119" s="12">
        <f t="shared" si="56"/>
        <v>29.8</v>
      </c>
      <c r="AI119" s="11">
        <f t="shared" si="57"/>
        <v>3.1</v>
      </c>
    </row>
    <row r="120" spans="1:35" x14ac:dyDescent="0.25">
      <c r="A120" s="57" t="s">
        <v>142</v>
      </c>
      <c r="B120" s="61">
        <v>48</v>
      </c>
      <c r="C120" s="61">
        <v>42.8</v>
      </c>
      <c r="D120" s="61">
        <v>50.5</v>
      </c>
      <c r="E120" s="61">
        <v>52.8</v>
      </c>
      <c r="F120" s="61">
        <v>41.5</v>
      </c>
      <c r="G120" s="61">
        <v>16.899999999999999</v>
      </c>
      <c r="H120" s="61">
        <v>37.200000000000003</v>
      </c>
      <c r="I120" s="61">
        <v>31.2</v>
      </c>
      <c r="J120" s="61">
        <v>16.7</v>
      </c>
      <c r="K120" s="61">
        <v>20.9</v>
      </c>
      <c r="L120" s="61">
        <v>24.3</v>
      </c>
      <c r="M120" s="61">
        <v>7.5</v>
      </c>
      <c r="N120" s="61">
        <v>6.1</v>
      </c>
      <c r="O120" s="61">
        <v>7.3</v>
      </c>
      <c r="P120" s="61">
        <v>8.6999999999999993</v>
      </c>
      <c r="Q120" s="61">
        <v>-1</v>
      </c>
      <c r="R120" s="61">
        <v>0</v>
      </c>
      <c r="S120" s="61">
        <v>6.9</v>
      </c>
      <c r="T120" s="61"/>
      <c r="U120" s="61">
        <v>26.9</v>
      </c>
      <c r="V120" s="61">
        <v>12.9</v>
      </c>
      <c r="W120" s="61">
        <v>6.6</v>
      </c>
      <c r="X120" s="61">
        <v>9.8000000000000007</v>
      </c>
      <c r="Y120" s="61"/>
      <c r="Z120" s="61">
        <v>41</v>
      </c>
      <c r="AA120" s="61">
        <v>45</v>
      </c>
      <c r="AB120" s="61">
        <v>31</v>
      </c>
      <c r="AC120" s="61">
        <v>30.1</v>
      </c>
      <c r="AD120" s="61">
        <v>26.7</v>
      </c>
      <c r="AE120" s="61">
        <v>25</v>
      </c>
      <c r="AF120" s="61">
        <v>31.3</v>
      </c>
      <c r="AG120" s="55">
        <v>240</v>
      </c>
      <c r="AH120" s="12">
        <f t="shared" si="56"/>
        <v>52.8</v>
      </c>
      <c r="AI120" s="11">
        <f t="shared" si="57"/>
        <v>-1</v>
      </c>
    </row>
    <row r="121" spans="1:35" x14ac:dyDescent="0.25">
      <c r="A121" s="57" t="s">
        <v>141</v>
      </c>
      <c r="B121" s="61">
        <v>-90</v>
      </c>
      <c r="C121" s="61">
        <v>-87</v>
      </c>
      <c r="D121" s="61">
        <v>-100</v>
      </c>
      <c r="E121" s="61">
        <v>-161.80000000000001</v>
      </c>
      <c r="F121" s="61">
        <v>-125.4</v>
      </c>
      <c r="G121" s="61">
        <v>-81.599999999999994</v>
      </c>
      <c r="H121" s="61">
        <v>-90.6</v>
      </c>
      <c r="I121" s="61">
        <v>-83.2</v>
      </c>
      <c r="J121" s="61">
        <v>-59.2</v>
      </c>
      <c r="K121" s="61">
        <v>-50.2</v>
      </c>
      <c r="L121" s="61">
        <v>54.8</v>
      </c>
      <c r="M121" s="61">
        <v>35</v>
      </c>
      <c r="N121" s="61">
        <v>17</v>
      </c>
      <c r="O121" s="61">
        <v>-21</v>
      </c>
      <c r="P121" s="61">
        <v>23</v>
      </c>
      <c r="Q121" s="61">
        <v>34</v>
      </c>
      <c r="R121" s="61">
        <v>34</v>
      </c>
      <c r="S121" s="61">
        <v>25.3</v>
      </c>
      <c r="T121" s="61"/>
      <c r="U121" s="61">
        <v>-8.5</v>
      </c>
      <c r="V121" s="61">
        <v>17</v>
      </c>
      <c r="W121" s="61">
        <v>24</v>
      </c>
      <c r="X121" s="61">
        <v>25</v>
      </c>
      <c r="Y121" s="61"/>
      <c r="Z121" s="61">
        <v>-19</v>
      </c>
      <c r="AA121" s="61">
        <v>-25</v>
      </c>
      <c r="AB121" s="61">
        <v>-13</v>
      </c>
      <c r="AC121" s="61">
        <v>-19</v>
      </c>
      <c r="AD121" s="61">
        <v>-19.7</v>
      </c>
      <c r="AE121" s="61">
        <v>-34</v>
      </c>
      <c r="AF121" s="61">
        <v>-58</v>
      </c>
      <c r="AG121" s="55">
        <v>240</v>
      </c>
      <c r="AH121" s="12">
        <f t="shared" si="56"/>
        <v>54.8</v>
      </c>
      <c r="AI121" s="11">
        <f t="shared" si="57"/>
        <v>-161.80000000000001</v>
      </c>
    </row>
    <row r="122" spans="1:35" ht="15.75" thickBot="1" x14ac:dyDescent="0.3">
      <c r="A122" s="57" t="s">
        <v>140</v>
      </c>
      <c r="B122" s="61">
        <v>22</v>
      </c>
      <c r="C122" s="61">
        <v>23.3</v>
      </c>
      <c r="D122" s="61">
        <v>21</v>
      </c>
      <c r="E122" s="61">
        <v>20.9</v>
      </c>
      <c r="F122" s="61">
        <v>22.9</v>
      </c>
      <c r="G122" s="61">
        <v>28.9</v>
      </c>
      <c r="H122" s="61">
        <v>20.9</v>
      </c>
      <c r="I122" s="61">
        <v>25.4</v>
      </c>
      <c r="J122" s="61">
        <v>25.2</v>
      </c>
      <c r="K122" s="61">
        <v>20.6</v>
      </c>
      <c r="L122" s="61">
        <v>22.9</v>
      </c>
      <c r="M122" s="61">
        <v>20.2</v>
      </c>
      <c r="N122" s="61">
        <v>22.9</v>
      </c>
      <c r="O122" s="61">
        <v>27.7</v>
      </c>
      <c r="P122" s="61">
        <v>28.5</v>
      </c>
      <c r="Q122" s="61">
        <v>27.8</v>
      </c>
      <c r="R122" s="61">
        <v>29</v>
      </c>
      <c r="S122" s="61">
        <v>28.4</v>
      </c>
      <c r="T122" s="61"/>
      <c r="U122" s="61">
        <v>30.1</v>
      </c>
      <c r="V122" s="61">
        <v>34</v>
      </c>
      <c r="W122" s="61">
        <v>36.299999999999997</v>
      </c>
      <c r="X122" s="61">
        <v>31.5</v>
      </c>
      <c r="Y122" s="61"/>
      <c r="Z122" s="61">
        <v>38</v>
      </c>
      <c r="AA122" s="61">
        <v>37</v>
      </c>
      <c r="AB122" s="61">
        <v>38</v>
      </c>
      <c r="AC122" s="61">
        <v>35.9</v>
      </c>
      <c r="AD122" s="61">
        <v>34.700000000000003</v>
      </c>
      <c r="AE122" s="61">
        <v>32</v>
      </c>
      <c r="AF122" s="61">
        <v>27.5</v>
      </c>
      <c r="AG122" s="55">
        <v>60</v>
      </c>
      <c r="AH122" s="12">
        <f t="shared" si="56"/>
        <v>38</v>
      </c>
      <c r="AI122" s="11">
        <f t="shared" si="57"/>
        <v>20.2</v>
      </c>
    </row>
    <row r="123" spans="1:35" x14ac:dyDescent="0.25">
      <c r="A123" s="59" t="s">
        <v>139</v>
      </c>
      <c r="B123" s="58">
        <v>9.9</v>
      </c>
      <c r="C123" s="58">
        <v>6.7</v>
      </c>
      <c r="D123" s="58">
        <v>2.1</v>
      </c>
      <c r="E123" s="58">
        <v>0.9</v>
      </c>
      <c r="F123" s="58">
        <v>2.2000000000000002</v>
      </c>
      <c r="G123" s="58">
        <v>19.2</v>
      </c>
      <c r="H123" s="58">
        <v>44.9</v>
      </c>
      <c r="I123" s="58">
        <v>60.9</v>
      </c>
      <c r="J123" s="58">
        <v>88.6</v>
      </c>
      <c r="K123" s="58">
        <v>102.8</v>
      </c>
      <c r="L123" s="58">
        <v>113.5</v>
      </c>
      <c r="M123" s="58">
        <v>121</v>
      </c>
      <c r="N123" s="58">
        <v>112.3</v>
      </c>
      <c r="O123" s="58">
        <v>95.7</v>
      </c>
      <c r="P123" s="58">
        <v>90.7</v>
      </c>
      <c r="Q123" s="58">
        <v>81.099999999999994</v>
      </c>
      <c r="R123" s="58">
        <v>80.7</v>
      </c>
      <c r="S123" s="58">
        <v>78.900000000000006</v>
      </c>
      <c r="T123" s="58"/>
      <c r="U123" s="58">
        <v>97.3</v>
      </c>
      <c r="V123" s="58">
        <v>104.2</v>
      </c>
      <c r="W123" s="58">
        <v>108.3</v>
      </c>
      <c r="X123" s="58">
        <v>120.3</v>
      </c>
      <c r="Y123" s="58"/>
      <c r="Z123" s="58">
        <v>172</v>
      </c>
      <c r="AA123" s="58">
        <v>170</v>
      </c>
      <c r="AB123" s="58">
        <v>149</v>
      </c>
      <c r="AC123" s="58">
        <v>129.6</v>
      </c>
      <c r="AD123" s="58">
        <v>108</v>
      </c>
      <c r="AE123" s="58">
        <v>65.400000000000006</v>
      </c>
      <c r="AF123" s="58">
        <v>32.700000000000003</v>
      </c>
      <c r="AG123" s="60">
        <v>120</v>
      </c>
      <c r="AH123" s="12">
        <f t="shared" si="56"/>
        <v>172</v>
      </c>
      <c r="AI123" s="11">
        <f t="shared" si="57"/>
        <v>0.9</v>
      </c>
    </row>
    <row r="124" spans="1:35" x14ac:dyDescent="0.25">
      <c r="A124" s="57" t="s">
        <v>138</v>
      </c>
      <c r="B124" s="58">
        <v>26.5</v>
      </c>
      <c r="C124" s="58">
        <v>25</v>
      </c>
      <c r="D124" s="58">
        <v>22.6</v>
      </c>
      <c r="E124" s="58">
        <v>20.3</v>
      </c>
      <c r="F124" s="58">
        <v>20.100000000000001</v>
      </c>
      <c r="G124" s="58">
        <v>30.4</v>
      </c>
      <c r="H124" s="58">
        <v>43.3</v>
      </c>
      <c r="I124" s="58">
        <v>51.3</v>
      </c>
      <c r="J124" s="58">
        <v>67.7</v>
      </c>
      <c r="K124" s="58">
        <v>73.8</v>
      </c>
      <c r="L124" s="58">
        <v>78.599999999999994</v>
      </c>
      <c r="M124" s="58">
        <v>76.8</v>
      </c>
      <c r="N124" s="58">
        <v>73.5</v>
      </c>
      <c r="O124" s="58">
        <v>65</v>
      </c>
      <c r="P124" s="58">
        <v>63.2</v>
      </c>
      <c r="Q124" s="58">
        <v>59</v>
      </c>
      <c r="R124" s="58">
        <v>57.7</v>
      </c>
      <c r="S124" s="58">
        <v>60.6</v>
      </c>
      <c r="T124" s="58"/>
      <c r="U124" s="58">
        <v>70</v>
      </c>
      <c r="V124" s="58">
        <v>74</v>
      </c>
      <c r="W124" s="58">
        <v>75.3</v>
      </c>
      <c r="X124" s="58">
        <v>81.3</v>
      </c>
      <c r="Y124" s="58"/>
      <c r="Z124" s="58">
        <v>104</v>
      </c>
      <c r="AA124" s="58">
        <v>104</v>
      </c>
      <c r="AB124" s="58">
        <v>95</v>
      </c>
      <c r="AC124" s="58">
        <v>80.3</v>
      </c>
      <c r="AD124" s="58">
        <v>70</v>
      </c>
      <c r="AE124" s="58">
        <v>51</v>
      </c>
      <c r="AF124" s="58">
        <v>37.6</v>
      </c>
      <c r="AG124" s="60"/>
      <c r="AH124" s="12">
        <f t="shared" si="56"/>
        <v>104</v>
      </c>
      <c r="AI124" s="11">
        <f t="shared" si="57"/>
        <v>20.100000000000001</v>
      </c>
    </row>
    <row r="125" spans="1:35" x14ac:dyDescent="0.25">
      <c r="A125" s="57" t="s">
        <v>137</v>
      </c>
      <c r="B125" s="58">
        <v>0</v>
      </c>
      <c r="C125" s="58">
        <v>0</v>
      </c>
      <c r="D125" s="58">
        <v>0</v>
      </c>
      <c r="E125" s="58"/>
      <c r="F125" s="58"/>
      <c r="G125" s="58"/>
      <c r="H125" s="58"/>
      <c r="I125" s="58"/>
      <c r="J125" s="58"/>
      <c r="K125" s="58"/>
      <c r="L125" s="58"/>
      <c r="M125" s="58"/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/>
      <c r="U125" s="58">
        <v>0</v>
      </c>
      <c r="V125" s="58">
        <v>0</v>
      </c>
      <c r="W125" s="58">
        <v>0</v>
      </c>
      <c r="X125" s="58">
        <v>0</v>
      </c>
      <c r="Y125" s="58"/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56"/>
        <v>0</v>
      </c>
      <c r="AI125" s="11">
        <f t="shared" si="57"/>
        <v>0</v>
      </c>
    </row>
    <row r="126" spans="1:35" ht="15.75" thickBot="1" x14ac:dyDescent="0.3">
      <c r="A126" s="57" t="s">
        <v>136</v>
      </c>
      <c r="B126" s="58">
        <v>17</v>
      </c>
      <c r="C126" s="58">
        <v>22</v>
      </c>
      <c r="D126" s="58">
        <v>10</v>
      </c>
      <c r="E126" s="58">
        <v>10.6</v>
      </c>
      <c r="F126" s="58">
        <v>13.5</v>
      </c>
      <c r="G126" s="58">
        <v>38.5</v>
      </c>
      <c r="H126" s="58">
        <v>37.4</v>
      </c>
      <c r="I126" s="58">
        <v>58.8</v>
      </c>
      <c r="J126" s="58">
        <v>88.6</v>
      </c>
      <c r="K126" s="58">
        <v>96.6</v>
      </c>
      <c r="L126" s="58">
        <v>101.6</v>
      </c>
      <c r="M126" s="58">
        <v>94.5</v>
      </c>
      <c r="N126" s="58">
        <v>82.3</v>
      </c>
      <c r="O126" s="58">
        <v>82.1</v>
      </c>
      <c r="P126" s="58">
        <v>78.400000000000006</v>
      </c>
      <c r="Q126" s="58">
        <v>97.8</v>
      </c>
      <c r="R126" s="58">
        <v>90.1</v>
      </c>
      <c r="S126" s="58">
        <v>83.3</v>
      </c>
      <c r="T126" s="58"/>
      <c r="U126" s="58">
        <v>38.200000000000003</v>
      </c>
      <c r="V126" s="58">
        <v>61.6</v>
      </c>
      <c r="W126" s="58">
        <v>70.2</v>
      </c>
      <c r="X126" s="58">
        <v>76.7</v>
      </c>
      <c r="Y126" s="58"/>
      <c r="Z126" s="58">
        <v>62.1</v>
      </c>
      <c r="AA126" s="58">
        <v>21</v>
      </c>
      <c r="AB126" s="58">
        <v>73</v>
      </c>
      <c r="AC126" s="58">
        <v>62.2</v>
      </c>
      <c r="AD126" s="58">
        <v>48.6</v>
      </c>
      <c r="AE126" s="58">
        <v>35.1</v>
      </c>
      <c r="AF126" s="58">
        <v>24.8</v>
      </c>
      <c r="AG126" s="55"/>
      <c r="AH126" s="12">
        <f>MAX(B126:AF126)</f>
        <v>101.6</v>
      </c>
      <c r="AI126" s="11">
        <f>MIN(B126:AF126)</f>
        <v>10</v>
      </c>
    </row>
    <row r="127" spans="1:35" x14ac:dyDescent="0.25">
      <c r="A127" s="59" t="s">
        <v>135</v>
      </c>
      <c r="B127" s="58">
        <v>-78</v>
      </c>
      <c r="C127" s="58">
        <v>-80</v>
      </c>
      <c r="D127" s="58">
        <v>-81</v>
      </c>
      <c r="E127" s="58">
        <v>-82.5</v>
      </c>
      <c r="F127" s="58">
        <v>-79.5</v>
      </c>
      <c r="G127" s="58">
        <v>-80.5</v>
      </c>
      <c r="H127" s="58">
        <v>-57.7</v>
      </c>
      <c r="I127" s="58">
        <v>-50.1</v>
      </c>
      <c r="J127" s="58">
        <v>18.2</v>
      </c>
      <c r="K127" s="58">
        <v>26.3</v>
      </c>
      <c r="L127" s="58">
        <v>31.2</v>
      </c>
      <c r="M127" s="58">
        <v>37.200000000000003</v>
      </c>
      <c r="N127" s="58">
        <v>32.5</v>
      </c>
      <c r="O127" s="58">
        <v>23.5</v>
      </c>
      <c r="P127" s="58">
        <v>20.399999999999999</v>
      </c>
      <c r="Q127" s="58">
        <v>16.3</v>
      </c>
      <c r="R127" s="58">
        <v>16.5</v>
      </c>
      <c r="S127" s="58">
        <v>16</v>
      </c>
      <c r="T127" s="58"/>
      <c r="U127" s="58">
        <v>25</v>
      </c>
      <c r="V127" s="58">
        <v>29</v>
      </c>
      <c r="W127" s="58">
        <v>31</v>
      </c>
      <c r="X127" s="58">
        <v>22</v>
      </c>
      <c r="Y127" s="58"/>
      <c r="Z127" s="58">
        <v>-148</v>
      </c>
      <c r="AA127" s="58">
        <v>-158</v>
      </c>
      <c r="AB127" s="58">
        <v>-133</v>
      </c>
      <c r="AC127" s="58">
        <v>-137.1</v>
      </c>
      <c r="AD127" s="58">
        <v>-149.9</v>
      </c>
      <c r="AE127" s="58">
        <v>-118.1</v>
      </c>
      <c r="AF127" s="58">
        <v>-98.6</v>
      </c>
      <c r="AG127" s="55"/>
      <c r="AH127" s="12">
        <f>MAX(B127:AF127)</f>
        <v>37.200000000000003</v>
      </c>
      <c r="AI127" s="11">
        <f>MIN(B127:AF127)</f>
        <v>-158</v>
      </c>
    </row>
    <row r="128" spans="1:35" x14ac:dyDescent="0.25">
      <c r="A128" s="57" t="s">
        <v>134</v>
      </c>
      <c r="B128" s="56">
        <v>-30</v>
      </c>
      <c r="C128" s="56">
        <v>-29</v>
      </c>
      <c r="D128" s="56">
        <v>-25</v>
      </c>
      <c r="E128" s="56">
        <v>-22.7</v>
      </c>
      <c r="F128" s="56">
        <v>-20.7</v>
      </c>
      <c r="G128" s="56">
        <v>-20.100000000000001</v>
      </c>
      <c r="H128" s="56">
        <v>-24.4</v>
      </c>
      <c r="I128" s="56">
        <v>-27.1</v>
      </c>
      <c r="J128" s="56">
        <v>-33.5</v>
      </c>
      <c r="K128" s="56">
        <v>-35.200000000000003</v>
      </c>
      <c r="L128" s="56">
        <v>-40</v>
      </c>
      <c r="M128" s="56">
        <v>-17.600000000000001</v>
      </c>
      <c r="N128" s="56">
        <v>-32.700000000000003</v>
      </c>
      <c r="O128" s="56">
        <v>-40.6</v>
      </c>
      <c r="P128" s="56">
        <v>-25</v>
      </c>
      <c r="Q128" s="56">
        <v>-30.3</v>
      </c>
      <c r="R128" s="56">
        <v>-38.9</v>
      </c>
      <c r="S128" s="56">
        <v>-38.700000000000003</v>
      </c>
      <c r="T128" s="56"/>
      <c r="U128" s="56">
        <v>-43.5</v>
      </c>
      <c r="V128" s="56">
        <v>-51.3</v>
      </c>
      <c r="W128" s="56">
        <v>-54.1</v>
      </c>
      <c r="X128" s="56">
        <v>-15</v>
      </c>
      <c r="Y128" s="56"/>
      <c r="Z128" s="56">
        <v>-61</v>
      </c>
      <c r="AA128" s="56">
        <v>-61</v>
      </c>
      <c r="AB128" s="56">
        <v>-67</v>
      </c>
      <c r="AC128" s="56">
        <v>-60.4</v>
      </c>
      <c r="AD128" s="56">
        <v>-51.5</v>
      </c>
      <c r="AE128" s="56">
        <v>-25.8</v>
      </c>
      <c r="AF128" s="56">
        <v>-43.5</v>
      </c>
      <c r="AG128" s="55"/>
      <c r="AH128" s="12">
        <f>MAX(B128:AF128)</f>
        <v>-15</v>
      </c>
      <c r="AI128" s="11">
        <f>MIN(B128:AF128)</f>
        <v>-67</v>
      </c>
    </row>
    <row r="129" spans="1:37" x14ac:dyDescent="0.25">
      <c r="A129" s="57" t="s">
        <v>133</v>
      </c>
      <c r="B129" s="56">
        <v>82</v>
      </c>
      <c r="C129" s="56">
        <v>81</v>
      </c>
      <c r="D129" s="56">
        <v>75</v>
      </c>
      <c r="E129" s="56">
        <v>70.900000000000006</v>
      </c>
      <c r="F129" s="56">
        <v>66.099999999999994</v>
      </c>
      <c r="G129" s="56">
        <v>63.2</v>
      </c>
      <c r="H129" s="56">
        <v>53.2</v>
      </c>
      <c r="I129" s="56">
        <v>66</v>
      </c>
      <c r="J129" s="56">
        <v>101.2</v>
      </c>
      <c r="K129" s="56">
        <v>117.9</v>
      </c>
      <c r="L129" s="56">
        <v>128.5</v>
      </c>
      <c r="M129" s="56">
        <v>63.9</v>
      </c>
      <c r="N129" s="56">
        <v>105.5</v>
      </c>
      <c r="O129" s="56">
        <v>118.5</v>
      </c>
      <c r="P129" s="56">
        <v>119.1</v>
      </c>
      <c r="Q129" s="56">
        <v>114.7</v>
      </c>
      <c r="R129" s="56">
        <v>111</v>
      </c>
      <c r="S129" s="56">
        <v>88</v>
      </c>
      <c r="T129" s="56"/>
      <c r="U129" s="56">
        <v>104.2</v>
      </c>
      <c r="V129" s="56">
        <v>113</v>
      </c>
      <c r="W129" s="56">
        <v>114</v>
      </c>
      <c r="X129" s="56">
        <v>70.2</v>
      </c>
      <c r="Y129" s="56"/>
      <c r="Z129" s="56">
        <v>109</v>
      </c>
      <c r="AA129" s="56">
        <v>114</v>
      </c>
      <c r="AB129" s="56">
        <v>113</v>
      </c>
      <c r="AC129" s="56">
        <v>111.5</v>
      </c>
      <c r="AD129" s="56">
        <v>104.6</v>
      </c>
      <c r="AE129" s="56" t="s">
        <v>305</v>
      </c>
      <c r="AF129" s="56">
        <v>72.2</v>
      </c>
      <c r="AG129" s="55"/>
      <c r="AH129" s="12">
        <f>MAX(B129:AF129)</f>
        <v>128.5</v>
      </c>
      <c r="AI129" s="11">
        <f>MIN(B129:AF129)</f>
        <v>53.2</v>
      </c>
    </row>
    <row r="130" spans="1:37" ht="15.75" thickBot="1" x14ac:dyDescent="0.3">
      <c r="A130" s="57" t="s">
        <v>132</v>
      </c>
      <c r="B130" s="56">
        <v>92</v>
      </c>
      <c r="C130" s="56">
        <v>89</v>
      </c>
      <c r="D130" s="56">
        <v>84.6</v>
      </c>
      <c r="E130" s="56">
        <v>81.7</v>
      </c>
      <c r="F130" s="56">
        <v>76.599999999999994</v>
      </c>
      <c r="G130" s="56">
        <v>74.400000000000006</v>
      </c>
      <c r="H130" s="56">
        <v>64.900000000000006</v>
      </c>
      <c r="I130" s="56">
        <v>77.400000000000006</v>
      </c>
      <c r="J130" s="56">
        <v>109.9</v>
      </c>
      <c r="K130" s="56">
        <v>121.8</v>
      </c>
      <c r="L130" s="56">
        <v>129.80000000000001</v>
      </c>
      <c r="M130" s="56">
        <v>60.1</v>
      </c>
      <c r="N130" s="56">
        <v>110.4</v>
      </c>
      <c r="O130" s="56">
        <v>120.8</v>
      </c>
      <c r="P130" s="56">
        <v>114.2</v>
      </c>
      <c r="Q130" s="56">
        <v>115.9</v>
      </c>
      <c r="R130" s="56">
        <v>114.6</v>
      </c>
      <c r="S130" s="56">
        <v>93</v>
      </c>
      <c r="T130" s="56"/>
      <c r="U130" s="56">
        <v>104.8</v>
      </c>
      <c r="V130" s="56">
        <v>111</v>
      </c>
      <c r="W130" s="56">
        <v>116.4</v>
      </c>
      <c r="X130" s="56">
        <v>108</v>
      </c>
      <c r="Y130" s="56"/>
      <c r="Z130" s="56">
        <v>118</v>
      </c>
      <c r="AA130" s="56">
        <v>123</v>
      </c>
      <c r="AB130" s="56">
        <v>124</v>
      </c>
      <c r="AC130" s="56">
        <v>121.2</v>
      </c>
      <c r="AD130" s="56">
        <v>116.2</v>
      </c>
      <c r="AE130" s="56">
        <v>116.2</v>
      </c>
      <c r="AF130" s="56">
        <v>83.4</v>
      </c>
      <c r="AG130" s="55"/>
      <c r="AH130" s="12">
        <f>MAX(B130:AF130)</f>
        <v>129.80000000000001</v>
      </c>
      <c r="AI130" s="11">
        <f>MIN(B130:AF130)</f>
        <v>60.1</v>
      </c>
    </row>
    <row r="131" spans="1:37" x14ac:dyDescent="0.25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25">
      <c r="A132" s="47" t="s">
        <v>130</v>
      </c>
      <c r="B132" s="51">
        <v>1982.55</v>
      </c>
      <c r="C132" s="51">
        <v>1982.6</v>
      </c>
      <c r="D132" s="51">
        <v>1982.62</v>
      </c>
      <c r="E132" s="51">
        <v>1982.7</v>
      </c>
      <c r="F132" s="51">
        <v>1982.71</v>
      </c>
      <c r="G132" s="51">
        <v>1982.72</v>
      </c>
      <c r="H132" s="51"/>
      <c r="I132" s="51">
        <v>1982.8</v>
      </c>
      <c r="J132" s="51"/>
      <c r="K132" s="51">
        <v>1982.95</v>
      </c>
      <c r="L132" s="51"/>
      <c r="M132" s="51">
        <v>1983.32</v>
      </c>
      <c r="N132" s="51"/>
      <c r="O132" s="51">
        <v>1984.05</v>
      </c>
      <c r="P132" s="51">
        <v>1984.4</v>
      </c>
      <c r="Q132" s="51">
        <v>1984.7</v>
      </c>
      <c r="R132" s="51">
        <v>1984.98</v>
      </c>
      <c r="S132" s="51">
        <v>1985.26</v>
      </c>
      <c r="T132" s="51"/>
      <c r="U132" s="51">
        <v>1985.76</v>
      </c>
      <c r="V132" s="51">
        <v>1986</v>
      </c>
      <c r="W132" s="51"/>
      <c r="X132" s="51">
        <v>1986.22</v>
      </c>
      <c r="Y132" s="51"/>
      <c r="Z132" s="51">
        <v>1985.89</v>
      </c>
      <c r="AA132" s="51"/>
      <c r="AB132" s="51">
        <v>1984.91</v>
      </c>
      <c r="AC132" s="51"/>
      <c r="AD132" s="51">
        <v>1984.15</v>
      </c>
      <c r="AE132" s="51">
        <v>1983.49</v>
      </c>
      <c r="AF132" s="50"/>
      <c r="AG132" s="44"/>
      <c r="AH132" s="12"/>
      <c r="AI132" s="11"/>
    </row>
    <row r="133" spans="1:37" x14ac:dyDescent="0.25">
      <c r="A133" s="47" t="s">
        <v>129</v>
      </c>
      <c r="B133" s="49">
        <v>520.54999999999995</v>
      </c>
      <c r="C133" s="49">
        <v>520.35</v>
      </c>
      <c r="D133" s="49">
        <v>520.14</v>
      </c>
      <c r="E133" s="49">
        <v>519.32000000000005</v>
      </c>
      <c r="F133" s="49">
        <v>519.74</v>
      </c>
      <c r="G133" s="49">
        <v>519.74</v>
      </c>
      <c r="H133" s="49"/>
      <c r="I133" s="49">
        <v>519.74</v>
      </c>
      <c r="J133" s="49"/>
      <c r="K133" s="49">
        <v>519.65</v>
      </c>
      <c r="L133" s="49"/>
      <c r="M133" s="49">
        <v>519.67999999999995</v>
      </c>
      <c r="N133" s="49"/>
      <c r="O133" s="49">
        <v>520.29999999999995</v>
      </c>
      <c r="P133" s="49">
        <v>520.64</v>
      </c>
      <c r="Q133" s="49">
        <v>520.96</v>
      </c>
      <c r="R133" s="49">
        <v>521.29999999999995</v>
      </c>
      <c r="S133" s="49">
        <v>521.6</v>
      </c>
      <c r="T133" s="49"/>
      <c r="U133" s="49">
        <v>522.17999999999995</v>
      </c>
      <c r="V133" s="49">
        <v>522.32000000000005</v>
      </c>
      <c r="W133" s="49"/>
      <c r="X133" s="49">
        <v>522.52</v>
      </c>
      <c r="Y133" s="49"/>
      <c r="Z133" s="49">
        <v>522.4</v>
      </c>
      <c r="AA133" s="49"/>
      <c r="AB133" s="49">
        <v>521.94000000000005</v>
      </c>
      <c r="AC133" s="49"/>
      <c r="AD133" s="49">
        <v>521.54</v>
      </c>
      <c r="AE133" s="49"/>
      <c r="AF133" s="48"/>
      <c r="AG133" s="44"/>
      <c r="AH133" s="12"/>
      <c r="AI133" s="11"/>
    </row>
    <row r="134" spans="1:37" x14ac:dyDescent="0.25">
      <c r="A134" s="47" t="s">
        <v>128</v>
      </c>
      <c r="B134" s="49">
        <v>623.36</v>
      </c>
      <c r="C134" s="49">
        <v>622.97</v>
      </c>
      <c r="D134" s="49">
        <v>622.6</v>
      </c>
      <c r="E134" s="49">
        <v>622.14</v>
      </c>
      <c r="F134" s="49">
        <v>621.55999999999995</v>
      </c>
      <c r="G134" s="49">
        <v>620.95000000000005</v>
      </c>
      <c r="H134" s="49"/>
      <c r="I134" s="49">
        <v>621.45000000000005</v>
      </c>
      <c r="J134" s="49"/>
      <c r="K134" s="49">
        <v>621.84</v>
      </c>
      <c r="L134" s="49"/>
      <c r="M134" s="49">
        <v>622.14</v>
      </c>
      <c r="N134" s="49">
        <v>623.01</v>
      </c>
      <c r="O134" s="49">
        <v>623.16</v>
      </c>
      <c r="P134" s="49">
        <v>623.22</v>
      </c>
      <c r="Q134" s="49">
        <v>623.41</v>
      </c>
      <c r="R134" s="49">
        <v>623.62</v>
      </c>
      <c r="S134" s="49">
        <v>623.92999999999995</v>
      </c>
      <c r="T134" s="49"/>
      <c r="U134" s="49">
        <v>623.95000000000005</v>
      </c>
      <c r="V134" s="49">
        <v>623.88</v>
      </c>
      <c r="W134" s="49"/>
      <c r="X134" s="49">
        <v>623.58000000000004</v>
      </c>
      <c r="Y134" s="49"/>
      <c r="Z134" s="49">
        <v>623.47</v>
      </c>
      <c r="AA134" s="49"/>
      <c r="AB134" s="49">
        <v>623.26</v>
      </c>
      <c r="AC134" s="49"/>
      <c r="AD134" s="49">
        <v>623.26</v>
      </c>
      <c r="AE134" s="49"/>
      <c r="AF134" s="48"/>
      <c r="AG134" s="44"/>
      <c r="AH134" s="12"/>
      <c r="AI134" s="11"/>
    </row>
    <row r="135" spans="1:37" x14ac:dyDescent="0.25">
      <c r="A135" s="47" t="s">
        <v>127</v>
      </c>
      <c r="B135" s="49">
        <v>334.22</v>
      </c>
      <c r="C135" s="49">
        <v>334.85</v>
      </c>
      <c r="D135" s="49">
        <v>335.16</v>
      </c>
      <c r="E135" s="49">
        <v>335.71</v>
      </c>
      <c r="F135" s="49">
        <v>336.16</v>
      </c>
      <c r="G135" s="49">
        <v>336.58</v>
      </c>
      <c r="H135" s="49"/>
      <c r="I135" s="49">
        <v>336.71</v>
      </c>
      <c r="J135" s="49"/>
      <c r="K135" s="49">
        <v>336.62</v>
      </c>
      <c r="L135" s="49"/>
      <c r="M135" s="49">
        <v>336.54</v>
      </c>
      <c r="N135" s="49"/>
      <c r="O135" s="49">
        <v>336.81</v>
      </c>
      <c r="P135" s="49">
        <v>336.54</v>
      </c>
      <c r="Q135" s="49">
        <v>336.26</v>
      </c>
      <c r="R135" s="49">
        <v>336.11</v>
      </c>
      <c r="S135" s="49">
        <v>335.88</v>
      </c>
      <c r="T135" s="49"/>
      <c r="U135" s="49">
        <v>335.71</v>
      </c>
      <c r="V135" s="49">
        <v>335.7</v>
      </c>
      <c r="W135" s="49"/>
      <c r="X135" s="49">
        <v>335.85</v>
      </c>
      <c r="Y135" s="49"/>
      <c r="Z135" s="49">
        <v>335.72</v>
      </c>
      <c r="AA135" s="49"/>
      <c r="AB135" s="49">
        <v>335.36</v>
      </c>
      <c r="AC135" s="49"/>
      <c r="AD135" s="49">
        <v>335.17</v>
      </c>
      <c r="AE135" s="49"/>
      <c r="AF135" s="48"/>
      <c r="AG135" s="44"/>
      <c r="AH135" s="12"/>
      <c r="AI135" s="11"/>
    </row>
    <row r="136" spans="1:37" x14ac:dyDescent="0.25">
      <c r="A136" s="47" t="s">
        <v>126</v>
      </c>
      <c r="B136" s="49">
        <v>884.4</v>
      </c>
      <c r="C136" s="49">
        <v>884.5</v>
      </c>
      <c r="D136" s="49">
        <v>884.6</v>
      </c>
      <c r="E136" s="49">
        <v>884.6</v>
      </c>
      <c r="F136" s="49">
        <v>884.7</v>
      </c>
      <c r="G136" s="49">
        <v>884.7</v>
      </c>
      <c r="H136" s="49"/>
      <c r="I136" s="49">
        <v>884.7</v>
      </c>
      <c r="J136" s="49"/>
      <c r="K136" s="49">
        <v>884.5</v>
      </c>
      <c r="L136" s="49"/>
      <c r="M136" s="49">
        <v>884.1</v>
      </c>
      <c r="N136" s="49"/>
      <c r="O136" s="49">
        <v>883.6</v>
      </c>
      <c r="P136" s="49">
        <v>883.2</v>
      </c>
      <c r="Q136" s="49">
        <v>882.9</v>
      </c>
      <c r="R136" s="49">
        <v>882.9</v>
      </c>
      <c r="S136" s="49">
        <v>882.6</v>
      </c>
      <c r="T136" s="49"/>
      <c r="U136" s="49">
        <v>881.7</v>
      </c>
      <c r="V136" s="49">
        <v>882.9</v>
      </c>
      <c r="W136" s="49"/>
      <c r="X136" s="49">
        <v>883.7</v>
      </c>
      <c r="Y136" s="49"/>
      <c r="Z136" s="49">
        <v>884.2</v>
      </c>
      <c r="AA136" s="49"/>
      <c r="AB136" s="49">
        <v>882.8</v>
      </c>
      <c r="AC136" s="49"/>
      <c r="AD136" s="49">
        <v>881.9</v>
      </c>
      <c r="AE136" s="49"/>
      <c r="AF136" s="48"/>
      <c r="AG136" s="44"/>
      <c r="AH136" s="12"/>
      <c r="AI136" s="11"/>
    </row>
    <row r="137" spans="1:37" ht="15.75" thickBot="1" x14ac:dyDescent="0.3">
      <c r="A137" s="47" t="s">
        <v>125</v>
      </c>
      <c r="B137" s="46">
        <v>1510.44</v>
      </c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>
        <v>1509.89</v>
      </c>
      <c r="AB137" s="46"/>
      <c r="AC137" s="46"/>
      <c r="AD137" s="46"/>
      <c r="AE137" s="46"/>
      <c r="AF137" s="45"/>
      <c r="AG137" s="44"/>
      <c r="AH137" s="12"/>
      <c r="AI137" s="11"/>
    </row>
    <row r="138" spans="1:37" ht="15.75" thickBot="1" x14ac:dyDescent="0.3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25">
      <c r="A139" s="39" t="s">
        <v>122</v>
      </c>
      <c r="B139" s="38">
        <v>1509.7</v>
      </c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25">
      <c r="A140" s="22" t="s">
        <v>121</v>
      </c>
      <c r="B140" s="38">
        <f>B137-B139</f>
        <v>0.74000000000000909</v>
      </c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25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25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25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25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25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25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25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25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25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25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25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25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25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25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25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25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25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25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25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25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25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25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25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25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25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25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25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25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25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25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25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25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25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25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25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25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25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25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25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25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25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25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25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25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25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25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25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25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25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25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25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25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25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25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25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25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25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25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25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25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25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25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25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25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25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25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25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25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25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25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25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25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25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25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25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25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25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25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25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25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25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25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25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25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25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25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25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25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25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25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25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25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25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25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25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25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25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25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25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25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25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25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.75" thickBot="1" x14ac:dyDescent="0.3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.75" thickBot="1" x14ac:dyDescent="0.3">
      <c r="A244" s="31" t="s">
        <v>17</v>
      </c>
      <c r="B244" s="30">
        <f t="shared" ref="B244:AG244" si="132">SUM(B139:B243)</f>
        <v>1510.44</v>
      </c>
      <c r="C244" s="14">
        <f t="shared" si="132"/>
        <v>0</v>
      </c>
      <c r="D244" s="14">
        <f t="shared" si="132"/>
        <v>0</v>
      </c>
      <c r="E244" s="14">
        <f t="shared" si="132"/>
        <v>0</v>
      </c>
      <c r="F244" s="14">
        <f t="shared" si="132"/>
        <v>0</v>
      </c>
      <c r="G244" s="14">
        <f t="shared" si="132"/>
        <v>0</v>
      </c>
      <c r="H244" s="14">
        <f t="shared" si="132"/>
        <v>0</v>
      </c>
      <c r="I244" s="14">
        <f t="shared" si="132"/>
        <v>0</v>
      </c>
      <c r="J244" s="14">
        <f t="shared" si="132"/>
        <v>0</v>
      </c>
      <c r="K244" s="14">
        <f t="shared" si="132"/>
        <v>0</v>
      </c>
      <c r="L244" s="14">
        <f t="shared" si="132"/>
        <v>0</v>
      </c>
      <c r="M244" s="14">
        <f t="shared" si="132"/>
        <v>0</v>
      </c>
      <c r="N244" s="14">
        <f t="shared" si="132"/>
        <v>0</v>
      </c>
      <c r="O244" s="14">
        <f t="shared" si="132"/>
        <v>0</v>
      </c>
      <c r="P244" s="14">
        <f t="shared" si="132"/>
        <v>0</v>
      </c>
      <c r="Q244" s="14">
        <f t="shared" si="132"/>
        <v>0</v>
      </c>
      <c r="R244" s="14">
        <f t="shared" si="132"/>
        <v>0</v>
      </c>
      <c r="S244" s="14">
        <f t="shared" si="132"/>
        <v>0</v>
      </c>
      <c r="T244" s="14">
        <f t="shared" si="132"/>
        <v>0</v>
      </c>
      <c r="U244" s="14">
        <f t="shared" si="132"/>
        <v>0</v>
      </c>
      <c r="V244" s="14">
        <f t="shared" si="132"/>
        <v>0</v>
      </c>
      <c r="W244" s="14">
        <f t="shared" si="132"/>
        <v>0</v>
      </c>
      <c r="X244" s="14">
        <f t="shared" si="132"/>
        <v>0</v>
      </c>
      <c r="Y244" s="14">
        <f t="shared" si="132"/>
        <v>0</v>
      </c>
      <c r="Z244" s="14">
        <f t="shared" si="132"/>
        <v>0</v>
      </c>
      <c r="AA244" s="14">
        <f t="shared" si="132"/>
        <v>0</v>
      </c>
      <c r="AB244" s="14">
        <f t="shared" si="132"/>
        <v>0</v>
      </c>
      <c r="AC244" s="14">
        <f t="shared" si="132"/>
        <v>0</v>
      </c>
      <c r="AD244" s="14">
        <f t="shared" si="132"/>
        <v>0</v>
      </c>
      <c r="AE244" s="14">
        <f t="shared" si="132"/>
        <v>0</v>
      </c>
      <c r="AF244" s="29">
        <f t="shared" si="132"/>
        <v>0</v>
      </c>
      <c r="AG244" s="28">
        <f t="shared" si="132"/>
        <v>412.72299999999984</v>
      </c>
      <c r="AH244" s="12"/>
      <c r="AI244" s="11"/>
      <c r="AK244" s="19"/>
    </row>
    <row r="245" spans="1:37" ht="15.75" thickBot="1" x14ac:dyDescent="0.3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25">
      <c r="A246" s="25" t="s">
        <v>16</v>
      </c>
      <c r="B246" s="24">
        <f t="shared" ref="B246:B251" si="133">AF246</f>
        <v>0.3</v>
      </c>
      <c r="C246" s="24">
        <v>0.3</v>
      </c>
      <c r="D246" s="24">
        <f t="shared" ref="D246:AF251" si="134">C246</f>
        <v>0.3</v>
      </c>
      <c r="E246" s="24">
        <f t="shared" si="134"/>
        <v>0.3</v>
      </c>
      <c r="F246" s="24">
        <f t="shared" si="134"/>
        <v>0.3</v>
      </c>
      <c r="G246" s="24">
        <f t="shared" si="134"/>
        <v>0.3</v>
      </c>
      <c r="H246" s="24">
        <f t="shared" si="134"/>
        <v>0.3</v>
      </c>
      <c r="I246" s="24">
        <f t="shared" si="134"/>
        <v>0.3</v>
      </c>
      <c r="J246" s="24">
        <f t="shared" si="134"/>
        <v>0.3</v>
      </c>
      <c r="K246" s="24">
        <f t="shared" si="134"/>
        <v>0.3</v>
      </c>
      <c r="L246" s="24">
        <f t="shared" si="134"/>
        <v>0.3</v>
      </c>
      <c r="M246" s="24">
        <f t="shared" si="134"/>
        <v>0.3</v>
      </c>
      <c r="N246" s="24">
        <f t="shared" si="134"/>
        <v>0.3</v>
      </c>
      <c r="O246" s="24">
        <f t="shared" si="134"/>
        <v>0.3</v>
      </c>
      <c r="P246" s="24">
        <f t="shared" si="134"/>
        <v>0.3</v>
      </c>
      <c r="Q246" s="24">
        <f t="shared" si="134"/>
        <v>0.3</v>
      </c>
      <c r="R246" s="24">
        <f t="shared" si="134"/>
        <v>0.3</v>
      </c>
      <c r="S246" s="24">
        <f t="shared" si="134"/>
        <v>0.3</v>
      </c>
      <c r="T246" s="24">
        <f t="shared" si="134"/>
        <v>0.3</v>
      </c>
      <c r="U246" s="24">
        <f t="shared" si="134"/>
        <v>0.3</v>
      </c>
      <c r="V246" s="24">
        <f t="shared" si="134"/>
        <v>0.3</v>
      </c>
      <c r="W246" s="24">
        <f t="shared" si="134"/>
        <v>0.3</v>
      </c>
      <c r="X246" s="24">
        <f t="shared" si="134"/>
        <v>0.3</v>
      </c>
      <c r="Y246" s="24">
        <f t="shared" si="134"/>
        <v>0.3</v>
      </c>
      <c r="Z246" s="24">
        <f t="shared" si="134"/>
        <v>0.3</v>
      </c>
      <c r="AA246" s="24">
        <f t="shared" si="134"/>
        <v>0.3</v>
      </c>
      <c r="AB246" s="24">
        <f t="shared" si="134"/>
        <v>0.3</v>
      </c>
      <c r="AC246" s="24">
        <f t="shared" si="134"/>
        <v>0.3</v>
      </c>
      <c r="AD246" s="24">
        <f t="shared" si="134"/>
        <v>0.3</v>
      </c>
      <c r="AE246" s="24">
        <f t="shared" si="134"/>
        <v>0.3</v>
      </c>
      <c r="AF246" s="24">
        <f t="shared" si="134"/>
        <v>0.3</v>
      </c>
      <c r="AG246" s="23">
        <v>2.4</v>
      </c>
      <c r="AH246" s="12"/>
      <c r="AI246" s="11"/>
      <c r="AK246" s="19"/>
    </row>
    <row r="247" spans="1:37" x14ac:dyDescent="0.25">
      <c r="A247" s="22" t="s">
        <v>15</v>
      </c>
      <c r="B247" s="21">
        <f t="shared" si="133"/>
        <v>0.4</v>
      </c>
      <c r="C247" s="21">
        <v>0.4</v>
      </c>
      <c r="D247" s="21">
        <f t="shared" si="134"/>
        <v>0.4</v>
      </c>
      <c r="E247" s="21">
        <f t="shared" si="134"/>
        <v>0.4</v>
      </c>
      <c r="F247" s="21">
        <f t="shared" si="134"/>
        <v>0.4</v>
      </c>
      <c r="G247" s="21">
        <f t="shared" si="134"/>
        <v>0.4</v>
      </c>
      <c r="H247" s="21">
        <f t="shared" si="134"/>
        <v>0.4</v>
      </c>
      <c r="I247" s="21">
        <f t="shared" si="134"/>
        <v>0.4</v>
      </c>
      <c r="J247" s="21">
        <f t="shared" si="134"/>
        <v>0.4</v>
      </c>
      <c r="K247" s="21">
        <f t="shared" si="134"/>
        <v>0.4</v>
      </c>
      <c r="L247" s="21">
        <f t="shared" si="134"/>
        <v>0.4</v>
      </c>
      <c r="M247" s="21">
        <f t="shared" si="134"/>
        <v>0.4</v>
      </c>
      <c r="N247" s="21">
        <f t="shared" si="134"/>
        <v>0.4</v>
      </c>
      <c r="O247" s="21">
        <f t="shared" si="134"/>
        <v>0.4</v>
      </c>
      <c r="P247" s="21">
        <f t="shared" si="134"/>
        <v>0.4</v>
      </c>
      <c r="Q247" s="21">
        <f t="shared" si="134"/>
        <v>0.4</v>
      </c>
      <c r="R247" s="21">
        <f t="shared" si="134"/>
        <v>0.4</v>
      </c>
      <c r="S247" s="21">
        <f t="shared" si="134"/>
        <v>0.4</v>
      </c>
      <c r="T247" s="21">
        <f t="shared" si="134"/>
        <v>0.4</v>
      </c>
      <c r="U247" s="21">
        <f t="shared" si="134"/>
        <v>0.4</v>
      </c>
      <c r="V247" s="21">
        <f t="shared" si="134"/>
        <v>0.4</v>
      </c>
      <c r="W247" s="21">
        <f t="shared" si="134"/>
        <v>0.4</v>
      </c>
      <c r="X247" s="21">
        <f t="shared" si="134"/>
        <v>0.4</v>
      </c>
      <c r="Y247" s="21">
        <f t="shared" si="134"/>
        <v>0.4</v>
      </c>
      <c r="Z247" s="21">
        <f t="shared" si="134"/>
        <v>0.4</v>
      </c>
      <c r="AA247" s="21">
        <f t="shared" si="134"/>
        <v>0.4</v>
      </c>
      <c r="AB247" s="21">
        <f t="shared" si="134"/>
        <v>0.4</v>
      </c>
      <c r="AC247" s="21">
        <f t="shared" si="134"/>
        <v>0.4</v>
      </c>
      <c r="AD247" s="21">
        <f t="shared" si="134"/>
        <v>0.4</v>
      </c>
      <c r="AE247" s="21">
        <f t="shared" si="134"/>
        <v>0.4</v>
      </c>
      <c r="AF247" s="21">
        <f t="shared" si="134"/>
        <v>0.4</v>
      </c>
      <c r="AG247" s="20">
        <v>2</v>
      </c>
      <c r="AH247" s="12"/>
      <c r="AI247" s="11"/>
      <c r="AK247" s="19"/>
    </row>
    <row r="248" spans="1:37" x14ac:dyDescent="0.25">
      <c r="A248" s="22" t="s">
        <v>14</v>
      </c>
      <c r="B248" s="21">
        <f t="shared" si="133"/>
        <v>1.5</v>
      </c>
      <c r="C248" s="21">
        <v>1.5</v>
      </c>
      <c r="D248" s="21">
        <f t="shared" si="134"/>
        <v>1.5</v>
      </c>
      <c r="E248" s="21">
        <f t="shared" si="134"/>
        <v>1.5</v>
      </c>
      <c r="F248" s="21">
        <f t="shared" si="134"/>
        <v>1.5</v>
      </c>
      <c r="G248" s="21">
        <f t="shared" si="134"/>
        <v>1.5</v>
      </c>
      <c r="H248" s="21">
        <f t="shared" si="134"/>
        <v>1.5</v>
      </c>
      <c r="I248" s="21">
        <f t="shared" si="134"/>
        <v>1.5</v>
      </c>
      <c r="J248" s="21">
        <f t="shared" si="134"/>
        <v>1.5</v>
      </c>
      <c r="K248" s="21">
        <f t="shared" si="134"/>
        <v>1.5</v>
      </c>
      <c r="L248" s="21">
        <f t="shared" si="134"/>
        <v>1.5</v>
      </c>
      <c r="M248" s="21">
        <f t="shared" si="134"/>
        <v>1.5</v>
      </c>
      <c r="N248" s="21">
        <f t="shared" si="134"/>
        <v>1.5</v>
      </c>
      <c r="O248" s="21">
        <f t="shared" si="134"/>
        <v>1.5</v>
      </c>
      <c r="P248" s="21">
        <f t="shared" si="134"/>
        <v>1.5</v>
      </c>
      <c r="Q248" s="21">
        <f t="shared" si="134"/>
        <v>1.5</v>
      </c>
      <c r="R248" s="21">
        <f t="shared" si="134"/>
        <v>1.5</v>
      </c>
      <c r="S248" s="21">
        <f t="shared" si="134"/>
        <v>1.5</v>
      </c>
      <c r="T248" s="21">
        <f t="shared" si="134"/>
        <v>1.5</v>
      </c>
      <c r="U248" s="21">
        <f t="shared" si="134"/>
        <v>1.5</v>
      </c>
      <c r="V248" s="21">
        <f t="shared" si="134"/>
        <v>1.5</v>
      </c>
      <c r="W248" s="21">
        <f t="shared" si="134"/>
        <v>1.5</v>
      </c>
      <c r="X248" s="21">
        <f t="shared" si="134"/>
        <v>1.5</v>
      </c>
      <c r="Y248" s="21">
        <f t="shared" si="134"/>
        <v>1.5</v>
      </c>
      <c r="Z248" s="21">
        <f t="shared" si="134"/>
        <v>1.5</v>
      </c>
      <c r="AA248" s="21">
        <f t="shared" si="134"/>
        <v>1.5</v>
      </c>
      <c r="AB248" s="21">
        <f t="shared" si="134"/>
        <v>1.5</v>
      </c>
      <c r="AC248" s="21">
        <f t="shared" si="134"/>
        <v>1.5</v>
      </c>
      <c r="AD248" s="21">
        <f t="shared" si="134"/>
        <v>1.5</v>
      </c>
      <c r="AE248" s="21">
        <f t="shared" si="134"/>
        <v>1.5</v>
      </c>
      <c r="AF248" s="21">
        <f t="shared" si="134"/>
        <v>1.5</v>
      </c>
      <c r="AG248" s="20">
        <v>1.5</v>
      </c>
      <c r="AH248" s="12"/>
      <c r="AI248" s="11"/>
      <c r="AK248" s="19"/>
    </row>
    <row r="249" spans="1:37" x14ac:dyDescent="0.25">
      <c r="A249" s="22" t="s">
        <v>13</v>
      </c>
      <c r="B249" s="21">
        <f t="shared" si="133"/>
        <v>0.3</v>
      </c>
      <c r="C249" s="21">
        <v>0.3</v>
      </c>
      <c r="D249" s="21">
        <f t="shared" si="134"/>
        <v>0.3</v>
      </c>
      <c r="E249" s="21">
        <f t="shared" si="134"/>
        <v>0.3</v>
      </c>
      <c r="F249" s="21">
        <f t="shared" si="134"/>
        <v>0.3</v>
      </c>
      <c r="G249" s="21">
        <f t="shared" si="134"/>
        <v>0.3</v>
      </c>
      <c r="H249" s="21">
        <f t="shared" si="134"/>
        <v>0.3</v>
      </c>
      <c r="I249" s="21">
        <f t="shared" si="134"/>
        <v>0.3</v>
      </c>
      <c r="J249" s="21">
        <f t="shared" si="134"/>
        <v>0.3</v>
      </c>
      <c r="K249" s="21">
        <f t="shared" si="134"/>
        <v>0.3</v>
      </c>
      <c r="L249" s="21">
        <f t="shared" si="134"/>
        <v>0.3</v>
      </c>
      <c r="M249" s="21">
        <f t="shared" si="134"/>
        <v>0.3</v>
      </c>
      <c r="N249" s="21">
        <f t="shared" si="134"/>
        <v>0.3</v>
      </c>
      <c r="O249" s="21">
        <f t="shared" si="134"/>
        <v>0.3</v>
      </c>
      <c r="P249" s="21">
        <f t="shared" si="134"/>
        <v>0.3</v>
      </c>
      <c r="Q249" s="21">
        <f t="shared" si="134"/>
        <v>0.3</v>
      </c>
      <c r="R249" s="21">
        <f t="shared" si="134"/>
        <v>0.3</v>
      </c>
      <c r="S249" s="21">
        <f t="shared" si="134"/>
        <v>0.3</v>
      </c>
      <c r="T249" s="21">
        <f t="shared" si="134"/>
        <v>0.3</v>
      </c>
      <c r="U249" s="21">
        <f t="shared" si="134"/>
        <v>0.3</v>
      </c>
      <c r="V249" s="21">
        <f t="shared" si="134"/>
        <v>0.3</v>
      </c>
      <c r="W249" s="21">
        <f t="shared" si="134"/>
        <v>0.3</v>
      </c>
      <c r="X249" s="21">
        <f t="shared" si="134"/>
        <v>0.3</v>
      </c>
      <c r="Y249" s="21">
        <f t="shared" si="134"/>
        <v>0.3</v>
      </c>
      <c r="Z249" s="21">
        <f t="shared" si="134"/>
        <v>0.3</v>
      </c>
      <c r="AA249" s="21">
        <f t="shared" si="134"/>
        <v>0.3</v>
      </c>
      <c r="AB249" s="21">
        <f t="shared" si="134"/>
        <v>0.3</v>
      </c>
      <c r="AC249" s="21">
        <f t="shared" si="134"/>
        <v>0.3</v>
      </c>
      <c r="AD249" s="21">
        <f t="shared" si="134"/>
        <v>0.3</v>
      </c>
      <c r="AE249" s="21">
        <f t="shared" si="134"/>
        <v>0.3</v>
      </c>
      <c r="AF249" s="21">
        <f t="shared" si="134"/>
        <v>0.3</v>
      </c>
      <c r="AG249" s="20">
        <v>1</v>
      </c>
      <c r="AH249" s="12"/>
      <c r="AI249" s="11"/>
      <c r="AK249" s="19"/>
    </row>
    <row r="250" spans="1:37" x14ac:dyDescent="0.25">
      <c r="A250" s="22" t="s">
        <v>12</v>
      </c>
      <c r="B250" s="21">
        <f t="shared" si="133"/>
        <v>0.4</v>
      </c>
      <c r="C250" s="21">
        <v>0.4</v>
      </c>
      <c r="D250" s="21">
        <f t="shared" si="134"/>
        <v>0.4</v>
      </c>
      <c r="E250" s="21">
        <f t="shared" si="134"/>
        <v>0.4</v>
      </c>
      <c r="F250" s="21">
        <f t="shared" si="134"/>
        <v>0.4</v>
      </c>
      <c r="G250" s="21">
        <f t="shared" si="134"/>
        <v>0.4</v>
      </c>
      <c r="H250" s="21">
        <f t="shared" si="134"/>
        <v>0.4</v>
      </c>
      <c r="I250" s="21">
        <f t="shared" si="134"/>
        <v>0.4</v>
      </c>
      <c r="J250" s="21">
        <f t="shared" si="134"/>
        <v>0.4</v>
      </c>
      <c r="K250" s="21">
        <f t="shared" si="134"/>
        <v>0.4</v>
      </c>
      <c r="L250" s="21">
        <f t="shared" si="134"/>
        <v>0.4</v>
      </c>
      <c r="M250" s="21">
        <f t="shared" si="134"/>
        <v>0.4</v>
      </c>
      <c r="N250" s="21">
        <f t="shared" si="134"/>
        <v>0.4</v>
      </c>
      <c r="O250" s="21">
        <f t="shared" si="134"/>
        <v>0.4</v>
      </c>
      <c r="P250" s="21">
        <f t="shared" si="134"/>
        <v>0.4</v>
      </c>
      <c r="Q250" s="21">
        <f t="shared" si="134"/>
        <v>0.4</v>
      </c>
      <c r="R250" s="21">
        <f t="shared" si="134"/>
        <v>0.4</v>
      </c>
      <c r="S250" s="21">
        <f t="shared" si="134"/>
        <v>0.4</v>
      </c>
      <c r="T250" s="21">
        <f t="shared" si="134"/>
        <v>0.4</v>
      </c>
      <c r="U250" s="21">
        <f t="shared" si="134"/>
        <v>0.4</v>
      </c>
      <c r="V250" s="21">
        <f t="shared" si="134"/>
        <v>0.4</v>
      </c>
      <c r="W250" s="21">
        <f t="shared" si="134"/>
        <v>0.4</v>
      </c>
      <c r="X250" s="21">
        <f t="shared" si="134"/>
        <v>0.4</v>
      </c>
      <c r="Y250" s="21">
        <f t="shared" si="134"/>
        <v>0.4</v>
      </c>
      <c r="Z250" s="21">
        <f t="shared" si="134"/>
        <v>0.4</v>
      </c>
      <c r="AA250" s="21">
        <f t="shared" si="134"/>
        <v>0.4</v>
      </c>
      <c r="AB250" s="21">
        <f t="shared" si="134"/>
        <v>0.4</v>
      </c>
      <c r="AC250" s="21">
        <f t="shared" si="134"/>
        <v>0.4</v>
      </c>
      <c r="AD250" s="21">
        <f t="shared" si="134"/>
        <v>0.4</v>
      </c>
      <c r="AE250" s="21">
        <f t="shared" si="134"/>
        <v>0.4</v>
      </c>
      <c r="AF250" s="21">
        <f t="shared" si="134"/>
        <v>0.4</v>
      </c>
      <c r="AG250" s="20">
        <v>1</v>
      </c>
      <c r="AH250" s="12"/>
      <c r="AI250" s="11"/>
      <c r="AK250" s="19"/>
    </row>
    <row r="251" spans="1:37" ht="15.75" thickBot="1" x14ac:dyDescent="0.3">
      <c r="A251" s="18" t="s">
        <v>11</v>
      </c>
      <c r="B251" s="17">
        <f t="shared" si="133"/>
        <v>0.64</v>
      </c>
      <c r="C251" s="17">
        <v>0.64</v>
      </c>
      <c r="D251" s="17">
        <f t="shared" si="134"/>
        <v>0.64</v>
      </c>
      <c r="E251" s="17">
        <f t="shared" si="134"/>
        <v>0.64</v>
      </c>
      <c r="F251" s="17">
        <f t="shared" si="134"/>
        <v>0.64</v>
      </c>
      <c r="G251" s="17">
        <f t="shared" si="134"/>
        <v>0.64</v>
      </c>
      <c r="H251" s="17">
        <f t="shared" si="134"/>
        <v>0.64</v>
      </c>
      <c r="I251" s="17">
        <f t="shared" si="134"/>
        <v>0.64</v>
      </c>
      <c r="J251" s="17">
        <f t="shared" si="134"/>
        <v>0.64</v>
      </c>
      <c r="K251" s="17">
        <f t="shared" si="134"/>
        <v>0.64</v>
      </c>
      <c r="L251" s="17">
        <f t="shared" si="134"/>
        <v>0.64</v>
      </c>
      <c r="M251" s="17">
        <f t="shared" si="134"/>
        <v>0.64</v>
      </c>
      <c r="N251" s="17">
        <f t="shared" si="134"/>
        <v>0.64</v>
      </c>
      <c r="O251" s="17">
        <f t="shared" si="134"/>
        <v>0.64</v>
      </c>
      <c r="P251" s="17">
        <f t="shared" si="134"/>
        <v>0.64</v>
      </c>
      <c r="Q251" s="17">
        <f t="shared" si="134"/>
        <v>0.64</v>
      </c>
      <c r="R251" s="17">
        <f t="shared" si="134"/>
        <v>0.64</v>
      </c>
      <c r="S251" s="17">
        <f t="shared" si="134"/>
        <v>0.64</v>
      </c>
      <c r="T251" s="17">
        <f t="shared" si="134"/>
        <v>0.64</v>
      </c>
      <c r="U251" s="17">
        <f t="shared" si="134"/>
        <v>0.64</v>
      </c>
      <c r="V251" s="17">
        <f t="shared" si="134"/>
        <v>0.64</v>
      </c>
      <c r="W251" s="17">
        <f t="shared" si="134"/>
        <v>0.64</v>
      </c>
      <c r="X251" s="17">
        <f t="shared" si="134"/>
        <v>0.64</v>
      </c>
      <c r="Y251" s="17">
        <f t="shared" si="134"/>
        <v>0.64</v>
      </c>
      <c r="Z251" s="17">
        <f t="shared" si="134"/>
        <v>0.64</v>
      </c>
      <c r="AA251" s="17">
        <f t="shared" si="134"/>
        <v>0.64</v>
      </c>
      <c r="AB251" s="17">
        <f t="shared" si="134"/>
        <v>0.64</v>
      </c>
      <c r="AC251" s="17">
        <f t="shared" si="134"/>
        <v>0.64</v>
      </c>
      <c r="AD251" s="17">
        <f t="shared" si="134"/>
        <v>0.64</v>
      </c>
      <c r="AE251" s="17">
        <f t="shared" si="134"/>
        <v>0.64</v>
      </c>
      <c r="AF251" s="17">
        <f t="shared" si="134"/>
        <v>0.64</v>
      </c>
      <c r="AG251" s="16">
        <v>0.66</v>
      </c>
      <c r="AH251" s="12"/>
      <c r="AI251" s="11"/>
    </row>
    <row r="252" spans="1:37" ht="15.75" thickBot="1" x14ac:dyDescent="0.3">
      <c r="A252" s="15" t="s">
        <v>10</v>
      </c>
      <c r="B252" s="14">
        <f t="shared" ref="B252:AG252" si="135">SUM(B246:B251)</f>
        <v>3.54</v>
      </c>
      <c r="C252" s="14">
        <f t="shared" si="135"/>
        <v>3.54</v>
      </c>
      <c r="D252" s="14">
        <f t="shared" si="135"/>
        <v>3.54</v>
      </c>
      <c r="E252" s="14">
        <f t="shared" si="135"/>
        <v>3.54</v>
      </c>
      <c r="F252" s="14">
        <f t="shared" si="135"/>
        <v>3.54</v>
      </c>
      <c r="G252" s="14">
        <f t="shared" si="135"/>
        <v>3.54</v>
      </c>
      <c r="H252" s="14">
        <f t="shared" si="135"/>
        <v>3.54</v>
      </c>
      <c r="I252" s="14">
        <f t="shared" si="135"/>
        <v>3.54</v>
      </c>
      <c r="J252" s="14">
        <f t="shared" si="135"/>
        <v>3.54</v>
      </c>
      <c r="K252" s="14">
        <f t="shared" si="135"/>
        <v>3.54</v>
      </c>
      <c r="L252" s="14">
        <f t="shared" si="135"/>
        <v>3.54</v>
      </c>
      <c r="M252" s="14">
        <f t="shared" si="135"/>
        <v>3.54</v>
      </c>
      <c r="N252" s="14">
        <f t="shared" si="135"/>
        <v>3.54</v>
      </c>
      <c r="O252" s="14">
        <f t="shared" si="135"/>
        <v>3.54</v>
      </c>
      <c r="P252" s="14">
        <f t="shared" si="135"/>
        <v>3.54</v>
      </c>
      <c r="Q252" s="14">
        <f t="shared" si="135"/>
        <v>3.54</v>
      </c>
      <c r="R252" s="14">
        <f t="shared" si="135"/>
        <v>3.54</v>
      </c>
      <c r="S252" s="14">
        <f t="shared" si="135"/>
        <v>3.54</v>
      </c>
      <c r="T252" s="14">
        <f t="shared" si="135"/>
        <v>3.54</v>
      </c>
      <c r="U252" s="14">
        <f t="shared" si="135"/>
        <v>3.54</v>
      </c>
      <c r="V252" s="14">
        <f t="shared" si="135"/>
        <v>3.54</v>
      </c>
      <c r="W252" s="14">
        <f t="shared" si="135"/>
        <v>3.54</v>
      </c>
      <c r="X252" s="14">
        <f t="shared" si="135"/>
        <v>3.54</v>
      </c>
      <c r="Y252" s="14">
        <f t="shared" si="135"/>
        <v>3.54</v>
      </c>
      <c r="Z252" s="14">
        <f t="shared" si="135"/>
        <v>3.54</v>
      </c>
      <c r="AA252" s="14">
        <f t="shared" si="135"/>
        <v>3.54</v>
      </c>
      <c r="AB252" s="14">
        <f t="shared" si="135"/>
        <v>3.54</v>
      </c>
      <c r="AC252" s="14">
        <f t="shared" si="135"/>
        <v>3.54</v>
      </c>
      <c r="AD252" s="14">
        <f t="shared" si="135"/>
        <v>3.54</v>
      </c>
      <c r="AE252" s="14">
        <f t="shared" si="135"/>
        <v>3.54</v>
      </c>
      <c r="AF252" s="14">
        <f t="shared" si="135"/>
        <v>3.54</v>
      </c>
      <c r="AG252" s="13">
        <f t="shared" si="135"/>
        <v>8.56</v>
      </c>
      <c r="AH252" s="12"/>
      <c r="AI252" s="11"/>
    </row>
    <row r="253" spans="1:37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25">
      <c r="A256" s="9" t="s">
        <v>9</v>
      </c>
      <c r="B256" s="8">
        <f>MAX(G99:N99)</f>
        <v>1707.04</v>
      </c>
      <c r="C256" s="7">
        <f>INDEX(G9:N9,1,MATCH(MAX(G99:N99),G99:N99,0))</f>
        <v>0.27083333333333331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25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2080/10/11)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25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25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25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25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25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25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25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25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25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25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25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25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25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25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phoneticPr fontId="34" type="noConversion"/>
  <conditionalFormatting sqref="A11:A130">
    <cfRule type="expression" dxfId="2925" priority="93">
      <formula>$AH11=0</formula>
    </cfRule>
  </conditionalFormatting>
  <conditionalFormatting sqref="A132:A253">
    <cfRule type="expression" dxfId="2924" priority="94">
      <formula>$AH132=0</formula>
    </cfRule>
  </conditionalFormatting>
  <conditionalFormatting sqref="B8">
    <cfRule type="expression" dxfId="2923" priority="150">
      <formula>C$9&lt;8/24</formula>
    </cfRule>
    <cfRule type="expression" dxfId="2922" priority="149">
      <formula>AND(C$9&gt;=8/24,C$9&lt;14/24)</formula>
    </cfRule>
    <cfRule type="expression" dxfId="2921" priority="148">
      <formula>AND(C$9&gt;=14/24,C$9&lt;20/24)</formula>
    </cfRule>
    <cfRule type="expression" dxfId="2920" priority="151">
      <formula>C$9&gt;=20/24</formula>
    </cfRule>
  </conditionalFormatting>
  <conditionalFormatting sqref="B9:AF10 E11 B11:D52 K11:AF52 E12:J52 B59:D68 E60:E62 C63:D74 B69:AF74 B77:AF97 B101:AF117 B119:AF137 B244:AF244 B246:B252">
    <cfRule type="expression" dxfId="2919" priority="46">
      <formula>AND(B$9&gt;=14/24,B$9&lt;20/24)</formula>
    </cfRule>
    <cfRule type="expression" dxfId="2918" priority="47">
      <formula>AND(B$9&gt;=8/24,B$9&lt;14/24)</formula>
    </cfRule>
    <cfRule type="expression" dxfId="2917" priority="48">
      <formula>B$9&lt;8/24</formula>
    </cfRule>
  </conditionalFormatting>
  <conditionalFormatting sqref="B53:AF57">
    <cfRule type="expression" dxfId="2916" priority="57">
      <formula>B$9&lt;8/24</formula>
    </cfRule>
  </conditionalFormatting>
  <conditionalFormatting sqref="B98:AF99">
    <cfRule type="expression" dxfId="2915" priority="2">
      <formula>AND(B$9&gt;=14/24,B$9&lt;20/24)</formula>
    </cfRule>
    <cfRule type="expression" dxfId="2914" priority="3">
      <formula>AND(B$9&gt;=8/24,B$9&lt;14/24)</formula>
    </cfRule>
    <cfRule type="expression" dxfId="2913" priority="4">
      <formula>B$9&lt;8/24</formula>
    </cfRule>
    <cfRule type="expression" dxfId="2912" priority="1">
      <formula>B$9&gt;=20/24</formula>
    </cfRule>
  </conditionalFormatting>
  <conditionalFormatting sqref="D246:AF252">
    <cfRule type="expression" dxfId="2911" priority="136">
      <formula>D$9&lt;8/24</formula>
    </cfRule>
    <cfRule type="expression" dxfId="2910" priority="135">
      <formula>AND(D$9&gt;=8/24,D$9&lt;14/24)</formula>
    </cfRule>
    <cfRule type="expression" dxfId="2909" priority="133">
      <formula>D$9&gt;=20/24</formula>
    </cfRule>
    <cfRule type="expression" dxfId="2908" priority="134">
      <formula>AND(D$9&gt;=14/24,D$9&lt;20/24)</formula>
    </cfRule>
  </conditionalFormatting>
  <conditionalFormatting sqref="E11 B11:D52 K11:AF52 E12:J52 B59:D68 E60:E62 C63:D74 B69:AF74 B77:AF97 B9:AF10 B101:AF117 B119:AF137 B244:AF244 B246:B252">
    <cfRule type="expression" dxfId="2907" priority="45">
      <formula>B$9&gt;=20/24</formula>
    </cfRule>
  </conditionalFormatting>
  <conditionalFormatting sqref="E59:G59 H59:I61 J59:AF62 F60:G61 F62:I62">
    <cfRule type="expression" dxfId="2906" priority="71">
      <formula>E$9&gt;=20/24</formula>
    </cfRule>
    <cfRule type="expression" dxfId="2905" priority="72">
      <formula>AND(E$9&gt;=14/24,E$9&lt;20/24)</formula>
    </cfRule>
    <cfRule type="expression" dxfId="2904" priority="73">
      <formula>AND(E$9&gt;=8/24,E$9&lt;14/24)</formula>
    </cfRule>
    <cfRule type="expression" dxfId="2903" priority="74">
      <formula>E$9&lt;8/24</formula>
    </cfRule>
  </conditionalFormatting>
  <conditionalFormatting sqref="E11:J11">
    <cfRule type="expression" dxfId="2902" priority="62">
      <formula>E11&gt;$AG11</formula>
    </cfRule>
    <cfRule type="expression" dxfId="2901" priority="63">
      <formula>E$9&gt;=20/24</formula>
    </cfRule>
    <cfRule type="expression" dxfId="2900" priority="64">
      <formula>AND(E$9&gt;=14/24,E$9&lt;20/24)</formula>
    </cfRule>
    <cfRule type="expression" dxfId="2899" priority="65">
      <formula>AND(E$9&gt;=8/24,E$9&lt;14/24)</formula>
    </cfRule>
    <cfRule type="expression" dxfId="2898" priority="66">
      <formula>E$9&lt;8/24</formula>
    </cfRule>
  </conditionalFormatting>
  <conditionalFormatting sqref="E63:K68">
    <cfRule type="expression" dxfId="2897" priority="54">
      <formula>AND(E$9&gt;=14/24,E$9&lt;20/24)</formula>
    </cfRule>
    <cfRule type="expression" dxfId="2896" priority="55">
      <formula>AND(E$9&gt;=8/24,E$9&lt;14/24)</formula>
    </cfRule>
    <cfRule type="expression" dxfId="2895" priority="56">
      <formula>E$9&lt;8/24</formula>
    </cfRule>
    <cfRule type="expression" dxfId="2894" priority="53">
      <formula>E$9&gt;=20/24</formula>
    </cfRule>
  </conditionalFormatting>
  <conditionalFormatting sqref="F63:S65">
    <cfRule type="expression" dxfId="2893" priority="88">
      <formula>F$9&lt;8/24</formula>
    </cfRule>
    <cfRule type="expression" dxfId="2892" priority="87">
      <formula>AND(F$9&gt;=8/24,F$9&lt;14/24)</formula>
    </cfRule>
    <cfRule type="expression" dxfId="2891" priority="86">
      <formula>AND(F$9&gt;=14/24,F$9&lt;20/24)</formula>
    </cfRule>
    <cfRule type="expression" dxfId="2890" priority="85">
      <formula>F$9&gt;=20/24</formula>
    </cfRule>
  </conditionalFormatting>
  <conditionalFormatting sqref="I56:AF56">
    <cfRule type="expression" dxfId="2889" priority="49">
      <formula>I56&gt;$AG56</formula>
    </cfRule>
  </conditionalFormatting>
  <conditionalFormatting sqref="K11:AF55 B11:D62 J12:J55 E12:G57 I13:I55 H13:H57 E11 H12:I12 I57 J57:AF80 E58:I58 E59:G59 H59:I61 F60:G61 E60:E62 F62:I62 AG62 B63:I80 AG80">
    <cfRule type="expression" dxfId="2888" priority="44">
      <formula>B11&gt;$AG11</formula>
    </cfRule>
  </conditionalFormatting>
  <conditionalFormatting sqref="L68:Y68">
    <cfRule type="expression" dxfId="2887" priority="81">
      <formula>L$9&gt;=20/24</formula>
    </cfRule>
    <cfRule type="expression" dxfId="2886" priority="82">
      <formula>AND(L$9&gt;=14/24,L$9&lt;20/24)</formula>
    </cfRule>
    <cfRule type="expression" dxfId="2885" priority="83">
      <formula>AND(L$9&gt;=8/24,L$9&lt;14/24)</formula>
    </cfRule>
    <cfRule type="expression" dxfId="2884" priority="84">
      <formula>L$9&lt;8/24</formula>
    </cfRule>
  </conditionalFormatting>
  <conditionalFormatting sqref="M8 S8 AB8">
    <cfRule type="expression" dxfId="2883" priority="142">
      <formula>N$9&lt;8/24</formula>
    </cfRule>
    <cfRule type="expression" dxfId="2882" priority="141">
      <formula>AND(N$9&gt;=8/24,N$9&lt;14/24)</formula>
    </cfRule>
    <cfRule type="expression" dxfId="2881" priority="140">
      <formula>AND(N$9&gt;=14/24,N$9&lt;20/24)</formula>
    </cfRule>
  </conditionalFormatting>
  <conditionalFormatting sqref="O3:P3">
    <cfRule type="iconSet" priority="137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880" priority="139">
      <formula>N$9&gt;=20/24</formula>
    </cfRule>
  </conditionalFormatting>
  <conditionalFormatting sqref="S8">
    <cfRule type="expression" dxfId="2879" priority="128">
      <formula>AND(U$9&gt;=8/24,U$9&lt;14/24)</formula>
    </cfRule>
    <cfRule type="expression" dxfId="2878" priority="126">
      <formula>U$9&gt;=20/24</formula>
    </cfRule>
    <cfRule type="expression" dxfId="2877" priority="127">
      <formula>AND(U$9&gt;=14/24,U$9&lt;20/24)</formula>
    </cfRule>
    <cfRule type="expression" dxfId="2876" priority="129">
      <formula>U$9&lt;8/24</formula>
    </cfRule>
  </conditionalFormatting>
  <conditionalFormatting sqref="S63:Y67">
    <cfRule type="expression" dxfId="2875" priority="89">
      <formula>S$9&gt;=20/24</formula>
    </cfRule>
    <cfRule type="expression" dxfId="2874" priority="90">
      <formula>AND(S$9&gt;=14/24,S$9&lt;20/24)</formula>
    </cfRule>
    <cfRule type="expression" dxfId="2873" priority="91">
      <formula>AND(S$9&gt;=8/24,S$9&lt;14/24)</formula>
    </cfRule>
    <cfRule type="expression" dxfId="2872" priority="92">
      <formula>S$9&lt;8/24</formula>
    </cfRule>
  </conditionalFormatting>
  <conditionalFormatting sqref="T55:V55 W55:AF57 I56:V57">
    <cfRule type="expression" dxfId="2871" priority="52">
      <formula>AND(I$9&gt;=8/24,I$9&lt;14/24)</formula>
    </cfRule>
    <cfRule type="expression" dxfId="2870" priority="51">
      <formula>AND(I$9&gt;=14/24,I$9&lt;20/24)</formula>
    </cfRule>
  </conditionalFormatting>
  <conditionalFormatting sqref="T53:AF54 I53:S55 B53:H57">
    <cfRule type="expression" dxfId="2869" priority="41">
      <formula>B$9&gt;=20/24</formula>
    </cfRule>
    <cfRule type="expression" dxfId="2868" priority="42">
      <formula>AND(B$9&gt;=14/24,B$9&lt;20/24)</formula>
    </cfRule>
    <cfRule type="expression" dxfId="2867" priority="43">
      <formula>AND(B$9&gt;=8/24,B$9&lt;14/24)</formula>
    </cfRule>
  </conditionalFormatting>
  <conditionalFormatting sqref="T63:AF68">
    <cfRule type="expression" dxfId="2866" priority="78">
      <formula>T$9&lt;8/24</formula>
    </cfRule>
    <cfRule type="expression" dxfId="2865" priority="77">
      <formula>AND(T$9&gt;=8/24,T$9&lt;14/24)</formula>
    </cfRule>
    <cfRule type="expression" dxfId="2864" priority="76">
      <formula>AND(T$9&gt;=14/24,T$9&lt;20/24)</formula>
    </cfRule>
    <cfRule type="expression" dxfId="2863" priority="75">
      <formula>T$9&gt;=20/24</formula>
    </cfRule>
  </conditionalFormatting>
  <conditionalFormatting sqref="V3 AB3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W55:AF57 I56:V57 T55:V55">
    <cfRule type="expression" dxfId="2862" priority="50">
      <formula>I$9&gt;=20/24</formula>
    </cfRule>
  </conditionalFormatting>
  <conditionalFormatting sqref="AB8">
    <cfRule type="expression" dxfId="2861" priority="125">
      <formula>AD$9&lt;8/24</formula>
    </cfRule>
    <cfRule type="expression" dxfId="2860" priority="124">
      <formula>AND(AD$9&gt;=8/24,AD$9&lt;14/24)</formula>
    </cfRule>
    <cfRule type="expression" dxfId="2859" priority="123">
      <formula>AND(AD$9&gt;=14/24,AD$9&lt;20/24)</formula>
    </cfRule>
    <cfRule type="expression" dxfId="2858" priority="122">
      <formula>AD$9&gt;=20/24</formula>
    </cfRule>
  </conditionalFormatting>
  <conditionalFormatting sqref="AG58">
    <cfRule type="expression" dxfId="2857" priority="117">
      <formula>AG58&gt;$AG58</formula>
    </cfRule>
  </conditionalFormatting>
  <conditionalFormatting sqref="AG62">
    <cfRule type="expression" dxfId="2856" priority="102">
      <formula>AND(AG$9&gt;=8/24,AG$9&lt;14/24)</formula>
    </cfRule>
    <cfRule type="expression" dxfId="2855" priority="103">
      <formula>AG$9&lt;8/24</formula>
    </cfRule>
    <cfRule type="expression" dxfId="2854" priority="100">
      <formula>AG$9&gt;=20/24</formula>
    </cfRule>
    <cfRule type="expression" dxfId="2853" priority="101">
      <formula>AND(AG$9&gt;=14/24,AG$9&lt;20/24)</formula>
    </cfRule>
  </conditionalFormatting>
  <conditionalFormatting sqref="AG75:AG76">
    <cfRule type="expression" dxfId="2852" priority="95">
      <formula>AG75&gt;$AG75</formula>
    </cfRule>
  </conditionalFormatting>
  <conditionalFormatting sqref="AG80">
    <cfRule type="expression" dxfId="2851" priority="97">
      <formula>AND(AG$9&gt;=14/24,AG$9&lt;20/24)</formula>
    </cfRule>
    <cfRule type="expression" dxfId="2850" priority="98">
      <formula>AND(AG$9&gt;=8/24,AG$9&lt;14/24)</formula>
    </cfRule>
    <cfRule type="expression" dxfId="2849" priority="96">
      <formula>AG$9&gt;=20/24</formula>
    </cfRule>
    <cfRule type="expression" dxfId="2848" priority="99">
      <formula>AG$9&lt;8/24</formula>
    </cfRule>
  </conditionalFormatting>
  <conditionalFormatting sqref="AG97">
    <cfRule type="expression" dxfId="2847" priority="121">
      <formula>AG$9&lt;8/24</formula>
    </cfRule>
    <cfRule type="expression" dxfId="2846" priority="120">
      <formula>AND(AG$9&gt;=8/24,AG$9&lt;14/24)</formula>
    </cfRule>
    <cfRule type="expression" dxfId="2845" priority="119">
      <formula>AND(AG$9&gt;=14/24,AG$9&lt;20/24)</formula>
    </cfRule>
    <cfRule type="expression" dxfId="2844" priority="118">
      <formula>AG$9&gt;=20/24</formula>
    </cfRule>
  </conditionalFormatting>
  <conditionalFormatting sqref="AL4:AL6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4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7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0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843" priority="143">
      <formula>AJ$9&gt;=20/24</formula>
    </cfRule>
    <cfRule type="expression" dxfId="2842" priority="144">
      <formula>AND(AJ$9&gt;=14/24,AJ$9&lt;20/24)</formula>
    </cfRule>
    <cfRule type="expression" dxfId="2841" priority="145">
      <formula>AND(AJ$9&gt;=8/24,AJ$9&lt;14/24)</formula>
    </cfRule>
    <cfRule type="expression" dxfId="2840" priority="146">
      <formula>AJ$9&lt;8/24</formula>
    </cfRule>
  </conditionalFormatting>
  <conditionalFormatting sqref="AL88:AN88 AL94:AN94">
    <cfRule type="expression" dxfId="2839" priority="110">
      <formula>AL$9&gt;=20/24</formula>
    </cfRule>
    <cfRule type="expression" dxfId="2838" priority="112">
      <formula>AND(AL$9&gt;=8/24,AL$9&lt;14/24)</formula>
    </cfRule>
    <cfRule type="expression" dxfId="2837" priority="113">
      <formula>AL$9&lt;8/24</formula>
    </cfRule>
    <cfRule type="expression" dxfId="2836" priority="111">
      <formula>AND(AL$9&gt;=14/24,AL$9&lt;20/24)</formula>
    </cfRule>
  </conditionalFormatting>
  <conditionalFormatting sqref="AM15:AM21 AN16:AR21">
    <cfRule type="expression" dxfId="2835" priority="20">
      <formula>AX$9&lt;8/24</formula>
    </cfRule>
    <cfRule type="expression" dxfId="2834" priority="19">
      <formula>AND(AX$9&gt;=8/24,AX$9&lt;14/24)</formula>
    </cfRule>
    <cfRule type="expression" dxfId="2833" priority="18">
      <formula>AND(AX$9&gt;=14/24,AX$9&lt;20/24)</formula>
    </cfRule>
    <cfRule type="expression" dxfId="2832" priority="17">
      <formula>AX$9&gt;=20/24</formula>
    </cfRule>
  </conditionalFormatting>
  <conditionalFormatting sqref="AN89:AN92">
    <cfRule type="expression" dxfId="2831" priority="106">
      <formula>AN$9&gt;=20/24</formula>
    </cfRule>
    <cfRule type="expression" dxfId="2830" priority="107">
      <formula>AND(AN$9&gt;=14/24,AN$9&lt;20/24)</formula>
    </cfRule>
    <cfRule type="expression" dxfId="2829" priority="108">
      <formula>AND(AN$9&gt;=8/24,AN$9&lt;14/24)</formula>
    </cfRule>
    <cfRule type="expression" dxfId="2828" priority="109">
      <formula>AN$9&lt;8/24</formula>
    </cfRule>
  </conditionalFormatting>
  <conditionalFormatting sqref="AN15:AR15">
    <cfRule type="expression" dxfId="2827" priority="6">
      <formula>AND(U$9&gt;=14/24,U$9&lt;20/24)</formula>
    </cfRule>
    <cfRule type="expression" dxfId="2826" priority="7">
      <formula>AND(U$9&gt;=8/24,U$9&lt;14/24)</formula>
    </cfRule>
    <cfRule type="expression" dxfId="2825" priority="8">
      <formula>U$9&lt;8/24</formula>
    </cfRule>
    <cfRule type="expression" dxfId="2824" priority="5">
      <formula>U$9&gt;=20/24</formula>
    </cfRule>
  </conditionalFormatting>
  <conditionalFormatting sqref="AS15">
    <cfRule type="expression" dxfId="2823" priority="14">
      <formula>AND(AA$9&gt;=14/24,AA$9&lt;20/24)</formula>
    </cfRule>
    <cfRule type="expression" dxfId="2822" priority="15">
      <formula>AND(AA$9&gt;=8/24,AA$9&lt;14/24)</formula>
    </cfRule>
    <cfRule type="expression" dxfId="2821" priority="16">
      <formula>AA$9&lt;8/24</formula>
    </cfRule>
    <cfRule type="expression" dxfId="2820" priority="13">
      <formula>AA$9&gt;=20/24</formula>
    </cfRule>
  </conditionalFormatting>
  <conditionalFormatting sqref="AS16:AS21">
    <cfRule type="expression" dxfId="2819" priority="24">
      <formula>BE$9&lt;8/24</formula>
    </cfRule>
    <cfRule type="expression" dxfId="2818" priority="23">
      <formula>AND(BE$9&gt;=8/24,BE$9&lt;14/24)</formula>
    </cfRule>
    <cfRule type="expression" dxfId="2817" priority="22">
      <formula>AND(BE$9&gt;=14/24,BE$9&lt;20/24)</formula>
    </cfRule>
    <cfRule type="expression" dxfId="2816" priority="21">
      <formula>BE$9&gt;=20/24</formula>
    </cfRule>
  </conditionalFormatting>
  <conditionalFormatting sqref="AT15 AX15:BJ15">
    <cfRule type="expression" dxfId="2815" priority="28">
      <formula>AC$9&lt;8/24</formula>
    </cfRule>
    <cfRule type="expression" dxfId="2814" priority="27">
      <formula>AND(AC$9&gt;=8/24,AC$9&lt;14/24)</formula>
    </cfRule>
    <cfRule type="expression" dxfId="2813" priority="26">
      <formula>AND(AC$9&gt;=14/24,AC$9&lt;20/24)</formula>
    </cfRule>
    <cfRule type="expression" dxfId="2812" priority="25">
      <formula>AC$9&gt;=20/24</formula>
    </cfRule>
  </conditionalFormatting>
  <conditionalFormatting sqref="AT16:AT21">
    <cfRule type="expression" dxfId="2811" priority="31">
      <formula>AND(BG$9&gt;=8/24,BG$9&lt;14/24)</formula>
    </cfRule>
    <cfRule type="expression" dxfId="2810" priority="30">
      <formula>AND(BG$9&gt;=14/24,BG$9&lt;20/24)</formula>
    </cfRule>
    <cfRule type="expression" dxfId="2809" priority="29">
      <formula>BG$9&gt;=20/24</formula>
    </cfRule>
    <cfRule type="expression" dxfId="2808" priority="32">
      <formula>BG$9&lt;8/24</formula>
    </cfRule>
  </conditionalFormatting>
  <conditionalFormatting sqref="AU15:AV15">
    <cfRule type="expression" dxfId="2807" priority="35">
      <formula>AND(AE$9&gt;=8/24,AE$9&lt;14/24)</formula>
    </cfRule>
    <cfRule type="expression" dxfId="2806" priority="34">
      <formula>AND(AE$9&gt;=14/24,AE$9&lt;20/24)</formula>
    </cfRule>
    <cfRule type="expression" dxfId="2805" priority="33">
      <formula>AE$9&gt;=20/24</formula>
    </cfRule>
    <cfRule type="expression" dxfId="2804" priority="36">
      <formula>AE$9&lt;8/24</formula>
    </cfRule>
  </conditionalFormatting>
  <conditionalFormatting sqref="AU16:BJ21">
    <cfRule type="expression" dxfId="2803" priority="37">
      <formula>BI$9&gt;=20/24</formula>
    </cfRule>
    <cfRule type="expression" dxfId="2802" priority="40">
      <formula>BI$9&lt;8/24</formula>
    </cfRule>
    <cfRule type="expression" dxfId="2801" priority="39">
      <formula>AND(BI$9&gt;=8/24,BI$9&lt;14/24)</formula>
    </cfRule>
    <cfRule type="expression" dxfId="2800" priority="38">
      <formula>AND(BI$9&gt;=14/24,BI$9&lt;20/24)</formula>
    </cfRule>
  </conditionalFormatting>
  <conditionalFormatting sqref="AW15">
    <cfRule type="expression" dxfId="2799" priority="10">
      <formula>AND(B$9&gt;=14/24,B$9&lt;20/24)</formula>
    </cfRule>
    <cfRule type="expression" dxfId="2798" priority="9">
      <formula>B$9&gt;=20/24</formula>
    </cfRule>
    <cfRule type="expression" dxfId="2797" priority="12">
      <formula>B$9&lt;8/24</formula>
    </cfRule>
    <cfRule type="expression" dxfId="2796" priority="11">
      <formula>AND(B$9&gt;=8/24,B$9&lt;14/24)</formula>
    </cfRule>
  </conditionalFormatting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D4AC0-83CD-4DF7-A123-7033EE7986B2}">
  <dimension ref="A1:CJ294"/>
  <sheetViews>
    <sheetView zoomScale="106" workbookViewId="0">
      <pane xSplit="1" ySplit="10" topLeftCell="B76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97" sqref="A97:AF10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20.25" hidden="1" x14ac:dyDescent="0.2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9.5" hidden="1" thickBot="1" x14ac:dyDescent="0.3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3">
      <c r="A4" s="162" t="s">
        <v>273</v>
      </c>
      <c r="B4" s="205" t="str">
        <f ca="1">"2080/"&amp;"10/"&amp;INT(MID(CELL("filename",D6),FIND("]",CELL("filename",D6))+1,200))</f>
        <v>2080/10/12</v>
      </c>
      <c r="C4" s="205"/>
      <c r="D4" s="205"/>
      <c r="E4" s="206" t="str">
        <f ca="1">"2080/"&amp;"10/"&amp;INT(MID(CELL("filename",G6),FIND("]",CELL("filename",G6))+1,200))</f>
        <v>2080/10/12</v>
      </c>
      <c r="F4" s="206"/>
      <c r="G4" s="206"/>
      <c r="H4" s="206" t="str">
        <f ca="1">TEXT(E4,"dddd")</f>
        <v>Saturday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3">
      <c r="A5" s="158"/>
      <c r="B5" s="161">
        <f t="shared" ref="B5:AE5" si="0">C92</f>
        <v>125.6</v>
      </c>
      <c r="C5" s="161">
        <f t="shared" si="0"/>
        <v>126.5</v>
      </c>
      <c r="D5" s="161">
        <f t="shared" si="0"/>
        <v>196.5</v>
      </c>
      <c r="E5" s="161">
        <f t="shared" si="0"/>
        <v>184.2</v>
      </c>
      <c r="F5" s="161">
        <f t="shared" si="0"/>
        <v>198.60000000000002</v>
      </c>
      <c r="G5" s="161">
        <f t="shared" si="0"/>
        <v>205.40000000000003</v>
      </c>
      <c r="H5" s="161">
        <f t="shared" si="0"/>
        <v>315</v>
      </c>
      <c r="I5" s="161">
        <f t="shared" si="0"/>
        <v>563.20000000000005</v>
      </c>
      <c r="J5" s="161">
        <f t="shared" si="0"/>
        <v>654</v>
      </c>
      <c r="K5" s="161">
        <f t="shared" si="0"/>
        <v>707.39999999999986</v>
      </c>
      <c r="L5" s="161">
        <f t="shared" si="0"/>
        <v>827.1</v>
      </c>
      <c r="M5" s="161">
        <f t="shared" si="0"/>
        <v>578.29999999999995</v>
      </c>
      <c r="N5" s="161">
        <f t="shared" si="0"/>
        <v>588.29999999999995</v>
      </c>
      <c r="O5" s="161">
        <f t="shared" si="0"/>
        <v>593</v>
      </c>
      <c r="P5" s="161">
        <f t="shared" si="0"/>
        <v>633.30000000000007</v>
      </c>
      <c r="Q5" s="161">
        <f t="shared" si="0"/>
        <v>613.6</v>
      </c>
      <c r="R5" s="161">
        <f t="shared" si="0"/>
        <v>723.5</v>
      </c>
      <c r="S5" s="161">
        <f t="shared" si="0"/>
        <v>687.6</v>
      </c>
      <c r="T5" s="161">
        <f t="shared" si="0"/>
        <v>782</v>
      </c>
      <c r="U5" s="161">
        <f t="shared" si="0"/>
        <v>676.1</v>
      </c>
      <c r="V5" s="161">
        <f t="shared" si="0"/>
        <v>672</v>
      </c>
      <c r="W5" s="161">
        <f t="shared" si="0"/>
        <v>667.30000000000007</v>
      </c>
      <c r="X5" s="161">
        <f t="shared" si="0"/>
        <v>566.19999999999993</v>
      </c>
      <c r="Y5" s="161">
        <f t="shared" si="0"/>
        <v>279.5</v>
      </c>
      <c r="Z5" s="161">
        <f t="shared" si="0"/>
        <v>299.90000000000003</v>
      </c>
      <c r="AA5" s="161">
        <f t="shared" si="0"/>
        <v>241.4</v>
      </c>
      <c r="AB5" s="161">
        <f t="shared" si="0"/>
        <v>299</v>
      </c>
      <c r="AC5" s="161">
        <f t="shared" si="0"/>
        <v>348.3</v>
      </c>
      <c r="AD5" s="161">
        <f t="shared" si="0"/>
        <v>341.9</v>
      </c>
      <c r="AE5" s="161">
        <f t="shared" si="0"/>
        <v>306.60000000000002</v>
      </c>
      <c r="AF5" s="161">
        <f>B92</f>
        <v>122.10000000000001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3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1815MW at 8:00hr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5" thickBot="1" x14ac:dyDescent="0.3">
      <c r="A7" s="151" t="str">
        <f>"Base Load="&amp;ROUND(MIN($B$7:$AF$7),0)</f>
        <v>Base Load=1520</v>
      </c>
      <c r="B7" s="150">
        <f t="shared" ref="B7:AF7" si="1">B100</f>
        <v>1608.34</v>
      </c>
      <c r="C7" s="150">
        <f t="shared" si="1"/>
        <v>1580.9399999999998</v>
      </c>
      <c r="D7" s="150">
        <f t="shared" si="1"/>
        <v>1559.54</v>
      </c>
      <c r="E7" s="150">
        <f t="shared" si="1"/>
        <v>1519.84</v>
      </c>
      <c r="F7" s="150">
        <f t="shared" si="1"/>
        <v>1523.54</v>
      </c>
      <c r="G7" s="150">
        <f t="shared" si="1"/>
        <v>1546.2399999999998</v>
      </c>
      <c r="H7" s="150">
        <f t="shared" si="1"/>
        <v>1568.74</v>
      </c>
      <c r="I7" s="150">
        <f t="shared" si="1"/>
        <v>1640.54</v>
      </c>
      <c r="J7" s="150">
        <f t="shared" si="1"/>
        <v>1742.74</v>
      </c>
      <c r="K7" s="150">
        <f t="shared" si="1"/>
        <v>1761.54</v>
      </c>
      <c r="L7" s="150">
        <f t="shared" si="1"/>
        <v>1809.0399999999997</v>
      </c>
      <c r="M7" s="150">
        <f t="shared" si="1"/>
        <v>1815.44</v>
      </c>
      <c r="N7" s="150">
        <f t="shared" si="1"/>
        <v>1635.1399999999999</v>
      </c>
      <c r="O7" s="150">
        <f t="shared" si="1"/>
        <v>1647.1399999999999</v>
      </c>
      <c r="P7" s="150">
        <f t="shared" si="1"/>
        <v>1697.64</v>
      </c>
      <c r="Q7" s="150">
        <f t="shared" si="1"/>
        <v>1693.94</v>
      </c>
      <c r="R7" s="150">
        <f t="shared" si="1"/>
        <v>1657.94</v>
      </c>
      <c r="S7" s="150">
        <f t="shared" si="1"/>
        <v>1645.6399999999999</v>
      </c>
      <c r="T7" s="150">
        <f t="shared" si="1"/>
        <v>1596.7399999999998</v>
      </c>
      <c r="U7" s="150">
        <f t="shared" si="1"/>
        <v>1664.3399999999997</v>
      </c>
      <c r="V7" s="150">
        <f t="shared" si="1"/>
        <v>1555.7399999999998</v>
      </c>
      <c r="W7" s="150">
        <f t="shared" si="1"/>
        <v>1542.8399999999997</v>
      </c>
      <c r="X7" s="150">
        <f t="shared" si="1"/>
        <v>1687.94</v>
      </c>
      <c r="Y7" s="150">
        <f t="shared" si="1"/>
        <v>1768.6999999999998</v>
      </c>
      <c r="Z7" s="150">
        <f t="shared" si="1"/>
        <v>1977.1999999999998</v>
      </c>
      <c r="AA7" s="150">
        <f t="shared" si="1"/>
        <v>1965.94</v>
      </c>
      <c r="AB7" s="150">
        <f t="shared" si="1"/>
        <v>1883.54</v>
      </c>
      <c r="AC7" s="150">
        <f t="shared" si="1"/>
        <v>1879.44</v>
      </c>
      <c r="AD7" s="150">
        <f t="shared" si="1"/>
        <v>1851.04</v>
      </c>
      <c r="AE7" s="150">
        <f t="shared" si="1"/>
        <v>1753.8400000000001</v>
      </c>
      <c r="AF7" s="150">
        <f t="shared" si="1"/>
        <v>1667.1399999999999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7.25" thickTop="1" thickBot="1" x14ac:dyDescent="0.3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1977.2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2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1977.2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.75" thickBot="1" x14ac:dyDescent="0.3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25">
      <c r="A11" s="89" t="s">
        <v>264</v>
      </c>
      <c r="B11" s="102">
        <v>22.5</v>
      </c>
      <c r="C11" s="102">
        <v>22.5</v>
      </c>
      <c r="D11" s="102">
        <v>22.5</v>
      </c>
      <c r="E11" s="102">
        <v>22.5</v>
      </c>
      <c r="F11" s="102">
        <v>22.5</v>
      </c>
      <c r="G11" s="102">
        <v>22.5</v>
      </c>
      <c r="H11" s="102">
        <v>22.5</v>
      </c>
      <c r="I11" s="102">
        <v>22.5</v>
      </c>
      <c r="J11" s="102">
        <v>22.5</v>
      </c>
      <c r="K11" s="102">
        <v>22.5</v>
      </c>
      <c r="L11" s="102">
        <v>22.5</v>
      </c>
      <c r="M11" s="102">
        <v>22.5</v>
      </c>
      <c r="N11" s="102">
        <v>22.5</v>
      </c>
      <c r="O11" s="102">
        <v>22.5</v>
      </c>
      <c r="P11" s="102">
        <v>22.5</v>
      </c>
      <c r="Q11" s="102">
        <v>22.5</v>
      </c>
      <c r="R11" s="102">
        <v>22.5</v>
      </c>
      <c r="S11" s="102">
        <v>22.5</v>
      </c>
      <c r="T11" s="102">
        <v>22.5</v>
      </c>
      <c r="U11" s="102">
        <v>22.5</v>
      </c>
      <c r="V11" s="102">
        <v>22.5</v>
      </c>
      <c r="W11" s="102">
        <v>22.5</v>
      </c>
      <c r="X11" s="102">
        <v>22.5</v>
      </c>
      <c r="Y11" s="102">
        <v>22.5</v>
      </c>
      <c r="Z11" s="102">
        <v>22.5</v>
      </c>
      <c r="AA11" s="102">
        <v>22.5</v>
      </c>
      <c r="AB11" s="102">
        <v>22.2</v>
      </c>
      <c r="AC11" s="102">
        <v>22.2</v>
      </c>
      <c r="AD11" s="102">
        <v>22.7</v>
      </c>
      <c r="AE11" s="102">
        <v>21.3</v>
      </c>
      <c r="AF11" s="102">
        <v>21.3</v>
      </c>
      <c r="AG11" s="140">
        <v>86</v>
      </c>
      <c r="AH11" s="12">
        <f t="shared" ref="AH11:AH16" si="2">MAX(B11:AF11)</f>
        <v>22.7</v>
      </c>
      <c r="AI11" s="11">
        <f t="shared" ref="AI11:AI16" si="3">MIN(B11:AF11)</f>
        <v>21.3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25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>
        <v>11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>
        <v>11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12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25">
      <c r="A13" s="89" t="s">
        <v>262</v>
      </c>
      <c r="B13" s="102">
        <v>17.899999999999999</v>
      </c>
      <c r="C13" s="102">
        <v>17.899999999999999</v>
      </c>
      <c r="D13" s="102">
        <v>17.899999999999999</v>
      </c>
      <c r="E13" s="102">
        <v>17.899999999999999</v>
      </c>
      <c r="F13" s="102">
        <v>17.899999999999999</v>
      </c>
      <c r="G13" s="102">
        <v>17.899999999999999</v>
      </c>
      <c r="H13" s="102">
        <v>17.899999999999999</v>
      </c>
      <c r="I13" s="102">
        <v>17.899999999999999</v>
      </c>
      <c r="J13" s="102">
        <v>17.899999999999999</v>
      </c>
      <c r="K13" s="102">
        <v>17.899999999999999</v>
      </c>
      <c r="L13" s="102">
        <v>17.899999999999999</v>
      </c>
      <c r="M13" s="102">
        <v>17.899999999999999</v>
      </c>
      <c r="N13" s="102">
        <v>17.899999999999999</v>
      </c>
      <c r="O13" s="102">
        <v>17.899999999999999</v>
      </c>
      <c r="P13" s="102">
        <v>17.899999999999999</v>
      </c>
      <c r="Q13" s="102">
        <v>13.9</v>
      </c>
      <c r="R13" s="102">
        <v>13.9</v>
      </c>
      <c r="S13" s="102">
        <v>13.9</v>
      </c>
      <c r="T13" s="102">
        <v>13.9</v>
      </c>
      <c r="U13" s="102">
        <v>13.9</v>
      </c>
      <c r="V13" s="102">
        <v>13.9</v>
      </c>
      <c r="W13" s="102">
        <v>13.9</v>
      </c>
      <c r="X13" s="102">
        <v>13.9</v>
      </c>
      <c r="Y13" s="102">
        <v>13.9</v>
      </c>
      <c r="Z13" s="102">
        <v>13.9</v>
      </c>
      <c r="AA13" s="102">
        <v>13.9</v>
      </c>
      <c r="AB13" s="102">
        <v>13.9</v>
      </c>
      <c r="AC13" s="102">
        <v>13.9</v>
      </c>
      <c r="AD13" s="102">
        <v>13.9</v>
      </c>
      <c r="AE13" s="102">
        <v>13.9</v>
      </c>
      <c r="AF13" s="102">
        <v>13.9</v>
      </c>
      <c r="AG13" s="130">
        <v>54</v>
      </c>
      <c r="AH13" s="12">
        <f t="shared" si="2"/>
        <v>17.899999999999999</v>
      </c>
      <c r="AI13" s="11">
        <f t="shared" si="3"/>
        <v>13.9</v>
      </c>
      <c r="AK13" s="19"/>
      <c r="AL13" s="6" t="str">
        <f ca="1">"Daily Load Curve(Excluding of Export) of Nepal ("&amp;A4&amp;" "&amp;B4&amp;")"</f>
        <v>Daily Load Curve(Excluding of Export) of Nepal (Nepali Date: 2080/10/12)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.75" thickBot="1" x14ac:dyDescent="0.3">
      <c r="A14" s="89" t="s">
        <v>261</v>
      </c>
      <c r="B14" s="102">
        <v>13</v>
      </c>
      <c r="C14" s="102">
        <v>13</v>
      </c>
      <c r="D14" s="102">
        <v>13</v>
      </c>
      <c r="E14" s="102">
        <v>13</v>
      </c>
      <c r="F14" s="102">
        <v>13</v>
      </c>
      <c r="G14" s="102">
        <v>13</v>
      </c>
      <c r="H14" s="102">
        <v>13</v>
      </c>
      <c r="I14" s="102">
        <v>13</v>
      </c>
      <c r="J14" s="102">
        <v>13</v>
      </c>
      <c r="K14" s="102">
        <v>13</v>
      </c>
      <c r="L14" s="102">
        <v>13</v>
      </c>
      <c r="M14" s="102">
        <v>13</v>
      </c>
      <c r="N14" s="102">
        <v>13</v>
      </c>
      <c r="O14" s="102">
        <v>13</v>
      </c>
      <c r="P14" s="102">
        <v>13</v>
      </c>
      <c r="Q14" s="102">
        <v>16.5</v>
      </c>
      <c r="R14" s="102">
        <v>16.5</v>
      </c>
      <c r="S14" s="102">
        <v>16.5</v>
      </c>
      <c r="T14" s="102">
        <v>16.5</v>
      </c>
      <c r="U14" s="102">
        <v>16.5</v>
      </c>
      <c r="V14" s="102">
        <v>16.5</v>
      </c>
      <c r="W14" s="102">
        <v>16.5</v>
      </c>
      <c r="X14" s="102">
        <v>16.5</v>
      </c>
      <c r="Y14" s="102">
        <v>16.5</v>
      </c>
      <c r="Z14" s="102">
        <v>16.5</v>
      </c>
      <c r="AA14" s="102">
        <v>16.5</v>
      </c>
      <c r="AB14" s="102">
        <v>16.5</v>
      </c>
      <c r="AC14" s="102">
        <v>16.5</v>
      </c>
      <c r="AD14" s="102">
        <v>16.5</v>
      </c>
      <c r="AE14" s="102">
        <v>13.4</v>
      </c>
      <c r="AF14" s="102">
        <v>13.4</v>
      </c>
      <c r="AG14" s="140">
        <v>52.4</v>
      </c>
      <c r="AH14" s="12">
        <f t="shared" si="2"/>
        <v>16.5</v>
      </c>
      <c r="AI14" s="11">
        <f t="shared" si="3"/>
        <v>13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.75" thickTop="1" x14ac:dyDescent="0.25">
      <c r="A15" s="89" t="s">
        <v>260</v>
      </c>
      <c r="B15" s="102">
        <v>50</v>
      </c>
      <c r="C15" s="102">
        <v>50</v>
      </c>
      <c r="D15" s="102">
        <v>50</v>
      </c>
      <c r="E15" s="102">
        <v>50</v>
      </c>
      <c r="F15" s="102">
        <v>50</v>
      </c>
      <c r="G15" s="102">
        <v>50</v>
      </c>
      <c r="H15" s="102">
        <v>50</v>
      </c>
      <c r="I15" s="102">
        <v>50</v>
      </c>
      <c r="J15" s="102">
        <v>50</v>
      </c>
      <c r="K15" s="102">
        <v>50</v>
      </c>
      <c r="L15" s="102">
        <v>50</v>
      </c>
      <c r="M15" s="102">
        <v>50</v>
      </c>
      <c r="N15" s="102">
        <v>50</v>
      </c>
      <c r="O15" s="102">
        <v>50</v>
      </c>
      <c r="P15" s="102">
        <v>50</v>
      </c>
      <c r="Q15" s="102">
        <v>36.5</v>
      </c>
      <c r="R15" s="102">
        <v>36.5</v>
      </c>
      <c r="S15" s="102">
        <v>36.5</v>
      </c>
      <c r="T15" s="102">
        <v>36.5</v>
      </c>
      <c r="U15" s="102">
        <v>36.5</v>
      </c>
      <c r="V15" s="102">
        <v>36.5</v>
      </c>
      <c r="W15" s="102">
        <v>36.5</v>
      </c>
      <c r="X15" s="102">
        <v>36.5</v>
      </c>
      <c r="Y15" s="102">
        <v>36.5</v>
      </c>
      <c r="Z15" s="102">
        <v>36.5</v>
      </c>
      <c r="AA15" s="102">
        <v>36.5</v>
      </c>
      <c r="AB15" s="102">
        <v>36.5</v>
      </c>
      <c r="AC15" s="102">
        <v>36.5</v>
      </c>
      <c r="AD15" s="102">
        <v>36.5</v>
      </c>
      <c r="AE15" s="102">
        <v>36.5</v>
      </c>
      <c r="AF15" s="102">
        <v>36.6</v>
      </c>
      <c r="AG15" s="130">
        <v>50</v>
      </c>
      <c r="AH15" s="12">
        <f t="shared" si="2"/>
        <v>50</v>
      </c>
      <c r="AI15" s="11">
        <f t="shared" si="3"/>
        <v>36.5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25">
      <c r="A16" s="89" t="s">
        <v>258</v>
      </c>
      <c r="B16" s="102">
        <v>15.6</v>
      </c>
      <c r="C16" s="102">
        <v>15.6</v>
      </c>
      <c r="D16" s="102">
        <v>15.6</v>
      </c>
      <c r="E16" s="102">
        <v>15.6</v>
      </c>
      <c r="F16" s="102">
        <v>15.6</v>
      </c>
      <c r="G16" s="102">
        <v>15.6</v>
      </c>
      <c r="H16" s="102">
        <v>15.6</v>
      </c>
      <c r="I16" s="102">
        <v>15.6</v>
      </c>
      <c r="J16" s="102">
        <v>15.6</v>
      </c>
      <c r="K16" s="102">
        <v>15.6</v>
      </c>
      <c r="L16" s="102">
        <v>15.6</v>
      </c>
      <c r="M16" s="102">
        <v>15.6</v>
      </c>
      <c r="N16" s="102">
        <v>15.6</v>
      </c>
      <c r="O16" s="102">
        <v>15.6</v>
      </c>
      <c r="P16" s="102">
        <v>15.6</v>
      </c>
      <c r="Q16" s="102">
        <v>15.6</v>
      </c>
      <c r="R16" s="102">
        <v>15.6</v>
      </c>
      <c r="S16" s="102">
        <v>15.6</v>
      </c>
      <c r="T16" s="102">
        <v>15.6</v>
      </c>
      <c r="U16" s="102">
        <v>15.6</v>
      </c>
      <c r="V16" s="102">
        <v>15.6</v>
      </c>
      <c r="W16" s="102">
        <v>15.6</v>
      </c>
      <c r="X16" s="102">
        <v>15.6</v>
      </c>
      <c r="Y16" s="102">
        <v>15.6</v>
      </c>
      <c r="Z16" s="102">
        <v>15.6</v>
      </c>
      <c r="AA16" s="102">
        <v>15.6</v>
      </c>
      <c r="AB16" s="102">
        <v>15.6</v>
      </c>
      <c r="AC16" s="102">
        <v>15.6</v>
      </c>
      <c r="AD16" s="102">
        <v>15.6</v>
      </c>
      <c r="AE16" s="102">
        <v>15.6</v>
      </c>
      <c r="AF16" s="102">
        <v>15.6</v>
      </c>
      <c r="AG16" s="130">
        <v>45</v>
      </c>
      <c r="AH16" s="12">
        <f t="shared" si="2"/>
        <v>15.6</v>
      </c>
      <c r="AI16" s="11">
        <f t="shared" si="3"/>
        <v>15.6</v>
      </c>
      <c r="AK16" s="19"/>
      <c r="AL16" s="135" t="s">
        <v>7</v>
      </c>
      <c r="AM16" s="134">
        <f t="shared" ref="AM16:AR16" si="4">B58</f>
        <v>573.09999999999991</v>
      </c>
      <c r="AN16" s="134">
        <f t="shared" si="4"/>
        <v>573.09999999999991</v>
      </c>
      <c r="AO16" s="134">
        <f t="shared" si="4"/>
        <v>573.09999999999991</v>
      </c>
      <c r="AP16" s="134">
        <f t="shared" si="4"/>
        <v>573.09999999999991</v>
      </c>
      <c r="AQ16" s="134">
        <f t="shared" si="4"/>
        <v>573.09999999999991</v>
      </c>
      <c r="AR16" s="134">
        <f t="shared" si="4"/>
        <v>573.09999999999991</v>
      </c>
      <c r="AS16" s="134">
        <f>I58</f>
        <v>573.09999999999991</v>
      </c>
      <c r="AT16" s="134">
        <f>K58</f>
        <v>573.09999999999991</v>
      </c>
      <c r="AU16" s="134">
        <f t="shared" ref="AU16:BD16" si="5">M58</f>
        <v>573.09999999999991</v>
      </c>
      <c r="AV16" s="134">
        <f t="shared" si="5"/>
        <v>573.09999999999991</v>
      </c>
      <c r="AW16" s="134">
        <f t="shared" si="5"/>
        <v>573.09999999999991</v>
      </c>
      <c r="AX16" s="134">
        <f t="shared" si="5"/>
        <v>573.09999999999991</v>
      </c>
      <c r="AY16" s="134">
        <f t="shared" si="5"/>
        <v>538.59999999999991</v>
      </c>
      <c r="AZ16" s="134">
        <f t="shared" si="5"/>
        <v>538.59999999999991</v>
      </c>
      <c r="BA16" s="134">
        <f t="shared" si="5"/>
        <v>538.59999999999991</v>
      </c>
      <c r="BB16" s="134">
        <f t="shared" si="5"/>
        <v>538.59999999999991</v>
      </c>
      <c r="BC16" s="134">
        <f t="shared" si="5"/>
        <v>538.59999999999991</v>
      </c>
      <c r="BD16" s="134">
        <f t="shared" si="5"/>
        <v>538.59999999999991</v>
      </c>
      <c r="BE16" s="133">
        <f>X58</f>
        <v>538.59999999999991</v>
      </c>
      <c r="BF16" s="133">
        <f>Z58</f>
        <v>538.59999999999991</v>
      </c>
      <c r="BG16" s="133">
        <f>AB58</f>
        <v>538.29999999999995</v>
      </c>
      <c r="BH16" s="133">
        <f>AD58</f>
        <v>538.79999999999995</v>
      </c>
      <c r="BI16" s="133">
        <f>AE58</f>
        <v>538.29999999999995</v>
      </c>
      <c r="BJ16" s="133">
        <f>AF58</f>
        <v>533.9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25">
      <c r="A17" s="89" t="s">
        <v>257</v>
      </c>
      <c r="B17" s="102">
        <v>21</v>
      </c>
      <c r="C17" s="102">
        <v>21</v>
      </c>
      <c r="D17" s="102">
        <v>21</v>
      </c>
      <c r="E17" s="102">
        <v>21</v>
      </c>
      <c r="F17" s="102">
        <v>21</v>
      </c>
      <c r="G17" s="102">
        <v>21</v>
      </c>
      <c r="H17" s="102">
        <v>21</v>
      </c>
      <c r="I17" s="102">
        <v>21</v>
      </c>
      <c r="J17" s="102">
        <v>21</v>
      </c>
      <c r="K17" s="102">
        <v>21</v>
      </c>
      <c r="L17" s="102">
        <v>21</v>
      </c>
      <c r="M17" s="102">
        <v>21</v>
      </c>
      <c r="N17" s="102">
        <v>21</v>
      </c>
      <c r="O17" s="102">
        <v>21</v>
      </c>
      <c r="P17" s="102">
        <v>21</v>
      </c>
      <c r="Q17" s="102">
        <v>21</v>
      </c>
      <c r="R17" s="102">
        <v>21</v>
      </c>
      <c r="S17" s="102">
        <v>21</v>
      </c>
      <c r="T17" s="102">
        <v>21</v>
      </c>
      <c r="U17" s="102">
        <v>21</v>
      </c>
      <c r="V17" s="102">
        <v>21</v>
      </c>
      <c r="W17" s="102">
        <v>21</v>
      </c>
      <c r="X17" s="102">
        <v>21</v>
      </c>
      <c r="Y17" s="102">
        <v>21</v>
      </c>
      <c r="Z17" s="102">
        <v>21</v>
      </c>
      <c r="AA17" s="102">
        <v>21</v>
      </c>
      <c r="AB17" s="102">
        <v>21</v>
      </c>
      <c r="AC17" s="102">
        <v>21</v>
      </c>
      <c r="AD17" s="102">
        <v>21</v>
      </c>
      <c r="AE17" s="102">
        <v>21</v>
      </c>
      <c r="AF17" s="102">
        <v>21</v>
      </c>
      <c r="AG17" s="130">
        <v>44</v>
      </c>
      <c r="AH17" s="12">
        <f>MAX(B17:AG17)</f>
        <v>44</v>
      </c>
      <c r="AI17" s="11">
        <f>MIN(B17:AG17)</f>
        <v>21</v>
      </c>
      <c r="AK17" s="19"/>
      <c r="AL17" s="135" t="s">
        <v>256</v>
      </c>
      <c r="AM17" s="134">
        <f t="shared" ref="AM17:AR17" si="6">B62</f>
        <v>186.20000000000002</v>
      </c>
      <c r="AN17" s="134">
        <f t="shared" si="6"/>
        <v>155.30000000000001</v>
      </c>
      <c r="AO17" s="134">
        <f t="shared" si="6"/>
        <v>153.1</v>
      </c>
      <c r="AP17" s="134">
        <f t="shared" si="6"/>
        <v>138</v>
      </c>
      <c r="AQ17" s="134">
        <f t="shared" si="6"/>
        <v>137.19999999999999</v>
      </c>
      <c r="AR17" s="134">
        <f t="shared" si="6"/>
        <v>152.30000000000001</v>
      </c>
      <c r="AS17" s="134">
        <f>I62</f>
        <v>144.39999999999998</v>
      </c>
      <c r="AT17" s="134">
        <f>K62</f>
        <v>35.299999999999997</v>
      </c>
      <c r="AU17" s="134">
        <f t="shared" ref="AU17:BD17" si="7">M62</f>
        <v>36.1</v>
      </c>
      <c r="AV17" s="134">
        <f t="shared" si="7"/>
        <v>36.1</v>
      </c>
      <c r="AW17" s="134">
        <f t="shared" si="7"/>
        <v>36.1</v>
      </c>
      <c r="AX17" s="134">
        <f t="shared" si="7"/>
        <v>36.1</v>
      </c>
      <c r="AY17" s="134">
        <f t="shared" si="7"/>
        <v>36.700000000000003</v>
      </c>
      <c r="AZ17" s="134">
        <f t="shared" si="7"/>
        <v>36.700000000000003</v>
      </c>
      <c r="BA17" s="134">
        <f t="shared" si="7"/>
        <v>34.799999999999997</v>
      </c>
      <c r="BB17" s="134">
        <f t="shared" si="7"/>
        <v>34.799999999999997</v>
      </c>
      <c r="BC17" s="134">
        <f t="shared" si="7"/>
        <v>34.799999999999997</v>
      </c>
      <c r="BD17" s="134">
        <f t="shared" si="7"/>
        <v>34.799999999999997</v>
      </c>
      <c r="BE17" s="133">
        <f>X62</f>
        <v>34.799999999999997</v>
      </c>
      <c r="BF17" s="133">
        <f>Z62</f>
        <v>487.8</v>
      </c>
      <c r="BG17" s="133">
        <f>AB62</f>
        <v>416.5</v>
      </c>
      <c r="BH17" s="133">
        <f>AD62</f>
        <v>306.5</v>
      </c>
      <c r="BI17" s="133">
        <f>AE62</f>
        <v>235.5</v>
      </c>
      <c r="BJ17" s="133">
        <f>AF62</f>
        <v>188.4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25">
      <c r="A18" s="89" t="s">
        <v>255</v>
      </c>
      <c r="B18" s="102">
        <v>14</v>
      </c>
      <c r="C18" s="102">
        <v>14</v>
      </c>
      <c r="D18" s="102">
        <v>14</v>
      </c>
      <c r="E18" s="102">
        <v>14</v>
      </c>
      <c r="F18" s="102">
        <v>14</v>
      </c>
      <c r="G18" s="102">
        <v>14</v>
      </c>
      <c r="H18" s="102">
        <v>14</v>
      </c>
      <c r="I18" s="102">
        <v>14</v>
      </c>
      <c r="J18" s="102">
        <v>14</v>
      </c>
      <c r="K18" s="102">
        <v>14</v>
      </c>
      <c r="L18" s="102">
        <v>14</v>
      </c>
      <c r="M18" s="102">
        <v>14</v>
      </c>
      <c r="N18" s="102">
        <v>14</v>
      </c>
      <c r="O18" s="102">
        <v>14</v>
      </c>
      <c r="P18" s="102">
        <v>14</v>
      </c>
      <c r="Q18" s="102">
        <v>9</v>
      </c>
      <c r="R18" s="102">
        <v>9</v>
      </c>
      <c r="S18" s="102">
        <v>9</v>
      </c>
      <c r="T18" s="102">
        <v>9</v>
      </c>
      <c r="U18" s="102">
        <v>9</v>
      </c>
      <c r="V18" s="102">
        <v>9</v>
      </c>
      <c r="W18" s="102">
        <v>9</v>
      </c>
      <c r="X18" s="102">
        <v>9</v>
      </c>
      <c r="Y18" s="102">
        <v>9</v>
      </c>
      <c r="Z18" s="102">
        <v>9</v>
      </c>
      <c r="AA18" s="102">
        <v>9</v>
      </c>
      <c r="AB18" s="102">
        <v>9</v>
      </c>
      <c r="AC18" s="102">
        <v>9</v>
      </c>
      <c r="AD18" s="102">
        <v>9</v>
      </c>
      <c r="AE18" s="102">
        <v>9.5</v>
      </c>
      <c r="AF18" s="102">
        <v>9.5</v>
      </c>
      <c r="AG18" s="130">
        <v>42</v>
      </c>
      <c r="AH18" s="12">
        <f t="shared" ref="AH18:AH81" si="8">MAX(B18:AF18)</f>
        <v>14</v>
      </c>
      <c r="AI18" s="11">
        <f t="shared" ref="AI18:AI81" si="9">MIN(B18:AF18)</f>
        <v>9</v>
      </c>
      <c r="AK18" s="19"/>
      <c r="AL18" s="135" t="s">
        <v>254</v>
      </c>
      <c r="AM18" s="134">
        <f t="shared" ref="AM18:AR18" si="10">B76</f>
        <v>288.24000000000007</v>
      </c>
      <c r="AN18" s="134">
        <f t="shared" si="10"/>
        <v>288.24000000000007</v>
      </c>
      <c r="AO18" s="134">
        <f t="shared" si="10"/>
        <v>288.94</v>
      </c>
      <c r="AP18" s="134">
        <f t="shared" si="10"/>
        <v>254.43999999999997</v>
      </c>
      <c r="AQ18" s="134">
        <f t="shared" si="10"/>
        <v>271.94</v>
      </c>
      <c r="AR18" s="134">
        <f t="shared" si="10"/>
        <v>265.54000000000002</v>
      </c>
      <c r="AS18" s="134">
        <f>I76</f>
        <v>290.34000000000003</v>
      </c>
      <c r="AT18" s="134">
        <f>K76</f>
        <v>371.54</v>
      </c>
      <c r="AU18" s="134">
        <f t="shared" ref="AU18:BD18" si="11">M76</f>
        <v>251.53999999999996</v>
      </c>
      <c r="AV18" s="134">
        <f t="shared" si="11"/>
        <v>249.94</v>
      </c>
      <c r="AW18" s="134">
        <f t="shared" si="11"/>
        <v>251.94</v>
      </c>
      <c r="AX18" s="134">
        <f t="shared" si="11"/>
        <v>297.74000000000007</v>
      </c>
      <c r="AY18" s="134">
        <f t="shared" si="11"/>
        <v>287.54000000000002</v>
      </c>
      <c r="AZ18" s="134">
        <f t="shared" si="11"/>
        <v>271.24000000000007</v>
      </c>
      <c r="BA18" s="134">
        <f t="shared" si="11"/>
        <v>250.94000000000003</v>
      </c>
      <c r="BB18" s="134">
        <f t="shared" si="11"/>
        <v>237.94000000000003</v>
      </c>
      <c r="BC18" s="134">
        <f t="shared" si="11"/>
        <v>211.14000000000001</v>
      </c>
      <c r="BD18" s="134">
        <f t="shared" si="11"/>
        <v>208.44000000000003</v>
      </c>
      <c r="BE18" s="133">
        <f>X76</f>
        <v>199.44000000000003</v>
      </c>
      <c r="BF18" s="133">
        <f>Z76</f>
        <v>293.5</v>
      </c>
      <c r="BG18" s="133">
        <f>AB76</f>
        <v>309.74000000000007</v>
      </c>
      <c r="BH18" s="133">
        <f>AD76</f>
        <v>280.24</v>
      </c>
      <c r="BI18" s="133">
        <f>AE76</f>
        <v>260.94</v>
      </c>
      <c r="BJ18" s="133">
        <f>AF76</f>
        <v>262.33999999999997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25">
      <c r="A19" s="89" t="s">
        <v>253</v>
      </c>
      <c r="B19" s="102">
        <v>18</v>
      </c>
      <c r="C19" s="102">
        <v>18</v>
      </c>
      <c r="D19" s="102">
        <v>18</v>
      </c>
      <c r="E19" s="102">
        <v>18</v>
      </c>
      <c r="F19" s="102">
        <v>18</v>
      </c>
      <c r="G19" s="102">
        <v>18</v>
      </c>
      <c r="H19" s="102">
        <v>18</v>
      </c>
      <c r="I19" s="102">
        <v>18</v>
      </c>
      <c r="J19" s="102">
        <v>18</v>
      </c>
      <c r="K19" s="102">
        <v>18</v>
      </c>
      <c r="L19" s="102">
        <v>18</v>
      </c>
      <c r="M19" s="102">
        <v>18</v>
      </c>
      <c r="N19" s="102">
        <v>18</v>
      </c>
      <c r="O19" s="102">
        <v>18</v>
      </c>
      <c r="P19" s="102">
        <v>18</v>
      </c>
      <c r="Q19" s="102">
        <v>14.4</v>
      </c>
      <c r="R19" s="102">
        <v>14.4</v>
      </c>
      <c r="S19" s="102">
        <v>14.4</v>
      </c>
      <c r="T19" s="102">
        <v>14.4</v>
      </c>
      <c r="U19" s="102">
        <v>14.4</v>
      </c>
      <c r="V19" s="102">
        <v>14.4</v>
      </c>
      <c r="W19" s="102">
        <v>14.4</v>
      </c>
      <c r="X19" s="102">
        <v>14.4</v>
      </c>
      <c r="Y19" s="102">
        <v>14.4</v>
      </c>
      <c r="Z19" s="102">
        <v>14.4</v>
      </c>
      <c r="AA19" s="102">
        <v>14.4</v>
      </c>
      <c r="AB19" s="102">
        <v>14.4</v>
      </c>
      <c r="AC19" s="102">
        <v>14.4</v>
      </c>
      <c r="AD19" s="102">
        <v>14.4</v>
      </c>
      <c r="AE19" s="102">
        <v>15.3</v>
      </c>
      <c r="AF19" s="102">
        <v>15.5</v>
      </c>
      <c r="AG19" s="130">
        <v>38.46</v>
      </c>
      <c r="AH19" s="12">
        <f t="shared" si="8"/>
        <v>18</v>
      </c>
      <c r="AI19" s="11">
        <f t="shared" si="9"/>
        <v>14.4</v>
      </c>
      <c r="AK19" s="19"/>
      <c r="AL19" s="135" t="s">
        <v>252</v>
      </c>
      <c r="AM19" s="134">
        <f t="shared" ref="AM19:AR19" si="12">B92</f>
        <v>122.10000000000001</v>
      </c>
      <c r="AN19" s="134">
        <f t="shared" si="12"/>
        <v>125.6</v>
      </c>
      <c r="AO19" s="134">
        <f t="shared" si="12"/>
        <v>126.5</v>
      </c>
      <c r="AP19" s="134">
        <f t="shared" si="12"/>
        <v>196.5</v>
      </c>
      <c r="AQ19" s="134">
        <f t="shared" si="12"/>
        <v>184.2</v>
      </c>
      <c r="AR19" s="134">
        <f t="shared" si="12"/>
        <v>198.60000000000002</v>
      </c>
      <c r="AS19" s="134">
        <f>I92</f>
        <v>315</v>
      </c>
      <c r="AT19" s="134">
        <f>K92</f>
        <v>654</v>
      </c>
      <c r="AU19" s="134">
        <f t="shared" ref="AU19:BD19" si="13">M92</f>
        <v>827.1</v>
      </c>
      <c r="AV19" s="134">
        <f t="shared" si="13"/>
        <v>578.29999999999995</v>
      </c>
      <c r="AW19" s="134">
        <f t="shared" si="13"/>
        <v>588.29999999999995</v>
      </c>
      <c r="AX19" s="134">
        <f t="shared" si="13"/>
        <v>593</v>
      </c>
      <c r="AY19" s="134">
        <f t="shared" si="13"/>
        <v>633.30000000000007</v>
      </c>
      <c r="AZ19" s="134">
        <f t="shared" si="13"/>
        <v>613.6</v>
      </c>
      <c r="BA19" s="134">
        <f t="shared" si="13"/>
        <v>723.5</v>
      </c>
      <c r="BB19" s="134">
        <f t="shared" si="13"/>
        <v>687.6</v>
      </c>
      <c r="BC19" s="134">
        <f t="shared" si="13"/>
        <v>782</v>
      </c>
      <c r="BD19" s="134">
        <f t="shared" si="13"/>
        <v>676.1</v>
      </c>
      <c r="BE19" s="133">
        <f>X92</f>
        <v>667.30000000000007</v>
      </c>
      <c r="BF19" s="133">
        <f>Z92</f>
        <v>279.5</v>
      </c>
      <c r="BG19" s="133">
        <f>AB92</f>
        <v>241.4</v>
      </c>
      <c r="BH19" s="133">
        <f>AD92</f>
        <v>348.3</v>
      </c>
      <c r="BI19" s="133">
        <f>AE92</f>
        <v>341.9</v>
      </c>
      <c r="BJ19" s="133">
        <f>AF92</f>
        <v>306.60000000000002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25">
      <c r="A20" s="89" t="s">
        <v>251</v>
      </c>
      <c r="B20" s="102">
        <v>18</v>
      </c>
      <c r="C20" s="102">
        <v>18</v>
      </c>
      <c r="D20" s="102">
        <v>18</v>
      </c>
      <c r="E20" s="102">
        <v>18</v>
      </c>
      <c r="F20" s="102">
        <v>18</v>
      </c>
      <c r="G20" s="102">
        <v>18</v>
      </c>
      <c r="H20" s="102">
        <v>18</v>
      </c>
      <c r="I20" s="102">
        <v>18</v>
      </c>
      <c r="J20" s="102">
        <v>18</v>
      </c>
      <c r="K20" s="102">
        <v>18</v>
      </c>
      <c r="L20" s="102">
        <v>18</v>
      </c>
      <c r="M20" s="102">
        <v>18</v>
      </c>
      <c r="N20" s="102">
        <v>18</v>
      </c>
      <c r="O20" s="102">
        <v>18</v>
      </c>
      <c r="P20" s="102">
        <v>18</v>
      </c>
      <c r="Q20" s="102">
        <v>18</v>
      </c>
      <c r="R20" s="102">
        <v>18</v>
      </c>
      <c r="S20" s="102">
        <v>18</v>
      </c>
      <c r="T20" s="102">
        <v>18</v>
      </c>
      <c r="U20" s="102">
        <v>18</v>
      </c>
      <c r="V20" s="102">
        <v>18</v>
      </c>
      <c r="W20" s="102">
        <v>18</v>
      </c>
      <c r="X20" s="102">
        <v>18</v>
      </c>
      <c r="Y20" s="102">
        <v>18</v>
      </c>
      <c r="Z20" s="102">
        <v>18</v>
      </c>
      <c r="AA20" s="102">
        <v>18</v>
      </c>
      <c r="AB20" s="102">
        <v>18</v>
      </c>
      <c r="AC20" s="102">
        <v>18</v>
      </c>
      <c r="AD20" s="102">
        <v>18</v>
      </c>
      <c r="AE20" s="102">
        <v>18</v>
      </c>
      <c r="AF20" s="102">
        <v>18</v>
      </c>
      <c r="AG20" s="130">
        <v>38.46</v>
      </c>
      <c r="AH20" s="12">
        <f t="shared" si="8"/>
        <v>18</v>
      </c>
      <c r="AI20" s="11">
        <f t="shared" si="9"/>
        <v>18</v>
      </c>
      <c r="AK20" s="19"/>
      <c r="AL20" s="135" t="s">
        <v>250</v>
      </c>
      <c r="AM20" s="134">
        <f t="shared" ref="AM20:AR20" si="14">B80</f>
        <v>98.699999999999989</v>
      </c>
      <c r="AN20" s="134">
        <f t="shared" si="14"/>
        <v>98.699999999999989</v>
      </c>
      <c r="AO20" s="134">
        <f t="shared" si="14"/>
        <v>97.899999999999991</v>
      </c>
      <c r="AP20" s="134">
        <f t="shared" si="14"/>
        <v>97.8</v>
      </c>
      <c r="AQ20" s="134">
        <f t="shared" si="14"/>
        <v>97.1</v>
      </c>
      <c r="AR20" s="134">
        <f t="shared" si="14"/>
        <v>96.699999999999989</v>
      </c>
      <c r="AS20" s="134">
        <f>I80</f>
        <v>97.7</v>
      </c>
      <c r="AT20" s="134">
        <f>K80</f>
        <v>97.600000000000009</v>
      </c>
      <c r="AU20" s="134">
        <f t="shared" ref="AU20:BD20" si="15">M80</f>
        <v>97.600000000000009</v>
      </c>
      <c r="AV20" s="134">
        <f t="shared" si="15"/>
        <v>97.7</v>
      </c>
      <c r="AW20" s="134">
        <f t="shared" si="15"/>
        <v>97.7</v>
      </c>
      <c r="AX20" s="134">
        <f t="shared" si="15"/>
        <v>97.7</v>
      </c>
      <c r="AY20" s="134">
        <f t="shared" si="15"/>
        <v>97.8</v>
      </c>
      <c r="AZ20" s="134">
        <f t="shared" si="15"/>
        <v>97.8</v>
      </c>
      <c r="BA20" s="134">
        <f t="shared" si="15"/>
        <v>97.8</v>
      </c>
      <c r="BB20" s="134">
        <f t="shared" si="15"/>
        <v>97.8</v>
      </c>
      <c r="BC20" s="134">
        <f t="shared" si="15"/>
        <v>97.8</v>
      </c>
      <c r="BD20" s="134">
        <f t="shared" si="15"/>
        <v>97.8</v>
      </c>
      <c r="BE20" s="133">
        <f>X80</f>
        <v>97.8</v>
      </c>
      <c r="BF20" s="133">
        <f>Z80</f>
        <v>97.8</v>
      </c>
      <c r="BG20" s="133">
        <f>AB80</f>
        <v>97.600000000000009</v>
      </c>
      <c r="BH20" s="133">
        <f>AD80</f>
        <v>97.199999999999989</v>
      </c>
      <c r="BI20" s="133">
        <f>AE80</f>
        <v>97.199999999999989</v>
      </c>
      <c r="BJ20" s="133">
        <f>AF80</f>
        <v>95.9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25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>
        <v>11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>
        <v>11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11</v>
      </c>
      <c r="AG21" s="130">
        <v>36</v>
      </c>
      <c r="AH21" s="12">
        <f t="shared" si="8"/>
        <v>11</v>
      </c>
      <c r="AI21" s="11">
        <f t="shared" si="9"/>
        <v>11</v>
      </c>
      <c r="AK21" s="19"/>
      <c r="AL21" s="135" t="s">
        <v>248</v>
      </c>
      <c r="AM21" s="134">
        <f t="shared" ref="AM21:AR21" si="16">B98</f>
        <v>340</v>
      </c>
      <c r="AN21" s="134">
        <f t="shared" si="16"/>
        <v>340</v>
      </c>
      <c r="AO21" s="134">
        <f t="shared" si="16"/>
        <v>320</v>
      </c>
      <c r="AP21" s="134">
        <f t="shared" si="16"/>
        <v>260</v>
      </c>
      <c r="AQ21" s="134">
        <f t="shared" si="16"/>
        <v>260</v>
      </c>
      <c r="AR21" s="134">
        <f t="shared" si="16"/>
        <v>260</v>
      </c>
      <c r="AS21" s="134">
        <f>I98</f>
        <v>220</v>
      </c>
      <c r="AT21" s="134">
        <f>K98</f>
        <v>30</v>
      </c>
      <c r="AU21" s="134">
        <f t="shared" ref="AU21:BD21" si="17">M98</f>
        <v>30</v>
      </c>
      <c r="AV21" s="134">
        <f t="shared" si="17"/>
        <v>100</v>
      </c>
      <c r="AW21" s="134">
        <f t="shared" si="17"/>
        <v>100</v>
      </c>
      <c r="AX21" s="134">
        <f t="shared" si="17"/>
        <v>100</v>
      </c>
      <c r="AY21" s="134">
        <f t="shared" si="17"/>
        <v>100</v>
      </c>
      <c r="AZ21" s="134">
        <f t="shared" si="17"/>
        <v>100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150</v>
      </c>
      <c r="BF21" s="133">
        <f>Z98</f>
        <v>280</v>
      </c>
      <c r="BG21" s="133">
        <f>AB98</f>
        <v>280</v>
      </c>
      <c r="BH21" s="133">
        <f>AD98</f>
        <v>280</v>
      </c>
      <c r="BI21" s="133">
        <f>AE98</f>
        <v>280</v>
      </c>
      <c r="BJ21" s="133">
        <f>AF98</f>
        <v>280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25">
      <c r="A22" s="89" t="s">
        <v>247</v>
      </c>
      <c r="B22" s="102">
        <v>9.1</v>
      </c>
      <c r="C22" s="102">
        <v>9.1</v>
      </c>
      <c r="D22" s="102">
        <v>9.1</v>
      </c>
      <c r="E22" s="102">
        <v>9.1</v>
      </c>
      <c r="F22" s="102">
        <v>9.1</v>
      </c>
      <c r="G22" s="102">
        <v>9.1</v>
      </c>
      <c r="H22" s="102">
        <v>9.1</v>
      </c>
      <c r="I22" s="102">
        <v>9.1</v>
      </c>
      <c r="J22" s="102">
        <v>9.1</v>
      </c>
      <c r="K22" s="102">
        <v>9.1</v>
      </c>
      <c r="L22" s="102">
        <v>9.1</v>
      </c>
      <c r="M22" s="102">
        <v>9.1</v>
      </c>
      <c r="N22" s="102">
        <v>9.1</v>
      </c>
      <c r="O22" s="102">
        <v>9.1</v>
      </c>
      <c r="P22" s="102">
        <v>9.1</v>
      </c>
      <c r="Q22" s="102">
        <v>8.1</v>
      </c>
      <c r="R22" s="102">
        <v>8.1</v>
      </c>
      <c r="S22" s="102">
        <v>8.1</v>
      </c>
      <c r="T22" s="102">
        <v>8.1</v>
      </c>
      <c r="U22" s="102">
        <v>8.1</v>
      </c>
      <c r="V22" s="102">
        <v>8.1</v>
      </c>
      <c r="W22" s="102">
        <v>8.1</v>
      </c>
      <c r="X22" s="102">
        <v>8.1</v>
      </c>
      <c r="Y22" s="102">
        <v>8.1</v>
      </c>
      <c r="Z22" s="102">
        <v>8.1</v>
      </c>
      <c r="AA22" s="102">
        <v>8.1</v>
      </c>
      <c r="AB22" s="102">
        <v>8.1</v>
      </c>
      <c r="AC22" s="102">
        <v>8.1</v>
      </c>
      <c r="AD22" s="102">
        <v>8.1</v>
      </c>
      <c r="AE22" s="102">
        <v>9</v>
      </c>
      <c r="AF22" s="102">
        <v>9</v>
      </c>
      <c r="AG22" s="88">
        <v>30</v>
      </c>
      <c r="AH22" s="12">
        <f t="shared" si="8"/>
        <v>9.1</v>
      </c>
      <c r="AI22" s="11">
        <f t="shared" si="9"/>
        <v>8.1</v>
      </c>
      <c r="AK22" s="19"/>
      <c r="AL22" s="132" t="s">
        <v>246</v>
      </c>
      <c r="AM22" s="131">
        <f t="shared" ref="AM22:BJ22" si="18">SUM(AM16:AM21)</f>
        <v>1608.34</v>
      </c>
      <c r="AN22" s="131">
        <f t="shared" si="18"/>
        <v>1580.9399999999998</v>
      </c>
      <c r="AO22" s="131">
        <f t="shared" si="18"/>
        <v>1559.54</v>
      </c>
      <c r="AP22" s="131">
        <f t="shared" si="18"/>
        <v>1519.84</v>
      </c>
      <c r="AQ22" s="131">
        <f t="shared" si="18"/>
        <v>1523.54</v>
      </c>
      <c r="AR22" s="131">
        <f t="shared" si="18"/>
        <v>1546.24</v>
      </c>
      <c r="AS22" s="131">
        <f t="shared" si="18"/>
        <v>1640.54</v>
      </c>
      <c r="AT22" s="131">
        <f t="shared" si="18"/>
        <v>1761.5399999999997</v>
      </c>
      <c r="AU22" s="131">
        <f t="shared" si="18"/>
        <v>1815.4399999999998</v>
      </c>
      <c r="AV22" s="131">
        <f t="shared" si="18"/>
        <v>1635.1399999999999</v>
      </c>
      <c r="AW22" s="131">
        <f t="shared" si="18"/>
        <v>1647.1399999999999</v>
      </c>
      <c r="AX22" s="131">
        <f t="shared" si="18"/>
        <v>1697.64</v>
      </c>
      <c r="AY22" s="131">
        <f t="shared" si="18"/>
        <v>1693.9399999999998</v>
      </c>
      <c r="AZ22" s="131">
        <f t="shared" si="18"/>
        <v>1657.9399999999998</v>
      </c>
      <c r="BA22" s="131">
        <f t="shared" si="18"/>
        <v>1645.6399999999999</v>
      </c>
      <c r="BB22" s="131">
        <f t="shared" si="18"/>
        <v>1596.74</v>
      </c>
      <c r="BC22" s="131">
        <f t="shared" si="18"/>
        <v>1664.34</v>
      </c>
      <c r="BD22" s="131">
        <f t="shared" si="18"/>
        <v>1555.74</v>
      </c>
      <c r="BE22" s="131">
        <f t="shared" si="18"/>
        <v>1687.9399999999998</v>
      </c>
      <c r="BF22" s="131">
        <f t="shared" si="18"/>
        <v>1977.1999999999998</v>
      </c>
      <c r="BG22" s="131">
        <f t="shared" si="18"/>
        <v>1883.54</v>
      </c>
      <c r="BH22" s="131">
        <f t="shared" si="18"/>
        <v>1851.04</v>
      </c>
      <c r="BI22" s="131">
        <f t="shared" si="18"/>
        <v>1753.84</v>
      </c>
      <c r="BJ22" s="131">
        <f t="shared" si="18"/>
        <v>1667.1399999999999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25">
      <c r="A23" s="89" t="s">
        <v>245</v>
      </c>
      <c r="B23" s="102">
        <v>9</v>
      </c>
      <c r="C23" s="102">
        <v>9</v>
      </c>
      <c r="D23" s="102">
        <v>9</v>
      </c>
      <c r="E23" s="102">
        <v>9</v>
      </c>
      <c r="F23" s="102">
        <v>9</v>
      </c>
      <c r="G23" s="102">
        <v>9</v>
      </c>
      <c r="H23" s="102">
        <v>9</v>
      </c>
      <c r="I23" s="102">
        <v>9</v>
      </c>
      <c r="J23" s="102">
        <v>9</v>
      </c>
      <c r="K23" s="102">
        <v>9</v>
      </c>
      <c r="L23" s="102">
        <v>9</v>
      </c>
      <c r="M23" s="102">
        <v>9</v>
      </c>
      <c r="N23" s="102">
        <v>9</v>
      </c>
      <c r="O23" s="102">
        <v>9</v>
      </c>
      <c r="P23" s="102">
        <v>9</v>
      </c>
      <c r="Q23" s="102">
        <v>6.2</v>
      </c>
      <c r="R23" s="102">
        <v>6.2</v>
      </c>
      <c r="S23" s="102">
        <v>6.2</v>
      </c>
      <c r="T23" s="102">
        <v>6.2</v>
      </c>
      <c r="U23" s="102">
        <v>6.2</v>
      </c>
      <c r="V23" s="102">
        <v>6.2</v>
      </c>
      <c r="W23" s="102">
        <v>6.2</v>
      </c>
      <c r="X23" s="102">
        <v>6.2</v>
      </c>
      <c r="Y23" s="102">
        <v>6.2</v>
      </c>
      <c r="Z23" s="102">
        <v>6.2</v>
      </c>
      <c r="AA23" s="102">
        <v>6.2</v>
      </c>
      <c r="AB23" s="102">
        <v>6.2</v>
      </c>
      <c r="AC23" s="102">
        <v>6.2</v>
      </c>
      <c r="AD23" s="102">
        <v>6.2</v>
      </c>
      <c r="AE23" s="102">
        <v>6.2</v>
      </c>
      <c r="AF23" s="102">
        <v>6.2</v>
      </c>
      <c r="AG23" s="130">
        <v>24.2</v>
      </c>
      <c r="AH23" s="12">
        <f t="shared" si="8"/>
        <v>9</v>
      </c>
      <c r="AI23" s="11">
        <f t="shared" si="9"/>
        <v>6.2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25">
      <c r="A24" s="89" t="s">
        <v>244</v>
      </c>
      <c r="B24" s="102">
        <v>8.3000000000000007</v>
      </c>
      <c r="C24" s="102">
        <v>8.3000000000000007</v>
      </c>
      <c r="D24" s="102">
        <v>8.3000000000000007</v>
      </c>
      <c r="E24" s="102">
        <v>8.3000000000000007</v>
      </c>
      <c r="F24" s="102">
        <v>8.3000000000000007</v>
      </c>
      <c r="G24" s="102">
        <v>8.3000000000000007</v>
      </c>
      <c r="H24" s="102">
        <v>8.3000000000000007</v>
      </c>
      <c r="I24" s="102">
        <v>8.3000000000000007</v>
      </c>
      <c r="J24" s="102">
        <v>8.3000000000000007</v>
      </c>
      <c r="K24" s="102">
        <v>8.3000000000000007</v>
      </c>
      <c r="L24" s="102">
        <v>8.3000000000000007</v>
      </c>
      <c r="M24" s="102">
        <v>8.3000000000000007</v>
      </c>
      <c r="N24" s="102">
        <v>8.3000000000000007</v>
      </c>
      <c r="O24" s="102">
        <v>8.3000000000000007</v>
      </c>
      <c r="P24" s="102">
        <v>8.3000000000000007</v>
      </c>
      <c r="Q24" s="102">
        <v>5.6</v>
      </c>
      <c r="R24" s="102">
        <v>5.6</v>
      </c>
      <c r="S24" s="102">
        <v>5.6</v>
      </c>
      <c r="T24" s="102">
        <v>5.6</v>
      </c>
      <c r="U24" s="102">
        <v>5.6</v>
      </c>
      <c r="V24" s="102">
        <v>5.6</v>
      </c>
      <c r="W24" s="102">
        <v>5.6</v>
      </c>
      <c r="X24" s="102">
        <v>5.6</v>
      </c>
      <c r="Y24" s="102">
        <v>5.6</v>
      </c>
      <c r="Z24" s="102">
        <v>5.6</v>
      </c>
      <c r="AA24" s="102">
        <v>5.6</v>
      </c>
      <c r="AB24" s="102">
        <v>5.6</v>
      </c>
      <c r="AC24" s="102">
        <v>5.6</v>
      </c>
      <c r="AD24" s="102">
        <v>5.6</v>
      </c>
      <c r="AE24" s="102">
        <v>5.6</v>
      </c>
      <c r="AF24" s="102">
        <v>6.8</v>
      </c>
      <c r="AG24" s="130">
        <v>28</v>
      </c>
      <c r="AH24" s="12">
        <f t="shared" si="8"/>
        <v>8.3000000000000007</v>
      </c>
      <c r="AI24" s="11">
        <f t="shared" si="9"/>
        <v>5.6</v>
      </c>
      <c r="AK24" s="19"/>
      <c r="AL24" s="132" t="s">
        <v>243</v>
      </c>
      <c r="AM24" s="131">
        <f t="shared" ref="AM24:BJ24" si="21">AM22+AM23</f>
        <v>1608.34</v>
      </c>
      <c r="AN24" s="131">
        <f t="shared" si="21"/>
        <v>1580.9399999999998</v>
      </c>
      <c r="AO24" s="131">
        <f t="shared" si="21"/>
        <v>1559.54</v>
      </c>
      <c r="AP24" s="131">
        <f t="shared" si="21"/>
        <v>1519.84</v>
      </c>
      <c r="AQ24" s="131">
        <f t="shared" si="21"/>
        <v>1523.54</v>
      </c>
      <c r="AR24" s="131">
        <f t="shared" si="21"/>
        <v>1546.24</v>
      </c>
      <c r="AS24" s="131">
        <f t="shared" si="21"/>
        <v>1640.54</v>
      </c>
      <c r="AT24" s="131">
        <f t="shared" si="21"/>
        <v>1761.5399999999997</v>
      </c>
      <c r="AU24" s="131">
        <f t="shared" si="21"/>
        <v>1815.4399999999998</v>
      </c>
      <c r="AV24" s="131">
        <f t="shared" si="21"/>
        <v>1635.1399999999999</v>
      </c>
      <c r="AW24" s="131">
        <f t="shared" si="21"/>
        <v>1647.1399999999999</v>
      </c>
      <c r="AX24" s="131">
        <f t="shared" si="21"/>
        <v>1697.64</v>
      </c>
      <c r="AY24" s="131">
        <f t="shared" si="21"/>
        <v>1693.9399999999998</v>
      </c>
      <c r="AZ24" s="131">
        <f t="shared" si="21"/>
        <v>1657.9399999999998</v>
      </c>
      <c r="BA24" s="131">
        <f t="shared" si="21"/>
        <v>1645.6399999999999</v>
      </c>
      <c r="BB24" s="131">
        <f t="shared" si="21"/>
        <v>1596.74</v>
      </c>
      <c r="BC24" s="131">
        <f t="shared" si="21"/>
        <v>1664.34</v>
      </c>
      <c r="BD24" s="131">
        <f t="shared" si="21"/>
        <v>1555.74</v>
      </c>
      <c r="BE24" s="131">
        <f t="shared" si="21"/>
        <v>1687.9399999999998</v>
      </c>
      <c r="BF24" s="131">
        <f t="shared" si="21"/>
        <v>1977.1999999999998</v>
      </c>
      <c r="BG24" s="131">
        <f t="shared" si="21"/>
        <v>1883.54</v>
      </c>
      <c r="BH24" s="131">
        <f t="shared" si="21"/>
        <v>1851.04</v>
      </c>
      <c r="BI24" s="131">
        <f t="shared" si="21"/>
        <v>1753.84</v>
      </c>
      <c r="BJ24" s="131">
        <f t="shared" si="21"/>
        <v>1667.1399999999999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25">
      <c r="A25" s="89" t="s">
        <v>242</v>
      </c>
      <c r="B25" s="102">
        <v>8.6999999999999993</v>
      </c>
      <c r="C25" s="102">
        <v>8.6999999999999993</v>
      </c>
      <c r="D25" s="102">
        <v>8.6999999999999993</v>
      </c>
      <c r="E25" s="102">
        <v>8.6999999999999993</v>
      </c>
      <c r="F25" s="102">
        <v>8.6999999999999993</v>
      </c>
      <c r="G25" s="102">
        <v>8.6999999999999993</v>
      </c>
      <c r="H25" s="102">
        <v>8.6999999999999993</v>
      </c>
      <c r="I25" s="102">
        <v>8.6999999999999993</v>
      </c>
      <c r="J25" s="102">
        <v>8.6999999999999993</v>
      </c>
      <c r="K25" s="102">
        <v>8.6999999999999993</v>
      </c>
      <c r="L25" s="102">
        <v>8.6999999999999993</v>
      </c>
      <c r="M25" s="102">
        <v>8.6999999999999993</v>
      </c>
      <c r="N25" s="102">
        <v>8.6999999999999993</v>
      </c>
      <c r="O25" s="102">
        <v>8.6999999999999993</v>
      </c>
      <c r="P25" s="102">
        <v>8.6999999999999993</v>
      </c>
      <c r="Q25" s="102">
        <v>6.8</v>
      </c>
      <c r="R25" s="102">
        <v>6.8</v>
      </c>
      <c r="S25" s="102">
        <v>6.8</v>
      </c>
      <c r="T25" s="102">
        <v>6.8</v>
      </c>
      <c r="U25" s="102">
        <v>6.8</v>
      </c>
      <c r="V25" s="102">
        <v>6.8</v>
      </c>
      <c r="W25" s="102">
        <v>6.8</v>
      </c>
      <c r="X25" s="102">
        <v>6.8</v>
      </c>
      <c r="Y25" s="102">
        <v>6.8</v>
      </c>
      <c r="Z25" s="102">
        <v>6.8</v>
      </c>
      <c r="AA25" s="102">
        <v>6.8</v>
      </c>
      <c r="AB25" s="102">
        <v>6.8</v>
      </c>
      <c r="AC25" s="102">
        <v>6.8</v>
      </c>
      <c r="AD25" s="102">
        <v>6.8</v>
      </c>
      <c r="AE25" s="102">
        <v>7.1</v>
      </c>
      <c r="AF25" s="102">
        <v>6.8</v>
      </c>
      <c r="AG25" s="88">
        <v>30</v>
      </c>
      <c r="AH25" s="12">
        <f t="shared" si="8"/>
        <v>8.6999999999999993</v>
      </c>
      <c r="AI25" s="11">
        <f t="shared" si="9"/>
        <v>6.8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25">
      <c r="A26" s="89" t="s">
        <v>241</v>
      </c>
      <c r="B26" s="102">
        <v>13.1</v>
      </c>
      <c r="C26" s="102">
        <v>13.1</v>
      </c>
      <c r="D26" s="102">
        <v>13.1</v>
      </c>
      <c r="E26" s="102">
        <v>13.1</v>
      </c>
      <c r="F26" s="102">
        <v>13.1</v>
      </c>
      <c r="G26" s="102">
        <v>13.1</v>
      </c>
      <c r="H26" s="102">
        <v>13.1</v>
      </c>
      <c r="I26" s="102">
        <v>13.1</v>
      </c>
      <c r="J26" s="102">
        <v>13.1</v>
      </c>
      <c r="K26" s="102">
        <v>13.1</v>
      </c>
      <c r="L26" s="102">
        <v>13.1</v>
      </c>
      <c r="M26" s="102">
        <v>13.1</v>
      </c>
      <c r="N26" s="102">
        <v>13.1</v>
      </c>
      <c r="O26" s="102">
        <v>13.1</v>
      </c>
      <c r="P26" s="102">
        <v>13.1</v>
      </c>
      <c r="Q26" s="102">
        <v>10.4</v>
      </c>
      <c r="R26" s="102">
        <v>10.4</v>
      </c>
      <c r="S26" s="102">
        <v>10.4</v>
      </c>
      <c r="T26" s="102">
        <v>10.4</v>
      </c>
      <c r="U26" s="102">
        <v>10.4</v>
      </c>
      <c r="V26" s="102">
        <v>10.4</v>
      </c>
      <c r="W26" s="102">
        <v>10.4</v>
      </c>
      <c r="X26" s="102">
        <v>10.4</v>
      </c>
      <c r="Y26" s="102">
        <v>10.4</v>
      </c>
      <c r="Z26" s="102">
        <v>10.4</v>
      </c>
      <c r="AA26" s="102">
        <v>10.4</v>
      </c>
      <c r="AB26" s="102">
        <v>10.4</v>
      </c>
      <c r="AC26" s="102">
        <v>10.4</v>
      </c>
      <c r="AD26" s="102">
        <v>10.4</v>
      </c>
      <c r="AE26" s="102">
        <v>11.4</v>
      </c>
      <c r="AF26" s="102">
        <v>10.8</v>
      </c>
      <c r="AG26" s="130">
        <v>25</v>
      </c>
      <c r="AH26" s="12">
        <f t="shared" si="8"/>
        <v>13.1</v>
      </c>
      <c r="AI26" s="11">
        <f t="shared" si="9"/>
        <v>10.4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25">
      <c r="A27" s="89" t="s">
        <v>240</v>
      </c>
      <c r="B27" s="102">
        <v>15</v>
      </c>
      <c r="C27" s="102">
        <v>15</v>
      </c>
      <c r="D27" s="102">
        <v>15</v>
      </c>
      <c r="E27" s="102">
        <v>15</v>
      </c>
      <c r="F27" s="102">
        <v>15</v>
      </c>
      <c r="G27" s="102">
        <v>15</v>
      </c>
      <c r="H27" s="102">
        <v>15</v>
      </c>
      <c r="I27" s="102">
        <v>15</v>
      </c>
      <c r="J27" s="102">
        <v>15</v>
      </c>
      <c r="K27" s="102">
        <v>15</v>
      </c>
      <c r="L27" s="102">
        <v>15</v>
      </c>
      <c r="M27" s="102">
        <v>15</v>
      </c>
      <c r="N27" s="102">
        <v>15</v>
      </c>
      <c r="O27" s="102">
        <v>15</v>
      </c>
      <c r="P27" s="102">
        <v>15</v>
      </c>
      <c r="Q27" s="102">
        <v>15</v>
      </c>
      <c r="R27" s="102">
        <v>15</v>
      </c>
      <c r="S27" s="102">
        <v>15</v>
      </c>
      <c r="T27" s="102">
        <v>15</v>
      </c>
      <c r="U27" s="102">
        <v>15</v>
      </c>
      <c r="V27" s="102">
        <v>15</v>
      </c>
      <c r="W27" s="102">
        <v>15</v>
      </c>
      <c r="X27" s="102">
        <v>15</v>
      </c>
      <c r="Y27" s="102">
        <v>15</v>
      </c>
      <c r="Z27" s="102">
        <v>15</v>
      </c>
      <c r="AA27" s="102">
        <v>15</v>
      </c>
      <c r="AB27" s="102">
        <v>15</v>
      </c>
      <c r="AC27" s="102">
        <v>15</v>
      </c>
      <c r="AD27" s="102">
        <v>15</v>
      </c>
      <c r="AE27" s="102">
        <v>15</v>
      </c>
      <c r="AF27" s="102">
        <v>15</v>
      </c>
      <c r="AG27" s="130">
        <v>25</v>
      </c>
      <c r="AH27" s="12">
        <f t="shared" si="8"/>
        <v>15</v>
      </c>
      <c r="AI27" s="11">
        <f t="shared" si="9"/>
        <v>15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25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25">
      <c r="A29" s="89" t="s">
        <v>238</v>
      </c>
      <c r="B29" s="102">
        <v>10.6</v>
      </c>
      <c r="C29" s="102">
        <v>10.6</v>
      </c>
      <c r="D29" s="102">
        <v>10.6</v>
      </c>
      <c r="E29" s="102">
        <v>10.6</v>
      </c>
      <c r="F29" s="102">
        <v>10.6</v>
      </c>
      <c r="G29" s="102">
        <v>10.6</v>
      </c>
      <c r="H29" s="102">
        <v>10.6</v>
      </c>
      <c r="I29" s="102">
        <v>10.6</v>
      </c>
      <c r="J29" s="102">
        <v>10.6</v>
      </c>
      <c r="K29" s="102">
        <v>10.6</v>
      </c>
      <c r="L29" s="102">
        <v>10.6</v>
      </c>
      <c r="M29" s="102">
        <v>10.6</v>
      </c>
      <c r="N29" s="102">
        <v>10.6</v>
      </c>
      <c r="O29" s="102">
        <v>10.6</v>
      </c>
      <c r="P29" s="102">
        <v>10.6</v>
      </c>
      <c r="Q29" s="102">
        <v>9</v>
      </c>
      <c r="R29" s="102">
        <v>9</v>
      </c>
      <c r="S29" s="102">
        <v>9</v>
      </c>
      <c r="T29" s="102">
        <v>9</v>
      </c>
      <c r="U29" s="102">
        <v>9</v>
      </c>
      <c r="V29" s="102">
        <v>9</v>
      </c>
      <c r="W29" s="102">
        <v>9</v>
      </c>
      <c r="X29" s="102">
        <v>9</v>
      </c>
      <c r="Y29" s="102">
        <v>9</v>
      </c>
      <c r="Z29" s="102">
        <v>9</v>
      </c>
      <c r="AA29" s="102">
        <v>9</v>
      </c>
      <c r="AB29" s="102">
        <v>9</v>
      </c>
      <c r="AC29" s="102">
        <v>9</v>
      </c>
      <c r="AD29" s="102">
        <v>9</v>
      </c>
      <c r="AE29" s="102">
        <v>8.8000000000000007</v>
      </c>
      <c r="AF29" s="102">
        <v>8.6999999999999993</v>
      </c>
      <c r="AG29" s="130">
        <v>25</v>
      </c>
      <c r="AH29" s="12">
        <f t="shared" si="8"/>
        <v>10.6</v>
      </c>
      <c r="AI29" s="11">
        <f t="shared" si="9"/>
        <v>8.6999999999999993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25">
      <c r="A30" s="89" t="s">
        <v>237</v>
      </c>
      <c r="B30" s="102">
        <v>5.3</v>
      </c>
      <c r="C30" s="102">
        <v>5.3</v>
      </c>
      <c r="D30" s="102">
        <v>5.3</v>
      </c>
      <c r="E30" s="102">
        <v>5.3</v>
      </c>
      <c r="F30" s="102">
        <v>5.3</v>
      </c>
      <c r="G30" s="102">
        <v>5.3</v>
      </c>
      <c r="H30" s="102">
        <v>5.3</v>
      </c>
      <c r="I30" s="102">
        <v>5.3</v>
      </c>
      <c r="J30" s="102">
        <v>5.3</v>
      </c>
      <c r="K30" s="102">
        <v>5.3</v>
      </c>
      <c r="L30" s="102">
        <v>5.3</v>
      </c>
      <c r="M30" s="102">
        <v>5.3</v>
      </c>
      <c r="N30" s="102">
        <v>5.3</v>
      </c>
      <c r="O30" s="102">
        <v>5.3</v>
      </c>
      <c r="P30" s="102">
        <v>5.3</v>
      </c>
      <c r="Q30" s="102">
        <v>6.1</v>
      </c>
      <c r="R30" s="102">
        <v>6.1</v>
      </c>
      <c r="S30" s="102">
        <v>6.1</v>
      </c>
      <c r="T30" s="102">
        <v>6.1</v>
      </c>
      <c r="U30" s="102">
        <v>6.1</v>
      </c>
      <c r="V30" s="102">
        <v>6.1</v>
      </c>
      <c r="W30" s="102">
        <v>6.1</v>
      </c>
      <c r="X30" s="102">
        <v>6.1</v>
      </c>
      <c r="Y30" s="102">
        <v>6.1</v>
      </c>
      <c r="Z30" s="102">
        <v>6.1</v>
      </c>
      <c r="AA30" s="102">
        <v>6.1</v>
      </c>
      <c r="AB30" s="102">
        <v>6.1</v>
      </c>
      <c r="AC30" s="102">
        <v>6.1</v>
      </c>
      <c r="AD30" s="102">
        <v>6.1</v>
      </c>
      <c r="AE30" s="102">
        <v>5.0999999999999996</v>
      </c>
      <c r="AF30" s="102">
        <v>5.4</v>
      </c>
      <c r="AG30" s="130">
        <v>23.5</v>
      </c>
      <c r="AH30" s="12">
        <f t="shared" si="8"/>
        <v>6.1</v>
      </c>
      <c r="AI30" s="11">
        <f t="shared" si="9"/>
        <v>5.0999999999999996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25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25">
      <c r="A32" s="89" t="s">
        <v>235</v>
      </c>
      <c r="B32" s="102">
        <v>5.5</v>
      </c>
      <c r="C32" s="102">
        <v>5.5</v>
      </c>
      <c r="D32" s="102">
        <v>5.5</v>
      </c>
      <c r="E32" s="102">
        <v>5.5</v>
      </c>
      <c r="F32" s="102">
        <v>5.5</v>
      </c>
      <c r="G32" s="102">
        <v>5.5</v>
      </c>
      <c r="H32" s="102">
        <v>5.5</v>
      </c>
      <c r="I32" s="102">
        <v>5.5</v>
      </c>
      <c r="J32" s="102">
        <v>5.5</v>
      </c>
      <c r="K32" s="102">
        <v>5.5</v>
      </c>
      <c r="L32" s="102">
        <v>5.5</v>
      </c>
      <c r="M32" s="102">
        <v>5.5</v>
      </c>
      <c r="N32" s="102">
        <v>5.5</v>
      </c>
      <c r="O32" s="102">
        <v>5.5</v>
      </c>
      <c r="P32" s="102">
        <v>5.5</v>
      </c>
      <c r="Q32" s="102">
        <v>5.5</v>
      </c>
      <c r="R32" s="102">
        <v>5.5</v>
      </c>
      <c r="S32" s="102">
        <v>5.5</v>
      </c>
      <c r="T32" s="102">
        <v>5.5</v>
      </c>
      <c r="U32" s="102">
        <v>5.5</v>
      </c>
      <c r="V32" s="102">
        <v>5.5</v>
      </c>
      <c r="W32" s="102">
        <v>5.5</v>
      </c>
      <c r="X32" s="102">
        <v>5.5</v>
      </c>
      <c r="Y32" s="102">
        <v>5.5</v>
      </c>
      <c r="Z32" s="102">
        <v>5.5</v>
      </c>
      <c r="AA32" s="102">
        <v>5.5</v>
      </c>
      <c r="AB32" s="102">
        <v>5.5</v>
      </c>
      <c r="AC32" s="102">
        <v>5.5</v>
      </c>
      <c r="AD32" s="102">
        <v>5.5</v>
      </c>
      <c r="AE32" s="102">
        <v>5.5</v>
      </c>
      <c r="AF32" s="102">
        <v>5.5</v>
      </c>
      <c r="AG32" s="130">
        <v>22.1</v>
      </c>
      <c r="AH32" s="12">
        <f t="shared" si="8"/>
        <v>5.5</v>
      </c>
      <c r="AI32" s="11">
        <f t="shared" si="9"/>
        <v>5.5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25">
      <c r="A33" s="89" t="s">
        <v>234</v>
      </c>
      <c r="B33" s="102">
        <v>8</v>
      </c>
      <c r="C33" s="102">
        <v>8</v>
      </c>
      <c r="D33" s="102">
        <v>8</v>
      </c>
      <c r="E33" s="102">
        <v>8</v>
      </c>
      <c r="F33" s="102">
        <v>8</v>
      </c>
      <c r="G33" s="102">
        <v>8</v>
      </c>
      <c r="H33" s="102">
        <v>8</v>
      </c>
      <c r="I33" s="102">
        <v>8</v>
      </c>
      <c r="J33" s="102">
        <v>8</v>
      </c>
      <c r="K33" s="102">
        <v>8</v>
      </c>
      <c r="L33" s="102">
        <v>8</v>
      </c>
      <c r="M33" s="102">
        <v>8</v>
      </c>
      <c r="N33" s="102">
        <v>8</v>
      </c>
      <c r="O33" s="102">
        <v>8</v>
      </c>
      <c r="P33" s="102">
        <v>8</v>
      </c>
      <c r="Q33" s="102">
        <v>8</v>
      </c>
      <c r="R33" s="102">
        <v>8</v>
      </c>
      <c r="S33" s="102">
        <v>8</v>
      </c>
      <c r="T33" s="102">
        <v>8</v>
      </c>
      <c r="U33" s="102">
        <v>8</v>
      </c>
      <c r="V33" s="102">
        <v>8</v>
      </c>
      <c r="W33" s="102">
        <v>8</v>
      </c>
      <c r="X33" s="102">
        <v>8</v>
      </c>
      <c r="Y33" s="102">
        <v>8</v>
      </c>
      <c r="Z33" s="102">
        <v>8</v>
      </c>
      <c r="AA33" s="102">
        <v>8</v>
      </c>
      <c r="AB33" s="102">
        <v>8</v>
      </c>
      <c r="AC33" s="102">
        <v>8</v>
      </c>
      <c r="AD33" s="102">
        <v>8</v>
      </c>
      <c r="AE33" s="102">
        <v>8</v>
      </c>
      <c r="AF33" s="102">
        <v>8</v>
      </c>
      <c r="AG33" s="130">
        <v>22</v>
      </c>
      <c r="AH33" s="12">
        <f t="shared" si="8"/>
        <v>8</v>
      </c>
      <c r="AI33" s="11">
        <f t="shared" si="9"/>
        <v>8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25">
      <c r="A34" s="89" t="s">
        <v>233</v>
      </c>
      <c r="B34" s="102">
        <v>6.5</v>
      </c>
      <c r="C34" s="102">
        <v>6.5</v>
      </c>
      <c r="D34" s="102">
        <v>6.5</v>
      </c>
      <c r="E34" s="102">
        <v>6.5</v>
      </c>
      <c r="F34" s="102">
        <v>6.5</v>
      </c>
      <c r="G34" s="102">
        <v>6.5</v>
      </c>
      <c r="H34" s="102">
        <v>6.5</v>
      </c>
      <c r="I34" s="102">
        <v>6.5</v>
      </c>
      <c r="J34" s="102">
        <v>6.5</v>
      </c>
      <c r="K34" s="102">
        <v>6.5</v>
      </c>
      <c r="L34" s="102">
        <v>6.5</v>
      </c>
      <c r="M34" s="102">
        <v>6.5</v>
      </c>
      <c r="N34" s="102">
        <v>6.5</v>
      </c>
      <c r="O34" s="102">
        <v>6.5</v>
      </c>
      <c r="P34" s="102">
        <v>6.5</v>
      </c>
      <c r="Q34" s="102">
        <v>6.5</v>
      </c>
      <c r="R34" s="102">
        <v>6.5</v>
      </c>
      <c r="S34" s="102">
        <v>6.5</v>
      </c>
      <c r="T34" s="102">
        <v>6.5</v>
      </c>
      <c r="U34" s="102">
        <v>6.5</v>
      </c>
      <c r="V34" s="102">
        <v>6.5</v>
      </c>
      <c r="W34" s="102">
        <v>6.5</v>
      </c>
      <c r="X34" s="102">
        <v>6.5</v>
      </c>
      <c r="Y34" s="102">
        <v>6.5</v>
      </c>
      <c r="Z34" s="102">
        <v>6.5</v>
      </c>
      <c r="AA34" s="102">
        <v>6.5</v>
      </c>
      <c r="AB34" s="102">
        <v>6.5</v>
      </c>
      <c r="AC34" s="102">
        <v>6.5</v>
      </c>
      <c r="AD34" s="102">
        <v>6.5</v>
      </c>
      <c r="AE34" s="102">
        <v>8.6</v>
      </c>
      <c r="AF34" s="102">
        <v>7.9</v>
      </c>
      <c r="AG34" s="130">
        <v>22</v>
      </c>
      <c r="AH34" s="12">
        <f t="shared" si="8"/>
        <v>8.6</v>
      </c>
      <c r="AI34" s="11">
        <f t="shared" si="9"/>
        <v>6.5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25">
      <c r="A35" s="89" t="s">
        <v>232</v>
      </c>
      <c r="B35" s="102">
        <v>9.5</v>
      </c>
      <c r="C35" s="102">
        <v>9.5</v>
      </c>
      <c r="D35" s="102">
        <v>9.5</v>
      </c>
      <c r="E35" s="102">
        <v>9.5</v>
      </c>
      <c r="F35" s="102">
        <v>9.5</v>
      </c>
      <c r="G35" s="102">
        <v>9.5</v>
      </c>
      <c r="H35" s="102">
        <v>9.5</v>
      </c>
      <c r="I35" s="102">
        <v>9.5</v>
      </c>
      <c r="J35" s="102">
        <v>9.5</v>
      </c>
      <c r="K35" s="102">
        <v>9.5</v>
      </c>
      <c r="L35" s="102">
        <v>9.5</v>
      </c>
      <c r="M35" s="102">
        <v>9.5</v>
      </c>
      <c r="N35" s="102">
        <v>9.5</v>
      </c>
      <c r="O35" s="102">
        <v>9.5</v>
      </c>
      <c r="P35" s="102">
        <v>9.5</v>
      </c>
      <c r="Q35" s="102">
        <v>9.5</v>
      </c>
      <c r="R35" s="102">
        <v>9.5</v>
      </c>
      <c r="S35" s="102">
        <v>9.5</v>
      </c>
      <c r="T35" s="102">
        <v>9.5</v>
      </c>
      <c r="U35" s="102">
        <v>9.5</v>
      </c>
      <c r="V35" s="102">
        <v>9.5</v>
      </c>
      <c r="W35" s="102">
        <v>9.5</v>
      </c>
      <c r="X35" s="102">
        <v>9.5</v>
      </c>
      <c r="Y35" s="102">
        <v>9.5</v>
      </c>
      <c r="Z35" s="102">
        <v>9.5</v>
      </c>
      <c r="AA35" s="102">
        <v>9.5</v>
      </c>
      <c r="AB35" s="102">
        <v>9.5</v>
      </c>
      <c r="AC35" s="102">
        <v>9.5</v>
      </c>
      <c r="AD35" s="102">
        <v>9.5</v>
      </c>
      <c r="AE35" s="102">
        <v>9</v>
      </c>
      <c r="AF35" s="102">
        <v>9</v>
      </c>
      <c r="AG35" s="130">
        <v>20</v>
      </c>
      <c r="AH35" s="12">
        <f t="shared" si="8"/>
        <v>9.5</v>
      </c>
      <c r="AI35" s="11">
        <f t="shared" si="9"/>
        <v>9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25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25">
      <c r="A37" s="89" t="s">
        <v>230</v>
      </c>
      <c r="B37" s="102">
        <v>7.9</v>
      </c>
      <c r="C37" s="102">
        <v>7.9</v>
      </c>
      <c r="D37" s="102">
        <v>7.9</v>
      </c>
      <c r="E37" s="102">
        <v>7.9</v>
      </c>
      <c r="F37" s="102">
        <v>7.9</v>
      </c>
      <c r="G37" s="102">
        <v>7.9</v>
      </c>
      <c r="H37" s="102">
        <v>7.9</v>
      </c>
      <c r="I37" s="102">
        <v>7.9</v>
      </c>
      <c r="J37" s="102">
        <v>7.9</v>
      </c>
      <c r="K37" s="102">
        <v>7.9</v>
      </c>
      <c r="L37" s="102">
        <v>7.9</v>
      </c>
      <c r="M37" s="102">
        <v>7.9</v>
      </c>
      <c r="N37" s="102">
        <v>7.9</v>
      </c>
      <c r="O37" s="102">
        <v>7.9</v>
      </c>
      <c r="P37" s="102">
        <v>7.9</v>
      </c>
      <c r="Q37" s="102">
        <v>7.9</v>
      </c>
      <c r="R37" s="102">
        <v>7.9</v>
      </c>
      <c r="S37" s="102">
        <v>7.9</v>
      </c>
      <c r="T37" s="102">
        <v>7.9</v>
      </c>
      <c r="U37" s="102">
        <v>7.9</v>
      </c>
      <c r="V37" s="102">
        <v>7.9</v>
      </c>
      <c r="W37" s="102">
        <v>7.9</v>
      </c>
      <c r="X37" s="102">
        <v>7.9</v>
      </c>
      <c r="Y37" s="102">
        <v>7.9</v>
      </c>
      <c r="Z37" s="102">
        <v>7.9</v>
      </c>
      <c r="AA37" s="102">
        <v>7.9</v>
      </c>
      <c r="AB37" s="102">
        <v>7.9</v>
      </c>
      <c r="AC37" s="102">
        <v>7.9</v>
      </c>
      <c r="AD37" s="102">
        <v>7.9</v>
      </c>
      <c r="AE37" s="102">
        <v>7.9</v>
      </c>
      <c r="AF37" s="102">
        <v>7.3</v>
      </c>
      <c r="AG37" s="130">
        <v>18</v>
      </c>
      <c r="AH37" s="12">
        <f t="shared" si="8"/>
        <v>7.9</v>
      </c>
      <c r="AI37" s="11">
        <f t="shared" si="9"/>
        <v>7.3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25">
      <c r="A38" s="89" t="s">
        <v>229</v>
      </c>
      <c r="B38" s="102">
        <v>7</v>
      </c>
      <c r="C38" s="102">
        <v>7</v>
      </c>
      <c r="D38" s="102">
        <v>7</v>
      </c>
      <c r="E38" s="102">
        <v>7</v>
      </c>
      <c r="F38" s="102">
        <v>7</v>
      </c>
      <c r="G38" s="102">
        <v>7</v>
      </c>
      <c r="H38" s="102">
        <v>7</v>
      </c>
      <c r="I38" s="102">
        <v>7</v>
      </c>
      <c r="J38" s="102">
        <v>7</v>
      </c>
      <c r="K38" s="102">
        <v>7</v>
      </c>
      <c r="L38" s="102">
        <v>7</v>
      </c>
      <c r="M38" s="102">
        <v>7</v>
      </c>
      <c r="N38" s="102">
        <v>7</v>
      </c>
      <c r="O38" s="102">
        <v>7</v>
      </c>
      <c r="P38" s="102">
        <v>7</v>
      </c>
      <c r="Q38" s="102">
        <v>7</v>
      </c>
      <c r="R38" s="102">
        <v>7</v>
      </c>
      <c r="S38" s="102">
        <v>7</v>
      </c>
      <c r="T38" s="102">
        <v>7</v>
      </c>
      <c r="U38" s="102">
        <v>7</v>
      </c>
      <c r="V38" s="102">
        <v>7</v>
      </c>
      <c r="W38" s="102">
        <v>7</v>
      </c>
      <c r="X38" s="102">
        <v>7</v>
      </c>
      <c r="Y38" s="102">
        <v>7</v>
      </c>
      <c r="Z38" s="102">
        <v>7</v>
      </c>
      <c r="AA38" s="102">
        <v>7</v>
      </c>
      <c r="AB38" s="102">
        <v>7</v>
      </c>
      <c r="AC38" s="102">
        <v>7</v>
      </c>
      <c r="AD38" s="102">
        <v>7</v>
      </c>
      <c r="AE38" s="102">
        <v>7</v>
      </c>
      <c r="AF38" s="102">
        <v>7</v>
      </c>
      <c r="AG38" s="130">
        <v>14.9</v>
      </c>
      <c r="AH38" s="12">
        <f t="shared" si="8"/>
        <v>7</v>
      </c>
      <c r="AI38" s="11">
        <f t="shared" si="9"/>
        <v>7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25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25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25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25">
      <c r="A42" s="89" t="s">
        <v>225</v>
      </c>
      <c r="B42" s="102">
        <v>6</v>
      </c>
      <c r="C42" s="102">
        <v>6</v>
      </c>
      <c r="D42" s="102">
        <v>6</v>
      </c>
      <c r="E42" s="102">
        <v>6</v>
      </c>
      <c r="F42" s="102">
        <v>6</v>
      </c>
      <c r="G42" s="102">
        <v>6</v>
      </c>
      <c r="H42" s="102">
        <v>6</v>
      </c>
      <c r="I42" s="102">
        <v>6</v>
      </c>
      <c r="J42" s="102">
        <v>6</v>
      </c>
      <c r="K42" s="102">
        <v>6</v>
      </c>
      <c r="L42" s="102">
        <v>6</v>
      </c>
      <c r="M42" s="102">
        <v>6</v>
      </c>
      <c r="N42" s="102">
        <v>6</v>
      </c>
      <c r="O42" s="102">
        <v>6</v>
      </c>
      <c r="P42" s="102">
        <v>6</v>
      </c>
      <c r="Q42" s="102">
        <v>6</v>
      </c>
      <c r="R42" s="102">
        <v>6</v>
      </c>
      <c r="S42" s="102">
        <v>6</v>
      </c>
      <c r="T42" s="102">
        <v>6</v>
      </c>
      <c r="U42" s="102">
        <v>6</v>
      </c>
      <c r="V42" s="102">
        <v>6</v>
      </c>
      <c r="W42" s="102">
        <v>6</v>
      </c>
      <c r="X42" s="102">
        <v>6</v>
      </c>
      <c r="Y42" s="102">
        <v>6</v>
      </c>
      <c r="Z42" s="102">
        <v>6</v>
      </c>
      <c r="AA42" s="102">
        <v>6</v>
      </c>
      <c r="AB42" s="102">
        <v>6</v>
      </c>
      <c r="AC42" s="102">
        <v>6</v>
      </c>
      <c r="AD42" s="102">
        <v>6</v>
      </c>
      <c r="AE42" s="102">
        <v>6</v>
      </c>
      <c r="AF42" s="102">
        <v>6</v>
      </c>
      <c r="AG42" s="130">
        <v>13.6</v>
      </c>
      <c r="AH42" s="12">
        <f t="shared" si="8"/>
        <v>6</v>
      </c>
      <c r="AI42" s="11">
        <f t="shared" si="9"/>
        <v>6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25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25">
      <c r="A44" s="89" t="s">
        <v>223</v>
      </c>
      <c r="B44" s="102">
        <v>6.4</v>
      </c>
      <c r="C44" s="102">
        <v>6.4</v>
      </c>
      <c r="D44" s="102">
        <v>6.4</v>
      </c>
      <c r="E44" s="102">
        <v>6.4</v>
      </c>
      <c r="F44" s="102">
        <v>6.4</v>
      </c>
      <c r="G44" s="102">
        <v>6.4</v>
      </c>
      <c r="H44" s="102">
        <v>6.4</v>
      </c>
      <c r="I44" s="102">
        <v>6.4</v>
      </c>
      <c r="J44" s="102">
        <v>6.4</v>
      </c>
      <c r="K44" s="102">
        <v>6.4</v>
      </c>
      <c r="L44" s="102">
        <v>6.4</v>
      </c>
      <c r="M44" s="102">
        <v>6.4</v>
      </c>
      <c r="N44" s="102">
        <v>6.4</v>
      </c>
      <c r="O44" s="102">
        <v>6.4</v>
      </c>
      <c r="P44" s="102">
        <v>6.4</v>
      </c>
      <c r="Q44" s="102">
        <v>6.4</v>
      </c>
      <c r="R44" s="102">
        <v>6.4</v>
      </c>
      <c r="S44" s="102">
        <v>6.4</v>
      </c>
      <c r="T44" s="102">
        <v>6.4</v>
      </c>
      <c r="U44" s="102">
        <v>6.4</v>
      </c>
      <c r="V44" s="102">
        <v>6.4</v>
      </c>
      <c r="W44" s="102">
        <v>6.4</v>
      </c>
      <c r="X44" s="102">
        <v>6.4</v>
      </c>
      <c r="Y44" s="102">
        <v>6.4</v>
      </c>
      <c r="Z44" s="102">
        <v>6.4</v>
      </c>
      <c r="AA44" s="102">
        <v>6.4</v>
      </c>
      <c r="AB44" s="102">
        <v>6.4</v>
      </c>
      <c r="AC44" s="102">
        <v>6.4</v>
      </c>
      <c r="AD44" s="102">
        <v>6.4</v>
      </c>
      <c r="AE44" s="102">
        <v>6.4</v>
      </c>
      <c r="AF44" s="102">
        <v>6.4</v>
      </c>
      <c r="AG44" s="130">
        <v>12</v>
      </c>
      <c r="AH44" s="12">
        <f t="shared" si="8"/>
        <v>6.4</v>
      </c>
      <c r="AI44" s="11">
        <f t="shared" si="9"/>
        <v>6.4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25">
      <c r="A45" s="89" t="s">
        <v>222</v>
      </c>
      <c r="B45" s="102">
        <v>9</v>
      </c>
      <c r="C45" s="102">
        <v>9</v>
      </c>
      <c r="D45" s="102">
        <v>9</v>
      </c>
      <c r="E45" s="102">
        <v>9</v>
      </c>
      <c r="F45" s="102">
        <v>9</v>
      </c>
      <c r="G45" s="102">
        <v>9</v>
      </c>
      <c r="H45" s="102">
        <v>9</v>
      </c>
      <c r="I45" s="102">
        <v>9</v>
      </c>
      <c r="J45" s="102">
        <v>9</v>
      </c>
      <c r="K45" s="102">
        <v>9</v>
      </c>
      <c r="L45" s="102">
        <v>9</v>
      </c>
      <c r="M45" s="102">
        <v>9</v>
      </c>
      <c r="N45" s="102">
        <v>9</v>
      </c>
      <c r="O45" s="102">
        <v>9</v>
      </c>
      <c r="P45" s="102">
        <v>9</v>
      </c>
      <c r="Q45" s="102">
        <v>9</v>
      </c>
      <c r="R45" s="102">
        <v>9</v>
      </c>
      <c r="S45" s="102">
        <v>9</v>
      </c>
      <c r="T45" s="102">
        <v>9</v>
      </c>
      <c r="U45" s="102">
        <v>9</v>
      </c>
      <c r="V45" s="102">
        <v>9</v>
      </c>
      <c r="W45" s="102">
        <v>9</v>
      </c>
      <c r="X45" s="102">
        <v>9</v>
      </c>
      <c r="Y45" s="102">
        <v>9</v>
      </c>
      <c r="Z45" s="102">
        <v>9</v>
      </c>
      <c r="AA45" s="102">
        <v>9</v>
      </c>
      <c r="AB45" s="102">
        <v>9</v>
      </c>
      <c r="AC45" s="102">
        <v>9</v>
      </c>
      <c r="AD45" s="102">
        <v>9</v>
      </c>
      <c r="AE45" s="102">
        <v>9</v>
      </c>
      <c r="AF45" s="102">
        <v>5.0999999999999996</v>
      </c>
      <c r="AG45" s="130">
        <v>12</v>
      </c>
      <c r="AH45" s="12">
        <f t="shared" si="8"/>
        <v>9</v>
      </c>
      <c r="AI45" s="11">
        <f t="shared" si="9"/>
        <v>5.0999999999999996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25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25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25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25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25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25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25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25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25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25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25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.75" thickBot="1" x14ac:dyDescent="0.3">
      <c r="A57" s="124" t="s">
        <v>210</v>
      </c>
      <c r="B57" s="122">
        <v>33.5</v>
      </c>
      <c r="C57" s="122">
        <v>33.5</v>
      </c>
      <c r="D57" s="122">
        <f>15.2+21.4</f>
        <v>36.599999999999994</v>
      </c>
      <c r="E57" s="122">
        <f>15.3+21.9</f>
        <v>37.200000000000003</v>
      </c>
      <c r="F57" s="122">
        <f>17.8+23.8</f>
        <v>41.6</v>
      </c>
      <c r="G57" s="122">
        <f>16.6+22.5</f>
        <v>39.1</v>
      </c>
      <c r="H57" s="122">
        <f>14.5+20.8</f>
        <v>35.299999999999997</v>
      </c>
      <c r="I57" s="122">
        <f>13.2+19.4</f>
        <v>32.599999999999994</v>
      </c>
      <c r="J57" s="122">
        <f>13.4+19</f>
        <v>32.4</v>
      </c>
      <c r="K57" s="123">
        <f>13.8+19.2</f>
        <v>33</v>
      </c>
      <c r="L57" s="123">
        <f>15+20.5</f>
        <v>35.5</v>
      </c>
      <c r="M57" s="123">
        <f>19.7+13.9</f>
        <v>33.6</v>
      </c>
      <c r="N57" s="123">
        <f>19.7+13.9</f>
        <v>33.6</v>
      </c>
      <c r="O57" s="123">
        <f t="shared" ref="O57:P57" si="22">19.7+13.9</f>
        <v>33.6</v>
      </c>
      <c r="P57" s="123">
        <f t="shared" si="22"/>
        <v>33.6</v>
      </c>
      <c r="Q57" s="123">
        <v>31.6</v>
      </c>
      <c r="R57" s="123">
        <v>31.6</v>
      </c>
      <c r="S57" s="123">
        <v>36</v>
      </c>
      <c r="T57" s="123">
        <v>36</v>
      </c>
      <c r="U57" s="123">
        <v>36</v>
      </c>
      <c r="V57" s="123">
        <v>36</v>
      </c>
      <c r="W57" s="123">
        <v>36</v>
      </c>
      <c r="X57" s="123">
        <v>26</v>
      </c>
      <c r="Y57" s="123">
        <v>26</v>
      </c>
      <c r="Z57" s="123">
        <v>26</v>
      </c>
      <c r="AA57" s="123">
        <v>26</v>
      </c>
      <c r="AB57" s="122">
        <f>18.3+13.3</f>
        <v>31.6</v>
      </c>
      <c r="AC57" s="122">
        <f>19.8+13</f>
        <v>32.799999999999997</v>
      </c>
      <c r="AD57" s="122">
        <f>19+13.2</f>
        <v>32.200000000000003</v>
      </c>
      <c r="AE57" s="122">
        <f>11.5+17.6</f>
        <v>29.1</v>
      </c>
      <c r="AF57" s="122">
        <f>12.9+19</f>
        <v>31.9</v>
      </c>
      <c r="AG57" s="86">
        <v>240</v>
      </c>
      <c r="AH57" s="12">
        <f t="shared" si="8"/>
        <v>41.6</v>
      </c>
      <c r="AI57" s="11">
        <f t="shared" si="9"/>
        <v>26</v>
      </c>
      <c r="AK57" s="19"/>
    </row>
    <row r="58" spans="1:88" ht="15.75" thickBot="1" x14ac:dyDescent="0.3">
      <c r="A58" s="121" t="s">
        <v>209</v>
      </c>
      <c r="B58" s="76">
        <f t="shared" ref="B58:C58" si="23">SUM(B11:B56)</f>
        <v>573.09999999999991</v>
      </c>
      <c r="C58" s="76">
        <f t="shared" si="23"/>
        <v>573.09999999999991</v>
      </c>
      <c r="D58" s="76">
        <f t="shared" ref="D58:AF58" si="24">SUM(D11:D56)</f>
        <v>573.09999999999991</v>
      </c>
      <c r="E58" s="76">
        <f t="shared" si="24"/>
        <v>573.09999999999991</v>
      </c>
      <c r="F58" s="76">
        <f t="shared" si="24"/>
        <v>573.09999999999991</v>
      </c>
      <c r="G58" s="76">
        <f t="shared" si="24"/>
        <v>573.09999999999991</v>
      </c>
      <c r="H58" s="76">
        <f t="shared" si="24"/>
        <v>573.09999999999991</v>
      </c>
      <c r="I58" s="76">
        <f t="shared" si="24"/>
        <v>573.09999999999991</v>
      </c>
      <c r="J58" s="76">
        <f t="shared" si="24"/>
        <v>573.09999999999991</v>
      </c>
      <c r="K58" s="76">
        <f t="shared" si="24"/>
        <v>573.09999999999991</v>
      </c>
      <c r="L58" s="76">
        <f t="shared" si="24"/>
        <v>573.09999999999991</v>
      </c>
      <c r="M58" s="76">
        <f t="shared" si="24"/>
        <v>573.09999999999991</v>
      </c>
      <c r="N58" s="76">
        <f t="shared" si="24"/>
        <v>573.09999999999991</v>
      </c>
      <c r="O58" s="76">
        <f t="shared" si="24"/>
        <v>573.09999999999991</v>
      </c>
      <c r="P58" s="76">
        <f t="shared" si="24"/>
        <v>573.09999999999991</v>
      </c>
      <c r="Q58" s="76">
        <f t="shared" si="24"/>
        <v>538.59999999999991</v>
      </c>
      <c r="R58" s="76">
        <f t="shared" si="24"/>
        <v>538.59999999999991</v>
      </c>
      <c r="S58" s="76">
        <f t="shared" si="24"/>
        <v>538.59999999999991</v>
      </c>
      <c r="T58" s="76">
        <f t="shared" si="24"/>
        <v>538.59999999999991</v>
      </c>
      <c r="U58" s="76">
        <f t="shared" si="24"/>
        <v>538.59999999999991</v>
      </c>
      <c r="V58" s="76">
        <f t="shared" si="24"/>
        <v>538.59999999999991</v>
      </c>
      <c r="W58" s="76">
        <f t="shared" si="24"/>
        <v>538.59999999999991</v>
      </c>
      <c r="X58" s="76">
        <f t="shared" si="24"/>
        <v>538.59999999999991</v>
      </c>
      <c r="Y58" s="76">
        <f t="shared" si="24"/>
        <v>538.59999999999991</v>
      </c>
      <c r="Z58" s="76">
        <f t="shared" si="24"/>
        <v>538.59999999999991</v>
      </c>
      <c r="AA58" s="76">
        <f t="shared" si="24"/>
        <v>538.59999999999991</v>
      </c>
      <c r="AB58" s="76">
        <f t="shared" si="24"/>
        <v>538.29999999999995</v>
      </c>
      <c r="AC58" s="76">
        <f t="shared" si="24"/>
        <v>538.29999999999995</v>
      </c>
      <c r="AD58" s="76">
        <f t="shared" si="24"/>
        <v>538.79999999999995</v>
      </c>
      <c r="AE58" s="76">
        <f t="shared" ref="AE58" si="25">SUM(AE11:AE56)</f>
        <v>538.29999999999995</v>
      </c>
      <c r="AF58" s="76">
        <f t="shared" si="24"/>
        <v>533.9</v>
      </c>
      <c r="AG58" s="93">
        <f>SUM(AG14:AG56)</f>
        <v>1042.4000000000001</v>
      </c>
      <c r="AH58" s="12">
        <f t="shared" si="8"/>
        <v>573.09999999999991</v>
      </c>
      <c r="AI58" s="11">
        <f t="shared" si="9"/>
        <v>533.9</v>
      </c>
      <c r="AK58" s="19"/>
    </row>
    <row r="59" spans="1:88" x14ac:dyDescent="0.25">
      <c r="A59" s="120" t="s">
        <v>208</v>
      </c>
      <c r="B59" s="102">
        <v>150.9</v>
      </c>
      <c r="C59" s="102">
        <v>120</v>
      </c>
      <c r="D59" s="102">
        <v>114.7</v>
      </c>
      <c r="E59" s="102">
        <v>99.7</v>
      </c>
      <c r="F59" s="102">
        <v>99.7</v>
      </c>
      <c r="G59" s="102">
        <v>114.7</v>
      </c>
      <c r="H59" s="102">
        <v>116.7</v>
      </c>
      <c r="I59" s="102">
        <v>106.6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19">
        <v>0</v>
      </c>
      <c r="X59" s="119">
        <v>0</v>
      </c>
      <c r="Y59" s="119">
        <v>76.5</v>
      </c>
      <c r="Z59" s="102">
        <v>453</v>
      </c>
      <c r="AA59" s="102">
        <v>409</v>
      </c>
      <c r="AB59" s="102">
        <v>380</v>
      </c>
      <c r="AC59" s="102">
        <v>360</v>
      </c>
      <c r="AD59" s="102">
        <v>270</v>
      </c>
      <c r="AE59" s="102">
        <v>200</v>
      </c>
      <c r="AF59" s="102">
        <v>150.9</v>
      </c>
      <c r="AG59" s="88">
        <v>456</v>
      </c>
      <c r="AH59" s="12">
        <f t="shared" si="8"/>
        <v>453</v>
      </c>
      <c r="AI59" s="11">
        <f t="shared" si="9"/>
        <v>0</v>
      </c>
      <c r="AK59" s="19"/>
    </row>
    <row r="60" spans="1:88" x14ac:dyDescent="0.25">
      <c r="A60" s="118" t="s">
        <v>207</v>
      </c>
      <c r="B60" s="70">
        <v>20.3</v>
      </c>
      <c r="C60" s="70">
        <v>20.3</v>
      </c>
      <c r="D60" s="70">
        <v>19.899999999999999</v>
      </c>
      <c r="E60" s="70">
        <v>19.8</v>
      </c>
      <c r="F60" s="70">
        <v>19</v>
      </c>
      <c r="G60" s="70">
        <v>19.100000000000001</v>
      </c>
      <c r="H60" s="70">
        <v>19.100000000000001</v>
      </c>
      <c r="I60" s="70">
        <v>19.3</v>
      </c>
      <c r="J60" s="70">
        <v>19.7</v>
      </c>
      <c r="K60" s="70">
        <v>19.100000000000001</v>
      </c>
      <c r="L60" s="70">
        <v>19.8</v>
      </c>
      <c r="M60" s="70">
        <v>19.8</v>
      </c>
      <c r="N60" s="70">
        <v>19.8</v>
      </c>
      <c r="O60" s="70">
        <v>19.8</v>
      </c>
      <c r="P60" s="70">
        <v>19.8</v>
      </c>
      <c r="Q60" s="70">
        <v>20.5</v>
      </c>
      <c r="R60" s="70">
        <v>20.5</v>
      </c>
      <c r="S60" s="70">
        <v>20.5</v>
      </c>
      <c r="T60" s="70">
        <v>20.5</v>
      </c>
      <c r="U60" s="70">
        <v>20.5</v>
      </c>
      <c r="V60" s="70">
        <v>20.5</v>
      </c>
      <c r="W60" s="70">
        <v>20.5</v>
      </c>
      <c r="X60" s="70">
        <v>20.5</v>
      </c>
      <c r="Y60" s="70">
        <v>20.5</v>
      </c>
      <c r="Z60" s="70">
        <v>20.5</v>
      </c>
      <c r="AA60" s="70">
        <v>20.5</v>
      </c>
      <c r="AB60" s="70">
        <v>20.5</v>
      </c>
      <c r="AC60" s="70">
        <v>20.5</v>
      </c>
      <c r="AD60" s="70">
        <v>20.5</v>
      </c>
      <c r="AE60" s="70">
        <v>19.399999999999999</v>
      </c>
      <c r="AF60" s="70">
        <v>19.8</v>
      </c>
      <c r="AG60" s="86">
        <v>60</v>
      </c>
      <c r="AH60" s="12">
        <f t="shared" si="8"/>
        <v>20.5</v>
      </c>
      <c r="AI60" s="11">
        <f t="shared" si="9"/>
        <v>19</v>
      </c>
      <c r="AK60" s="19"/>
    </row>
    <row r="61" spans="1:88" ht="15.75" thickBot="1" x14ac:dyDescent="0.3">
      <c r="A61" s="117" t="s">
        <v>206</v>
      </c>
      <c r="B61" s="110">
        <v>15</v>
      </c>
      <c r="C61" s="110">
        <v>15</v>
      </c>
      <c r="D61" s="110">
        <v>18.5</v>
      </c>
      <c r="E61" s="110">
        <v>18.5</v>
      </c>
      <c r="F61" s="110">
        <v>18.5</v>
      </c>
      <c r="G61" s="110">
        <v>18.5</v>
      </c>
      <c r="H61" s="110">
        <v>18.5</v>
      </c>
      <c r="I61" s="110">
        <v>18.5</v>
      </c>
      <c r="J61" s="110">
        <v>16.2</v>
      </c>
      <c r="K61" s="110">
        <v>16.2</v>
      </c>
      <c r="L61" s="110">
        <v>16.3</v>
      </c>
      <c r="M61" s="110">
        <v>16.3</v>
      </c>
      <c r="N61" s="110">
        <v>16.3</v>
      </c>
      <c r="O61" s="110">
        <v>16.3</v>
      </c>
      <c r="P61" s="110">
        <v>16.3</v>
      </c>
      <c r="Q61" s="110">
        <v>16.2</v>
      </c>
      <c r="R61" s="110">
        <v>16.2</v>
      </c>
      <c r="S61" s="110">
        <v>14.3</v>
      </c>
      <c r="T61" s="110">
        <v>14.3</v>
      </c>
      <c r="U61" s="110">
        <v>14.3</v>
      </c>
      <c r="V61" s="110">
        <v>14.3</v>
      </c>
      <c r="W61" s="110">
        <v>14.3</v>
      </c>
      <c r="X61" s="110">
        <v>14.3</v>
      </c>
      <c r="Y61" s="110">
        <v>14.3</v>
      </c>
      <c r="Z61" s="110">
        <v>14.3</v>
      </c>
      <c r="AA61" s="110">
        <v>14.3</v>
      </c>
      <c r="AB61" s="110">
        <v>16</v>
      </c>
      <c r="AC61" s="110">
        <v>16.100000000000001</v>
      </c>
      <c r="AD61" s="110">
        <v>16</v>
      </c>
      <c r="AE61" s="110">
        <v>16.100000000000001</v>
      </c>
      <c r="AF61" s="110">
        <v>17.7</v>
      </c>
      <c r="AG61" s="109">
        <v>22.1</v>
      </c>
      <c r="AH61" s="12">
        <f t="shared" si="8"/>
        <v>18.5</v>
      </c>
      <c r="AI61" s="11">
        <f t="shared" si="9"/>
        <v>14.3</v>
      </c>
      <c r="AK61" s="19"/>
    </row>
    <row r="62" spans="1:88" ht="15.75" thickBot="1" x14ac:dyDescent="0.3">
      <c r="A62" s="116" t="s">
        <v>205</v>
      </c>
      <c r="B62" s="76">
        <f t="shared" ref="B62:C62" si="26">SUM(B59:B61)</f>
        <v>186.20000000000002</v>
      </c>
      <c r="C62" s="76">
        <f t="shared" si="26"/>
        <v>155.30000000000001</v>
      </c>
      <c r="D62" s="76">
        <f t="shared" ref="D62:AG62" si="27">SUM(D59:D61)</f>
        <v>153.1</v>
      </c>
      <c r="E62" s="76">
        <f t="shared" si="27"/>
        <v>138</v>
      </c>
      <c r="F62" s="76">
        <f t="shared" si="27"/>
        <v>137.19999999999999</v>
      </c>
      <c r="G62" s="76">
        <f t="shared" si="27"/>
        <v>152.30000000000001</v>
      </c>
      <c r="H62" s="76">
        <f t="shared" si="27"/>
        <v>154.30000000000001</v>
      </c>
      <c r="I62" s="76">
        <f t="shared" si="27"/>
        <v>144.39999999999998</v>
      </c>
      <c r="J62" s="76">
        <f t="shared" si="27"/>
        <v>35.9</v>
      </c>
      <c r="K62" s="76">
        <f t="shared" si="27"/>
        <v>35.299999999999997</v>
      </c>
      <c r="L62" s="76">
        <f t="shared" si="27"/>
        <v>36.1</v>
      </c>
      <c r="M62" s="76">
        <f t="shared" si="27"/>
        <v>36.1</v>
      </c>
      <c r="N62" s="76">
        <f t="shared" si="27"/>
        <v>36.1</v>
      </c>
      <c r="O62" s="76">
        <f t="shared" si="27"/>
        <v>36.1</v>
      </c>
      <c r="P62" s="76">
        <f t="shared" si="27"/>
        <v>36.1</v>
      </c>
      <c r="Q62" s="76">
        <f t="shared" si="27"/>
        <v>36.700000000000003</v>
      </c>
      <c r="R62" s="76">
        <f t="shared" si="27"/>
        <v>36.700000000000003</v>
      </c>
      <c r="S62" s="76">
        <f t="shared" si="27"/>
        <v>34.799999999999997</v>
      </c>
      <c r="T62" s="76">
        <f t="shared" si="27"/>
        <v>34.799999999999997</v>
      </c>
      <c r="U62" s="76">
        <f t="shared" si="27"/>
        <v>34.799999999999997</v>
      </c>
      <c r="V62" s="76">
        <f t="shared" si="27"/>
        <v>34.799999999999997</v>
      </c>
      <c r="W62" s="76">
        <f t="shared" si="27"/>
        <v>34.799999999999997</v>
      </c>
      <c r="X62" s="76">
        <f t="shared" si="27"/>
        <v>34.799999999999997</v>
      </c>
      <c r="Y62" s="76">
        <f t="shared" si="27"/>
        <v>111.3</v>
      </c>
      <c r="Z62" s="76">
        <f t="shared" si="27"/>
        <v>487.8</v>
      </c>
      <c r="AA62" s="76">
        <f t="shared" si="27"/>
        <v>443.8</v>
      </c>
      <c r="AB62" s="76">
        <f t="shared" si="27"/>
        <v>416.5</v>
      </c>
      <c r="AC62" s="76">
        <f t="shared" si="27"/>
        <v>396.6</v>
      </c>
      <c r="AD62" s="76">
        <f t="shared" si="27"/>
        <v>306.5</v>
      </c>
      <c r="AE62" s="76">
        <f t="shared" ref="AE62" si="28">SUM(AE59:AE61)</f>
        <v>235.5</v>
      </c>
      <c r="AF62" s="76">
        <f t="shared" si="27"/>
        <v>188.4</v>
      </c>
      <c r="AG62" s="93">
        <f t="shared" si="27"/>
        <v>538.1</v>
      </c>
      <c r="AH62" s="12">
        <f t="shared" si="8"/>
        <v>487.8</v>
      </c>
      <c r="AI62" s="11">
        <f t="shared" si="9"/>
        <v>34.799999999999997</v>
      </c>
      <c r="AK62" s="19"/>
    </row>
    <row r="63" spans="1:88" x14ac:dyDescent="0.25">
      <c r="A63" s="89" t="s">
        <v>204</v>
      </c>
      <c r="B63" s="102">
        <v>97.4</v>
      </c>
      <c r="C63" s="102">
        <v>97.4</v>
      </c>
      <c r="D63" s="102">
        <v>97.4</v>
      </c>
      <c r="E63" s="102">
        <v>61.1</v>
      </c>
      <c r="F63" s="102">
        <v>61.4</v>
      </c>
      <c r="G63" s="102">
        <v>61.5</v>
      </c>
      <c r="H63" s="102">
        <v>76.099999999999994</v>
      </c>
      <c r="I63" s="102">
        <v>76.400000000000006</v>
      </c>
      <c r="J63" s="102">
        <v>121.9</v>
      </c>
      <c r="K63" s="102">
        <v>135.6</v>
      </c>
      <c r="L63" s="102">
        <v>131.4</v>
      </c>
      <c r="M63" s="102">
        <v>70</v>
      </c>
      <c r="N63" s="102">
        <v>71</v>
      </c>
      <c r="O63" s="102">
        <v>71</v>
      </c>
      <c r="P63" s="102">
        <v>96</v>
      </c>
      <c r="Q63" s="102">
        <v>96.6</v>
      </c>
      <c r="R63" s="102">
        <v>80</v>
      </c>
      <c r="S63" s="102">
        <v>71</v>
      </c>
      <c r="T63" s="102">
        <v>61</v>
      </c>
      <c r="U63" s="102">
        <v>45</v>
      </c>
      <c r="V63" s="102">
        <v>35</v>
      </c>
      <c r="W63" s="102">
        <v>30</v>
      </c>
      <c r="X63" s="102">
        <v>30</v>
      </c>
      <c r="Y63" s="102">
        <v>58</v>
      </c>
      <c r="Z63" s="102">
        <v>70</v>
      </c>
      <c r="AA63" s="102">
        <v>90.5</v>
      </c>
      <c r="AB63" s="102">
        <v>85</v>
      </c>
      <c r="AC63" s="102">
        <v>75</v>
      </c>
      <c r="AD63" s="102">
        <v>81.2</v>
      </c>
      <c r="AE63" s="102">
        <v>80.5</v>
      </c>
      <c r="AF63" s="102">
        <v>80.5</v>
      </c>
      <c r="AG63" s="88">
        <v>144</v>
      </c>
      <c r="AH63" s="12">
        <f t="shared" si="8"/>
        <v>135.6</v>
      </c>
      <c r="AI63" s="11">
        <f t="shared" si="9"/>
        <v>30</v>
      </c>
      <c r="AK63" s="19"/>
    </row>
    <row r="64" spans="1:88" x14ac:dyDescent="0.25">
      <c r="A64" s="87" t="s">
        <v>203</v>
      </c>
      <c r="B64" s="70">
        <v>34.700000000000003</v>
      </c>
      <c r="C64" s="70">
        <v>34.700000000000003</v>
      </c>
      <c r="D64" s="70">
        <v>34.4</v>
      </c>
      <c r="E64" s="70">
        <v>46.4</v>
      </c>
      <c r="F64" s="70">
        <v>65.8</v>
      </c>
      <c r="G64" s="70">
        <v>66.400000000000006</v>
      </c>
      <c r="H64" s="70">
        <v>65.3</v>
      </c>
      <c r="I64" s="70">
        <v>69.8</v>
      </c>
      <c r="J64" s="70">
        <v>67.7</v>
      </c>
      <c r="K64" s="70">
        <v>55.2</v>
      </c>
      <c r="L64" s="70">
        <v>55.5</v>
      </c>
      <c r="M64" s="70">
        <v>26</v>
      </c>
      <c r="N64" s="70">
        <v>29.3</v>
      </c>
      <c r="O64" s="70">
        <v>29.3</v>
      </c>
      <c r="P64" s="70">
        <v>34</v>
      </c>
      <c r="Q64" s="70">
        <v>34.700000000000003</v>
      </c>
      <c r="R64" s="70">
        <v>35</v>
      </c>
      <c r="S64" s="70">
        <v>35</v>
      </c>
      <c r="T64" s="70">
        <v>35</v>
      </c>
      <c r="U64" s="70">
        <v>35</v>
      </c>
      <c r="V64" s="70">
        <v>35</v>
      </c>
      <c r="W64" s="70">
        <v>33</v>
      </c>
      <c r="X64" s="70">
        <v>33</v>
      </c>
      <c r="Y64" s="70">
        <v>50.5</v>
      </c>
      <c r="Z64" s="102">
        <v>59.2</v>
      </c>
      <c r="AA64" s="102">
        <v>51</v>
      </c>
      <c r="AB64" s="102">
        <v>61</v>
      </c>
      <c r="AC64" s="102">
        <v>34</v>
      </c>
      <c r="AD64" s="102">
        <v>34.5</v>
      </c>
      <c r="AE64" s="102">
        <v>34.299999999999997</v>
      </c>
      <c r="AF64" s="102">
        <v>35</v>
      </c>
      <c r="AG64" s="86">
        <v>70</v>
      </c>
      <c r="AH64" s="12">
        <f t="shared" si="8"/>
        <v>69.8</v>
      </c>
      <c r="AI64" s="11">
        <f t="shared" si="9"/>
        <v>26</v>
      </c>
      <c r="AK64" s="19"/>
    </row>
    <row r="65" spans="1:75" x14ac:dyDescent="0.25">
      <c r="A65" s="87" t="s">
        <v>202</v>
      </c>
      <c r="B65" s="70">
        <v>50.8</v>
      </c>
      <c r="C65" s="70">
        <v>50.8</v>
      </c>
      <c r="D65" s="70">
        <v>48.3</v>
      </c>
      <c r="E65" s="70">
        <v>48.2</v>
      </c>
      <c r="F65" s="70">
        <v>48</v>
      </c>
      <c r="G65" s="70">
        <v>38.9</v>
      </c>
      <c r="H65" s="70">
        <v>38.9</v>
      </c>
      <c r="I65" s="70">
        <v>45.4</v>
      </c>
      <c r="J65" s="70">
        <v>61.5</v>
      </c>
      <c r="K65" s="70">
        <v>61.4</v>
      </c>
      <c r="L65" s="70">
        <v>66.400000000000006</v>
      </c>
      <c r="M65" s="70">
        <v>33.5</v>
      </c>
      <c r="N65" s="70">
        <v>33.9</v>
      </c>
      <c r="O65" s="70">
        <v>33.9</v>
      </c>
      <c r="P65" s="70">
        <v>46</v>
      </c>
      <c r="Q65" s="70">
        <v>46.9</v>
      </c>
      <c r="R65" s="70">
        <v>46.9</v>
      </c>
      <c r="S65" s="70">
        <v>42.3</v>
      </c>
      <c r="T65" s="70">
        <v>42.3</v>
      </c>
      <c r="U65" s="70">
        <v>34</v>
      </c>
      <c r="V65" s="70">
        <v>45</v>
      </c>
      <c r="W65" s="70">
        <v>45</v>
      </c>
      <c r="X65" s="70">
        <v>45</v>
      </c>
      <c r="Y65" s="70">
        <v>45</v>
      </c>
      <c r="Z65" s="102">
        <v>45</v>
      </c>
      <c r="AA65" s="102">
        <v>45</v>
      </c>
      <c r="AB65" s="102">
        <v>45</v>
      </c>
      <c r="AC65" s="102">
        <v>40.700000000000003</v>
      </c>
      <c r="AD65" s="102">
        <v>46.4</v>
      </c>
      <c r="AE65" s="102">
        <v>40.5</v>
      </c>
      <c r="AF65" s="102">
        <v>40.6</v>
      </c>
      <c r="AG65" s="86">
        <v>69</v>
      </c>
      <c r="AH65" s="12">
        <f t="shared" si="8"/>
        <v>66.400000000000006</v>
      </c>
      <c r="AI65" s="11">
        <f t="shared" si="9"/>
        <v>33.5</v>
      </c>
      <c r="AK65" s="19"/>
    </row>
    <row r="66" spans="1:75" x14ac:dyDescent="0.25">
      <c r="A66" s="87" t="s">
        <v>201</v>
      </c>
      <c r="B66" s="70">
        <v>53.1</v>
      </c>
      <c r="C66" s="70">
        <v>53.1</v>
      </c>
      <c r="D66" s="70">
        <v>56.2</v>
      </c>
      <c r="E66" s="70">
        <v>56.2</v>
      </c>
      <c r="F66" s="70">
        <v>54.2</v>
      </c>
      <c r="G66" s="70">
        <v>56.2</v>
      </c>
      <c r="H66" s="70">
        <v>55.9</v>
      </c>
      <c r="I66" s="70">
        <v>55.9</v>
      </c>
      <c r="J66" s="70">
        <v>55.9</v>
      </c>
      <c r="K66" s="122">
        <v>52.1</v>
      </c>
      <c r="L66" s="122">
        <v>53.2</v>
      </c>
      <c r="M66" s="122">
        <v>53.7</v>
      </c>
      <c r="N66" s="122">
        <v>53.4</v>
      </c>
      <c r="O66" s="122">
        <v>53.4</v>
      </c>
      <c r="P66" s="122">
        <v>53.4</v>
      </c>
      <c r="Q66" s="70">
        <v>50.4</v>
      </c>
      <c r="R66" s="70">
        <v>50.4</v>
      </c>
      <c r="S66" s="70">
        <v>48.3</v>
      </c>
      <c r="T66" s="70">
        <v>48.3</v>
      </c>
      <c r="U66" s="70">
        <v>48.3</v>
      </c>
      <c r="V66" s="70">
        <v>48.3</v>
      </c>
      <c r="W66" s="70">
        <v>48.3</v>
      </c>
      <c r="X66" s="70">
        <v>48.3</v>
      </c>
      <c r="Y66" s="70">
        <v>48.3</v>
      </c>
      <c r="Z66" s="102">
        <v>48.3</v>
      </c>
      <c r="AA66" s="102">
        <v>48.3</v>
      </c>
      <c r="AB66" s="102">
        <v>48.3</v>
      </c>
      <c r="AC66" s="102">
        <v>48.1</v>
      </c>
      <c r="AD66" s="102">
        <v>48.3</v>
      </c>
      <c r="AE66" s="102">
        <v>48.1</v>
      </c>
      <c r="AF66" s="102">
        <v>48.3</v>
      </c>
      <c r="AG66" s="86">
        <v>60</v>
      </c>
      <c r="AH66" s="12">
        <f t="shared" si="8"/>
        <v>56.2</v>
      </c>
      <c r="AI66" s="11">
        <f t="shared" si="9"/>
        <v>48.1</v>
      </c>
      <c r="AK66" s="19"/>
    </row>
    <row r="67" spans="1:75" x14ac:dyDescent="0.25">
      <c r="A67" s="87" t="s">
        <v>200</v>
      </c>
      <c r="B67" s="102">
        <v>9.6999999999999993</v>
      </c>
      <c r="C67" s="102">
        <v>9.6999999999999993</v>
      </c>
      <c r="D67" s="102">
        <v>10.1</v>
      </c>
      <c r="E67" s="70">
        <v>0</v>
      </c>
      <c r="F67" s="70">
        <v>0</v>
      </c>
      <c r="G67" s="70">
        <v>0</v>
      </c>
      <c r="H67" s="70">
        <v>0</v>
      </c>
      <c r="I67" s="70">
        <v>0</v>
      </c>
      <c r="J67" s="70">
        <v>22.1</v>
      </c>
      <c r="K67" s="70">
        <v>22.5</v>
      </c>
      <c r="L67" s="122">
        <v>22.1</v>
      </c>
      <c r="M67" s="122">
        <v>22.1</v>
      </c>
      <c r="N67" s="122">
        <v>13.8</v>
      </c>
      <c r="O67" s="122">
        <v>13.8</v>
      </c>
      <c r="P67" s="122">
        <v>13.8</v>
      </c>
      <c r="Q67" s="70">
        <v>0</v>
      </c>
      <c r="R67" s="70">
        <v>0</v>
      </c>
      <c r="S67" s="70">
        <v>0</v>
      </c>
      <c r="T67" s="70">
        <v>0</v>
      </c>
      <c r="U67" s="70">
        <v>0</v>
      </c>
      <c r="V67" s="70">
        <v>0</v>
      </c>
      <c r="W67" s="70">
        <v>0</v>
      </c>
      <c r="X67" s="70">
        <v>0</v>
      </c>
      <c r="Y67" s="70">
        <v>10.199999999999999</v>
      </c>
      <c r="Z67" s="102">
        <v>28.2</v>
      </c>
      <c r="AA67" s="102">
        <v>28.2</v>
      </c>
      <c r="AB67" s="102">
        <v>27.6</v>
      </c>
      <c r="AC67" s="102">
        <v>27.3</v>
      </c>
      <c r="AD67" s="102">
        <v>27</v>
      </c>
      <c r="AE67" s="102">
        <v>14.1</v>
      </c>
      <c r="AF67" s="102">
        <v>14</v>
      </c>
      <c r="AG67" s="86">
        <v>30</v>
      </c>
      <c r="AH67" s="12">
        <f t="shared" si="8"/>
        <v>28.2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25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0.3</v>
      </c>
      <c r="J68" s="102">
        <v>1.1000000000000001</v>
      </c>
      <c r="K68" s="102">
        <v>2.2000000000000002</v>
      </c>
      <c r="L68" s="70">
        <v>3.7</v>
      </c>
      <c r="M68" s="70">
        <v>3.7</v>
      </c>
      <c r="N68" s="70">
        <v>6</v>
      </c>
      <c r="O68" s="70">
        <v>8</v>
      </c>
      <c r="P68" s="70">
        <v>12</v>
      </c>
      <c r="Q68" s="70">
        <v>16.399999999999999</v>
      </c>
      <c r="R68" s="70">
        <v>16.399999999999999</v>
      </c>
      <c r="S68" s="70">
        <v>11.5</v>
      </c>
      <c r="T68" s="70">
        <v>8.5</v>
      </c>
      <c r="U68" s="70">
        <v>6</v>
      </c>
      <c r="V68" s="70">
        <v>2.2999999999999998</v>
      </c>
      <c r="W68" s="70">
        <v>0.5</v>
      </c>
      <c r="X68" s="70">
        <v>0.3</v>
      </c>
      <c r="Y68" s="70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16.399999999999999</v>
      </c>
      <c r="AI68" s="11">
        <f t="shared" si="9"/>
        <v>0</v>
      </c>
      <c r="AK68" s="19"/>
      <c r="AY68" s="1" t="s">
        <v>198</v>
      </c>
      <c r="AZ68" s="78">
        <f>ROUND(C81,0)</f>
        <v>28</v>
      </c>
      <c r="BA68" s="83">
        <f t="shared" ref="BA68:BD72" si="29">D81</f>
        <v>24</v>
      </c>
      <c r="BB68" s="83">
        <f t="shared" si="29"/>
        <v>36.200000000000003</v>
      </c>
      <c r="BC68" s="83">
        <f t="shared" si="29"/>
        <v>34.1</v>
      </c>
      <c r="BD68" s="83">
        <f t="shared" si="29"/>
        <v>31.9</v>
      </c>
      <c r="BE68" s="78">
        <f>I81</f>
        <v>31.8</v>
      </c>
      <c r="BF68" s="78">
        <f>K81</f>
        <v>62.8</v>
      </c>
      <c r="BG68" s="78">
        <f t="shared" ref="BG68:BP72" si="30">M81</f>
        <v>66.599999999999994</v>
      </c>
      <c r="BH68" s="78">
        <f t="shared" si="30"/>
        <v>66</v>
      </c>
      <c r="BI68" s="78">
        <f t="shared" si="30"/>
        <v>76</v>
      </c>
      <c r="BJ68" s="78">
        <f t="shared" si="30"/>
        <v>66</v>
      </c>
      <c r="BK68" s="78">
        <f t="shared" si="30"/>
        <v>69.099999999999994</v>
      </c>
      <c r="BL68" s="78">
        <f t="shared" si="30"/>
        <v>68.599999999999994</v>
      </c>
      <c r="BM68" s="78">
        <f t="shared" si="30"/>
        <v>73.599999999999994</v>
      </c>
      <c r="BN68" s="78">
        <f t="shared" si="30"/>
        <v>73.5</v>
      </c>
      <c r="BO68" s="78">
        <f t="shared" si="30"/>
        <v>73.8</v>
      </c>
      <c r="BP68" s="78">
        <f t="shared" si="30"/>
        <v>64</v>
      </c>
      <c r="BQ68" s="78">
        <f>X81</f>
        <v>67.2</v>
      </c>
      <c r="BR68" s="78">
        <f>Z81</f>
        <v>37.4</v>
      </c>
      <c r="BS68" s="83">
        <f>AB81</f>
        <v>43</v>
      </c>
      <c r="BT68" s="83">
        <f t="shared" ref="BT68:BV72" si="31">AD81</f>
        <v>40.5</v>
      </c>
      <c r="BU68" s="83">
        <f t="shared" si="31"/>
        <v>46.9</v>
      </c>
      <c r="BV68" s="83">
        <f t="shared" si="31"/>
        <v>42</v>
      </c>
      <c r="BW68" s="83">
        <f>B81</f>
        <v>30.2</v>
      </c>
    </row>
    <row r="69" spans="1:75" x14ac:dyDescent="0.25">
      <c r="A69" s="87" t="s">
        <v>197</v>
      </c>
      <c r="B69" s="70">
        <v>15</v>
      </c>
      <c r="C69" s="70">
        <v>15</v>
      </c>
      <c r="D69" s="70">
        <v>15</v>
      </c>
      <c r="E69" s="70">
        <v>15</v>
      </c>
      <c r="F69" s="70">
        <v>15</v>
      </c>
      <c r="G69" s="70">
        <v>15</v>
      </c>
      <c r="H69" s="70">
        <v>15</v>
      </c>
      <c r="I69" s="70">
        <v>15</v>
      </c>
      <c r="J69" s="70">
        <v>15</v>
      </c>
      <c r="K69" s="70">
        <v>15</v>
      </c>
      <c r="L69" s="70">
        <v>15</v>
      </c>
      <c r="M69" s="70">
        <v>15</v>
      </c>
      <c r="N69" s="70">
        <v>15</v>
      </c>
      <c r="O69" s="70">
        <v>15</v>
      </c>
      <c r="P69" s="70">
        <v>15</v>
      </c>
      <c r="Q69" s="70">
        <v>15</v>
      </c>
      <c r="R69" s="70">
        <v>15</v>
      </c>
      <c r="S69" s="70">
        <v>15</v>
      </c>
      <c r="T69" s="70">
        <v>15</v>
      </c>
      <c r="U69" s="70">
        <v>15</v>
      </c>
      <c r="V69" s="70">
        <v>15</v>
      </c>
      <c r="W69" s="70">
        <v>15</v>
      </c>
      <c r="X69" s="70">
        <v>15</v>
      </c>
      <c r="Y69" s="70">
        <v>15</v>
      </c>
      <c r="Z69" s="70">
        <v>15</v>
      </c>
      <c r="AA69" s="70">
        <v>15</v>
      </c>
      <c r="AB69" s="70">
        <v>15</v>
      </c>
      <c r="AC69" s="70">
        <v>15</v>
      </c>
      <c r="AD69" s="70">
        <v>15</v>
      </c>
      <c r="AE69" s="70">
        <v>15</v>
      </c>
      <c r="AF69" s="70">
        <v>15</v>
      </c>
      <c r="AG69" s="86">
        <v>24</v>
      </c>
      <c r="AH69" s="12">
        <f t="shared" si="8"/>
        <v>15</v>
      </c>
      <c r="AI69" s="11">
        <f t="shared" si="9"/>
        <v>15</v>
      </c>
      <c r="AK69" s="19"/>
      <c r="AY69" s="1" t="s">
        <v>196</v>
      </c>
      <c r="AZ69" s="78">
        <f>ROUND(C82,0)</f>
        <v>0</v>
      </c>
      <c r="BA69" s="83">
        <f t="shared" si="29"/>
        <v>0</v>
      </c>
      <c r="BB69" s="83">
        <f t="shared" si="29"/>
        <v>0</v>
      </c>
      <c r="BC69" s="83">
        <f t="shared" si="29"/>
        <v>0</v>
      </c>
      <c r="BD69" s="83">
        <f t="shared" si="29"/>
        <v>0</v>
      </c>
      <c r="BE69" s="78">
        <f>I82</f>
        <v>0</v>
      </c>
      <c r="BF69" s="78">
        <f>K82</f>
        <v>0</v>
      </c>
      <c r="BG69" s="78">
        <f t="shared" si="30"/>
        <v>0</v>
      </c>
      <c r="BH69" s="78">
        <f t="shared" si="30"/>
        <v>0</v>
      </c>
      <c r="BI69" s="78">
        <f t="shared" si="30"/>
        <v>0</v>
      </c>
      <c r="BJ69" s="78">
        <f t="shared" si="30"/>
        <v>0</v>
      </c>
      <c r="BK69" s="78">
        <f t="shared" si="30"/>
        <v>0</v>
      </c>
      <c r="BL69" s="78">
        <f t="shared" si="30"/>
        <v>0</v>
      </c>
      <c r="BM69" s="78">
        <f t="shared" si="30"/>
        <v>0</v>
      </c>
      <c r="BN69" s="78">
        <f t="shared" si="30"/>
        <v>0</v>
      </c>
      <c r="BO69" s="78">
        <f t="shared" si="30"/>
        <v>0</v>
      </c>
      <c r="BP69" s="78">
        <f t="shared" si="30"/>
        <v>0</v>
      </c>
      <c r="BQ69" s="78">
        <f>X82</f>
        <v>0</v>
      </c>
      <c r="BR69" s="78">
        <f>Z82</f>
        <v>0</v>
      </c>
      <c r="BS69" s="83">
        <f>AB82</f>
        <v>0</v>
      </c>
      <c r="BT69" s="83">
        <f t="shared" si="31"/>
        <v>0</v>
      </c>
      <c r="BU69" s="83">
        <f t="shared" si="31"/>
        <v>0</v>
      </c>
      <c r="BV69" s="83">
        <f t="shared" si="31"/>
        <v>0</v>
      </c>
      <c r="BW69" s="83">
        <f>B82</f>
        <v>0</v>
      </c>
    </row>
    <row r="70" spans="1:75" x14ac:dyDescent="0.25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54</v>
      </c>
      <c r="BA70" s="83">
        <f t="shared" si="29"/>
        <v>58.6</v>
      </c>
      <c r="BB70" s="83">
        <f t="shared" si="29"/>
        <v>115</v>
      </c>
      <c r="BC70" s="83">
        <f t="shared" si="29"/>
        <v>105.1</v>
      </c>
      <c r="BD70" s="83">
        <f t="shared" si="29"/>
        <v>124.5</v>
      </c>
      <c r="BE70" s="78">
        <f>I83</f>
        <v>240.6</v>
      </c>
      <c r="BF70" s="78">
        <f>K83</f>
        <v>506</v>
      </c>
      <c r="BG70" s="78">
        <f t="shared" si="30"/>
        <v>546</v>
      </c>
      <c r="BH70" s="78">
        <f t="shared" si="30"/>
        <v>355</v>
      </c>
      <c r="BI70" s="78">
        <f t="shared" si="30"/>
        <v>355</v>
      </c>
      <c r="BJ70" s="78">
        <f t="shared" si="30"/>
        <v>377</v>
      </c>
      <c r="BK70" s="78">
        <f t="shared" si="30"/>
        <v>352</v>
      </c>
      <c r="BL70" s="78">
        <f t="shared" si="30"/>
        <v>325</v>
      </c>
      <c r="BM70" s="78">
        <f t="shared" si="30"/>
        <v>447</v>
      </c>
      <c r="BN70" s="78">
        <f t="shared" si="30"/>
        <v>403</v>
      </c>
      <c r="BO70" s="78">
        <f t="shared" si="30"/>
        <v>478</v>
      </c>
      <c r="BP70" s="78">
        <f t="shared" si="30"/>
        <v>514</v>
      </c>
      <c r="BQ70" s="78">
        <f>X83</f>
        <v>532</v>
      </c>
      <c r="BR70" s="78">
        <f>Z83</f>
        <v>210</v>
      </c>
      <c r="BS70" s="83">
        <f>AB83</f>
        <v>170</v>
      </c>
      <c r="BT70" s="83">
        <f t="shared" si="31"/>
        <v>261.5</v>
      </c>
      <c r="BU70" s="83">
        <f t="shared" si="31"/>
        <v>240</v>
      </c>
      <c r="BV70" s="83">
        <f t="shared" si="31"/>
        <v>211.1</v>
      </c>
      <c r="BW70" s="83">
        <f>B83</f>
        <v>68.2</v>
      </c>
    </row>
    <row r="71" spans="1:75" s="115" customFormat="1" x14ac:dyDescent="0.25">
      <c r="A71" s="87" t="s">
        <v>193</v>
      </c>
      <c r="B71" s="70">
        <v>10.8</v>
      </c>
      <c r="C71" s="70">
        <v>10.8</v>
      </c>
      <c r="D71" s="70">
        <v>10.8</v>
      </c>
      <c r="E71" s="70">
        <v>10.8</v>
      </c>
      <c r="F71" s="70">
        <v>10.8</v>
      </c>
      <c r="G71" s="70">
        <v>10.8</v>
      </c>
      <c r="H71" s="70">
        <v>10.8</v>
      </c>
      <c r="I71" s="70">
        <v>10.8</v>
      </c>
      <c r="J71" s="70">
        <v>10.8</v>
      </c>
      <c r="K71" s="70">
        <v>10.8</v>
      </c>
      <c r="L71" s="70">
        <v>10.8</v>
      </c>
      <c r="M71" s="70">
        <v>10.8</v>
      </c>
      <c r="N71" s="70">
        <v>10.8</v>
      </c>
      <c r="O71" s="70">
        <v>10.8</v>
      </c>
      <c r="P71" s="70">
        <v>10.8</v>
      </c>
      <c r="Q71" s="70">
        <v>10.8</v>
      </c>
      <c r="R71" s="70">
        <v>10.8</v>
      </c>
      <c r="S71" s="70">
        <v>12.3</v>
      </c>
      <c r="T71" s="70">
        <v>12.3</v>
      </c>
      <c r="U71" s="70">
        <v>12.3</v>
      </c>
      <c r="V71" s="70">
        <v>12.3</v>
      </c>
      <c r="W71" s="70">
        <v>12.3</v>
      </c>
      <c r="X71" s="70">
        <v>12.3</v>
      </c>
      <c r="Y71" s="70">
        <v>12.3</v>
      </c>
      <c r="Z71" s="70">
        <v>12.3</v>
      </c>
      <c r="AA71" s="70">
        <v>12.3</v>
      </c>
      <c r="AB71" s="70">
        <v>12.3</v>
      </c>
      <c r="AC71" s="70">
        <v>12.3</v>
      </c>
      <c r="AD71" s="70">
        <v>12.3</v>
      </c>
      <c r="AE71" s="70">
        <v>11.8</v>
      </c>
      <c r="AF71" s="70">
        <v>12.3</v>
      </c>
      <c r="AG71" s="86">
        <v>14.1</v>
      </c>
      <c r="AH71" s="12">
        <f t="shared" si="8"/>
        <v>12.3</v>
      </c>
      <c r="AI71" s="11">
        <f t="shared" si="9"/>
        <v>10.8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29"/>
        <v>0</v>
      </c>
      <c r="BB71" s="83">
        <f t="shared" si="29"/>
        <v>0</v>
      </c>
      <c r="BC71" s="83">
        <f t="shared" si="29"/>
        <v>0</v>
      </c>
      <c r="BD71" s="83">
        <f t="shared" si="29"/>
        <v>0</v>
      </c>
      <c r="BE71" s="78">
        <f>I84</f>
        <v>0</v>
      </c>
      <c r="BF71" s="78">
        <f>K84</f>
        <v>35</v>
      </c>
      <c r="BG71" s="78">
        <f t="shared" si="30"/>
        <v>52.9</v>
      </c>
      <c r="BH71" s="78">
        <f t="shared" si="30"/>
        <v>52.3</v>
      </c>
      <c r="BI71" s="78">
        <f t="shared" si="30"/>
        <v>52.3</v>
      </c>
      <c r="BJ71" s="78">
        <f t="shared" si="30"/>
        <v>48</v>
      </c>
      <c r="BK71" s="78">
        <f t="shared" si="30"/>
        <v>49.8</v>
      </c>
      <c r="BL71" s="78">
        <f t="shared" si="30"/>
        <v>46</v>
      </c>
      <c r="BM71" s="78">
        <f t="shared" si="30"/>
        <v>45.4</v>
      </c>
      <c r="BN71" s="78">
        <f t="shared" si="30"/>
        <v>54.1</v>
      </c>
      <c r="BO71" s="78">
        <f t="shared" si="30"/>
        <v>57.6</v>
      </c>
      <c r="BP71" s="78">
        <f t="shared" si="30"/>
        <v>52</v>
      </c>
      <c r="BQ71" s="78">
        <f>X84</f>
        <v>35.6</v>
      </c>
      <c r="BR71" s="78">
        <f>Z84</f>
        <v>0</v>
      </c>
      <c r="BS71" s="83">
        <f>AB84</f>
        <v>0</v>
      </c>
      <c r="BT71" s="83">
        <f t="shared" si="31"/>
        <v>0</v>
      </c>
      <c r="BU71" s="83">
        <f t="shared" si="31"/>
        <v>0</v>
      </c>
      <c r="BV71" s="83">
        <f t="shared" si="31"/>
        <v>0</v>
      </c>
      <c r="BW71" s="83">
        <f>B84</f>
        <v>0</v>
      </c>
    </row>
    <row r="72" spans="1:75" x14ac:dyDescent="0.25">
      <c r="A72" s="111" t="s">
        <v>191</v>
      </c>
      <c r="B72" s="70">
        <v>7.2</v>
      </c>
      <c r="C72" s="70">
        <v>7.2</v>
      </c>
      <c r="D72" s="70">
        <v>7.2</v>
      </c>
      <c r="E72" s="70">
        <v>7.2</v>
      </c>
      <c r="F72" s="70">
        <v>7.2</v>
      </c>
      <c r="G72" s="70">
        <v>7.2</v>
      </c>
      <c r="H72" s="70">
        <v>7.2</v>
      </c>
      <c r="I72" s="70">
        <v>7.2</v>
      </c>
      <c r="J72" s="70">
        <v>7.2</v>
      </c>
      <c r="K72" s="70">
        <v>7.2</v>
      </c>
      <c r="L72" s="70">
        <v>7.2</v>
      </c>
      <c r="M72" s="70">
        <v>7.2</v>
      </c>
      <c r="N72" s="70">
        <v>7.2</v>
      </c>
      <c r="O72" s="70">
        <v>7.2</v>
      </c>
      <c r="P72" s="70">
        <v>7.2</v>
      </c>
      <c r="Q72" s="70">
        <v>7.2</v>
      </c>
      <c r="R72" s="70">
        <v>7.2</v>
      </c>
      <c r="S72" s="70">
        <v>6</v>
      </c>
      <c r="T72" s="70">
        <v>6</v>
      </c>
      <c r="U72" s="70">
        <v>6</v>
      </c>
      <c r="V72" s="70">
        <v>6</v>
      </c>
      <c r="W72" s="70">
        <v>6</v>
      </c>
      <c r="X72" s="70">
        <v>6</v>
      </c>
      <c r="Y72" s="70">
        <v>6</v>
      </c>
      <c r="Z72" s="70">
        <v>6</v>
      </c>
      <c r="AA72" s="70">
        <v>6</v>
      </c>
      <c r="AB72" s="70">
        <v>6</v>
      </c>
      <c r="AC72" s="70">
        <v>6</v>
      </c>
      <c r="AD72" s="70">
        <v>6</v>
      </c>
      <c r="AE72" s="70">
        <v>7.1</v>
      </c>
      <c r="AF72" s="70">
        <v>7.1</v>
      </c>
      <c r="AG72" s="86">
        <v>14</v>
      </c>
      <c r="AH72" s="12">
        <f t="shared" si="8"/>
        <v>7.2</v>
      </c>
      <c r="AI72" s="11">
        <f t="shared" si="9"/>
        <v>6</v>
      </c>
      <c r="AK72" s="19"/>
      <c r="AY72" s="1" t="s">
        <v>190</v>
      </c>
      <c r="AZ72" s="78">
        <f>ROUND(C85,0)</f>
        <v>0</v>
      </c>
      <c r="BA72" s="83">
        <f t="shared" si="29"/>
        <v>0</v>
      </c>
      <c r="BB72" s="83">
        <f t="shared" si="29"/>
        <v>0</v>
      </c>
      <c r="BC72" s="83">
        <f t="shared" si="29"/>
        <v>0</v>
      </c>
      <c r="BD72" s="83">
        <f t="shared" si="29"/>
        <v>0</v>
      </c>
      <c r="BE72" s="78">
        <f>I85</f>
        <v>0</v>
      </c>
      <c r="BF72" s="78">
        <f>K85</f>
        <v>0</v>
      </c>
      <c r="BG72" s="78">
        <f t="shared" si="30"/>
        <v>109.2</v>
      </c>
      <c r="BH72" s="78">
        <f t="shared" si="30"/>
        <v>54</v>
      </c>
      <c r="BI72" s="78">
        <f t="shared" si="30"/>
        <v>54</v>
      </c>
      <c r="BJ72" s="78">
        <f t="shared" si="30"/>
        <v>51</v>
      </c>
      <c r="BK72" s="78">
        <f t="shared" si="30"/>
        <v>111.4</v>
      </c>
      <c r="BL72" s="78">
        <f t="shared" si="30"/>
        <v>125</v>
      </c>
      <c r="BM72" s="78">
        <f t="shared" si="30"/>
        <v>111.1</v>
      </c>
      <c r="BN72" s="78">
        <f t="shared" si="30"/>
        <v>106</v>
      </c>
      <c r="BO72" s="78">
        <f t="shared" si="30"/>
        <v>122.6</v>
      </c>
      <c r="BP72" s="78">
        <f t="shared" si="30"/>
        <v>0</v>
      </c>
      <c r="BQ72" s="78">
        <f>X85</f>
        <v>0</v>
      </c>
      <c r="BR72" s="78">
        <f>Z85</f>
        <v>0</v>
      </c>
      <c r="BS72" s="83">
        <f>AB85</f>
        <v>0</v>
      </c>
      <c r="BT72" s="83">
        <f t="shared" si="31"/>
        <v>0</v>
      </c>
      <c r="BU72" s="83">
        <f t="shared" si="31"/>
        <v>0</v>
      </c>
      <c r="BV72" s="83">
        <f t="shared" si="31"/>
        <v>0</v>
      </c>
      <c r="BW72" s="83">
        <f>B85</f>
        <v>0</v>
      </c>
    </row>
    <row r="73" spans="1:75" x14ac:dyDescent="0.25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8"/>
        <v>4</v>
      </c>
      <c r="AI73" s="11">
        <f t="shared" si="9"/>
        <v>4</v>
      </c>
      <c r="AK73" s="19"/>
      <c r="AY73" s="1" t="s">
        <v>188</v>
      </c>
      <c r="AZ73" s="78">
        <f>ROUND(C91,0)</f>
        <v>44</v>
      </c>
      <c r="BA73" s="78">
        <f>D91</f>
        <v>43.9</v>
      </c>
      <c r="BB73" s="78">
        <f>E91</f>
        <v>45.3</v>
      </c>
      <c r="BC73" s="78">
        <f>F91</f>
        <v>45</v>
      </c>
      <c r="BD73" s="78">
        <f>G91</f>
        <v>42.2</v>
      </c>
      <c r="BE73" s="78">
        <f>I91</f>
        <v>42.6</v>
      </c>
      <c r="BF73" s="78">
        <f>K91</f>
        <v>50.2</v>
      </c>
      <c r="BG73" s="78">
        <f t="shared" ref="BG73:BP73" si="32">M91</f>
        <v>52.4</v>
      </c>
      <c r="BH73" s="78">
        <f t="shared" si="32"/>
        <v>51</v>
      </c>
      <c r="BI73" s="78">
        <f t="shared" si="32"/>
        <v>51</v>
      </c>
      <c r="BJ73" s="78">
        <f t="shared" si="32"/>
        <v>51</v>
      </c>
      <c r="BK73" s="78">
        <f t="shared" si="32"/>
        <v>51</v>
      </c>
      <c r="BL73" s="78">
        <f t="shared" si="32"/>
        <v>49</v>
      </c>
      <c r="BM73" s="78">
        <f t="shared" si="32"/>
        <v>46.4</v>
      </c>
      <c r="BN73" s="78">
        <f t="shared" si="32"/>
        <v>51</v>
      </c>
      <c r="BO73" s="78">
        <f t="shared" si="32"/>
        <v>50</v>
      </c>
      <c r="BP73" s="78">
        <f t="shared" si="32"/>
        <v>46.1</v>
      </c>
      <c r="BQ73" s="78">
        <f>X91</f>
        <v>32.5</v>
      </c>
      <c r="BR73" s="78">
        <f>Z91</f>
        <v>32.1</v>
      </c>
      <c r="BS73" s="78">
        <f>AB91</f>
        <v>28.4</v>
      </c>
      <c r="BT73" s="78">
        <f>AD91</f>
        <v>46.3</v>
      </c>
      <c r="BU73" s="78">
        <f>AE91</f>
        <v>55</v>
      </c>
      <c r="BV73" s="78">
        <f>AF91</f>
        <v>53.5</v>
      </c>
      <c r="BW73" s="78">
        <f>B91</f>
        <v>23.7</v>
      </c>
    </row>
    <row r="74" spans="1:75" x14ac:dyDescent="0.25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.75" thickBot="1" x14ac:dyDescent="0.3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3.5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</v>
      </c>
      <c r="AK75" s="19"/>
      <c r="AZ75" s="78">
        <f t="shared" ref="AZ75:BW80" si="33">VALUE(AZ68)</f>
        <v>28</v>
      </c>
      <c r="BA75" s="78">
        <f t="shared" si="33"/>
        <v>24</v>
      </c>
      <c r="BB75" s="78">
        <f t="shared" si="33"/>
        <v>36.200000000000003</v>
      </c>
      <c r="BC75" s="78">
        <f t="shared" si="33"/>
        <v>34.1</v>
      </c>
      <c r="BD75" s="78">
        <f t="shared" si="33"/>
        <v>31.9</v>
      </c>
      <c r="BE75" s="78">
        <f t="shared" si="33"/>
        <v>31.8</v>
      </c>
      <c r="BF75" s="78">
        <f t="shared" si="33"/>
        <v>62.8</v>
      </c>
      <c r="BG75" s="78">
        <f t="shared" si="33"/>
        <v>66.599999999999994</v>
      </c>
      <c r="BH75" s="78">
        <f t="shared" si="33"/>
        <v>66</v>
      </c>
      <c r="BI75" s="78">
        <f t="shared" si="33"/>
        <v>76</v>
      </c>
      <c r="BJ75" s="78">
        <f t="shared" si="33"/>
        <v>66</v>
      </c>
      <c r="BK75" s="78">
        <f t="shared" si="33"/>
        <v>69.099999999999994</v>
      </c>
      <c r="BL75" s="78">
        <f t="shared" si="33"/>
        <v>68.599999999999994</v>
      </c>
      <c r="BM75" s="78">
        <f t="shared" si="33"/>
        <v>73.599999999999994</v>
      </c>
      <c r="BN75" s="78">
        <f t="shared" si="33"/>
        <v>73.5</v>
      </c>
      <c r="BO75" s="78">
        <f t="shared" si="33"/>
        <v>73.8</v>
      </c>
      <c r="BP75" s="78">
        <f t="shared" si="33"/>
        <v>64</v>
      </c>
      <c r="BQ75" s="78">
        <f t="shared" si="33"/>
        <v>67.2</v>
      </c>
      <c r="BR75" s="78">
        <f t="shared" si="33"/>
        <v>37.4</v>
      </c>
      <c r="BS75" s="78">
        <f t="shared" si="33"/>
        <v>43</v>
      </c>
      <c r="BT75" s="78">
        <f t="shared" si="33"/>
        <v>40.5</v>
      </c>
      <c r="BU75" s="78">
        <f t="shared" si="33"/>
        <v>46.9</v>
      </c>
      <c r="BV75" s="78">
        <f t="shared" si="33"/>
        <v>42</v>
      </c>
      <c r="BW75" s="78">
        <f t="shared" si="33"/>
        <v>30.2</v>
      </c>
    </row>
    <row r="76" spans="1:75" ht="15.75" thickBot="1" x14ac:dyDescent="0.3">
      <c r="A76" s="77" t="s">
        <v>186</v>
      </c>
      <c r="B76" s="76">
        <f t="shared" ref="B76:C76" si="34">SUM(B63:B75)</f>
        <v>288.24000000000007</v>
      </c>
      <c r="C76" s="76">
        <f t="shared" si="34"/>
        <v>288.24000000000007</v>
      </c>
      <c r="D76" s="76">
        <f t="shared" ref="D76:AG76" si="35">SUM(D63:D75)</f>
        <v>288.94</v>
      </c>
      <c r="E76" s="76">
        <f t="shared" si="35"/>
        <v>254.43999999999997</v>
      </c>
      <c r="F76" s="76">
        <f t="shared" si="35"/>
        <v>271.94</v>
      </c>
      <c r="G76" s="76">
        <f t="shared" si="35"/>
        <v>265.54000000000002</v>
      </c>
      <c r="H76" s="76">
        <f t="shared" si="35"/>
        <v>278.74</v>
      </c>
      <c r="I76" s="76">
        <f t="shared" si="35"/>
        <v>290.34000000000003</v>
      </c>
      <c r="J76" s="76">
        <f t="shared" si="35"/>
        <v>372.74000000000007</v>
      </c>
      <c r="K76" s="76">
        <f t="shared" si="35"/>
        <v>371.54</v>
      </c>
      <c r="L76" s="76">
        <f t="shared" si="35"/>
        <v>374.84000000000003</v>
      </c>
      <c r="M76" s="76">
        <f t="shared" si="35"/>
        <v>251.53999999999996</v>
      </c>
      <c r="N76" s="76">
        <f t="shared" si="35"/>
        <v>249.94</v>
      </c>
      <c r="O76" s="76">
        <f t="shared" si="35"/>
        <v>251.94</v>
      </c>
      <c r="P76" s="76">
        <f t="shared" si="35"/>
        <v>297.74000000000007</v>
      </c>
      <c r="Q76" s="76">
        <f t="shared" si="35"/>
        <v>287.54000000000002</v>
      </c>
      <c r="R76" s="76">
        <f t="shared" si="35"/>
        <v>271.24000000000007</v>
      </c>
      <c r="S76" s="76">
        <f t="shared" si="35"/>
        <v>250.94000000000003</v>
      </c>
      <c r="T76" s="76">
        <f t="shared" si="35"/>
        <v>237.94000000000003</v>
      </c>
      <c r="U76" s="76">
        <f t="shared" si="35"/>
        <v>211.14000000000001</v>
      </c>
      <c r="V76" s="76">
        <f t="shared" si="35"/>
        <v>208.44000000000003</v>
      </c>
      <c r="W76" s="76">
        <f t="shared" si="35"/>
        <v>199.64000000000001</v>
      </c>
      <c r="X76" s="76">
        <f t="shared" si="35"/>
        <v>199.44000000000003</v>
      </c>
      <c r="Y76" s="76">
        <f t="shared" si="35"/>
        <v>254.8</v>
      </c>
      <c r="Z76" s="76">
        <f t="shared" si="35"/>
        <v>293.5</v>
      </c>
      <c r="AA76" s="76">
        <f t="shared" si="35"/>
        <v>305.84000000000003</v>
      </c>
      <c r="AB76" s="76">
        <f t="shared" si="35"/>
        <v>309.74000000000007</v>
      </c>
      <c r="AC76" s="76">
        <f t="shared" si="35"/>
        <v>267.94</v>
      </c>
      <c r="AD76" s="76">
        <f t="shared" si="35"/>
        <v>280.24</v>
      </c>
      <c r="AE76" s="76">
        <f t="shared" ref="AE76" si="36">SUM(AE63:AE75)</f>
        <v>260.94</v>
      </c>
      <c r="AF76" s="76">
        <f t="shared" si="35"/>
        <v>262.33999999999997</v>
      </c>
      <c r="AG76" s="93">
        <f t="shared" si="35"/>
        <v>489.91</v>
      </c>
      <c r="AH76" s="12">
        <f t="shared" si="8"/>
        <v>374.84000000000003</v>
      </c>
      <c r="AI76" s="11">
        <f t="shared" si="9"/>
        <v>199.44000000000003</v>
      </c>
      <c r="AK76" s="19"/>
      <c r="AZ76" s="78">
        <f t="shared" si="33"/>
        <v>0</v>
      </c>
      <c r="BA76" s="78">
        <f t="shared" si="33"/>
        <v>0</v>
      </c>
      <c r="BB76" s="78">
        <f t="shared" si="33"/>
        <v>0</v>
      </c>
      <c r="BC76" s="78">
        <f t="shared" si="33"/>
        <v>0</v>
      </c>
      <c r="BD76" s="78">
        <f t="shared" si="33"/>
        <v>0</v>
      </c>
      <c r="BE76" s="78">
        <f t="shared" si="33"/>
        <v>0</v>
      </c>
      <c r="BF76" s="78">
        <f t="shared" si="33"/>
        <v>0</v>
      </c>
      <c r="BG76" s="78">
        <f t="shared" si="33"/>
        <v>0</v>
      </c>
      <c r="BH76" s="78">
        <f t="shared" si="33"/>
        <v>0</v>
      </c>
      <c r="BI76" s="78">
        <f t="shared" si="33"/>
        <v>0</v>
      </c>
      <c r="BJ76" s="78">
        <f t="shared" si="33"/>
        <v>0</v>
      </c>
      <c r="BK76" s="78">
        <f t="shared" si="33"/>
        <v>0</v>
      </c>
      <c r="BL76" s="78">
        <f t="shared" si="33"/>
        <v>0</v>
      </c>
      <c r="BM76" s="78">
        <f t="shared" si="33"/>
        <v>0</v>
      </c>
      <c r="BN76" s="78">
        <f t="shared" si="33"/>
        <v>0</v>
      </c>
      <c r="BO76" s="78">
        <f t="shared" si="33"/>
        <v>0</v>
      </c>
      <c r="BP76" s="78">
        <f t="shared" si="33"/>
        <v>0</v>
      </c>
      <c r="BQ76" s="78">
        <f t="shared" si="33"/>
        <v>0</v>
      </c>
      <c r="BR76" s="78">
        <f t="shared" si="33"/>
        <v>0</v>
      </c>
      <c r="BS76" s="78">
        <f t="shared" si="33"/>
        <v>0</v>
      </c>
      <c r="BT76" s="78">
        <f t="shared" si="33"/>
        <v>0</v>
      </c>
      <c r="BU76" s="78">
        <f t="shared" si="33"/>
        <v>0</v>
      </c>
      <c r="BV76" s="78">
        <f t="shared" si="33"/>
        <v>0</v>
      </c>
      <c r="BW76" s="78">
        <f t="shared" si="33"/>
        <v>0</v>
      </c>
    </row>
    <row r="77" spans="1:75" x14ac:dyDescent="0.25">
      <c r="A77" s="89" t="s">
        <v>185</v>
      </c>
      <c r="B77" s="102">
        <v>59.1</v>
      </c>
      <c r="C77" s="102">
        <v>59.1</v>
      </c>
      <c r="D77" s="102">
        <v>59.3</v>
      </c>
      <c r="E77" s="102">
        <v>59.2</v>
      </c>
      <c r="F77" s="102">
        <v>59.3</v>
      </c>
      <c r="G77" s="102">
        <v>58.8</v>
      </c>
      <c r="H77" s="102">
        <v>59.3</v>
      </c>
      <c r="I77" s="102">
        <v>59.4</v>
      </c>
      <c r="J77" s="102">
        <v>59.5</v>
      </c>
      <c r="K77" s="102">
        <v>59.4</v>
      </c>
      <c r="L77" s="102">
        <v>59.4</v>
      </c>
      <c r="M77" s="102">
        <v>59.4</v>
      </c>
      <c r="N77" s="102">
        <v>59.5</v>
      </c>
      <c r="O77" s="102">
        <v>59.5</v>
      </c>
      <c r="P77" s="102">
        <v>59.5</v>
      </c>
      <c r="Q77" s="102">
        <v>59.6</v>
      </c>
      <c r="R77" s="102">
        <v>59.6</v>
      </c>
      <c r="S77" s="102">
        <v>59.6</v>
      </c>
      <c r="T77" s="102">
        <v>59.6</v>
      </c>
      <c r="U77" s="102">
        <v>59.6</v>
      </c>
      <c r="V77" s="102">
        <v>59.6</v>
      </c>
      <c r="W77" s="102">
        <v>59.6</v>
      </c>
      <c r="X77" s="102">
        <v>59.6</v>
      </c>
      <c r="Y77" s="102">
        <v>59.6</v>
      </c>
      <c r="Z77" s="102">
        <v>59.6</v>
      </c>
      <c r="AA77" s="102">
        <v>59.6</v>
      </c>
      <c r="AB77" s="102">
        <v>59.5</v>
      </c>
      <c r="AC77" s="102">
        <v>59.5</v>
      </c>
      <c r="AD77" s="102">
        <v>59.4</v>
      </c>
      <c r="AE77" s="102">
        <v>59.4</v>
      </c>
      <c r="AF77" s="102">
        <v>58.2</v>
      </c>
      <c r="AG77" s="88">
        <v>60</v>
      </c>
      <c r="AH77" s="12">
        <f t="shared" si="8"/>
        <v>59.6</v>
      </c>
      <c r="AI77" s="11">
        <f t="shared" si="9"/>
        <v>58.2</v>
      </c>
      <c r="AK77" s="19"/>
      <c r="AZ77" s="78">
        <f t="shared" si="33"/>
        <v>54</v>
      </c>
      <c r="BA77" s="78">
        <f t="shared" si="33"/>
        <v>58.6</v>
      </c>
      <c r="BB77" s="78">
        <f t="shared" si="33"/>
        <v>115</v>
      </c>
      <c r="BC77" s="78">
        <f t="shared" si="33"/>
        <v>105.1</v>
      </c>
      <c r="BD77" s="78">
        <f t="shared" si="33"/>
        <v>124.5</v>
      </c>
      <c r="BE77" s="78">
        <f t="shared" si="33"/>
        <v>240.6</v>
      </c>
      <c r="BF77" s="78">
        <f t="shared" si="33"/>
        <v>506</v>
      </c>
      <c r="BG77" s="78">
        <f t="shared" si="33"/>
        <v>546</v>
      </c>
      <c r="BH77" s="78">
        <f t="shared" si="33"/>
        <v>355</v>
      </c>
      <c r="BI77" s="78">
        <f t="shared" si="33"/>
        <v>355</v>
      </c>
      <c r="BJ77" s="78">
        <f t="shared" si="33"/>
        <v>377</v>
      </c>
      <c r="BK77" s="78">
        <f t="shared" si="33"/>
        <v>352</v>
      </c>
      <c r="BL77" s="78">
        <f t="shared" si="33"/>
        <v>325</v>
      </c>
      <c r="BM77" s="78">
        <f t="shared" si="33"/>
        <v>447</v>
      </c>
      <c r="BN77" s="78">
        <f t="shared" si="33"/>
        <v>403</v>
      </c>
      <c r="BO77" s="78">
        <f t="shared" si="33"/>
        <v>478</v>
      </c>
      <c r="BP77" s="78">
        <f t="shared" si="33"/>
        <v>514</v>
      </c>
      <c r="BQ77" s="78">
        <f t="shared" si="33"/>
        <v>532</v>
      </c>
      <c r="BR77" s="78">
        <f t="shared" si="33"/>
        <v>210</v>
      </c>
      <c r="BS77" s="78">
        <f t="shared" si="33"/>
        <v>170</v>
      </c>
      <c r="BT77" s="78">
        <f t="shared" si="33"/>
        <v>261.5</v>
      </c>
      <c r="BU77" s="78">
        <f t="shared" si="33"/>
        <v>240</v>
      </c>
      <c r="BV77" s="78">
        <f t="shared" si="33"/>
        <v>211.1</v>
      </c>
      <c r="BW77" s="78">
        <f t="shared" si="33"/>
        <v>68.2</v>
      </c>
    </row>
    <row r="78" spans="1:75" x14ac:dyDescent="0.25">
      <c r="A78" s="87" t="s">
        <v>184</v>
      </c>
      <c r="B78" s="70">
        <v>29</v>
      </c>
      <c r="C78" s="70">
        <v>29</v>
      </c>
      <c r="D78" s="70">
        <v>28.3</v>
      </c>
      <c r="E78" s="70">
        <v>28.3</v>
      </c>
      <c r="F78" s="70">
        <v>27.7</v>
      </c>
      <c r="G78" s="70">
        <v>27.8</v>
      </c>
      <c r="H78" s="70">
        <v>27.8</v>
      </c>
      <c r="I78" s="70">
        <v>28.1</v>
      </c>
      <c r="J78" s="70">
        <v>28.1</v>
      </c>
      <c r="K78" s="70">
        <v>28</v>
      </c>
      <c r="L78" s="70">
        <v>28</v>
      </c>
      <c r="M78" s="70">
        <v>28</v>
      </c>
      <c r="N78" s="70">
        <v>28</v>
      </c>
      <c r="O78" s="70">
        <v>28</v>
      </c>
      <c r="P78" s="70">
        <v>28</v>
      </c>
      <c r="Q78" s="70">
        <v>28</v>
      </c>
      <c r="R78" s="70">
        <v>28</v>
      </c>
      <c r="S78" s="70">
        <v>28</v>
      </c>
      <c r="T78" s="70">
        <v>28</v>
      </c>
      <c r="U78" s="70">
        <v>28</v>
      </c>
      <c r="V78" s="70">
        <v>28</v>
      </c>
      <c r="W78" s="70">
        <v>28</v>
      </c>
      <c r="X78" s="70">
        <v>28</v>
      </c>
      <c r="Y78" s="70">
        <v>28</v>
      </c>
      <c r="Z78" s="70">
        <v>28</v>
      </c>
      <c r="AA78" s="70">
        <v>28</v>
      </c>
      <c r="AB78" s="70">
        <v>27.9</v>
      </c>
      <c r="AC78" s="70">
        <v>27.9</v>
      </c>
      <c r="AD78" s="70">
        <v>27.7</v>
      </c>
      <c r="AE78" s="70">
        <v>27.7</v>
      </c>
      <c r="AF78" s="70">
        <v>27.6</v>
      </c>
      <c r="AG78" s="86">
        <v>32</v>
      </c>
      <c r="AH78" s="12">
        <f t="shared" si="8"/>
        <v>29</v>
      </c>
      <c r="AI78" s="11">
        <f t="shared" si="9"/>
        <v>27.6</v>
      </c>
      <c r="AK78" s="19"/>
      <c r="AZ78" s="78">
        <f t="shared" si="33"/>
        <v>0</v>
      </c>
      <c r="BA78" s="78">
        <f t="shared" si="33"/>
        <v>0</v>
      </c>
      <c r="BB78" s="78">
        <f t="shared" si="33"/>
        <v>0</v>
      </c>
      <c r="BC78" s="78">
        <f t="shared" si="33"/>
        <v>0</v>
      </c>
      <c r="BD78" s="78">
        <f t="shared" si="33"/>
        <v>0</v>
      </c>
      <c r="BE78" s="78">
        <f t="shared" si="33"/>
        <v>0</v>
      </c>
      <c r="BF78" s="78">
        <f t="shared" si="33"/>
        <v>35</v>
      </c>
      <c r="BG78" s="78">
        <f t="shared" si="33"/>
        <v>52.9</v>
      </c>
      <c r="BH78" s="78">
        <f t="shared" si="33"/>
        <v>52.3</v>
      </c>
      <c r="BI78" s="78">
        <f t="shared" si="33"/>
        <v>52.3</v>
      </c>
      <c r="BJ78" s="78">
        <f t="shared" si="33"/>
        <v>48</v>
      </c>
      <c r="BK78" s="78">
        <f t="shared" si="33"/>
        <v>49.8</v>
      </c>
      <c r="BL78" s="78">
        <f t="shared" si="33"/>
        <v>46</v>
      </c>
      <c r="BM78" s="78">
        <f t="shared" si="33"/>
        <v>45.4</v>
      </c>
      <c r="BN78" s="78">
        <f t="shared" si="33"/>
        <v>54.1</v>
      </c>
      <c r="BO78" s="78">
        <f t="shared" si="33"/>
        <v>57.6</v>
      </c>
      <c r="BP78" s="78">
        <f t="shared" si="33"/>
        <v>52</v>
      </c>
      <c r="BQ78" s="78">
        <f t="shared" si="33"/>
        <v>35.6</v>
      </c>
      <c r="BR78" s="78">
        <f t="shared" si="33"/>
        <v>0</v>
      </c>
      <c r="BS78" s="78">
        <f t="shared" si="33"/>
        <v>0</v>
      </c>
      <c r="BT78" s="78">
        <f t="shared" si="33"/>
        <v>0</v>
      </c>
      <c r="BU78" s="78">
        <f t="shared" si="33"/>
        <v>0</v>
      </c>
      <c r="BV78" s="78">
        <f t="shared" si="33"/>
        <v>0</v>
      </c>
      <c r="BW78" s="78">
        <f t="shared" si="33"/>
        <v>0</v>
      </c>
    </row>
    <row r="79" spans="1:75" ht="15.75" thickBot="1" x14ac:dyDescent="0.3">
      <c r="A79" s="111" t="s">
        <v>183</v>
      </c>
      <c r="B79" s="110">
        <v>10.6</v>
      </c>
      <c r="C79" s="110">
        <v>10.6</v>
      </c>
      <c r="D79" s="110">
        <v>10.3</v>
      </c>
      <c r="E79" s="110">
        <v>10.3</v>
      </c>
      <c r="F79" s="110">
        <v>10.1</v>
      </c>
      <c r="G79" s="110">
        <v>10.1</v>
      </c>
      <c r="H79" s="110">
        <v>10.1</v>
      </c>
      <c r="I79" s="110">
        <v>10.199999999999999</v>
      </c>
      <c r="J79" s="110">
        <v>10.199999999999999</v>
      </c>
      <c r="K79" s="110">
        <v>10.199999999999999</v>
      </c>
      <c r="L79" s="110">
        <v>10.199999999999999</v>
      </c>
      <c r="M79" s="110">
        <v>10.199999999999999</v>
      </c>
      <c r="N79" s="110">
        <v>10.199999999999999</v>
      </c>
      <c r="O79" s="110">
        <v>10.199999999999999</v>
      </c>
      <c r="P79" s="110">
        <v>10.199999999999999</v>
      </c>
      <c r="Q79" s="110">
        <v>10.199999999999999</v>
      </c>
      <c r="R79" s="110">
        <v>10.199999999999999</v>
      </c>
      <c r="S79" s="110">
        <v>10.199999999999999</v>
      </c>
      <c r="T79" s="110">
        <v>10.199999999999999</v>
      </c>
      <c r="U79" s="110">
        <v>10.199999999999999</v>
      </c>
      <c r="V79" s="110">
        <v>10.199999999999999</v>
      </c>
      <c r="W79" s="110">
        <v>10.199999999999999</v>
      </c>
      <c r="X79" s="110">
        <v>10.199999999999999</v>
      </c>
      <c r="Y79" s="110">
        <v>10.199999999999999</v>
      </c>
      <c r="Z79" s="110">
        <v>10.199999999999999</v>
      </c>
      <c r="AA79" s="110">
        <v>10.199999999999999</v>
      </c>
      <c r="AB79" s="110">
        <v>10.199999999999999</v>
      </c>
      <c r="AC79" s="110">
        <v>10.199999999999999</v>
      </c>
      <c r="AD79" s="110">
        <v>10.1</v>
      </c>
      <c r="AE79" s="110">
        <v>10.1</v>
      </c>
      <c r="AF79" s="110">
        <v>10.1</v>
      </c>
      <c r="AG79" s="109">
        <v>14</v>
      </c>
      <c r="AH79" s="12">
        <f t="shared" si="8"/>
        <v>10.6</v>
      </c>
      <c r="AI79" s="11">
        <f t="shared" si="9"/>
        <v>10.1</v>
      </c>
      <c r="AK79" s="19"/>
      <c r="AZ79" s="78">
        <f t="shared" si="33"/>
        <v>0</v>
      </c>
      <c r="BA79" s="78">
        <f t="shared" si="33"/>
        <v>0</v>
      </c>
      <c r="BB79" s="78">
        <f t="shared" si="33"/>
        <v>0</v>
      </c>
      <c r="BC79" s="78">
        <f t="shared" si="33"/>
        <v>0</v>
      </c>
      <c r="BD79" s="78">
        <f t="shared" si="33"/>
        <v>0</v>
      </c>
      <c r="BE79" s="78">
        <f t="shared" si="33"/>
        <v>0</v>
      </c>
      <c r="BF79" s="78">
        <f t="shared" si="33"/>
        <v>0</v>
      </c>
      <c r="BG79" s="78">
        <f t="shared" si="33"/>
        <v>109.2</v>
      </c>
      <c r="BH79" s="78">
        <f t="shared" si="33"/>
        <v>54</v>
      </c>
      <c r="BI79" s="78">
        <f t="shared" si="33"/>
        <v>54</v>
      </c>
      <c r="BJ79" s="78">
        <f t="shared" si="33"/>
        <v>51</v>
      </c>
      <c r="BK79" s="78">
        <f t="shared" si="33"/>
        <v>111.4</v>
      </c>
      <c r="BL79" s="78">
        <f t="shared" si="33"/>
        <v>125</v>
      </c>
      <c r="BM79" s="78">
        <f t="shared" si="33"/>
        <v>111.1</v>
      </c>
      <c r="BN79" s="78">
        <f t="shared" si="33"/>
        <v>106</v>
      </c>
      <c r="BO79" s="78">
        <f t="shared" si="33"/>
        <v>122.6</v>
      </c>
      <c r="BP79" s="78">
        <f t="shared" si="33"/>
        <v>0</v>
      </c>
      <c r="BQ79" s="78">
        <f t="shared" si="33"/>
        <v>0</v>
      </c>
      <c r="BR79" s="78">
        <f t="shared" si="33"/>
        <v>0</v>
      </c>
      <c r="BS79" s="78">
        <f t="shared" si="33"/>
        <v>0</v>
      </c>
      <c r="BT79" s="78">
        <f t="shared" si="33"/>
        <v>0</v>
      </c>
      <c r="BU79" s="78">
        <f t="shared" si="33"/>
        <v>0</v>
      </c>
      <c r="BV79" s="78">
        <f t="shared" si="33"/>
        <v>0</v>
      </c>
      <c r="BW79" s="78">
        <f t="shared" si="33"/>
        <v>0</v>
      </c>
    </row>
    <row r="80" spans="1:75" ht="15.75" thickBot="1" x14ac:dyDescent="0.3">
      <c r="A80" s="77" t="s">
        <v>182</v>
      </c>
      <c r="B80" s="76">
        <f t="shared" ref="B80:C80" si="37">B77+B78+B79</f>
        <v>98.699999999999989</v>
      </c>
      <c r="C80" s="76">
        <f t="shared" si="37"/>
        <v>98.699999999999989</v>
      </c>
      <c r="D80" s="76">
        <f t="shared" ref="D80:AF80" si="38">D77+D78+D79</f>
        <v>97.899999999999991</v>
      </c>
      <c r="E80" s="76">
        <f t="shared" si="38"/>
        <v>97.8</v>
      </c>
      <c r="F80" s="76">
        <f t="shared" si="38"/>
        <v>97.1</v>
      </c>
      <c r="G80" s="76">
        <f t="shared" si="38"/>
        <v>96.699999999999989</v>
      </c>
      <c r="H80" s="76">
        <f t="shared" si="38"/>
        <v>97.199999999999989</v>
      </c>
      <c r="I80" s="76">
        <f t="shared" si="38"/>
        <v>97.7</v>
      </c>
      <c r="J80" s="76">
        <f t="shared" si="38"/>
        <v>97.8</v>
      </c>
      <c r="K80" s="76">
        <f t="shared" si="38"/>
        <v>97.600000000000009</v>
      </c>
      <c r="L80" s="76">
        <f t="shared" si="38"/>
        <v>97.600000000000009</v>
      </c>
      <c r="M80" s="76">
        <f t="shared" si="38"/>
        <v>97.600000000000009</v>
      </c>
      <c r="N80" s="76">
        <f t="shared" si="38"/>
        <v>97.7</v>
      </c>
      <c r="O80" s="76">
        <f t="shared" si="38"/>
        <v>97.7</v>
      </c>
      <c r="P80" s="76">
        <f t="shared" si="38"/>
        <v>97.7</v>
      </c>
      <c r="Q80" s="76">
        <f t="shared" si="38"/>
        <v>97.8</v>
      </c>
      <c r="R80" s="76">
        <f t="shared" si="38"/>
        <v>97.8</v>
      </c>
      <c r="S80" s="76">
        <f t="shared" si="38"/>
        <v>97.8</v>
      </c>
      <c r="T80" s="76">
        <f t="shared" si="38"/>
        <v>97.8</v>
      </c>
      <c r="U80" s="76">
        <f t="shared" si="38"/>
        <v>97.8</v>
      </c>
      <c r="V80" s="76">
        <f t="shared" si="38"/>
        <v>97.8</v>
      </c>
      <c r="W80" s="76">
        <f t="shared" si="38"/>
        <v>97.8</v>
      </c>
      <c r="X80" s="76">
        <f t="shared" si="38"/>
        <v>97.8</v>
      </c>
      <c r="Y80" s="76">
        <f t="shared" si="38"/>
        <v>97.8</v>
      </c>
      <c r="Z80" s="76">
        <f t="shared" si="38"/>
        <v>97.8</v>
      </c>
      <c r="AA80" s="76">
        <f t="shared" si="38"/>
        <v>97.8</v>
      </c>
      <c r="AB80" s="76">
        <f t="shared" si="38"/>
        <v>97.600000000000009</v>
      </c>
      <c r="AC80" s="76">
        <f t="shared" si="38"/>
        <v>97.600000000000009</v>
      </c>
      <c r="AD80" s="76">
        <f t="shared" si="38"/>
        <v>97.199999999999989</v>
      </c>
      <c r="AE80" s="76">
        <f t="shared" ref="AE80" si="39">AE77+AE78+AE79</f>
        <v>97.199999999999989</v>
      </c>
      <c r="AF80" s="76">
        <f t="shared" si="38"/>
        <v>95.9</v>
      </c>
      <c r="AG80" s="93">
        <f>SUM(AG77:AG79)</f>
        <v>106</v>
      </c>
      <c r="AH80" s="12">
        <f t="shared" si="8"/>
        <v>98.699999999999989</v>
      </c>
      <c r="AI80" s="11">
        <f t="shared" si="9"/>
        <v>95.9</v>
      </c>
      <c r="AK80" s="19"/>
      <c r="AZ80" s="78">
        <f t="shared" si="33"/>
        <v>44</v>
      </c>
      <c r="BA80" s="78">
        <f t="shared" si="33"/>
        <v>43.9</v>
      </c>
      <c r="BB80" s="78">
        <f t="shared" si="33"/>
        <v>45.3</v>
      </c>
      <c r="BC80" s="78">
        <f t="shared" si="33"/>
        <v>45</v>
      </c>
      <c r="BD80" s="78">
        <f t="shared" si="33"/>
        <v>42.2</v>
      </c>
      <c r="BE80" s="78">
        <f t="shared" si="33"/>
        <v>42.6</v>
      </c>
      <c r="BF80" s="78">
        <f t="shared" si="33"/>
        <v>50.2</v>
      </c>
      <c r="BG80" s="78">
        <f t="shared" si="33"/>
        <v>52.4</v>
      </c>
      <c r="BH80" s="78">
        <f t="shared" si="33"/>
        <v>51</v>
      </c>
      <c r="BI80" s="78">
        <f t="shared" si="33"/>
        <v>51</v>
      </c>
      <c r="BJ80" s="78">
        <f t="shared" si="33"/>
        <v>51</v>
      </c>
      <c r="BK80" s="78">
        <f t="shared" si="33"/>
        <v>51</v>
      </c>
      <c r="BL80" s="78">
        <f t="shared" si="33"/>
        <v>49</v>
      </c>
      <c r="BM80" s="78">
        <f t="shared" si="33"/>
        <v>46.4</v>
      </c>
      <c r="BN80" s="78">
        <f t="shared" si="33"/>
        <v>51</v>
      </c>
      <c r="BO80" s="78">
        <f t="shared" si="33"/>
        <v>50</v>
      </c>
      <c r="BP80" s="78">
        <f t="shared" si="33"/>
        <v>46.1</v>
      </c>
      <c r="BQ80" s="78">
        <f t="shared" si="33"/>
        <v>32.5</v>
      </c>
      <c r="BR80" s="78">
        <f t="shared" si="33"/>
        <v>32.1</v>
      </c>
      <c r="BS80" s="78">
        <f t="shared" si="33"/>
        <v>28.4</v>
      </c>
      <c r="BT80" s="78">
        <f t="shared" si="33"/>
        <v>46.3</v>
      </c>
      <c r="BU80" s="78">
        <f t="shared" si="33"/>
        <v>55</v>
      </c>
      <c r="BV80" s="78">
        <f t="shared" si="33"/>
        <v>53.5</v>
      </c>
      <c r="BW80" s="78">
        <f t="shared" si="33"/>
        <v>23.7</v>
      </c>
    </row>
    <row r="81" spans="1:64" x14ac:dyDescent="0.25">
      <c r="A81" s="89" t="s">
        <v>157</v>
      </c>
      <c r="B81" s="102">
        <v>30.2</v>
      </c>
      <c r="C81" s="102">
        <v>28</v>
      </c>
      <c r="D81" s="102">
        <v>24</v>
      </c>
      <c r="E81" s="102">
        <v>36.200000000000003</v>
      </c>
      <c r="F81" s="102">
        <v>34.1</v>
      </c>
      <c r="G81" s="102">
        <v>31.9</v>
      </c>
      <c r="H81" s="102">
        <v>30.9</v>
      </c>
      <c r="I81" s="102">
        <v>31.8</v>
      </c>
      <c r="J81" s="102">
        <v>62</v>
      </c>
      <c r="K81" s="102">
        <v>62.8</v>
      </c>
      <c r="L81" s="102">
        <v>61.4</v>
      </c>
      <c r="M81" s="102">
        <v>66.599999999999994</v>
      </c>
      <c r="N81" s="102">
        <v>66</v>
      </c>
      <c r="O81" s="102">
        <v>76</v>
      </c>
      <c r="P81" s="102">
        <v>66</v>
      </c>
      <c r="Q81" s="102">
        <v>69.099999999999994</v>
      </c>
      <c r="R81" s="102">
        <v>68.599999999999994</v>
      </c>
      <c r="S81" s="102">
        <v>73.599999999999994</v>
      </c>
      <c r="T81" s="102">
        <v>73.5</v>
      </c>
      <c r="U81" s="102">
        <v>73.8</v>
      </c>
      <c r="V81" s="102">
        <v>64</v>
      </c>
      <c r="W81" s="102">
        <v>67</v>
      </c>
      <c r="X81" s="102">
        <v>67.2</v>
      </c>
      <c r="Y81" s="102">
        <v>51.5</v>
      </c>
      <c r="Z81" s="102">
        <v>37.4</v>
      </c>
      <c r="AA81" s="102">
        <v>44.3</v>
      </c>
      <c r="AB81" s="102">
        <v>43</v>
      </c>
      <c r="AC81" s="102">
        <v>44.2</v>
      </c>
      <c r="AD81" s="102">
        <v>40.5</v>
      </c>
      <c r="AE81" s="102">
        <v>46.9</v>
      </c>
      <c r="AF81" s="102">
        <v>42</v>
      </c>
      <c r="AG81" s="88"/>
      <c r="AH81" s="12">
        <f t="shared" si="8"/>
        <v>76</v>
      </c>
      <c r="AI81" s="11">
        <f t="shared" si="9"/>
        <v>24</v>
      </c>
      <c r="AK81" s="19"/>
      <c r="AY81" s="78"/>
    </row>
    <row r="82" spans="1:64" x14ac:dyDescent="0.25">
      <c r="A82" s="87" t="s">
        <v>160</v>
      </c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12">
        <f t="shared" ref="AH82:AH125" si="40">MAX(B82:AF82)</f>
        <v>0</v>
      </c>
      <c r="AI82" s="11">
        <f t="shared" ref="AI82:AI125" si="41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25">
      <c r="A83" s="87" t="s">
        <v>181</v>
      </c>
      <c r="B83" s="70">
        <v>68.2</v>
      </c>
      <c r="C83" s="70">
        <v>53.7</v>
      </c>
      <c r="D83" s="70">
        <v>58.6</v>
      </c>
      <c r="E83" s="70">
        <v>115</v>
      </c>
      <c r="F83" s="70">
        <v>105.1</v>
      </c>
      <c r="G83" s="70">
        <v>124.5</v>
      </c>
      <c r="H83" s="70">
        <v>132.30000000000001</v>
      </c>
      <c r="I83" s="70">
        <v>240.6</v>
      </c>
      <c r="J83" s="70">
        <v>456</v>
      </c>
      <c r="K83" s="70">
        <v>506</v>
      </c>
      <c r="L83" s="70">
        <v>548.79999999999995</v>
      </c>
      <c r="M83" s="70">
        <v>546</v>
      </c>
      <c r="N83" s="70">
        <v>355</v>
      </c>
      <c r="O83" s="70">
        <v>355</v>
      </c>
      <c r="P83" s="70">
        <v>377</v>
      </c>
      <c r="Q83" s="70">
        <v>352</v>
      </c>
      <c r="R83" s="70">
        <v>325</v>
      </c>
      <c r="S83" s="70">
        <v>447</v>
      </c>
      <c r="T83" s="70">
        <v>403</v>
      </c>
      <c r="U83" s="70">
        <v>478</v>
      </c>
      <c r="V83" s="70">
        <v>514</v>
      </c>
      <c r="W83" s="70">
        <v>534</v>
      </c>
      <c r="X83" s="70">
        <v>532</v>
      </c>
      <c r="Y83" s="70">
        <v>452</v>
      </c>
      <c r="Z83" s="70">
        <v>210</v>
      </c>
      <c r="AA83" s="70">
        <v>225</v>
      </c>
      <c r="AB83" s="70">
        <v>170</v>
      </c>
      <c r="AC83" s="70">
        <v>222.8</v>
      </c>
      <c r="AD83" s="70">
        <v>261.5</v>
      </c>
      <c r="AE83" s="70">
        <v>240</v>
      </c>
      <c r="AF83" s="70">
        <v>211.1</v>
      </c>
      <c r="AG83" s="96"/>
      <c r="AH83" s="12">
        <f t="shared" si="40"/>
        <v>548.79999999999995</v>
      </c>
      <c r="AI83" s="11">
        <f t="shared" si="41"/>
        <v>53.7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25">
      <c r="A84" s="87" t="s">
        <v>161</v>
      </c>
      <c r="B84" s="70">
        <v>0</v>
      </c>
      <c r="C84" s="70">
        <v>0</v>
      </c>
      <c r="D84" s="70">
        <v>0</v>
      </c>
      <c r="E84" s="85">
        <v>0</v>
      </c>
      <c r="F84" s="85">
        <v>0</v>
      </c>
      <c r="G84" s="85">
        <v>0</v>
      </c>
      <c r="H84" s="85">
        <v>0</v>
      </c>
      <c r="I84" s="85">
        <v>0</v>
      </c>
      <c r="J84" s="85">
        <v>0</v>
      </c>
      <c r="K84" s="85">
        <v>35</v>
      </c>
      <c r="L84" s="85">
        <v>44.4</v>
      </c>
      <c r="M84" s="85">
        <v>52.9</v>
      </c>
      <c r="N84" s="85">
        <v>52.3</v>
      </c>
      <c r="O84" s="85">
        <v>52.3</v>
      </c>
      <c r="P84" s="85">
        <v>48</v>
      </c>
      <c r="Q84" s="85">
        <v>49.8</v>
      </c>
      <c r="R84" s="85">
        <v>46</v>
      </c>
      <c r="S84" s="85">
        <v>45.4</v>
      </c>
      <c r="T84" s="85">
        <v>54.1</v>
      </c>
      <c r="U84" s="85">
        <v>57.6</v>
      </c>
      <c r="V84" s="85">
        <v>52</v>
      </c>
      <c r="W84" s="85">
        <v>34.299999999999997</v>
      </c>
      <c r="X84" s="85">
        <v>35.6</v>
      </c>
      <c r="Y84" s="85">
        <v>31.3</v>
      </c>
      <c r="Z84" s="85">
        <v>0</v>
      </c>
      <c r="AA84" s="85">
        <v>0</v>
      </c>
      <c r="AB84" s="85">
        <v>0</v>
      </c>
      <c r="AC84" s="85">
        <v>0</v>
      </c>
      <c r="AD84" s="85"/>
      <c r="AE84" s="85"/>
      <c r="AF84" s="85"/>
      <c r="AG84" s="96"/>
      <c r="AH84" s="12">
        <f t="shared" si="40"/>
        <v>57.6</v>
      </c>
      <c r="AI84" s="11">
        <f t="shared" si="41"/>
        <v>0</v>
      </c>
      <c r="AK84" s="19"/>
      <c r="AY84" s="78"/>
      <c r="BF84" s="83"/>
      <c r="BG84" s="78">
        <f t="array" ref="BG84:BL107">TRANSPOSE(AZ68:BW73)</f>
        <v>28</v>
      </c>
      <c r="BH84" s="78">
        <v>0</v>
      </c>
      <c r="BI84" s="78">
        <v>54</v>
      </c>
      <c r="BJ84" s="78">
        <v>0</v>
      </c>
      <c r="BK84" s="78">
        <v>0</v>
      </c>
      <c r="BL84" s="78">
        <v>44</v>
      </c>
    </row>
    <row r="85" spans="1:64" x14ac:dyDescent="0.25">
      <c r="A85" s="87" t="s">
        <v>180</v>
      </c>
      <c r="B85" s="102">
        <v>0</v>
      </c>
      <c r="C85" s="102">
        <v>0</v>
      </c>
      <c r="D85" s="102">
        <v>0</v>
      </c>
      <c r="E85" s="102">
        <v>0</v>
      </c>
      <c r="F85" s="102">
        <v>0</v>
      </c>
      <c r="G85" s="102">
        <v>0</v>
      </c>
      <c r="H85" s="102">
        <v>0</v>
      </c>
      <c r="I85" s="102">
        <v>0</v>
      </c>
      <c r="J85" s="102">
        <v>0</v>
      </c>
      <c r="K85" s="102">
        <v>0</v>
      </c>
      <c r="L85" s="102">
        <v>0</v>
      </c>
      <c r="M85" s="102">
        <v>109.2</v>
      </c>
      <c r="N85" s="102">
        <v>54</v>
      </c>
      <c r="O85" s="102">
        <v>54</v>
      </c>
      <c r="P85" s="102">
        <v>51</v>
      </c>
      <c r="Q85" s="102">
        <v>111.4</v>
      </c>
      <c r="R85" s="102">
        <v>125</v>
      </c>
      <c r="S85" s="102">
        <v>111.1</v>
      </c>
      <c r="T85" s="102">
        <v>106</v>
      </c>
      <c r="U85" s="102">
        <v>122.6</v>
      </c>
      <c r="V85" s="102">
        <v>0</v>
      </c>
      <c r="W85" s="102">
        <v>0</v>
      </c>
      <c r="X85" s="102">
        <v>0</v>
      </c>
      <c r="Y85" s="102">
        <v>0</v>
      </c>
      <c r="Z85" s="102">
        <v>0</v>
      </c>
      <c r="AA85" s="102">
        <v>0</v>
      </c>
      <c r="AB85" s="102">
        <v>0</v>
      </c>
      <c r="AC85" s="102">
        <v>0</v>
      </c>
      <c r="AD85" s="102"/>
      <c r="AE85" s="102"/>
      <c r="AF85" s="102"/>
      <c r="AG85" s="96"/>
      <c r="AH85" s="12">
        <f t="shared" si="40"/>
        <v>125</v>
      </c>
      <c r="AI85" s="11">
        <f t="shared" si="41"/>
        <v>0</v>
      </c>
      <c r="AK85" s="19"/>
      <c r="AY85" s="78"/>
      <c r="BF85" s="83"/>
      <c r="BG85" s="78">
        <v>24</v>
      </c>
      <c r="BH85" s="78">
        <v>0</v>
      </c>
      <c r="BI85" s="78">
        <v>58.6</v>
      </c>
      <c r="BJ85" s="78">
        <v>0</v>
      </c>
      <c r="BK85" s="78">
        <v>0</v>
      </c>
      <c r="BL85" s="78">
        <v>43.9</v>
      </c>
    </row>
    <row r="86" spans="1:64" x14ac:dyDescent="0.25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40"/>
        <v>0</v>
      </c>
      <c r="AI86" s="11">
        <f t="shared" si="41"/>
        <v>0</v>
      </c>
      <c r="AK86" s="19"/>
      <c r="AY86" s="78"/>
      <c r="BF86" s="83"/>
      <c r="BG86" s="78">
        <v>36.200000000000003</v>
      </c>
      <c r="BH86" s="78">
        <v>0</v>
      </c>
      <c r="BI86" s="78">
        <v>115</v>
      </c>
      <c r="BJ86" s="78">
        <v>0</v>
      </c>
      <c r="BK86" s="78">
        <v>0</v>
      </c>
      <c r="BL86" s="78">
        <v>45.3</v>
      </c>
    </row>
    <row r="87" spans="1:64" ht="15.75" thickBot="1" x14ac:dyDescent="0.3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40"/>
        <v>0</v>
      </c>
      <c r="AI87" s="11">
        <f t="shared" si="41"/>
        <v>0</v>
      </c>
      <c r="AK87" s="19"/>
      <c r="AL87" s="108" t="s">
        <v>177</v>
      </c>
      <c r="AM87" s="108"/>
      <c r="AY87" s="78"/>
      <c r="BF87" s="78"/>
      <c r="BG87" s="78">
        <v>34.1</v>
      </c>
      <c r="BH87" s="78">
        <v>0</v>
      </c>
      <c r="BI87" s="78">
        <v>105.1</v>
      </c>
      <c r="BJ87" s="78">
        <v>0</v>
      </c>
      <c r="BK87" s="78">
        <v>0</v>
      </c>
      <c r="BL87" s="78">
        <v>45</v>
      </c>
    </row>
    <row r="88" spans="1:64" x14ac:dyDescent="0.25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40"/>
        <v>0</v>
      </c>
      <c r="AI88" s="11">
        <f t="shared" si="41"/>
        <v>0</v>
      </c>
      <c r="AK88" s="107"/>
      <c r="AL88" s="106"/>
      <c r="AM88" s="106"/>
      <c r="AN88" s="105"/>
      <c r="AY88" s="78"/>
      <c r="BF88" s="78"/>
      <c r="BG88" s="78">
        <v>31.9</v>
      </c>
      <c r="BH88" s="78">
        <v>0</v>
      </c>
      <c r="BI88" s="78">
        <v>124.5</v>
      </c>
      <c r="BJ88" s="78">
        <v>0</v>
      </c>
      <c r="BK88" s="78">
        <v>0</v>
      </c>
      <c r="BL88" s="78">
        <v>42.2</v>
      </c>
    </row>
    <row r="89" spans="1:64" x14ac:dyDescent="0.25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40"/>
        <v>0</v>
      </c>
      <c r="AI89" s="11">
        <f t="shared" si="41"/>
        <v>0</v>
      </c>
      <c r="AK89" s="104" t="s">
        <v>174</v>
      </c>
      <c r="AL89" s="70"/>
      <c r="AM89" s="85"/>
      <c r="AN89" s="103"/>
      <c r="AY89" s="78"/>
      <c r="BF89" s="78"/>
      <c r="BG89" s="78">
        <v>31.8</v>
      </c>
      <c r="BH89" s="78">
        <v>0</v>
      </c>
      <c r="BI89" s="78">
        <v>240.6</v>
      </c>
      <c r="BJ89" s="78">
        <v>0</v>
      </c>
      <c r="BK89" s="78">
        <v>0</v>
      </c>
      <c r="BL89" s="78">
        <v>42.6</v>
      </c>
    </row>
    <row r="90" spans="1:64" x14ac:dyDescent="0.25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40"/>
        <v>0</v>
      </c>
      <c r="AI90" s="11">
        <f t="shared" si="41"/>
        <v>0</v>
      </c>
      <c r="AK90" s="104" t="s">
        <v>172</v>
      </c>
      <c r="AL90" s="85"/>
      <c r="AM90" s="85"/>
      <c r="AN90" s="103"/>
      <c r="AY90" s="78"/>
      <c r="BF90" s="78"/>
      <c r="BG90" s="78">
        <v>62.8</v>
      </c>
      <c r="BH90" s="78">
        <v>0</v>
      </c>
      <c r="BI90" s="78">
        <v>506</v>
      </c>
      <c r="BJ90" s="78">
        <v>35</v>
      </c>
      <c r="BK90" s="78">
        <v>0</v>
      </c>
      <c r="BL90" s="78">
        <v>50.2</v>
      </c>
    </row>
    <row r="91" spans="1:64" ht="15.75" thickBot="1" x14ac:dyDescent="0.3">
      <c r="A91" s="82" t="s">
        <v>171</v>
      </c>
      <c r="B91" s="97">
        <v>23.7</v>
      </c>
      <c r="C91" s="97">
        <v>43.9</v>
      </c>
      <c r="D91" s="97">
        <v>43.9</v>
      </c>
      <c r="E91" s="97">
        <v>45.3</v>
      </c>
      <c r="F91" s="97">
        <v>45</v>
      </c>
      <c r="G91" s="97">
        <v>42.2</v>
      </c>
      <c r="H91" s="97">
        <v>42.2</v>
      </c>
      <c r="I91" s="97">
        <v>42.6</v>
      </c>
      <c r="J91" s="97">
        <v>45.2</v>
      </c>
      <c r="K91" s="97">
        <v>50.2</v>
      </c>
      <c r="L91" s="97">
        <v>52.8</v>
      </c>
      <c r="M91" s="97">
        <v>52.4</v>
      </c>
      <c r="N91" s="97">
        <v>51</v>
      </c>
      <c r="O91" s="97">
        <v>51</v>
      </c>
      <c r="P91" s="97">
        <v>51</v>
      </c>
      <c r="Q91" s="97">
        <v>51</v>
      </c>
      <c r="R91" s="97">
        <v>49</v>
      </c>
      <c r="S91" s="97">
        <v>46.4</v>
      </c>
      <c r="T91" s="97">
        <v>51</v>
      </c>
      <c r="U91" s="97">
        <v>50</v>
      </c>
      <c r="V91" s="97">
        <v>46.1</v>
      </c>
      <c r="W91" s="97">
        <v>36.700000000000003</v>
      </c>
      <c r="X91" s="97">
        <v>32.5</v>
      </c>
      <c r="Y91" s="97">
        <v>31.4</v>
      </c>
      <c r="Z91" s="97">
        <v>32.1</v>
      </c>
      <c r="AA91" s="97">
        <v>30.6</v>
      </c>
      <c r="AB91" s="97">
        <v>28.4</v>
      </c>
      <c r="AC91" s="97">
        <v>32</v>
      </c>
      <c r="AD91" s="97">
        <v>46.3</v>
      </c>
      <c r="AE91" s="97">
        <v>55</v>
      </c>
      <c r="AF91" s="97">
        <v>53.5</v>
      </c>
      <c r="AG91" s="80"/>
      <c r="AH91" s="12">
        <f t="shared" si="40"/>
        <v>55</v>
      </c>
      <c r="AI91" s="11">
        <f t="shared" si="41"/>
        <v>23.7</v>
      </c>
      <c r="AK91" s="98"/>
      <c r="AL91" s="102"/>
      <c r="AM91" s="102"/>
      <c r="AN91" s="101"/>
      <c r="AY91" s="78"/>
      <c r="BF91" s="78"/>
      <c r="BG91" s="78">
        <v>66.599999999999994</v>
      </c>
      <c r="BH91" s="78">
        <v>0</v>
      </c>
      <c r="BI91" s="78">
        <v>546</v>
      </c>
      <c r="BJ91" s="78">
        <v>52.9</v>
      </c>
      <c r="BK91" s="78">
        <v>109.2</v>
      </c>
      <c r="BL91" s="78">
        <v>52.4</v>
      </c>
    </row>
    <row r="92" spans="1:64" ht="15.75" thickBot="1" x14ac:dyDescent="0.3">
      <c r="A92" s="77" t="s">
        <v>170</v>
      </c>
      <c r="B92" s="76">
        <f t="shared" ref="B92:C92" si="42">SUMIF(B81:B91,"&gt;0")</f>
        <v>122.10000000000001</v>
      </c>
      <c r="C92" s="76">
        <f t="shared" si="42"/>
        <v>125.6</v>
      </c>
      <c r="D92" s="76">
        <f t="shared" ref="D92:AF92" si="43">SUMIF(D81:D91,"&gt;0")</f>
        <v>126.5</v>
      </c>
      <c r="E92" s="76">
        <f t="shared" si="43"/>
        <v>196.5</v>
      </c>
      <c r="F92" s="76">
        <f t="shared" si="43"/>
        <v>184.2</v>
      </c>
      <c r="G92" s="76">
        <f t="shared" si="43"/>
        <v>198.60000000000002</v>
      </c>
      <c r="H92" s="76">
        <f t="shared" si="43"/>
        <v>205.40000000000003</v>
      </c>
      <c r="I92" s="76">
        <f t="shared" si="43"/>
        <v>315</v>
      </c>
      <c r="J92" s="76">
        <f t="shared" si="43"/>
        <v>563.20000000000005</v>
      </c>
      <c r="K92" s="76">
        <f t="shared" si="43"/>
        <v>654</v>
      </c>
      <c r="L92" s="76">
        <f t="shared" si="43"/>
        <v>707.39999999999986</v>
      </c>
      <c r="M92" s="76">
        <f t="shared" si="43"/>
        <v>827.1</v>
      </c>
      <c r="N92" s="76">
        <f t="shared" si="43"/>
        <v>578.29999999999995</v>
      </c>
      <c r="O92" s="76">
        <f t="shared" si="43"/>
        <v>588.29999999999995</v>
      </c>
      <c r="P92" s="76">
        <f t="shared" si="43"/>
        <v>593</v>
      </c>
      <c r="Q92" s="76">
        <f t="shared" si="43"/>
        <v>633.30000000000007</v>
      </c>
      <c r="R92" s="76">
        <f t="shared" si="43"/>
        <v>613.6</v>
      </c>
      <c r="S92" s="76">
        <f t="shared" si="43"/>
        <v>723.5</v>
      </c>
      <c r="T92" s="76">
        <f t="shared" si="43"/>
        <v>687.6</v>
      </c>
      <c r="U92" s="76">
        <f t="shared" si="43"/>
        <v>782</v>
      </c>
      <c r="V92" s="76">
        <f t="shared" si="43"/>
        <v>676.1</v>
      </c>
      <c r="W92" s="76">
        <f t="shared" si="43"/>
        <v>672</v>
      </c>
      <c r="X92" s="76">
        <f t="shared" si="43"/>
        <v>667.30000000000007</v>
      </c>
      <c r="Y92" s="76">
        <f t="shared" si="43"/>
        <v>566.19999999999993</v>
      </c>
      <c r="Z92" s="76">
        <f t="shared" si="43"/>
        <v>279.5</v>
      </c>
      <c r="AA92" s="76">
        <f t="shared" si="43"/>
        <v>299.90000000000003</v>
      </c>
      <c r="AB92" s="76">
        <f t="shared" si="43"/>
        <v>241.4</v>
      </c>
      <c r="AC92" s="76">
        <f t="shared" si="43"/>
        <v>299</v>
      </c>
      <c r="AD92" s="76">
        <f t="shared" si="43"/>
        <v>348.3</v>
      </c>
      <c r="AE92" s="76">
        <f t="shared" ref="AE92" si="44">SUMIF(AE81:AE91,"&gt;0")</f>
        <v>341.9</v>
      </c>
      <c r="AF92" s="76">
        <f t="shared" si="43"/>
        <v>306.60000000000002</v>
      </c>
      <c r="AG92" s="75">
        <f>SUM(AG81:AG91)</f>
        <v>0</v>
      </c>
      <c r="AH92" s="12">
        <f t="shared" si="40"/>
        <v>827.1</v>
      </c>
      <c r="AI92" s="11">
        <f t="shared" si="41"/>
        <v>122.10000000000001</v>
      </c>
      <c r="AK92" s="98"/>
      <c r="AL92" s="97"/>
      <c r="AM92" s="100"/>
      <c r="AN92" s="220"/>
      <c r="AY92" s="78"/>
      <c r="BF92" s="78"/>
      <c r="BG92" s="78">
        <v>66</v>
      </c>
      <c r="BH92" s="78">
        <v>0</v>
      </c>
      <c r="BI92" s="78">
        <v>355</v>
      </c>
      <c r="BJ92" s="78">
        <v>52.3</v>
      </c>
      <c r="BK92" s="78">
        <v>54</v>
      </c>
      <c r="BL92" s="78">
        <v>51</v>
      </c>
    </row>
    <row r="93" spans="1:64" x14ac:dyDescent="0.25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40"/>
        <v>0</v>
      </c>
      <c r="AI93" s="11">
        <f t="shared" si="41"/>
        <v>0</v>
      </c>
      <c r="AK93" s="98"/>
      <c r="AL93" s="97"/>
      <c r="AM93" s="97"/>
      <c r="AN93" s="221"/>
      <c r="BF93" s="78"/>
      <c r="BG93" s="78">
        <v>76</v>
      </c>
      <c r="BH93" s="78">
        <v>0</v>
      </c>
      <c r="BI93" s="78">
        <v>355</v>
      </c>
      <c r="BJ93" s="78">
        <v>52.3</v>
      </c>
      <c r="BK93" s="78">
        <v>54</v>
      </c>
      <c r="BL93" s="78">
        <v>51</v>
      </c>
    </row>
    <row r="94" spans="1:64" ht="15.75" thickBot="1" x14ac:dyDescent="0.3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40"/>
        <v>0</v>
      </c>
      <c r="AI94" s="11">
        <f t="shared" si="41"/>
        <v>0</v>
      </c>
      <c r="AK94" s="95"/>
      <c r="AL94" s="67"/>
      <c r="AM94" s="67"/>
      <c r="AN94" s="94"/>
      <c r="BF94" s="78"/>
      <c r="BG94" s="78">
        <v>66</v>
      </c>
      <c r="BH94" s="78">
        <v>0</v>
      </c>
      <c r="BI94" s="78">
        <v>377</v>
      </c>
      <c r="BJ94" s="78">
        <v>48</v>
      </c>
      <c r="BK94" s="78">
        <v>51</v>
      </c>
      <c r="BL94" s="78">
        <v>51</v>
      </c>
    </row>
    <row r="95" spans="1:64" ht="15.75" thickBot="1" x14ac:dyDescent="0.3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40"/>
        <v>0</v>
      </c>
      <c r="AI95" s="11">
        <f t="shared" si="41"/>
        <v>0</v>
      </c>
      <c r="BF95" s="78"/>
      <c r="BG95" s="78">
        <v>69.099999999999994</v>
      </c>
      <c r="BH95" s="78">
        <v>0</v>
      </c>
      <c r="BI95" s="78">
        <v>352</v>
      </c>
      <c r="BJ95" s="78">
        <v>49.8</v>
      </c>
      <c r="BK95" s="78">
        <v>111.4</v>
      </c>
      <c r="BL95" s="78">
        <v>51</v>
      </c>
    </row>
    <row r="96" spans="1:64" ht="15.75" thickBot="1" x14ac:dyDescent="0.3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40"/>
        <v>0</v>
      </c>
      <c r="AI96" s="11">
        <f t="shared" si="41"/>
        <v>0</v>
      </c>
      <c r="BF96" s="78"/>
      <c r="BG96" s="78">
        <v>68.599999999999994</v>
      </c>
      <c r="BH96" s="78">
        <v>0</v>
      </c>
      <c r="BI96" s="78">
        <v>325</v>
      </c>
      <c r="BJ96" s="78">
        <v>46</v>
      </c>
      <c r="BK96" s="78">
        <v>125</v>
      </c>
      <c r="BL96" s="78">
        <v>49</v>
      </c>
    </row>
    <row r="97" spans="1:64" ht="15.75" thickBot="1" x14ac:dyDescent="0.3">
      <c r="A97" s="77" t="s">
        <v>165</v>
      </c>
      <c r="B97" s="90">
        <f t="shared" ref="B97:C97" si="45">B58+B62+B80+B76+B92+B96</f>
        <v>1268.3399999999999</v>
      </c>
      <c r="C97" s="90">
        <f t="shared" si="45"/>
        <v>1240.9399999999998</v>
      </c>
      <c r="D97" s="90">
        <f t="shared" ref="D97:AG97" si="46">D58+D62+D80+D76+D92+D96</f>
        <v>1239.54</v>
      </c>
      <c r="E97" s="90">
        <f t="shared" si="46"/>
        <v>1259.8399999999999</v>
      </c>
      <c r="F97" s="90">
        <f t="shared" si="46"/>
        <v>1263.54</v>
      </c>
      <c r="G97" s="90">
        <f t="shared" si="46"/>
        <v>1286.2399999999998</v>
      </c>
      <c r="H97" s="90">
        <f t="shared" si="46"/>
        <v>1308.74</v>
      </c>
      <c r="I97" s="90">
        <f t="shared" si="46"/>
        <v>1420.54</v>
      </c>
      <c r="J97" s="90">
        <f t="shared" si="46"/>
        <v>1642.74</v>
      </c>
      <c r="K97" s="90">
        <f t="shared" si="46"/>
        <v>1731.54</v>
      </c>
      <c r="L97" s="90">
        <f t="shared" si="46"/>
        <v>1789.0399999999997</v>
      </c>
      <c r="M97" s="90">
        <f t="shared" si="46"/>
        <v>1785.44</v>
      </c>
      <c r="N97" s="90">
        <f t="shared" si="46"/>
        <v>1535.1399999999999</v>
      </c>
      <c r="O97" s="90">
        <f t="shared" si="46"/>
        <v>1547.1399999999999</v>
      </c>
      <c r="P97" s="90">
        <f t="shared" si="46"/>
        <v>1597.64</v>
      </c>
      <c r="Q97" s="90">
        <f t="shared" si="46"/>
        <v>1593.94</v>
      </c>
      <c r="R97" s="90">
        <f t="shared" si="46"/>
        <v>1557.94</v>
      </c>
      <c r="S97" s="90">
        <f t="shared" si="46"/>
        <v>1645.6399999999999</v>
      </c>
      <c r="T97" s="90">
        <f t="shared" si="46"/>
        <v>1596.7399999999998</v>
      </c>
      <c r="U97" s="90">
        <f t="shared" si="46"/>
        <v>1664.3399999999997</v>
      </c>
      <c r="V97" s="90">
        <f t="shared" si="46"/>
        <v>1555.7399999999998</v>
      </c>
      <c r="W97" s="90">
        <f t="shared" si="46"/>
        <v>1542.8399999999997</v>
      </c>
      <c r="X97" s="90">
        <f t="shared" si="46"/>
        <v>1537.94</v>
      </c>
      <c r="Y97" s="90">
        <f t="shared" si="46"/>
        <v>1568.6999999999998</v>
      </c>
      <c r="Z97" s="90">
        <f t="shared" si="46"/>
        <v>1697.1999999999998</v>
      </c>
      <c r="AA97" s="90">
        <f t="shared" si="46"/>
        <v>1685.94</v>
      </c>
      <c r="AB97" s="90">
        <f t="shared" si="46"/>
        <v>1603.54</v>
      </c>
      <c r="AC97" s="90">
        <f t="shared" si="46"/>
        <v>1599.44</v>
      </c>
      <c r="AD97" s="90">
        <f t="shared" si="46"/>
        <v>1571.04</v>
      </c>
      <c r="AE97" s="90">
        <f t="shared" ref="AE97" si="47">AE58+AE62+AE80+AE76+AE92+AE96</f>
        <v>1473.8400000000001</v>
      </c>
      <c r="AF97" s="90">
        <f t="shared" si="46"/>
        <v>1387.1399999999999</v>
      </c>
      <c r="AG97" s="93">
        <f t="shared" si="46"/>
        <v>2231.81</v>
      </c>
      <c r="AH97" s="12">
        <f t="shared" si="40"/>
        <v>1789.0399999999997</v>
      </c>
      <c r="AI97" s="11">
        <f t="shared" si="41"/>
        <v>1239.54</v>
      </c>
      <c r="BF97" s="78"/>
      <c r="BG97" s="78">
        <v>73.599999999999994</v>
      </c>
      <c r="BH97" s="78">
        <v>0</v>
      </c>
      <c r="BI97" s="78">
        <v>447</v>
      </c>
      <c r="BJ97" s="78">
        <v>45.4</v>
      </c>
      <c r="BK97" s="78">
        <v>111.1</v>
      </c>
      <c r="BL97" s="78">
        <v>46.4</v>
      </c>
    </row>
    <row r="98" spans="1:64" ht="15.75" thickBot="1" x14ac:dyDescent="0.3">
      <c r="A98" s="92" t="s">
        <v>164</v>
      </c>
      <c r="B98" s="91">
        <v>340</v>
      </c>
      <c r="C98" s="91">
        <v>340</v>
      </c>
      <c r="D98" s="91">
        <v>320</v>
      </c>
      <c r="E98" s="91">
        <v>260</v>
      </c>
      <c r="F98" s="91">
        <v>260</v>
      </c>
      <c r="G98" s="91">
        <v>260</v>
      </c>
      <c r="H98" s="91">
        <v>260</v>
      </c>
      <c r="I98" s="91">
        <v>220</v>
      </c>
      <c r="J98" s="91">
        <v>100</v>
      </c>
      <c r="K98" s="91">
        <v>30</v>
      </c>
      <c r="L98" s="91">
        <v>20</v>
      </c>
      <c r="M98" s="91">
        <v>30</v>
      </c>
      <c r="N98" s="91">
        <v>100</v>
      </c>
      <c r="O98" s="91">
        <v>100</v>
      </c>
      <c r="P98" s="91">
        <v>100</v>
      </c>
      <c r="Q98" s="91">
        <v>100</v>
      </c>
      <c r="R98" s="91">
        <v>100</v>
      </c>
      <c r="S98" s="91"/>
      <c r="T98" s="91"/>
      <c r="U98" s="91"/>
      <c r="V98" s="91"/>
      <c r="W98" s="91"/>
      <c r="X98" s="91">
        <v>150</v>
      </c>
      <c r="Y98" s="91">
        <v>200</v>
      </c>
      <c r="Z98" s="91">
        <v>280</v>
      </c>
      <c r="AA98" s="91">
        <v>280</v>
      </c>
      <c r="AB98" s="91">
        <v>280</v>
      </c>
      <c r="AC98" s="91">
        <v>280</v>
      </c>
      <c r="AD98" s="91">
        <v>280</v>
      </c>
      <c r="AE98" s="91">
        <v>280</v>
      </c>
      <c r="AF98" s="91">
        <v>280</v>
      </c>
      <c r="AG98" s="75"/>
      <c r="AH98" s="12">
        <f t="shared" si="40"/>
        <v>340</v>
      </c>
      <c r="AI98" s="11">
        <f t="shared" si="41"/>
        <v>20</v>
      </c>
      <c r="BF98" s="78"/>
      <c r="BG98" s="78">
        <v>73.5</v>
      </c>
      <c r="BH98" s="78">
        <v>0</v>
      </c>
      <c r="BI98" s="78">
        <v>403</v>
      </c>
      <c r="BJ98" s="78">
        <v>54.1</v>
      </c>
      <c r="BK98" s="78">
        <v>106</v>
      </c>
      <c r="BL98" s="78">
        <v>51</v>
      </c>
    </row>
    <row r="99" spans="1:64" ht="15.75" thickBot="1" x14ac:dyDescent="0.3">
      <c r="A99" s="77" t="s">
        <v>163</v>
      </c>
      <c r="B99" s="90">
        <f t="shared" ref="B99:C99" si="48">B97+B98</f>
        <v>1608.34</v>
      </c>
      <c r="C99" s="90">
        <f t="shared" si="48"/>
        <v>1580.9399999999998</v>
      </c>
      <c r="D99" s="90">
        <f t="shared" ref="D99:AF99" si="49">D97+D98</f>
        <v>1559.54</v>
      </c>
      <c r="E99" s="90">
        <f t="shared" si="49"/>
        <v>1519.84</v>
      </c>
      <c r="F99" s="90">
        <f t="shared" si="49"/>
        <v>1523.54</v>
      </c>
      <c r="G99" s="90">
        <f t="shared" si="49"/>
        <v>1546.2399999999998</v>
      </c>
      <c r="H99" s="90">
        <f t="shared" si="49"/>
        <v>1568.74</v>
      </c>
      <c r="I99" s="90">
        <f t="shared" si="49"/>
        <v>1640.54</v>
      </c>
      <c r="J99" s="90">
        <f t="shared" si="49"/>
        <v>1742.74</v>
      </c>
      <c r="K99" s="90">
        <f t="shared" si="49"/>
        <v>1761.54</v>
      </c>
      <c r="L99" s="90">
        <f t="shared" si="49"/>
        <v>1809.0399999999997</v>
      </c>
      <c r="M99" s="90">
        <f t="shared" si="49"/>
        <v>1815.44</v>
      </c>
      <c r="N99" s="90">
        <f t="shared" si="49"/>
        <v>1635.1399999999999</v>
      </c>
      <c r="O99" s="90">
        <f t="shared" si="49"/>
        <v>1647.1399999999999</v>
      </c>
      <c r="P99" s="90">
        <f t="shared" si="49"/>
        <v>1697.64</v>
      </c>
      <c r="Q99" s="90">
        <f t="shared" si="49"/>
        <v>1693.94</v>
      </c>
      <c r="R99" s="90">
        <f t="shared" si="49"/>
        <v>1657.94</v>
      </c>
      <c r="S99" s="90">
        <f t="shared" si="49"/>
        <v>1645.6399999999999</v>
      </c>
      <c r="T99" s="90">
        <f t="shared" si="49"/>
        <v>1596.7399999999998</v>
      </c>
      <c r="U99" s="90">
        <f t="shared" si="49"/>
        <v>1664.3399999999997</v>
      </c>
      <c r="V99" s="90">
        <f t="shared" si="49"/>
        <v>1555.7399999999998</v>
      </c>
      <c r="W99" s="90">
        <f t="shared" si="49"/>
        <v>1542.8399999999997</v>
      </c>
      <c r="X99" s="90">
        <f t="shared" si="49"/>
        <v>1687.94</v>
      </c>
      <c r="Y99" s="90">
        <f t="shared" si="49"/>
        <v>1768.6999999999998</v>
      </c>
      <c r="Z99" s="90">
        <f t="shared" si="49"/>
        <v>1977.1999999999998</v>
      </c>
      <c r="AA99" s="90">
        <f t="shared" si="49"/>
        <v>1965.94</v>
      </c>
      <c r="AB99" s="90">
        <f t="shared" si="49"/>
        <v>1883.54</v>
      </c>
      <c r="AC99" s="90">
        <f t="shared" si="49"/>
        <v>1879.44</v>
      </c>
      <c r="AD99" s="90">
        <f t="shared" si="49"/>
        <v>1851.04</v>
      </c>
      <c r="AE99" s="90">
        <f t="shared" ref="AE99" si="50">AE97+AE98</f>
        <v>1753.8400000000001</v>
      </c>
      <c r="AF99" s="90">
        <f t="shared" si="49"/>
        <v>1667.1399999999999</v>
      </c>
      <c r="AG99" s="75">
        <f>AG96+AG92+AG80+AG76+AG58+AG98</f>
        <v>1693.71</v>
      </c>
      <c r="AH99" s="12">
        <f t="shared" si="40"/>
        <v>1977.1999999999998</v>
      </c>
      <c r="AI99" s="11">
        <f t="shared" si="41"/>
        <v>1519.84</v>
      </c>
      <c r="BF99" s="78"/>
      <c r="BG99" s="78">
        <v>73.8</v>
      </c>
      <c r="BH99" s="78">
        <v>0</v>
      </c>
      <c r="BI99" s="78">
        <v>478</v>
      </c>
      <c r="BJ99" s="78">
        <v>57.6</v>
      </c>
      <c r="BK99" s="78">
        <v>122.6</v>
      </c>
      <c r="BL99" s="78">
        <v>50</v>
      </c>
    </row>
    <row r="100" spans="1:64" ht="15.75" thickBot="1" x14ac:dyDescent="0.3">
      <c r="A100" s="77" t="s">
        <v>162</v>
      </c>
      <c r="B100" s="90">
        <f t="shared" ref="B100:C100" si="51">B99-(B107)</f>
        <v>1608.34</v>
      </c>
      <c r="C100" s="90">
        <f t="shared" si="51"/>
        <v>1580.9399999999998</v>
      </c>
      <c r="D100" s="90">
        <f t="shared" ref="D100:AF100" si="52">D99-(D107)</f>
        <v>1559.54</v>
      </c>
      <c r="E100" s="90">
        <f t="shared" si="52"/>
        <v>1519.84</v>
      </c>
      <c r="F100" s="90">
        <f t="shared" si="52"/>
        <v>1523.54</v>
      </c>
      <c r="G100" s="90">
        <f t="shared" si="52"/>
        <v>1546.2399999999998</v>
      </c>
      <c r="H100" s="90">
        <f t="shared" si="52"/>
        <v>1568.74</v>
      </c>
      <c r="I100" s="90">
        <f t="shared" si="52"/>
        <v>1640.54</v>
      </c>
      <c r="J100" s="90">
        <f t="shared" si="52"/>
        <v>1742.74</v>
      </c>
      <c r="K100" s="90">
        <f t="shared" si="52"/>
        <v>1761.54</v>
      </c>
      <c r="L100" s="90">
        <f t="shared" si="52"/>
        <v>1809.0399999999997</v>
      </c>
      <c r="M100" s="90">
        <f t="shared" si="52"/>
        <v>1815.44</v>
      </c>
      <c r="N100" s="90">
        <f t="shared" si="52"/>
        <v>1635.1399999999999</v>
      </c>
      <c r="O100" s="90">
        <f t="shared" si="52"/>
        <v>1647.1399999999999</v>
      </c>
      <c r="P100" s="90">
        <f t="shared" si="52"/>
        <v>1697.64</v>
      </c>
      <c r="Q100" s="90">
        <f t="shared" si="52"/>
        <v>1693.94</v>
      </c>
      <c r="R100" s="90">
        <f t="shared" si="52"/>
        <v>1657.94</v>
      </c>
      <c r="S100" s="90">
        <f t="shared" si="52"/>
        <v>1645.6399999999999</v>
      </c>
      <c r="T100" s="90">
        <f t="shared" si="52"/>
        <v>1596.7399999999998</v>
      </c>
      <c r="U100" s="90">
        <f t="shared" si="52"/>
        <v>1664.3399999999997</v>
      </c>
      <c r="V100" s="90">
        <f t="shared" si="52"/>
        <v>1555.7399999999998</v>
      </c>
      <c r="W100" s="90">
        <f t="shared" si="52"/>
        <v>1542.8399999999997</v>
      </c>
      <c r="X100" s="90">
        <f t="shared" si="52"/>
        <v>1687.94</v>
      </c>
      <c r="Y100" s="90">
        <f t="shared" si="52"/>
        <v>1768.6999999999998</v>
      </c>
      <c r="Z100" s="90">
        <f t="shared" si="52"/>
        <v>1977.1999999999998</v>
      </c>
      <c r="AA100" s="90">
        <f t="shared" si="52"/>
        <v>1965.94</v>
      </c>
      <c r="AB100" s="90">
        <f t="shared" si="52"/>
        <v>1883.54</v>
      </c>
      <c r="AC100" s="90">
        <f t="shared" si="52"/>
        <v>1879.44</v>
      </c>
      <c r="AD100" s="90">
        <f t="shared" si="52"/>
        <v>1851.04</v>
      </c>
      <c r="AE100" s="90">
        <f t="shared" ref="AE100" si="53">AE99-(AE107)</f>
        <v>1753.8400000000001</v>
      </c>
      <c r="AF100" s="90">
        <f t="shared" si="52"/>
        <v>1667.1399999999999</v>
      </c>
      <c r="AG100" s="75"/>
      <c r="AH100" s="12">
        <f t="shared" si="40"/>
        <v>1977.1999999999998</v>
      </c>
      <c r="AI100" s="11">
        <f t="shared" si="41"/>
        <v>1519.84</v>
      </c>
      <c r="BF100" s="78"/>
      <c r="BG100" s="78">
        <v>64</v>
      </c>
      <c r="BH100" s="78">
        <v>0</v>
      </c>
      <c r="BI100" s="78">
        <v>514</v>
      </c>
      <c r="BJ100" s="78">
        <v>52</v>
      </c>
      <c r="BK100" s="78">
        <v>0</v>
      </c>
      <c r="BL100" s="78">
        <v>46.1</v>
      </c>
    </row>
    <row r="101" spans="1:64" x14ac:dyDescent="0.25">
      <c r="A101" s="89" t="s">
        <v>161</v>
      </c>
      <c r="B101" s="85">
        <f t="shared" ref="B101:C101" si="54">IF(B84&lt;0,B84*-1,0)</f>
        <v>0</v>
      </c>
      <c r="C101" s="85">
        <f t="shared" si="54"/>
        <v>0</v>
      </c>
      <c r="D101" s="85">
        <f t="shared" ref="D101:AF101" si="55">IF(D84&lt;0,D84*-1,0)</f>
        <v>0</v>
      </c>
      <c r="E101" s="85">
        <f t="shared" si="55"/>
        <v>0</v>
      </c>
      <c r="F101" s="85">
        <f t="shared" si="55"/>
        <v>0</v>
      </c>
      <c r="G101" s="85">
        <f t="shared" si="55"/>
        <v>0</v>
      </c>
      <c r="H101" s="85">
        <f t="shared" si="55"/>
        <v>0</v>
      </c>
      <c r="I101" s="85">
        <f t="shared" si="55"/>
        <v>0</v>
      </c>
      <c r="J101" s="85">
        <f t="shared" si="55"/>
        <v>0</v>
      </c>
      <c r="K101" s="85">
        <f t="shared" si="55"/>
        <v>0</v>
      </c>
      <c r="L101" s="85">
        <f t="shared" si="55"/>
        <v>0</v>
      </c>
      <c r="M101" s="85">
        <f t="shared" si="55"/>
        <v>0</v>
      </c>
      <c r="N101" s="85">
        <f t="shared" si="55"/>
        <v>0</v>
      </c>
      <c r="O101" s="85">
        <f t="shared" si="55"/>
        <v>0</v>
      </c>
      <c r="P101" s="85">
        <f t="shared" si="55"/>
        <v>0</v>
      </c>
      <c r="Q101" s="85">
        <f t="shared" si="55"/>
        <v>0</v>
      </c>
      <c r="R101" s="85">
        <f t="shared" si="55"/>
        <v>0</v>
      </c>
      <c r="S101" s="85">
        <f t="shared" si="55"/>
        <v>0</v>
      </c>
      <c r="T101" s="85">
        <f t="shared" si="55"/>
        <v>0</v>
      </c>
      <c r="U101" s="85">
        <f t="shared" si="55"/>
        <v>0</v>
      </c>
      <c r="V101" s="85">
        <f t="shared" si="55"/>
        <v>0</v>
      </c>
      <c r="W101" s="85">
        <f t="shared" si="55"/>
        <v>0</v>
      </c>
      <c r="X101" s="85">
        <f t="shared" si="55"/>
        <v>0</v>
      </c>
      <c r="Y101" s="85">
        <f t="shared" si="55"/>
        <v>0</v>
      </c>
      <c r="Z101" s="85">
        <f t="shared" si="55"/>
        <v>0</v>
      </c>
      <c r="AA101" s="85">
        <f t="shared" si="55"/>
        <v>0</v>
      </c>
      <c r="AB101" s="85">
        <f t="shared" si="55"/>
        <v>0</v>
      </c>
      <c r="AC101" s="85">
        <f t="shared" si="55"/>
        <v>0</v>
      </c>
      <c r="AD101" s="85">
        <f t="shared" si="55"/>
        <v>0</v>
      </c>
      <c r="AE101" s="85">
        <f t="shared" ref="AE101" si="56">IF(AE84&lt;0,AE84*-1,0)</f>
        <v>0</v>
      </c>
      <c r="AF101" s="85">
        <f t="shared" si="55"/>
        <v>0</v>
      </c>
      <c r="AG101" s="88"/>
      <c r="AH101" s="12">
        <f t="shared" si="40"/>
        <v>0</v>
      </c>
      <c r="AI101" s="11">
        <f t="shared" si="41"/>
        <v>0</v>
      </c>
      <c r="BF101" s="83"/>
      <c r="BG101" s="78">
        <v>67.2</v>
      </c>
      <c r="BH101" s="78">
        <v>0</v>
      </c>
      <c r="BI101" s="78">
        <v>532</v>
      </c>
      <c r="BJ101" s="78">
        <v>35.6</v>
      </c>
      <c r="BK101" s="78">
        <v>0</v>
      </c>
      <c r="BL101" s="78">
        <v>32.5</v>
      </c>
    </row>
    <row r="102" spans="1:64" x14ac:dyDescent="0.25">
      <c r="A102" s="87" t="s">
        <v>160</v>
      </c>
      <c r="B102" s="85">
        <f t="shared" ref="B102:C102" si="57">IF(B82&lt;0,B82*-1,0)</f>
        <v>0</v>
      </c>
      <c r="C102" s="85">
        <f t="shared" si="57"/>
        <v>0</v>
      </c>
      <c r="D102" s="85">
        <f t="shared" ref="D102:AF102" si="58">IF(D82&lt;0,D82*-1,0)</f>
        <v>0</v>
      </c>
      <c r="E102" s="85">
        <f t="shared" si="58"/>
        <v>0</v>
      </c>
      <c r="F102" s="85">
        <f t="shared" si="58"/>
        <v>0</v>
      </c>
      <c r="G102" s="85">
        <f t="shared" si="58"/>
        <v>0</v>
      </c>
      <c r="H102" s="85">
        <f t="shared" si="58"/>
        <v>0</v>
      </c>
      <c r="I102" s="85">
        <f t="shared" si="58"/>
        <v>0</v>
      </c>
      <c r="J102" s="85">
        <f t="shared" si="58"/>
        <v>0</v>
      </c>
      <c r="K102" s="85">
        <f t="shared" si="58"/>
        <v>0</v>
      </c>
      <c r="L102" s="85">
        <f t="shared" si="58"/>
        <v>0</v>
      </c>
      <c r="M102" s="85">
        <f t="shared" si="58"/>
        <v>0</v>
      </c>
      <c r="N102" s="85">
        <f t="shared" si="58"/>
        <v>0</v>
      </c>
      <c r="O102" s="85">
        <f t="shared" si="58"/>
        <v>0</v>
      </c>
      <c r="P102" s="85">
        <f t="shared" si="58"/>
        <v>0</v>
      </c>
      <c r="Q102" s="85">
        <f t="shared" si="58"/>
        <v>0</v>
      </c>
      <c r="R102" s="85">
        <f t="shared" si="58"/>
        <v>0</v>
      </c>
      <c r="S102" s="85">
        <f t="shared" si="58"/>
        <v>0</v>
      </c>
      <c r="T102" s="85">
        <f t="shared" si="58"/>
        <v>0</v>
      </c>
      <c r="U102" s="85">
        <f t="shared" si="58"/>
        <v>0</v>
      </c>
      <c r="V102" s="85">
        <f t="shared" si="58"/>
        <v>0</v>
      </c>
      <c r="W102" s="85">
        <f t="shared" si="58"/>
        <v>0</v>
      </c>
      <c r="X102" s="85">
        <f t="shared" si="58"/>
        <v>0</v>
      </c>
      <c r="Y102" s="85">
        <f t="shared" si="58"/>
        <v>0</v>
      </c>
      <c r="Z102" s="85">
        <f t="shared" si="58"/>
        <v>0</v>
      </c>
      <c r="AA102" s="85">
        <f t="shared" si="58"/>
        <v>0</v>
      </c>
      <c r="AB102" s="85">
        <f t="shared" si="58"/>
        <v>0</v>
      </c>
      <c r="AC102" s="85">
        <f t="shared" si="58"/>
        <v>0</v>
      </c>
      <c r="AD102" s="85">
        <f t="shared" si="58"/>
        <v>0</v>
      </c>
      <c r="AE102" s="85">
        <f t="shared" ref="AE102" si="59">IF(AE82&lt;0,AE82*-1,0)</f>
        <v>0</v>
      </c>
      <c r="AF102" s="85">
        <f t="shared" si="58"/>
        <v>0</v>
      </c>
      <c r="AG102" s="86"/>
      <c r="AH102" s="12">
        <f t="shared" si="40"/>
        <v>0</v>
      </c>
      <c r="AI102" s="11">
        <f t="shared" si="41"/>
        <v>0</v>
      </c>
      <c r="BF102" s="83"/>
      <c r="BG102" s="78">
        <v>37.4</v>
      </c>
      <c r="BH102" s="78">
        <v>0</v>
      </c>
      <c r="BI102" s="78">
        <v>210</v>
      </c>
      <c r="BJ102" s="78">
        <v>0</v>
      </c>
      <c r="BK102" s="78">
        <v>0</v>
      </c>
      <c r="BL102" s="78">
        <v>32.1</v>
      </c>
    </row>
    <row r="103" spans="1:64" x14ac:dyDescent="0.25">
      <c r="A103" s="82" t="s">
        <v>159</v>
      </c>
      <c r="B103" s="85">
        <f t="shared" ref="B103:C103" si="60">IF(B85&lt;0,B85*-1,0)</f>
        <v>0</v>
      </c>
      <c r="C103" s="85">
        <f t="shared" si="60"/>
        <v>0</v>
      </c>
      <c r="D103" s="85">
        <f t="shared" ref="D103:AF103" si="61">IF(D85&lt;0,D85*-1,0)</f>
        <v>0</v>
      </c>
      <c r="E103" s="85">
        <f t="shared" si="61"/>
        <v>0</v>
      </c>
      <c r="F103" s="85">
        <f t="shared" si="61"/>
        <v>0</v>
      </c>
      <c r="G103" s="85">
        <f t="shared" si="61"/>
        <v>0</v>
      </c>
      <c r="H103" s="85">
        <f t="shared" si="61"/>
        <v>0</v>
      </c>
      <c r="I103" s="85">
        <f t="shared" si="61"/>
        <v>0</v>
      </c>
      <c r="J103" s="85">
        <f t="shared" si="61"/>
        <v>0</v>
      </c>
      <c r="K103" s="85">
        <f t="shared" si="61"/>
        <v>0</v>
      </c>
      <c r="L103" s="85">
        <f t="shared" si="61"/>
        <v>0</v>
      </c>
      <c r="M103" s="85">
        <f t="shared" si="61"/>
        <v>0</v>
      </c>
      <c r="N103" s="85">
        <f t="shared" si="61"/>
        <v>0</v>
      </c>
      <c r="O103" s="85">
        <f t="shared" si="61"/>
        <v>0</v>
      </c>
      <c r="P103" s="85">
        <f t="shared" si="61"/>
        <v>0</v>
      </c>
      <c r="Q103" s="85">
        <f t="shared" si="61"/>
        <v>0</v>
      </c>
      <c r="R103" s="85">
        <f t="shared" si="61"/>
        <v>0</v>
      </c>
      <c r="S103" s="85">
        <f t="shared" si="61"/>
        <v>0</v>
      </c>
      <c r="T103" s="85">
        <f t="shared" si="61"/>
        <v>0</v>
      </c>
      <c r="U103" s="85">
        <f t="shared" si="61"/>
        <v>0</v>
      </c>
      <c r="V103" s="85">
        <f t="shared" si="61"/>
        <v>0</v>
      </c>
      <c r="W103" s="85">
        <f t="shared" si="61"/>
        <v>0</v>
      </c>
      <c r="X103" s="85">
        <f t="shared" si="61"/>
        <v>0</v>
      </c>
      <c r="Y103" s="85">
        <f t="shared" si="61"/>
        <v>0</v>
      </c>
      <c r="Z103" s="85">
        <f t="shared" si="61"/>
        <v>0</v>
      </c>
      <c r="AA103" s="85">
        <f t="shared" si="61"/>
        <v>0</v>
      </c>
      <c r="AB103" s="85">
        <f t="shared" si="61"/>
        <v>0</v>
      </c>
      <c r="AC103" s="85">
        <f t="shared" si="61"/>
        <v>0</v>
      </c>
      <c r="AD103" s="85">
        <f t="shared" si="61"/>
        <v>0</v>
      </c>
      <c r="AE103" s="85">
        <f t="shared" ref="AE103" si="62">IF(AE85&lt;0,AE85*-1,0)</f>
        <v>0</v>
      </c>
      <c r="AF103" s="85">
        <f t="shared" si="61"/>
        <v>0</v>
      </c>
      <c r="AG103" s="84"/>
      <c r="AH103" s="12">
        <f t="shared" si="40"/>
        <v>0</v>
      </c>
      <c r="AI103" s="11">
        <f t="shared" si="41"/>
        <v>0</v>
      </c>
      <c r="BF103" s="83"/>
      <c r="BG103" s="78">
        <v>43</v>
      </c>
      <c r="BH103" s="78">
        <v>0</v>
      </c>
      <c r="BI103" s="78">
        <v>170</v>
      </c>
      <c r="BJ103" s="78">
        <v>0</v>
      </c>
      <c r="BK103" s="78">
        <v>0</v>
      </c>
      <c r="BL103" s="78">
        <v>28.4</v>
      </c>
    </row>
    <row r="104" spans="1:64" x14ac:dyDescent="0.25">
      <c r="A104" s="82" t="s">
        <v>158</v>
      </c>
      <c r="B104" s="85">
        <f t="shared" ref="B104:C104" si="63">IF(B83&lt;0,B83*-1,0)</f>
        <v>0</v>
      </c>
      <c r="C104" s="85">
        <f t="shared" si="63"/>
        <v>0</v>
      </c>
      <c r="D104" s="85">
        <f t="shared" ref="D104:AF104" si="64">IF(D83&lt;0,D83*-1,0)</f>
        <v>0</v>
      </c>
      <c r="E104" s="85">
        <f t="shared" si="64"/>
        <v>0</v>
      </c>
      <c r="F104" s="85">
        <f t="shared" si="64"/>
        <v>0</v>
      </c>
      <c r="G104" s="85">
        <f t="shared" si="64"/>
        <v>0</v>
      </c>
      <c r="H104" s="85">
        <f t="shared" si="64"/>
        <v>0</v>
      </c>
      <c r="I104" s="85">
        <f t="shared" si="64"/>
        <v>0</v>
      </c>
      <c r="J104" s="85">
        <f t="shared" si="64"/>
        <v>0</v>
      </c>
      <c r="K104" s="85">
        <f t="shared" si="64"/>
        <v>0</v>
      </c>
      <c r="L104" s="85">
        <f t="shared" si="64"/>
        <v>0</v>
      </c>
      <c r="M104" s="85">
        <f t="shared" si="64"/>
        <v>0</v>
      </c>
      <c r="N104" s="85">
        <f t="shared" si="64"/>
        <v>0</v>
      </c>
      <c r="O104" s="85">
        <f t="shared" si="64"/>
        <v>0</v>
      </c>
      <c r="P104" s="85">
        <f t="shared" si="64"/>
        <v>0</v>
      </c>
      <c r="Q104" s="85">
        <f t="shared" si="64"/>
        <v>0</v>
      </c>
      <c r="R104" s="85">
        <f t="shared" si="64"/>
        <v>0</v>
      </c>
      <c r="S104" s="85">
        <f t="shared" si="64"/>
        <v>0</v>
      </c>
      <c r="T104" s="85">
        <f t="shared" si="64"/>
        <v>0</v>
      </c>
      <c r="U104" s="85">
        <f t="shared" si="64"/>
        <v>0</v>
      </c>
      <c r="V104" s="85">
        <f t="shared" si="64"/>
        <v>0</v>
      </c>
      <c r="W104" s="85">
        <f t="shared" si="64"/>
        <v>0</v>
      </c>
      <c r="X104" s="85">
        <f t="shared" si="64"/>
        <v>0</v>
      </c>
      <c r="Y104" s="85">
        <f t="shared" si="64"/>
        <v>0</v>
      </c>
      <c r="Z104" s="85">
        <f t="shared" si="64"/>
        <v>0</v>
      </c>
      <c r="AA104" s="85">
        <f t="shared" si="64"/>
        <v>0</v>
      </c>
      <c r="AB104" s="85">
        <f t="shared" si="64"/>
        <v>0</v>
      </c>
      <c r="AC104" s="85">
        <f t="shared" si="64"/>
        <v>0</v>
      </c>
      <c r="AD104" s="85">
        <f t="shared" si="64"/>
        <v>0</v>
      </c>
      <c r="AE104" s="85">
        <f t="shared" ref="AE104" si="65">IF(AE83&lt;0,AE83*-1,0)</f>
        <v>0</v>
      </c>
      <c r="AF104" s="85">
        <f t="shared" si="64"/>
        <v>0</v>
      </c>
      <c r="AG104" s="84"/>
      <c r="AH104" s="12">
        <f t="shared" si="40"/>
        <v>0</v>
      </c>
      <c r="AI104" s="11">
        <f t="shared" si="41"/>
        <v>0</v>
      </c>
      <c r="BF104" s="83"/>
      <c r="BG104" s="78">
        <v>40.5</v>
      </c>
      <c r="BH104" s="78">
        <v>0</v>
      </c>
      <c r="BI104" s="78">
        <v>261.5</v>
      </c>
      <c r="BJ104" s="78">
        <v>0</v>
      </c>
      <c r="BK104" s="78">
        <v>0</v>
      </c>
      <c r="BL104" s="78">
        <v>46.3</v>
      </c>
    </row>
    <row r="105" spans="1:64" x14ac:dyDescent="0.25">
      <c r="A105" s="82" t="s">
        <v>157</v>
      </c>
      <c r="B105" s="85">
        <f t="shared" ref="B105:C105" si="66">IF(B81&lt;0,B81*-1,0)</f>
        <v>0</v>
      </c>
      <c r="C105" s="85">
        <f t="shared" si="66"/>
        <v>0</v>
      </c>
      <c r="D105" s="85">
        <f t="shared" ref="D105:AF105" si="67">IF(D81&lt;0,D81*-1,0)</f>
        <v>0</v>
      </c>
      <c r="E105" s="85">
        <f t="shared" si="67"/>
        <v>0</v>
      </c>
      <c r="F105" s="85">
        <f t="shared" si="67"/>
        <v>0</v>
      </c>
      <c r="G105" s="85">
        <f t="shared" si="67"/>
        <v>0</v>
      </c>
      <c r="H105" s="85">
        <f t="shared" si="67"/>
        <v>0</v>
      </c>
      <c r="I105" s="85">
        <f t="shared" si="67"/>
        <v>0</v>
      </c>
      <c r="J105" s="85">
        <f t="shared" si="67"/>
        <v>0</v>
      </c>
      <c r="K105" s="85">
        <f t="shared" si="67"/>
        <v>0</v>
      </c>
      <c r="L105" s="85">
        <f t="shared" si="67"/>
        <v>0</v>
      </c>
      <c r="M105" s="85">
        <f t="shared" si="67"/>
        <v>0</v>
      </c>
      <c r="N105" s="85">
        <f t="shared" si="67"/>
        <v>0</v>
      </c>
      <c r="O105" s="85">
        <f t="shared" si="67"/>
        <v>0</v>
      </c>
      <c r="P105" s="85">
        <f t="shared" si="67"/>
        <v>0</v>
      </c>
      <c r="Q105" s="85">
        <f t="shared" si="67"/>
        <v>0</v>
      </c>
      <c r="R105" s="85">
        <f t="shared" si="67"/>
        <v>0</v>
      </c>
      <c r="S105" s="85">
        <f t="shared" si="67"/>
        <v>0</v>
      </c>
      <c r="T105" s="85">
        <f t="shared" si="67"/>
        <v>0</v>
      </c>
      <c r="U105" s="85">
        <f t="shared" si="67"/>
        <v>0</v>
      </c>
      <c r="V105" s="85">
        <f t="shared" si="67"/>
        <v>0</v>
      </c>
      <c r="W105" s="85">
        <f t="shared" si="67"/>
        <v>0</v>
      </c>
      <c r="X105" s="85">
        <f t="shared" si="67"/>
        <v>0</v>
      </c>
      <c r="Y105" s="85">
        <f t="shared" si="67"/>
        <v>0</v>
      </c>
      <c r="Z105" s="85">
        <f t="shared" si="67"/>
        <v>0</v>
      </c>
      <c r="AA105" s="85">
        <f t="shared" si="67"/>
        <v>0</v>
      </c>
      <c r="AB105" s="85">
        <f t="shared" si="67"/>
        <v>0</v>
      </c>
      <c r="AC105" s="85">
        <f t="shared" si="67"/>
        <v>0</v>
      </c>
      <c r="AD105" s="85">
        <f t="shared" si="67"/>
        <v>0</v>
      </c>
      <c r="AE105" s="85">
        <f t="shared" ref="AE105" si="68">IF(AE81&lt;0,AE81*-1,0)</f>
        <v>0</v>
      </c>
      <c r="AF105" s="85">
        <f t="shared" si="67"/>
        <v>0</v>
      </c>
      <c r="AG105" s="84"/>
      <c r="AH105" s="12">
        <f t="shared" si="40"/>
        <v>0</v>
      </c>
      <c r="AI105" s="11">
        <f t="shared" si="41"/>
        <v>0</v>
      </c>
      <c r="BF105" s="83"/>
      <c r="BG105" s="78">
        <v>46.9</v>
      </c>
      <c r="BH105" s="78">
        <v>0</v>
      </c>
      <c r="BI105" s="78">
        <v>240</v>
      </c>
      <c r="BJ105" s="78">
        <v>0</v>
      </c>
      <c r="BK105" s="78">
        <v>0</v>
      </c>
      <c r="BL105" s="78">
        <v>55</v>
      </c>
    </row>
    <row r="106" spans="1:64" ht="15.75" thickBot="1" x14ac:dyDescent="0.3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40"/>
        <v>0</v>
      </c>
      <c r="AI106" s="11">
        <f t="shared" si="41"/>
        <v>0</v>
      </c>
      <c r="BG106" s="78">
        <v>42</v>
      </c>
      <c r="BH106" s="78">
        <v>0</v>
      </c>
      <c r="BI106" s="78">
        <v>211.1</v>
      </c>
      <c r="BJ106" s="78">
        <v>0</v>
      </c>
      <c r="BK106" s="78">
        <v>0</v>
      </c>
      <c r="BL106" s="78">
        <v>53.5</v>
      </c>
    </row>
    <row r="107" spans="1:64" ht="15.75" thickBot="1" x14ac:dyDescent="0.3">
      <c r="A107" s="79" t="s">
        <v>155</v>
      </c>
      <c r="B107" s="76">
        <f t="shared" ref="B107:C107" si="69">SUM(B101:B106)</f>
        <v>0</v>
      </c>
      <c r="C107" s="76">
        <f t="shared" si="69"/>
        <v>0</v>
      </c>
      <c r="D107" s="76">
        <f t="shared" ref="D107:AF107" si="70">SUM(D101:D106)</f>
        <v>0</v>
      </c>
      <c r="E107" s="76">
        <f t="shared" si="70"/>
        <v>0</v>
      </c>
      <c r="F107" s="76">
        <f t="shared" si="70"/>
        <v>0</v>
      </c>
      <c r="G107" s="76">
        <f t="shared" si="70"/>
        <v>0</v>
      </c>
      <c r="H107" s="76">
        <f t="shared" si="70"/>
        <v>0</v>
      </c>
      <c r="I107" s="76">
        <f t="shared" si="70"/>
        <v>0</v>
      </c>
      <c r="J107" s="76">
        <f t="shared" si="70"/>
        <v>0</v>
      </c>
      <c r="K107" s="76">
        <f t="shared" si="70"/>
        <v>0</v>
      </c>
      <c r="L107" s="76">
        <f t="shared" si="70"/>
        <v>0</v>
      </c>
      <c r="M107" s="76">
        <f t="shared" si="70"/>
        <v>0</v>
      </c>
      <c r="N107" s="76">
        <f t="shared" si="70"/>
        <v>0</v>
      </c>
      <c r="O107" s="76">
        <f t="shared" si="70"/>
        <v>0</v>
      </c>
      <c r="P107" s="76">
        <f t="shared" si="70"/>
        <v>0</v>
      </c>
      <c r="Q107" s="76">
        <f t="shared" si="70"/>
        <v>0</v>
      </c>
      <c r="R107" s="76">
        <f t="shared" si="70"/>
        <v>0</v>
      </c>
      <c r="S107" s="76">
        <f t="shared" si="70"/>
        <v>0</v>
      </c>
      <c r="T107" s="76">
        <f t="shared" si="70"/>
        <v>0</v>
      </c>
      <c r="U107" s="76">
        <f t="shared" si="70"/>
        <v>0</v>
      </c>
      <c r="V107" s="76">
        <f t="shared" si="70"/>
        <v>0</v>
      </c>
      <c r="W107" s="76">
        <f t="shared" si="70"/>
        <v>0</v>
      </c>
      <c r="X107" s="76">
        <f t="shared" si="70"/>
        <v>0</v>
      </c>
      <c r="Y107" s="76">
        <f t="shared" si="70"/>
        <v>0</v>
      </c>
      <c r="Z107" s="76">
        <f t="shared" si="70"/>
        <v>0</v>
      </c>
      <c r="AA107" s="76">
        <f t="shared" si="70"/>
        <v>0</v>
      </c>
      <c r="AB107" s="76">
        <f t="shared" si="70"/>
        <v>0</v>
      </c>
      <c r="AC107" s="76">
        <f t="shared" si="70"/>
        <v>0</v>
      </c>
      <c r="AD107" s="76">
        <f t="shared" si="70"/>
        <v>0</v>
      </c>
      <c r="AE107" s="76">
        <f t="shared" ref="AE107" si="71">SUM(AE101:AE106)</f>
        <v>0</v>
      </c>
      <c r="AF107" s="76">
        <f t="shared" si="70"/>
        <v>0</v>
      </c>
      <c r="AG107" s="75"/>
      <c r="AH107" s="12">
        <f t="shared" si="40"/>
        <v>0</v>
      </c>
      <c r="AI107" s="11">
        <f t="shared" si="41"/>
        <v>0</v>
      </c>
      <c r="AK107" s="19"/>
      <c r="BG107" s="78">
        <v>30.2</v>
      </c>
      <c r="BH107" s="78">
        <v>0</v>
      </c>
      <c r="BI107" s="78">
        <v>68.2</v>
      </c>
      <c r="BJ107" s="78">
        <v>0</v>
      </c>
      <c r="BK107" s="78">
        <v>0</v>
      </c>
      <c r="BL107" s="78">
        <v>23.7</v>
      </c>
    </row>
    <row r="108" spans="1:64" ht="15.75" thickBot="1" x14ac:dyDescent="0.3">
      <c r="A108" s="77" t="s">
        <v>154</v>
      </c>
      <c r="B108" s="76">
        <f t="shared" ref="B108:C108" si="72">B92-B107</f>
        <v>122.10000000000001</v>
      </c>
      <c r="C108" s="76">
        <f t="shared" si="72"/>
        <v>125.6</v>
      </c>
      <c r="D108" s="76">
        <f t="shared" ref="D108:AF108" si="73">D92-D107</f>
        <v>126.5</v>
      </c>
      <c r="E108" s="76">
        <f t="shared" si="73"/>
        <v>196.5</v>
      </c>
      <c r="F108" s="76">
        <f t="shared" si="73"/>
        <v>184.2</v>
      </c>
      <c r="G108" s="76">
        <f t="shared" si="73"/>
        <v>198.60000000000002</v>
      </c>
      <c r="H108" s="76">
        <f t="shared" si="73"/>
        <v>205.40000000000003</v>
      </c>
      <c r="I108" s="76">
        <f t="shared" si="73"/>
        <v>315</v>
      </c>
      <c r="J108" s="76">
        <f t="shared" si="73"/>
        <v>563.20000000000005</v>
      </c>
      <c r="K108" s="76">
        <f t="shared" si="73"/>
        <v>654</v>
      </c>
      <c r="L108" s="76">
        <f t="shared" si="73"/>
        <v>707.39999999999986</v>
      </c>
      <c r="M108" s="76">
        <f t="shared" si="73"/>
        <v>827.1</v>
      </c>
      <c r="N108" s="76">
        <f t="shared" si="73"/>
        <v>578.29999999999995</v>
      </c>
      <c r="O108" s="76">
        <f t="shared" si="73"/>
        <v>588.29999999999995</v>
      </c>
      <c r="P108" s="76">
        <f t="shared" si="73"/>
        <v>593</v>
      </c>
      <c r="Q108" s="76">
        <f t="shared" si="73"/>
        <v>633.30000000000007</v>
      </c>
      <c r="R108" s="76">
        <f t="shared" si="73"/>
        <v>613.6</v>
      </c>
      <c r="S108" s="76">
        <f t="shared" si="73"/>
        <v>723.5</v>
      </c>
      <c r="T108" s="76">
        <f t="shared" si="73"/>
        <v>687.6</v>
      </c>
      <c r="U108" s="76">
        <f t="shared" si="73"/>
        <v>782</v>
      </c>
      <c r="V108" s="76">
        <f t="shared" si="73"/>
        <v>676.1</v>
      </c>
      <c r="W108" s="76">
        <f t="shared" si="73"/>
        <v>672</v>
      </c>
      <c r="X108" s="76">
        <f t="shared" si="73"/>
        <v>667.30000000000007</v>
      </c>
      <c r="Y108" s="76">
        <f t="shared" si="73"/>
        <v>566.19999999999993</v>
      </c>
      <c r="Z108" s="76">
        <f t="shared" si="73"/>
        <v>279.5</v>
      </c>
      <c r="AA108" s="76">
        <f t="shared" si="73"/>
        <v>299.90000000000003</v>
      </c>
      <c r="AB108" s="76">
        <f t="shared" si="73"/>
        <v>241.4</v>
      </c>
      <c r="AC108" s="76">
        <f t="shared" si="73"/>
        <v>299</v>
      </c>
      <c r="AD108" s="76">
        <f t="shared" si="73"/>
        <v>348.3</v>
      </c>
      <c r="AE108" s="76">
        <f t="shared" ref="AE108" si="74">AE92-AE107</f>
        <v>341.9</v>
      </c>
      <c r="AF108" s="76">
        <f t="shared" si="73"/>
        <v>306.60000000000002</v>
      </c>
      <c r="AG108" s="75"/>
      <c r="AH108" s="12">
        <f t="shared" si="40"/>
        <v>827.1</v>
      </c>
      <c r="AI108" s="11">
        <f t="shared" si="41"/>
        <v>122.10000000000001</v>
      </c>
    </row>
    <row r="109" spans="1:64" x14ac:dyDescent="0.25">
      <c r="A109" s="25" t="s">
        <v>153</v>
      </c>
      <c r="B109" s="74">
        <v>49.97</v>
      </c>
      <c r="C109" s="74">
        <v>49.95</v>
      </c>
      <c r="D109" s="74">
        <v>49.988</v>
      </c>
      <c r="E109" s="74">
        <v>49.984000000000002</v>
      </c>
      <c r="F109" s="74">
        <v>50.003999999999998</v>
      </c>
      <c r="G109" s="74">
        <v>50</v>
      </c>
      <c r="H109" s="74">
        <v>49.978999999999999</v>
      </c>
      <c r="I109" s="74">
        <v>50.02</v>
      </c>
      <c r="J109" s="74">
        <v>49.969000000000001</v>
      </c>
      <c r="K109" s="74">
        <v>50.057000000000002</v>
      </c>
      <c r="L109" s="74">
        <v>50</v>
      </c>
      <c r="M109" s="74">
        <v>50.161999999999999</v>
      </c>
      <c r="N109" s="74">
        <v>49.866999999999997</v>
      </c>
      <c r="O109" s="74">
        <v>49.866999999999997</v>
      </c>
      <c r="P109" s="74">
        <v>50.045999999999999</v>
      </c>
      <c r="Q109" s="74">
        <v>50.008000000000003</v>
      </c>
      <c r="R109" s="74">
        <v>49.970999999999997</v>
      </c>
      <c r="S109" s="74">
        <v>50.04</v>
      </c>
      <c r="T109" s="74">
        <v>49.981999999999999</v>
      </c>
      <c r="U109" s="74">
        <v>50.009</v>
      </c>
      <c r="V109" s="74">
        <v>50.009</v>
      </c>
      <c r="W109" s="74">
        <v>49.973999999999997</v>
      </c>
      <c r="X109" s="74">
        <v>50.029000000000003</v>
      </c>
      <c r="Y109" s="74">
        <v>50.008000000000003</v>
      </c>
      <c r="Z109" s="74">
        <v>49.994999999999997</v>
      </c>
      <c r="AA109" s="74">
        <v>50.045999999999999</v>
      </c>
      <c r="AB109" s="74">
        <v>49.978999999999999</v>
      </c>
      <c r="AC109" s="74">
        <v>50.036999999999999</v>
      </c>
      <c r="AD109" s="74">
        <v>50.045999999999999</v>
      </c>
      <c r="AE109" s="74">
        <v>50.04</v>
      </c>
      <c r="AF109" s="74">
        <v>50.04</v>
      </c>
      <c r="AG109" s="73"/>
      <c r="AH109" s="12">
        <f t="shared" si="40"/>
        <v>50.161999999999999</v>
      </c>
      <c r="AI109" s="11">
        <f t="shared" si="41"/>
        <v>49.866999999999997</v>
      </c>
    </row>
    <row r="110" spans="1:64" x14ac:dyDescent="0.25">
      <c r="A110" s="22" t="s">
        <v>152</v>
      </c>
      <c r="B110" s="70">
        <v>128.30000000000001</v>
      </c>
      <c r="C110" s="70">
        <v>130.4</v>
      </c>
      <c r="D110" s="70">
        <v>130.4</v>
      </c>
      <c r="E110" s="70">
        <v>130.30000000000001</v>
      </c>
      <c r="F110" s="70">
        <v>129.80000000000001</v>
      </c>
      <c r="G110" s="70">
        <v>129.6</v>
      </c>
      <c r="H110" s="70">
        <v>128.4</v>
      </c>
      <c r="I110" s="70">
        <v>125.4</v>
      </c>
      <c r="J110" s="70">
        <v>121.8</v>
      </c>
      <c r="K110" s="70">
        <v>121.2</v>
      </c>
      <c r="L110" s="70">
        <v>120.4</v>
      </c>
      <c r="M110" s="70">
        <v>126</v>
      </c>
      <c r="N110" s="70">
        <v>127</v>
      </c>
      <c r="O110" s="70">
        <v>127</v>
      </c>
      <c r="P110" s="70">
        <v>126</v>
      </c>
      <c r="Q110" s="70">
        <v>125.8</v>
      </c>
      <c r="R110" s="70">
        <v>127.3</v>
      </c>
      <c r="S110" s="70">
        <v>125.1</v>
      </c>
      <c r="T110" s="70">
        <v>127.7</v>
      </c>
      <c r="U110" s="70">
        <v>127.1</v>
      </c>
      <c r="V110" s="70">
        <v>127.1</v>
      </c>
      <c r="W110" s="70">
        <v>126.7</v>
      </c>
      <c r="X110" s="70">
        <v>127.3</v>
      </c>
      <c r="Y110" s="70">
        <v>128.4</v>
      </c>
      <c r="Z110" s="70">
        <v>126.6</v>
      </c>
      <c r="AA110" s="70">
        <v>128</v>
      </c>
      <c r="AB110" s="70">
        <v>128.1</v>
      </c>
      <c r="AC110" s="70">
        <v>127.5</v>
      </c>
      <c r="AD110" s="70">
        <v>129</v>
      </c>
      <c r="AE110" s="70">
        <v>130</v>
      </c>
      <c r="AF110" s="70">
        <v>131</v>
      </c>
      <c r="AG110" s="69"/>
      <c r="AH110" s="12">
        <f t="shared" si="40"/>
        <v>131</v>
      </c>
      <c r="AI110" s="11">
        <f t="shared" si="41"/>
        <v>120.4</v>
      </c>
    </row>
    <row r="111" spans="1:64" x14ac:dyDescent="0.25">
      <c r="A111" s="22" t="s">
        <v>151</v>
      </c>
      <c r="B111" s="70">
        <v>132.1</v>
      </c>
      <c r="C111" s="70">
        <v>133.80000000000001</v>
      </c>
      <c r="D111" s="70">
        <v>134</v>
      </c>
      <c r="E111" s="70">
        <v>133.9</v>
      </c>
      <c r="F111" s="70">
        <v>133.6</v>
      </c>
      <c r="G111" s="70">
        <v>134</v>
      </c>
      <c r="H111" s="70">
        <v>133</v>
      </c>
      <c r="I111" s="70">
        <v>130.69999999999999</v>
      </c>
      <c r="J111" s="70">
        <v>128.69999999999999</v>
      </c>
      <c r="K111" s="70">
        <v>129.19999999999999</v>
      </c>
      <c r="L111" s="70">
        <v>128.5</v>
      </c>
      <c r="M111" s="70">
        <v>130.30000000000001</v>
      </c>
      <c r="N111" s="70">
        <v>130</v>
      </c>
      <c r="O111" s="70">
        <v>130</v>
      </c>
      <c r="P111" s="70">
        <v>129.4</v>
      </c>
      <c r="Q111" s="70">
        <v>129.5</v>
      </c>
      <c r="R111" s="70">
        <v>130.5</v>
      </c>
      <c r="S111" s="70">
        <v>128.80000000000001</v>
      </c>
      <c r="T111" s="70">
        <v>130.9</v>
      </c>
      <c r="U111" s="70">
        <v>129.80000000000001</v>
      </c>
      <c r="V111" s="70">
        <v>129.80000000000001</v>
      </c>
      <c r="W111" s="70">
        <v>130.6</v>
      </c>
      <c r="X111" s="70">
        <v>130.6</v>
      </c>
      <c r="Y111" s="70">
        <v>131.30000000000001</v>
      </c>
      <c r="Z111" s="70">
        <v>130</v>
      </c>
      <c r="AA111" s="70">
        <v>130.80000000000001</v>
      </c>
      <c r="AB111" s="70">
        <v>131.30000000000001</v>
      </c>
      <c r="AC111" s="70">
        <v>124.7</v>
      </c>
      <c r="AD111" s="70">
        <v>132.30000000000001</v>
      </c>
      <c r="AE111" s="70">
        <v>133.5</v>
      </c>
      <c r="AF111" s="70">
        <v>134.6</v>
      </c>
      <c r="AG111" s="69"/>
      <c r="AH111" s="12">
        <f t="shared" si="40"/>
        <v>134.6</v>
      </c>
      <c r="AI111" s="11">
        <f t="shared" si="41"/>
        <v>124.7</v>
      </c>
    </row>
    <row r="112" spans="1:64" x14ac:dyDescent="0.25">
      <c r="A112" s="22" t="s">
        <v>150</v>
      </c>
      <c r="B112" s="70">
        <v>131.4</v>
      </c>
      <c r="C112" s="70">
        <v>134.4</v>
      </c>
      <c r="D112" s="70">
        <v>132.19999999999999</v>
      </c>
      <c r="E112" s="70">
        <v>132.69999999999999</v>
      </c>
      <c r="F112" s="70">
        <v>132.6</v>
      </c>
      <c r="G112" s="70">
        <v>131.5</v>
      </c>
      <c r="H112" s="70">
        <v>129.30000000000001</v>
      </c>
      <c r="I112" s="70">
        <v>129</v>
      </c>
      <c r="J112" s="70">
        <v>125.8</v>
      </c>
      <c r="K112" s="70">
        <v>123.4</v>
      </c>
      <c r="L112" s="70">
        <v>124.1</v>
      </c>
      <c r="M112" s="70">
        <v>124.3</v>
      </c>
      <c r="N112" s="70">
        <v>133</v>
      </c>
      <c r="O112" s="70">
        <v>133</v>
      </c>
      <c r="P112" s="70">
        <v>133.1</v>
      </c>
      <c r="Q112" s="70">
        <v>133.5</v>
      </c>
      <c r="R112" s="70">
        <v>134.80000000000001</v>
      </c>
      <c r="S112" s="70">
        <v>126.8</v>
      </c>
      <c r="T112" s="70">
        <v>125.9</v>
      </c>
      <c r="U112" s="70">
        <v>126.5</v>
      </c>
      <c r="V112" s="70">
        <v>126.5</v>
      </c>
      <c r="W112" s="70">
        <v>127.3</v>
      </c>
      <c r="X112" s="70">
        <v>125.4</v>
      </c>
      <c r="Y112" s="70">
        <v>127.4</v>
      </c>
      <c r="Z112" s="70">
        <v>126</v>
      </c>
      <c r="AA112" s="70">
        <v>127.8</v>
      </c>
      <c r="AB112" s="70">
        <v>127.9</v>
      </c>
      <c r="AC112" s="70">
        <v>131</v>
      </c>
      <c r="AD112" s="70">
        <v>128</v>
      </c>
      <c r="AE112" s="70">
        <v>129</v>
      </c>
      <c r="AF112" s="70">
        <v>131</v>
      </c>
      <c r="AG112" s="69"/>
      <c r="AH112" s="12">
        <f t="shared" si="40"/>
        <v>134.80000000000001</v>
      </c>
      <c r="AI112" s="11">
        <f t="shared" si="41"/>
        <v>123.4</v>
      </c>
    </row>
    <row r="113" spans="1:35" x14ac:dyDescent="0.25">
      <c r="A113" s="72" t="s">
        <v>149</v>
      </c>
      <c r="B113" s="70">
        <v>130.30000000000001</v>
      </c>
      <c r="C113" s="70">
        <v>135.19999999999999</v>
      </c>
      <c r="D113" s="70">
        <v>132.9</v>
      </c>
      <c r="E113" s="70">
        <v>132.5</v>
      </c>
      <c r="F113" s="70">
        <v>132.5</v>
      </c>
      <c r="G113" s="70">
        <v>131.6</v>
      </c>
      <c r="H113" s="70">
        <v>129.69999999999999</v>
      </c>
      <c r="I113" s="70">
        <v>129.5</v>
      </c>
      <c r="J113" s="70">
        <v>124.4</v>
      </c>
      <c r="K113" s="70">
        <v>120.5</v>
      </c>
      <c r="L113" s="70">
        <v>123</v>
      </c>
      <c r="M113" s="70">
        <v>122.3</v>
      </c>
      <c r="N113" s="70">
        <v>127</v>
      </c>
      <c r="O113" s="70">
        <v>127</v>
      </c>
      <c r="P113" s="70">
        <v>132.69999999999999</v>
      </c>
      <c r="Q113" s="70">
        <v>135.69999999999999</v>
      </c>
      <c r="R113" s="70">
        <v>134.4</v>
      </c>
      <c r="S113" s="70">
        <v>129.6</v>
      </c>
      <c r="T113" s="70">
        <v>125.4</v>
      </c>
      <c r="U113" s="70">
        <v>126.3</v>
      </c>
      <c r="V113" s="70">
        <v>126.3</v>
      </c>
      <c r="W113" s="70">
        <v>125.4</v>
      </c>
      <c r="X113" s="70">
        <v>122.2</v>
      </c>
      <c r="Y113" s="70">
        <v>125.5</v>
      </c>
      <c r="Z113" s="70">
        <v>124.7</v>
      </c>
      <c r="AA113" s="70">
        <v>124.8</v>
      </c>
      <c r="AB113" s="70">
        <v>127.9</v>
      </c>
      <c r="AC113" s="70">
        <v>124.4</v>
      </c>
      <c r="AD113" s="70">
        <v>127.1</v>
      </c>
      <c r="AE113" s="70">
        <v>129</v>
      </c>
      <c r="AF113" s="70">
        <v>137.5</v>
      </c>
      <c r="AG113" s="69"/>
      <c r="AH113" s="12">
        <f t="shared" si="40"/>
        <v>137.5</v>
      </c>
      <c r="AI113" s="11">
        <f t="shared" si="41"/>
        <v>120.5</v>
      </c>
    </row>
    <row r="114" spans="1:35" x14ac:dyDescent="0.25">
      <c r="A114" s="72" t="s">
        <v>148</v>
      </c>
      <c r="B114" s="56">
        <v>135.1</v>
      </c>
      <c r="C114" s="56">
        <v>134.1</v>
      </c>
      <c r="D114" s="56">
        <v>135</v>
      </c>
      <c r="E114" s="56">
        <v>135.69999999999999</v>
      </c>
      <c r="F114" s="56">
        <v>135.1</v>
      </c>
      <c r="G114" s="56">
        <v>134.4</v>
      </c>
      <c r="H114" s="56">
        <v>133</v>
      </c>
      <c r="I114" s="56">
        <v>129.4</v>
      </c>
      <c r="J114" s="56">
        <v>131.9</v>
      </c>
      <c r="K114" s="56">
        <v>134.1</v>
      </c>
      <c r="L114" s="56">
        <v>132.69999999999999</v>
      </c>
      <c r="M114" s="56">
        <v>133</v>
      </c>
      <c r="N114" s="56">
        <v>135</v>
      </c>
      <c r="O114" s="56">
        <v>135</v>
      </c>
      <c r="P114" s="56">
        <v>135.19999999999999</v>
      </c>
      <c r="Q114" s="56">
        <v>132.19999999999999</v>
      </c>
      <c r="R114" s="56">
        <v>134.30000000000001</v>
      </c>
      <c r="S114" s="56">
        <v>130.30000000000001</v>
      </c>
      <c r="T114" s="56">
        <v>135</v>
      </c>
      <c r="U114" s="56">
        <v>133.9</v>
      </c>
      <c r="V114" s="56">
        <v>133.9</v>
      </c>
      <c r="W114" s="56">
        <v>135.30000000000001</v>
      </c>
      <c r="X114" s="56">
        <v>135.19999999999999</v>
      </c>
      <c r="Y114" s="56">
        <v>135.6</v>
      </c>
      <c r="Z114" s="56">
        <v>133.30000000000001</v>
      </c>
      <c r="AA114" s="56">
        <v>134.5</v>
      </c>
      <c r="AB114" s="56">
        <v>134.69999999999999</v>
      </c>
      <c r="AC114" s="56">
        <v>134.9</v>
      </c>
      <c r="AD114" s="56">
        <v>134.6</v>
      </c>
      <c r="AE114" s="56">
        <v>135.19999999999999</v>
      </c>
      <c r="AF114" s="56">
        <v>137.5</v>
      </c>
      <c r="AG114" s="71"/>
      <c r="AH114" s="12">
        <f t="shared" si="40"/>
        <v>137.5</v>
      </c>
      <c r="AI114" s="11">
        <f t="shared" si="41"/>
        <v>129.4</v>
      </c>
    </row>
    <row r="115" spans="1:35" x14ac:dyDescent="0.25">
      <c r="A115" s="22" t="s">
        <v>147</v>
      </c>
      <c r="B115" s="70">
        <v>133.5</v>
      </c>
      <c r="C115" s="70">
        <v>132.5</v>
      </c>
      <c r="D115" s="70">
        <v>132</v>
      </c>
      <c r="E115" s="70">
        <v>132.69999999999999</v>
      </c>
      <c r="F115" s="70">
        <v>134.69999999999999</v>
      </c>
      <c r="G115" s="70">
        <v>130.69999999999999</v>
      </c>
      <c r="H115" s="70">
        <v>134.5</v>
      </c>
      <c r="I115" s="70">
        <v>128.6</v>
      </c>
      <c r="J115" s="70">
        <v>128.6</v>
      </c>
      <c r="K115" s="70">
        <v>127.6</v>
      </c>
      <c r="L115" s="70">
        <v>130.30000000000001</v>
      </c>
      <c r="M115" s="70">
        <v>125.9</v>
      </c>
      <c r="N115" s="70">
        <v>121</v>
      </c>
      <c r="O115" s="70">
        <v>121</v>
      </c>
      <c r="P115" s="70">
        <v>130.1</v>
      </c>
      <c r="Q115" s="70">
        <v>131.4</v>
      </c>
      <c r="R115" s="70">
        <v>127</v>
      </c>
      <c r="S115" s="70">
        <v>124.4</v>
      </c>
      <c r="T115" s="70">
        <v>129</v>
      </c>
      <c r="U115" s="70">
        <v>128</v>
      </c>
      <c r="V115" s="70">
        <v>128</v>
      </c>
      <c r="W115" s="70">
        <v>130</v>
      </c>
      <c r="X115" s="70">
        <v>131.6</v>
      </c>
      <c r="Y115" s="70">
        <v>127.3</v>
      </c>
      <c r="Z115" s="70">
        <v>124.6</v>
      </c>
      <c r="AA115" s="70">
        <v>128.19999999999999</v>
      </c>
      <c r="AB115" s="70">
        <v>131.69999999999999</v>
      </c>
      <c r="AC115" s="70">
        <v>132</v>
      </c>
      <c r="AD115" s="70">
        <v>132.9</v>
      </c>
      <c r="AE115" s="70">
        <v>131</v>
      </c>
      <c r="AF115" s="70">
        <v>131.4</v>
      </c>
      <c r="AG115" s="69"/>
      <c r="AH115" s="12">
        <f t="shared" si="40"/>
        <v>134.69999999999999</v>
      </c>
      <c r="AI115" s="11">
        <f t="shared" si="41"/>
        <v>121</v>
      </c>
    </row>
    <row r="116" spans="1:35" ht="15.75" thickBot="1" x14ac:dyDescent="0.3">
      <c r="A116" s="22" t="s">
        <v>146</v>
      </c>
      <c r="B116" s="67">
        <v>66.099999999999994</v>
      </c>
      <c r="C116" s="67">
        <v>67</v>
      </c>
      <c r="D116" s="67">
        <v>67.099999999999994</v>
      </c>
      <c r="E116" s="67">
        <v>67.099999999999994</v>
      </c>
      <c r="F116" s="67">
        <v>67</v>
      </c>
      <c r="G116" s="67">
        <v>67</v>
      </c>
      <c r="H116" s="67">
        <v>66.599999999999994</v>
      </c>
      <c r="I116" s="67">
        <v>65.400000000000006</v>
      </c>
      <c r="J116" s="67">
        <v>64.8</v>
      </c>
      <c r="K116" s="67">
        <v>64.7</v>
      </c>
      <c r="L116" s="67">
        <v>64.599999999999994</v>
      </c>
      <c r="M116" s="67">
        <v>65</v>
      </c>
      <c r="N116" s="67">
        <v>65</v>
      </c>
      <c r="O116" s="67">
        <v>65</v>
      </c>
      <c r="P116" s="67">
        <v>64.7</v>
      </c>
      <c r="Q116" s="67">
        <v>64.8</v>
      </c>
      <c r="R116" s="67">
        <v>65</v>
      </c>
      <c r="S116" s="67">
        <v>64.3</v>
      </c>
      <c r="T116" s="67">
        <v>65.2</v>
      </c>
      <c r="U116" s="67">
        <v>64.900000000000006</v>
      </c>
      <c r="V116" s="67">
        <v>64.900000000000006</v>
      </c>
      <c r="W116" s="67">
        <v>65.2</v>
      </c>
      <c r="X116" s="67">
        <v>65.2</v>
      </c>
      <c r="Y116" s="67">
        <v>65.599999999999994</v>
      </c>
      <c r="Z116" s="67">
        <v>65</v>
      </c>
      <c r="AA116" s="67">
        <v>65.3</v>
      </c>
      <c r="AB116" s="67">
        <v>65.8</v>
      </c>
      <c r="AC116" s="67">
        <v>65.5</v>
      </c>
      <c r="AD116" s="67">
        <v>66.3</v>
      </c>
      <c r="AE116" s="67">
        <v>66.900000000000006</v>
      </c>
      <c r="AF116" s="67">
        <v>67.3</v>
      </c>
      <c r="AG116" s="66"/>
      <c r="AH116" s="12">
        <f t="shared" si="40"/>
        <v>67.3</v>
      </c>
      <c r="AI116" s="11">
        <f t="shared" si="41"/>
        <v>64.3</v>
      </c>
    </row>
    <row r="117" spans="1:35" ht="15.75" thickBot="1" x14ac:dyDescent="0.3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40"/>
        <v>0</v>
      </c>
      <c r="AI117" s="11">
        <f t="shared" si="41"/>
        <v>0</v>
      </c>
    </row>
    <row r="118" spans="1:35" ht="15.75" thickBot="1" x14ac:dyDescent="0.3">
      <c r="A118" s="65" t="s">
        <v>144</v>
      </c>
      <c r="B118" s="64">
        <f t="shared" ref="B118:C118" si="75">SUM(B22,B28,B31:B32,B66,B68:B69,B71,B73,B119:B123,B155,B161,B167,B176,B178,B190,B197,B200:B201,B208,B210,B212,B216:B218,B220:B222,B227,B233:B234,B236:B238,B246,B251)</f>
        <v>142.24</v>
      </c>
      <c r="C118" s="64">
        <f t="shared" si="75"/>
        <v>134.84</v>
      </c>
      <c r="D118" s="64">
        <f t="shared" ref="D118:O118" si="76">SUM(D22,D28,D31:D32,D66,D68:D69,D71,D73,D119:D123,D155,D161,D167,D176,D178,D190,D197,D200:D201,D208,D210,D212,D216:D218,D220:D222,D227,D233:D234,D236:D238,D246,D251)</f>
        <v>127.54000000000002</v>
      </c>
      <c r="E118" s="64">
        <f t="shared" si="76"/>
        <v>124.34000000000002</v>
      </c>
      <c r="F118" s="64">
        <f t="shared" si="76"/>
        <v>123.74000000000001</v>
      </c>
      <c r="G118" s="64">
        <f t="shared" si="76"/>
        <v>146.64000000000001</v>
      </c>
      <c r="H118" s="64">
        <f t="shared" si="76"/>
        <v>171.04</v>
      </c>
      <c r="I118" s="64">
        <f t="shared" si="76"/>
        <v>181.24</v>
      </c>
      <c r="J118" s="64">
        <f t="shared" si="76"/>
        <v>240.14</v>
      </c>
      <c r="K118" s="64">
        <f t="shared" si="76"/>
        <v>259.14</v>
      </c>
      <c r="L118" s="64">
        <f t="shared" si="76"/>
        <v>289.04000000000002</v>
      </c>
      <c r="M118" s="64">
        <f t="shared" si="76"/>
        <v>316.74</v>
      </c>
      <c r="N118" s="64">
        <f t="shared" si="76"/>
        <v>297.44</v>
      </c>
      <c r="O118" s="64">
        <f t="shared" si="76"/>
        <v>299.44</v>
      </c>
      <c r="P118" s="64">
        <v>42</v>
      </c>
      <c r="Q118" s="64">
        <f t="shared" ref="Q118:X118" si="77">SUM(Q22,Q28,Q31:Q32,Q66,Q68:Q69,Q71,Q73,Q119:Q123,Q155,Q161,Q167,Q176,Q178,Q190,Q197,Q200:Q201,Q208,Q210,Q212,Q216:Q218,Q220:Q222,Q227,Q233:Q234,Q236:Q238,Q246,Q251)</f>
        <v>263.14</v>
      </c>
      <c r="R118" s="64">
        <f t="shared" si="77"/>
        <v>314.64</v>
      </c>
      <c r="S118" s="64">
        <f t="shared" si="77"/>
        <v>309.33999999999997</v>
      </c>
      <c r="T118" s="64">
        <f t="shared" si="77"/>
        <v>287.23999999999995</v>
      </c>
      <c r="U118" s="64">
        <f t="shared" si="77"/>
        <v>308.94</v>
      </c>
      <c r="V118" s="64">
        <f t="shared" si="77"/>
        <v>305.24</v>
      </c>
      <c r="W118" s="64">
        <f t="shared" si="77"/>
        <v>305.23999999999995</v>
      </c>
      <c r="X118" s="64">
        <f t="shared" si="77"/>
        <v>310.04000000000002</v>
      </c>
      <c r="Y118" s="64">
        <f>SUM(Y20,Y26,Y37:Y38,Y66,Y68:Y69,Y71,Y73,Y119:Y123,Y148,Y154,Y160,Y169,Y171,Y183,Y190,Y193:Y194,Y201,Y203,Y205,Y209:Y211,Y213:Y215,Y220,Y226:Y227,Y229:Y231,Y239,Y244)</f>
        <v>347.5</v>
      </c>
      <c r="Z118" s="64">
        <f>SUM(Z20,Z26,Z37:Z38,Z66,Z68:Z69,Z71,Z73,Z119:Z123,Z148,Z154,Z160,Z169,Z171,Z183,Z190,Z193:Z194,Z201,Z203,Z205,Z209:Z211,Z213:Z215,Z220,Z226:Z227,Z229:Z231,Z239,Z244)</f>
        <v>391.6</v>
      </c>
      <c r="AA118" s="64">
        <f t="shared" ref="AA118:AF118" si="78">SUM(AA22,AA28,AA31:AA32,AA66,AA68:AA69,AA71,AA73,AA119:AA123,AA155,AA161,AA167,AA176,AA178,AA190,AA197,AA200:AA201,AA208,AA210,AA212,AA216:AA218,AA220:AA222,AA227,AA233:AA234,AA236:AA238,AA246,AA251)</f>
        <v>364.54</v>
      </c>
      <c r="AB118" s="64">
        <f t="shared" si="78"/>
        <v>330.44</v>
      </c>
      <c r="AC118" s="64">
        <f t="shared" si="78"/>
        <v>309.54000000000002</v>
      </c>
      <c r="AD118" s="64">
        <f t="shared" si="78"/>
        <v>278.64</v>
      </c>
      <c r="AE118" s="64">
        <v>-0.4</v>
      </c>
      <c r="AF118" s="64">
        <f t="shared" si="78"/>
        <v>152.63999999999999</v>
      </c>
      <c r="AG118" s="63"/>
      <c r="AH118" s="12">
        <f t="shared" si="40"/>
        <v>391.6</v>
      </c>
      <c r="AI118" s="11">
        <f t="shared" si="41"/>
        <v>-0.4</v>
      </c>
    </row>
    <row r="119" spans="1:35" x14ac:dyDescent="0.25">
      <c r="A119" s="59" t="s">
        <v>143</v>
      </c>
      <c r="B119" s="62">
        <v>23.9</v>
      </c>
      <c r="C119" s="62">
        <v>23.5</v>
      </c>
      <c r="D119" s="62">
        <v>21.1</v>
      </c>
      <c r="E119" s="62">
        <v>12</v>
      </c>
      <c r="F119" s="62">
        <v>16.7</v>
      </c>
      <c r="G119" s="62">
        <v>11.9</v>
      </c>
      <c r="H119" s="62">
        <v>13</v>
      </c>
      <c r="I119" s="62">
        <v>11.4</v>
      </c>
      <c r="J119" s="62">
        <v>33.9</v>
      </c>
      <c r="K119" s="62">
        <v>40.5</v>
      </c>
      <c r="L119" s="62">
        <v>41.8</v>
      </c>
      <c r="M119" s="62">
        <v>-4</v>
      </c>
      <c r="N119" s="62">
        <v>-3.3</v>
      </c>
      <c r="O119" s="62">
        <v>-3.3</v>
      </c>
      <c r="P119" s="62">
        <v>4.5999999999999996</v>
      </c>
      <c r="Q119" s="62">
        <v>11.2</v>
      </c>
      <c r="R119" s="62">
        <v>5</v>
      </c>
      <c r="S119" s="62">
        <v>-2.2000000000000002</v>
      </c>
      <c r="T119" s="62">
        <v>3.5</v>
      </c>
      <c r="U119" s="62">
        <v>-6.1</v>
      </c>
      <c r="V119" s="62">
        <v>-6.1</v>
      </c>
      <c r="W119" s="62">
        <v>-10</v>
      </c>
      <c r="X119" s="62">
        <v>-12.5</v>
      </c>
      <c r="Y119" s="62">
        <v>0.3</v>
      </c>
      <c r="Z119" s="62">
        <v>-7.1</v>
      </c>
      <c r="AA119" s="62">
        <v>-7.8</v>
      </c>
      <c r="AB119" s="62">
        <v>-5.0999999999999996</v>
      </c>
      <c r="AC119" s="62">
        <v>-15.9</v>
      </c>
      <c r="AD119" s="62">
        <v>-1.4</v>
      </c>
      <c r="AE119" s="62">
        <v>-0.8</v>
      </c>
      <c r="AF119" s="62">
        <v>4.5999999999999996</v>
      </c>
      <c r="AG119" s="55">
        <v>75</v>
      </c>
      <c r="AH119" s="12">
        <f t="shared" si="40"/>
        <v>41.8</v>
      </c>
      <c r="AI119" s="11">
        <f t="shared" si="41"/>
        <v>-15.9</v>
      </c>
    </row>
    <row r="120" spans="1:35" x14ac:dyDescent="0.25">
      <c r="A120" s="57" t="s">
        <v>142</v>
      </c>
      <c r="B120" s="61">
        <v>40.1</v>
      </c>
      <c r="C120" s="61">
        <v>39</v>
      </c>
      <c r="D120" s="61">
        <v>35.200000000000003</v>
      </c>
      <c r="E120" s="61">
        <v>22.2</v>
      </c>
      <c r="F120" s="61">
        <v>31</v>
      </c>
      <c r="G120" s="61">
        <v>25.3</v>
      </c>
      <c r="H120" s="61">
        <v>25.7</v>
      </c>
      <c r="I120" s="61">
        <v>20.399999999999999</v>
      </c>
      <c r="J120" s="61">
        <v>44.1</v>
      </c>
      <c r="K120" s="61">
        <v>52.7</v>
      </c>
      <c r="L120" s="61">
        <v>51.6</v>
      </c>
      <c r="M120" s="61">
        <v>-11</v>
      </c>
      <c r="N120" s="61">
        <v>-12</v>
      </c>
      <c r="O120" s="61">
        <v>-12</v>
      </c>
      <c r="P120" s="61">
        <v>0.74</v>
      </c>
      <c r="Q120" s="61">
        <v>10.1</v>
      </c>
      <c r="R120" s="61">
        <v>1.5</v>
      </c>
      <c r="S120" s="61">
        <v>-10</v>
      </c>
      <c r="T120" s="61">
        <v>-1</v>
      </c>
      <c r="U120" s="61">
        <v>-14.9</v>
      </c>
      <c r="V120" s="61">
        <v>-14.9</v>
      </c>
      <c r="W120" s="61">
        <v>-12.5</v>
      </c>
      <c r="X120" s="61">
        <v>-15.9</v>
      </c>
      <c r="Y120" s="61">
        <v>1.3</v>
      </c>
      <c r="Z120" s="61">
        <v>-6.2</v>
      </c>
      <c r="AA120" s="61">
        <v>-8</v>
      </c>
      <c r="AB120" s="61">
        <v>-3.1</v>
      </c>
      <c r="AC120" s="61">
        <v>-19.8</v>
      </c>
      <c r="AD120" s="61">
        <v>1.3</v>
      </c>
      <c r="AE120" s="61">
        <v>5.0999999999999996</v>
      </c>
      <c r="AF120" s="61">
        <v>12</v>
      </c>
      <c r="AG120" s="55">
        <v>240</v>
      </c>
      <c r="AH120" s="12">
        <f t="shared" si="40"/>
        <v>52.7</v>
      </c>
      <c r="AI120" s="11">
        <f t="shared" si="41"/>
        <v>-19.8</v>
      </c>
    </row>
    <row r="121" spans="1:35" x14ac:dyDescent="0.25">
      <c r="A121" s="57" t="s">
        <v>141</v>
      </c>
      <c r="B121" s="61">
        <v>-78</v>
      </c>
      <c r="C121" s="61">
        <v>-77</v>
      </c>
      <c r="D121" s="61">
        <f>-32.4-43</f>
        <v>-75.400000000000006</v>
      </c>
      <c r="E121" s="61">
        <f>-22.1-33.5</f>
        <v>-55.6</v>
      </c>
      <c r="F121" s="61">
        <f>-29.5-39.6</f>
        <v>-69.099999999999994</v>
      </c>
      <c r="G121" s="61">
        <v>-48.9</v>
      </c>
      <c r="H121" s="61">
        <v>-48</v>
      </c>
      <c r="I121" s="61">
        <f>-28-25</f>
        <v>-53</v>
      </c>
      <c r="J121" s="61">
        <f>-43.6-28.1</f>
        <v>-71.7</v>
      </c>
      <c r="K121" s="61">
        <f>-51.1-28</f>
        <v>-79.099999999999994</v>
      </c>
      <c r="L121" s="61">
        <f>-39.9-28</f>
        <v>-67.900000000000006</v>
      </c>
      <c r="M121" s="61">
        <v>48</v>
      </c>
      <c r="N121" s="61">
        <v>54</v>
      </c>
      <c r="O121" s="61">
        <v>54</v>
      </c>
      <c r="P121" s="61">
        <f>27+21</f>
        <v>48</v>
      </c>
      <c r="Q121" s="61">
        <v>-6</v>
      </c>
      <c r="R121" s="61">
        <f>27+21</f>
        <v>48</v>
      </c>
      <c r="S121" s="61">
        <v>66</v>
      </c>
      <c r="T121" s="61">
        <v>55</v>
      </c>
      <c r="U121" s="61">
        <v>75</v>
      </c>
      <c r="V121" s="61">
        <v>75</v>
      </c>
      <c r="W121" s="61">
        <v>54</v>
      </c>
      <c r="X121" s="61">
        <v>60</v>
      </c>
      <c r="Y121" s="61">
        <v>39</v>
      </c>
      <c r="Z121" s="61">
        <v>63</v>
      </c>
      <c r="AA121" s="61">
        <v>55</v>
      </c>
      <c r="AB121" s="61">
        <v>42.6</v>
      </c>
      <c r="AC121" s="61">
        <f>32.6+27.5</f>
        <v>60.1</v>
      </c>
      <c r="AD121" s="61">
        <f>14.5+6.5</f>
        <v>21</v>
      </c>
      <c r="AE121" s="61">
        <f>2.6-4.9</f>
        <v>-2.3000000000000003</v>
      </c>
      <c r="AF121" s="61">
        <f>-11.9-21.7</f>
        <v>-33.6</v>
      </c>
      <c r="AG121" s="55">
        <v>240</v>
      </c>
      <c r="AH121" s="12">
        <f t="shared" si="40"/>
        <v>75</v>
      </c>
      <c r="AI121" s="11">
        <f t="shared" si="41"/>
        <v>-79.099999999999994</v>
      </c>
    </row>
    <row r="122" spans="1:35" ht="15.75" thickBot="1" x14ac:dyDescent="0.3">
      <c r="A122" s="57" t="s">
        <v>140</v>
      </c>
      <c r="B122" s="61">
        <v>23.9</v>
      </c>
      <c r="C122" s="61">
        <v>23.4</v>
      </c>
      <c r="D122" s="61">
        <v>24</v>
      </c>
      <c r="E122" s="61">
        <v>25.5</v>
      </c>
      <c r="F122" s="61">
        <v>25</v>
      </c>
      <c r="G122" s="61">
        <v>21.7</v>
      </c>
      <c r="H122" s="61">
        <v>24.5</v>
      </c>
      <c r="I122" s="61">
        <v>25.1</v>
      </c>
      <c r="J122" s="61">
        <v>19.5</v>
      </c>
      <c r="K122" s="61">
        <v>17.8</v>
      </c>
      <c r="L122" s="61">
        <v>18.7</v>
      </c>
      <c r="M122" s="61">
        <v>41</v>
      </c>
      <c r="N122" s="61">
        <v>34</v>
      </c>
      <c r="O122" s="61">
        <v>34</v>
      </c>
      <c r="P122" s="61">
        <v>34.6</v>
      </c>
      <c r="Q122" s="61">
        <v>29.9</v>
      </c>
      <c r="R122" s="61">
        <v>34</v>
      </c>
      <c r="S122" s="61">
        <v>36.9</v>
      </c>
      <c r="T122" s="61">
        <v>32</v>
      </c>
      <c r="U122" s="61">
        <v>35.299999999999997</v>
      </c>
      <c r="V122" s="61">
        <v>35.299999999999997</v>
      </c>
      <c r="W122" s="61">
        <v>43.1</v>
      </c>
      <c r="X122" s="61">
        <v>44</v>
      </c>
      <c r="Y122" s="61">
        <v>42</v>
      </c>
      <c r="Z122" s="61">
        <v>47</v>
      </c>
      <c r="AA122" s="61">
        <v>47</v>
      </c>
      <c r="AB122" s="61">
        <v>44</v>
      </c>
      <c r="AC122" s="61">
        <v>45.6</v>
      </c>
      <c r="AD122" s="61">
        <v>39.799999999999997</v>
      </c>
      <c r="AE122" s="61">
        <v>36.1</v>
      </c>
      <c r="AF122" s="61">
        <v>29.9</v>
      </c>
      <c r="AG122" s="55">
        <v>60</v>
      </c>
      <c r="AH122" s="12">
        <f t="shared" si="40"/>
        <v>47</v>
      </c>
      <c r="AI122" s="11">
        <f t="shared" si="41"/>
        <v>17.8</v>
      </c>
    </row>
    <row r="123" spans="1:35" x14ac:dyDescent="0.25">
      <c r="A123" s="59" t="s">
        <v>139</v>
      </c>
      <c r="B123" s="58">
        <v>20.9</v>
      </c>
      <c r="C123" s="58">
        <v>14.5</v>
      </c>
      <c r="D123" s="58">
        <v>8.1</v>
      </c>
      <c r="E123" s="58">
        <v>5.7</v>
      </c>
      <c r="F123" s="58">
        <v>7.6</v>
      </c>
      <c r="G123" s="58">
        <v>22.1</v>
      </c>
      <c r="H123" s="58">
        <v>41.6</v>
      </c>
      <c r="I123" s="58">
        <v>62.8</v>
      </c>
      <c r="J123" s="58">
        <v>99</v>
      </c>
      <c r="K123" s="58">
        <v>114.6</v>
      </c>
      <c r="L123" s="58">
        <v>129.6</v>
      </c>
      <c r="M123" s="58">
        <v>127</v>
      </c>
      <c r="N123" s="58">
        <v>107</v>
      </c>
      <c r="O123" s="58">
        <v>107</v>
      </c>
      <c r="P123" s="58">
        <v>101</v>
      </c>
      <c r="Q123" s="58">
        <v>93.8</v>
      </c>
      <c r="R123" s="58">
        <v>102</v>
      </c>
      <c r="S123" s="58">
        <v>100</v>
      </c>
      <c r="T123" s="58">
        <v>82.1</v>
      </c>
      <c r="U123" s="58">
        <v>106.5</v>
      </c>
      <c r="V123" s="58">
        <v>106.5</v>
      </c>
      <c r="W123" s="58">
        <v>123</v>
      </c>
      <c r="X123" s="58">
        <v>127</v>
      </c>
      <c r="Y123" s="58">
        <v>142</v>
      </c>
      <c r="Z123" s="58">
        <v>172</v>
      </c>
      <c r="AA123" s="58">
        <v>171.2</v>
      </c>
      <c r="AB123" s="58">
        <v>144.9</v>
      </c>
      <c r="AC123" s="58">
        <v>132.6</v>
      </c>
      <c r="AD123" s="58">
        <v>110.8</v>
      </c>
      <c r="AE123" s="58">
        <v>64.099999999999994</v>
      </c>
      <c r="AF123" s="58">
        <v>31.7</v>
      </c>
      <c r="AG123" s="60">
        <v>120</v>
      </c>
      <c r="AH123" s="12">
        <f t="shared" si="40"/>
        <v>172</v>
      </c>
      <c r="AI123" s="11">
        <f t="shared" si="41"/>
        <v>5.7</v>
      </c>
    </row>
    <row r="124" spans="1:35" x14ac:dyDescent="0.25">
      <c r="A124" s="57" t="s">
        <v>138</v>
      </c>
      <c r="B124" s="58">
        <v>29.9</v>
      </c>
      <c r="C124" s="58">
        <v>26.8</v>
      </c>
      <c r="D124" s="58">
        <v>25.4</v>
      </c>
      <c r="E124" s="58">
        <v>23.9</v>
      </c>
      <c r="F124" s="58">
        <v>24.6</v>
      </c>
      <c r="G124" s="58">
        <v>32</v>
      </c>
      <c r="H124" s="58">
        <v>41.7</v>
      </c>
      <c r="I124" s="58">
        <v>52.3</v>
      </c>
      <c r="J124" s="58">
        <v>70.5</v>
      </c>
      <c r="K124" s="58">
        <v>78.3</v>
      </c>
      <c r="L124" s="58">
        <v>85.4</v>
      </c>
      <c r="M124" s="58">
        <v>83.4</v>
      </c>
      <c r="N124" s="58">
        <v>74</v>
      </c>
      <c r="O124" s="58">
        <v>74</v>
      </c>
      <c r="P124" s="58">
        <v>71</v>
      </c>
      <c r="Q124" s="58">
        <v>66.8</v>
      </c>
      <c r="R124" s="58">
        <v>70</v>
      </c>
      <c r="S124" s="58">
        <v>70</v>
      </c>
      <c r="T124" s="58">
        <v>62</v>
      </c>
      <c r="U124" s="58">
        <v>73</v>
      </c>
      <c r="V124" s="58">
        <v>73</v>
      </c>
      <c r="W124" s="58">
        <v>82</v>
      </c>
      <c r="X124" s="58">
        <v>84</v>
      </c>
      <c r="Y124" s="58">
        <v>91</v>
      </c>
      <c r="Z124" s="58">
        <v>107</v>
      </c>
      <c r="AA124" s="58">
        <v>107</v>
      </c>
      <c r="AB124" s="58">
        <v>92.1</v>
      </c>
      <c r="AC124" s="58">
        <v>85.6</v>
      </c>
      <c r="AD124" s="58">
        <v>75.7</v>
      </c>
      <c r="AE124" s="58">
        <v>53</v>
      </c>
      <c r="AF124" s="58">
        <v>38.1</v>
      </c>
      <c r="AG124" s="60"/>
      <c r="AH124" s="12">
        <f t="shared" si="40"/>
        <v>107</v>
      </c>
      <c r="AI124" s="11">
        <f t="shared" si="41"/>
        <v>23.9</v>
      </c>
    </row>
    <row r="125" spans="1:35" x14ac:dyDescent="0.25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40"/>
        <v>0</v>
      </c>
      <c r="AI125" s="11">
        <f t="shared" si="41"/>
        <v>0</v>
      </c>
    </row>
    <row r="126" spans="1:35" ht="15.75" thickBot="1" x14ac:dyDescent="0.3">
      <c r="A126" s="57" t="s">
        <v>136</v>
      </c>
      <c r="B126" s="58">
        <v>13.6</v>
      </c>
      <c r="C126" s="58">
        <v>0.2</v>
      </c>
      <c r="D126" s="58">
        <v>10.6</v>
      </c>
      <c r="E126" s="58">
        <v>30.3</v>
      </c>
      <c r="F126" s="58">
        <v>27</v>
      </c>
      <c r="G126" s="58">
        <v>32.700000000000003</v>
      </c>
      <c r="H126" s="58">
        <v>35.5</v>
      </c>
      <c r="I126" s="58">
        <v>67.400000000000006</v>
      </c>
      <c r="J126" s="58">
        <v>74.099999999999994</v>
      </c>
      <c r="K126" s="58">
        <v>82.9</v>
      </c>
      <c r="L126" s="58">
        <v>95.7</v>
      </c>
      <c r="M126" s="58">
        <v>88</v>
      </c>
      <c r="N126" s="58">
        <v>92</v>
      </c>
      <c r="O126" s="58">
        <v>92</v>
      </c>
      <c r="P126" s="58">
        <v>101</v>
      </c>
      <c r="Q126" s="58">
        <v>87.37</v>
      </c>
      <c r="R126" s="58">
        <v>96</v>
      </c>
      <c r="S126" s="58">
        <v>106</v>
      </c>
      <c r="T126" s="58">
        <v>78</v>
      </c>
      <c r="U126" s="58">
        <v>92.4</v>
      </c>
      <c r="V126" s="58">
        <v>92.4</v>
      </c>
      <c r="W126" s="58">
        <v>83</v>
      </c>
      <c r="X126" s="58">
        <v>91</v>
      </c>
      <c r="Y126" s="58">
        <v>85</v>
      </c>
      <c r="Z126" s="58">
        <v>100</v>
      </c>
      <c r="AA126" s="58">
        <v>102</v>
      </c>
      <c r="AB126" s="58">
        <v>93.3</v>
      </c>
      <c r="AC126" s="58">
        <v>102.7</v>
      </c>
      <c r="AD126" s="58">
        <v>88</v>
      </c>
      <c r="AE126" s="58">
        <v>81.2</v>
      </c>
      <c r="AF126" s="58">
        <v>53.4</v>
      </c>
      <c r="AG126" s="55"/>
      <c r="AH126" s="12">
        <f>MAX(B126:AF126)</f>
        <v>106</v>
      </c>
      <c r="AI126" s="11">
        <f>MIN(B126:AF126)</f>
        <v>0.2</v>
      </c>
    </row>
    <row r="127" spans="1:35" x14ac:dyDescent="0.25">
      <c r="A127" s="59" t="s">
        <v>135</v>
      </c>
      <c r="B127" s="58">
        <v>-95.5</v>
      </c>
      <c r="C127" s="58">
        <v>-83.6</v>
      </c>
      <c r="D127" s="58">
        <v>-83.3</v>
      </c>
      <c r="E127" s="58">
        <v>-76.900000000000006</v>
      </c>
      <c r="F127" s="58">
        <v>-75.099999999999994</v>
      </c>
      <c r="G127" s="58">
        <v>-75</v>
      </c>
      <c r="H127" s="58">
        <v>-66.099999999999994</v>
      </c>
      <c r="I127" s="58">
        <v>-51.5</v>
      </c>
      <c r="J127" s="58">
        <v>20.8</v>
      </c>
      <c r="K127" s="58">
        <v>28.4</v>
      </c>
      <c r="L127" s="58">
        <v>34.700000000000003</v>
      </c>
      <c r="M127" s="58">
        <v>31</v>
      </c>
      <c r="N127" s="58">
        <v>23</v>
      </c>
      <c r="O127" s="58">
        <v>23</v>
      </c>
      <c r="P127" s="58">
        <v>22</v>
      </c>
      <c r="Q127" s="58">
        <v>17.7</v>
      </c>
      <c r="R127" s="58">
        <v>21</v>
      </c>
      <c r="S127" s="58">
        <v>23</v>
      </c>
      <c r="T127" s="58">
        <v>15</v>
      </c>
      <c r="U127" s="58">
        <v>26.4</v>
      </c>
      <c r="V127" s="58">
        <v>26.4</v>
      </c>
      <c r="W127" s="58">
        <v>37</v>
      </c>
      <c r="X127" s="58">
        <v>32.299999999999997</v>
      </c>
      <c r="Y127" s="58">
        <v>-36</v>
      </c>
      <c r="Z127" s="58">
        <v>-158</v>
      </c>
      <c r="AA127" s="58">
        <v>-141</v>
      </c>
      <c r="AB127" s="58">
        <v>-133.19999999999999</v>
      </c>
      <c r="AC127" s="58">
        <v>-139.6</v>
      </c>
      <c r="AD127" s="58">
        <v>-107.4</v>
      </c>
      <c r="AE127" s="58">
        <v>-131.19999999999999</v>
      </c>
      <c r="AF127" s="58">
        <v>-87.7</v>
      </c>
      <c r="AG127" s="55"/>
      <c r="AH127" s="12">
        <f>MAX(B127:AF127)</f>
        <v>37</v>
      </c>
      <c r="AI127" s="11">
        <f>MIN(B127:AF127)</f>
        <v>-158</v>
      </c>
    </row>
    <row r="128" spans="1:35" x14ac:dyDescent="0.25">
      <c r="A128" s="57" t="s">
        <v>134</v>
      </c>
      <c r="B128" s="56">
        <v>-37.299999999999997</v>
      </c>
      <c r="C128" s="56">
        <v>-28.1</v>
      </c>
      <c r="D128" s="56">
        <v>-28.3</v>
      </c>
      <c r="E128" s="56">
        <v>-25.6</v>
      </c>
      <c r="F128" s="56">
        <v>-19.899999999999999</v>
      </c>
      <c r="G128" s="56">
        <v>-22.4</v>
      </c>
      <c r="H128" s="56">
        <v>-30.1</v>
      </c>
      <c r="I128" s="56">
        <v>-39.4</v>
      </c>
      <c r="J128" s="56">
        <v>-45.7</v>
      </c>
      <c r="K128" s="56">
        <v>-46.2</v>
      </c>
      <c r="L128" s="56">
        <v>-48.2</v>
      </c>
      <c r="M128" s="56">
        <v>-51</v>
      </c>
      <c r="N128" s="56">
        <v>-47</v>
      </c>
      <c r="O128" s="56">
        <v>-47</v>
      </c>
      <c r="P128" s="56">
        <v>30.8</v>
      </c>
      <c r="Q128" s="56">
        <v>-16.2</v>
      </c>
      <c r="R128" s="56">
        <v>-15</v>
      </c>
      <c r="S128" s="56">
        <v>-22.1</v>
      </c>
      <c r="T128" s="56">
        <v>-25</v>
      </c>
      <c r="U128" s="56">
        <v>-36</v>
      </c>
      <c r="V128" s="56">
        <v>-36</v>
      </c>
      <c r="W128" s="56">
        <v>-68</v>
      </c>
      <c r="X128" s="56"/>
      <c r="Y128" s="56">
        <v>-59</v>
      </c>
      <c r="Z128" s="56"/>
      <c r="AA128" s="56"/>
      <c r="AB128" s="56">
        <v>-54.7</v>
      </c>
      <c r="AC128" s="56">
        <v>-58.3</v>
      </c>
      <c r="AD128" s="56">
        <v>-57.6</v>
      </c>
      <c r="AE128" s="56">
        <v>52.5</v>
      </c>
      <c r="AF128" s="56">
        <v>47.2</v>
      </c>
      <c r="AG128" s="55"/>
      <c r="AH128" s="12">
        <f>MAX(B128:AF128)</f>
        <v>52.5</v>
      </c>
      <c r="AI128" s="11">
        <f>MIN(B128:AF128)</f>
        <v>-68</v>
      </c>
    </row>
    <row r="129" spans="1:37" x14ac:dyDescent="0.25">
      <c r="A129" s="57" t="s">
        <v>133</v>
      </c>
      <c r="B129" s="56">
        <v>78.900000000000006</v>
      </c>
      <c r="C129" s="56">
        <v>73</v>
      </c>
      <c r="D129" s="56">
        <v>64.900000000000006</v>
      </c>
      <c r="E129" s="56">
        <v>70</v>
      </c>
      <c r="F129" s="56">
        <v>66.5</v>
      </c>
      <c r="G129" s="56">
        <v>71.900000000000006</v>
      </c>
      <c r="H129" s="56">
        <v>69.8</v>
      </c>
      <c r="I129" s="56">
        <v>79.5</v>
      </c>
      <c r="J129" s="56">
        <v>107.6</v>
      </c>
      <c r="K129" s="56">
        <v>118.7</v>
      </c>
      <c r="L129" s="56">
        <v>115.7</v>
      </c>
      <c r="M129" s="56">
        <v>127</v>
      </c>
      <c r="N129" s="56">
        <v>78</v>
      </c>
      <c r="O129" s="56">
        <v>78</v>
      </c>
      <c r="P129" s="56">
        <v>99.2</v>
      </c>
      <c r="Q129" s="56">
        <v>101</v>
      </c>
      <c r="R129" s="56">
        <v>36</v>
      </c>
      <c r="S129" s="56">
        <v>92</v>
      </c>
      <c r="T129" s="56">
        <v>103</v>
      </c>
      <c r="U129" s="56">
        <v>109</v>
      </c>
      <c r="V129" s="56">
        <v>109</v>
      </c>
      <c r="W129" s="56">
        <v>115</v>
      </c>
      <c r="X129" s="56">
        <v>116</v>
      </c>
      <c r="Y129" s="56">
        <v>118</v>
      </c>
      <c r="Z129" s="56">
        <v>120</v>
      </c>
      <c r="AA129" s="56">
        <v>119.2</v>
      </c>
      <c r="AB129" s="56">
        <v>105.5</v>
      </c>
      <c r="AC129" s="56">
        <v>111</v>
      </c>
      <c r="AD129" s="56">
        <v>110.3</v>
      </c>
      <c r="AE129" s="56">
        <v>74.900000000000006</v>
      </c>
      <c r="AF129" s="56">
        <v>97</v>
      </c>
      <c r="AG129" s="55"/>
      <c r="AH129" s="12">
        <f>MAX(B129:AF129)</f>
        <v>127</v>
      </c>
      <c r="AI129" s="11">
        <f>MIN(B129:AF129)</f>
        <v>36</v>
      </c>
    </row>
    <row r="130" spans="1:37" ht="15.75" thickBot="1" x14ac:dyDescent="0.3">
      <c r="A130" s="57" t="s">
        <v>132</v>
      </c>
      <c r="B130" s="56">
        <v>91.7</v>
      </c>
      <c r="C130" s="56">
        <v>85.4</v>
      </c>
      <c r="D130" s="56">
        <v>76.8</v>
      </c>
      <c r="E130" s="56">
        <v>81.3</v>
      </c>
      <c r="F130" s="56">
        <v>78.599999999999994</v>
      </c>
      <c r="G130" s="56">
        <v>83</v>
      </c>
      <c r="H130" s="56">
        <v>81.400000000000006</v>
      </c>
      <c r="I130" s="56">
        <v>91.2</v>
      </c>
      <c r="J130" s="56">
        <v>115.7</v>
      </c>
      <c r="K130" s="56">
        <v>123</v>
      </c>
      <c r="L130" s="56">
        <v>126.4</v>
      </c>
      <c r="M130" s="56">
        <v>128</v>
      </c>
      <c r="N130" s="56">
        <v>46</v>
      </c>
      <c r="O130" s="56">
        <v>46</v>
      </c>
      <c r="P130" s="56">
        <v>55</v>
      </c>
      <c r="Q130" s="56">
        <v>51.3</v>
      </c>
      <c r="R130" s="56">
        <v>50</v>
      </c>
      <c r="S130" s="56">
        <v>95.3</v>
      </c>
      <c r="T130" s="56">
        <v>106</v>
      </c>
      <c r="U130" s="56">
        <v>114</v>
      </c>
      <c r="V130" s="56">
        <v>114</v>
      </c>
      <c r="W130" s="56">
        <v>122</v>
      </c>
      <c r="X130" s="56">
        <v>127</v>
      </c>
      <c r="Y130" s="56">
        <v>124</v>
      </c>
      <c r="Z130" s="56">
        <v>132</v>
      </c>
      <c r="AA130" s="56">
        <v>129</v>
      </c>
      <c r="AB130" s="56">
        <v>101.8</v>
      </c>
      <c r="AC130" s="56">
        <v>118.5</v>
      </c>
      <c r="AD130" s="56">
        <v>119.1</v>
      </c>
      <c r="AE130" s="56">
        <v>113.4</v>
      </c>
      <c r="AF130" s="56">
        <v>106.8</v>
      </c>
      <c r="AG130" s="55"/>
      <c r="AH130" s="12">
        <f>MAX(B130:AF130)</f>
        <v>132</v>
      </c>
      <c r="AI130" s="11">
        <f>MIN(B130:AF130)</f>
        <v>46</v>
      </c>
    </row>
    <row r="131" spans="1:37" x14ac:dyDescent="0.25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25">
      <c r="A132" s="47" t="s">
        <v>130</v>
      </c>
      <c r="B132" s="51">
        <v>1982.7</v>
      </c>
      <c r="C132" s="51">
        <v>1982.55</v>
      </c>
      <c r="D132" s="51">
        <v>1982.7</v>
      </c>
      <c r="E132" s="51">
        <v>1982.69</v>
      </c>
      <c r="F132" s="51">
        <v>1982.7</v>
      </c>
      <c r="G132" s="51">
        <v>1982.65</v>
      </c>
      <c r="H132" s="51"/>
      <c r="I132" s="51">
        <v>1982.6</v>
      </c>
      <c r="J132" s="51"/>
      <c r="K132" s="51">
        <v>1982.83</v>
      </c>
      <c r="L132" s="51"/>
      <c r="M132" s="51">
        <v>1983.2</v>
      </c>
      <c r="N132" s="51">
        <v>1983.5</v>
      </c>
      <c r="O132" s="51">
        <v>1983.8</v>
      </c>
      <c r="P132" s="51">
        <v>1984.12</v>
      </c>
      <c r="Q132" s="51">
        <v>1984.38</v>
      </c>
      <c r="R132" s="51"/>
      <c r="S132" s="51">
        <v>1984.9</v>
      </c>
      <c r="T132" s="51">
        <v>1985.12</v>
      </c>
      <c r="U132" s="51">
        <v>1985.38</v>
      </c>
      <c r="V132" s="51">
        <v>1985.6</v>
      </c>
      <c r="W132" s="51">
        <v>1985.7</v>
      </c>
      <c r="X132" s="51">
        <v>1985.82</v>
      </c>
      <c r="Y132" s="51"/>
      <c r="Z132" s="51">
        <v>1985.55</v>
      </c>
      <c r="AA132" s="51">
        <v>1985</v>
      </c>
      <c r="AB132" s="51">
        <v>1984.4</v>
      </c>
      <c r="AC132" s="51"/>
      <c r="AD132" s="51">
        <v>1983.8</v>
      </c>
      <c r="AE132" s="51">
        <v>1983.18</v>
      </c>
      <c r="AF132" s="50">
        <v>1982.81</v>
      </c>
      <c r="AG132" s="44"/>
      <c r="AH132" s="12"/>
      <c r="AI132" s="11"/>
    </row>
    <row r="133" spans="1:37" x14ac:dyDescent="0.25">
      <c r="A133" s="47" t="s">
        <v>129</v>
      </c>
      <c r="B133" s="49">
        <v>520.86</v>
      </c>
      <c r="C133" s="49">
        <v>520.67999999999995</v>
      </c>
      <c r="D133" s="49">
        <v>520.48</v>
      </c>
      <c r="E133" s="49">
        <v>520.36</v>
      </c>
      <c r="F133" s="49">
        <v>520.41999999999996</v>
      </c>
      <c r="G133" s="49">
        <v>520.5</v>
      </c>
      <c r="H133" s="49"/>
      <c r="I133" s="49">
        <v>520.48</v>
      </c>
      <c r="J133" s="49"/>
      <c r="K133" s="49">
        <v>520.15</v>
      </c>
      <c r="L133" s="49"/>
      <c r="M133" s="49">
        <v>519.64</v>
      </c>
      <c r="N133" s="49">
        <v>519.63</v>
      </c>
      <c r="O133" s="49">
        <v>519.59</v>
      </c>
      <c r="P133" s="49">
        <v>519.52</v>
      </c>
      <c r="Q133" s="49">
        <v>519.34</v>
      </c>
      <c r="R133" s="49"/>
      <c r="S133" s="49">
        <v>519.12</v>
      </c>
      <c r="T133" s="49">
        <v>519.05999999999995</v>
      </c>
      <c r="U133" s="49">
        <v>519.17999999999995</v>
      </c>
      <c r="V133" s="49">
        <v>519.45000000000005</v>
      </c>
      <c r="W133" s="49"/>
      <c r="X133" s="49">
        <v>519.70000000000005</v>
      </c>
      <c r="Y133" s="49"/>
      <c r="Z133" s="49">
        <v>519.83000000000004</v>
      </c>
      <c r="AA133" s="49"/>
      <c r="AB133" s="49">
        <v>519.66</v>
      </c>
      <c r="AC133" s="49"/>
      <c r="AD133" s="49">
        <v>519.54</v>
      </c>
      <c r="AE133" s="49">
        <v>519.41999999999996</v>
      </c>
      <c r="AF133" s="48">
        <v>519.27</v>
      </c>
      <c r="AG133" s="44"/>
      <c r="AH133" s="12"/>
      <c r="AI133" s="11"/>
    </row>
    <row r="134" spans="1:37" x14ac:dyDescent="0.25">
      <c r="A134" s="47" t="s">
        <v>128</v>
      </c>
      <c r="B134" s="49"/>
      <c r="C134" s="49">
        <v>623.76</v>
      </c>
      <c r="D134" s="49">
        <v>623.83000000000004</v>
      </c>
      <c r="E134" s="49">
        <v>623.79</v>
      </c>
      <c r="F134" s="49">
        <v>623.63</v>
      </c>
      <c r="G134" s="49">
        <v>623.22</v>
      </c>
      <c r="H134" s="49"/>
      <c r="I134" s="49">
        <v>622.75</v>
      </c>
      <c r="J134" s="49"/>
      <c r="K134" s="49">
        <v>622.20000000000005</v>
      </c>
      <c r="L134" s="49"/>
      <c r="M134" s="49">
        <v>621.97</v>
      </c>
      <c r="N134" s="49">
        <v>622</v>
      </c>
      <c r="O134" s="49">
        <v>622.37</v>
      </c>
      <c r="P134" s="49">
        <v>622.51</v>
      </c>
      <c r="Q134" s="49">
        <v>622.54999999999995</v>
      </c>
      <c r="R134" s="49">
        <v>622.62</v>
      </c>
      <c r="S134" s="49">
        <v>622.66999999999996</v>
      </c>
      <c r="T134" s="49">
        <v>622.64</v>
      </c>
      <c r="U134" s="49">
        <v>622.70000000000005</v>
      </c>
      <c r="V134" s="49">
        <v>622.76</v>
      </c>
      <c r="W134" s="49"/>
      <c r="X134" s="49">
        <v>622.79999999999995</v>
      </c>
      <c r="Y134" s="49"/>
      <c r="Z134" s="49">
        <v>622.45000000000005</v>
      </c>
      <c r="AA134" s="49"/>
      <c r="AB134" s="49">
        <v>621.96</v>
      </c>
      <c r="AC134" s="49"/>
      <c r="AD134" s="49">
        <v>621.84</v>
      </c>
      <c r="AE134" s="49">
        <v>621.9</v>
      </c>
      <c r="AF134" s="48"/>
      <c r="AG134" s="44"/>
      <c r="AH134" s="12"/>
      <c r="AI134" s="11"/>
    </row>
    <row r="135" spans="1:37" x14ac:dyDescent="0.25">
      <c r="A135" s="47" t="s">
        <v>127</v>
      </c>
      <c r="B135" s="49"/>
      <c r="C135" s="49">
        <v>335.04</v>
      </c>
      <c r="D135" s="49">
        <v>335.02</v>
      </c>
      <c r="E135" s="49">
        <v>334.93</v>
      </c>
      <c r="F135" s="49">
        <v>334.59</v>
      </c>
      <c r="G135" s="49">
        <v>334.72</v>
      </c>
      <c r="H135" s="49"/>
      <c r="I135" s="49">
        <v>334.66</v>
      </c>
      <c r="J135" s="49"/>
      <c r="K135" s="49">
        <v>334.44</v>
      </c>
      <c r="L135" s="49"/>
      <c r="M135" s="49">
        <v>334.09</v>
      </c>
      <c r="N135" s="49">
        <v>334.25</v>
      </c>
      <c r="O135" s="49">
        <v>334.59</v>
      </c>
      <c r="P135" s="49">
        <v>334.85</v>
      </c>
      <c r="Q135" s="49">
        <v>335.02</v>
      </c>
      <c r="R135" s="49"/>
      <c r="S135" s="49">
        <v>335.14</v>
      </c>
      <c r="T135" s="49">
        <v>335.07</v>
      </c>
      <c r="U135" s="49">
        <v>334.96</v>
      </c>
      <c r="V135" s="49">
        <v>334.91</v>
      </c>
      <c r="W135" s="49"/>
      <c r="X135" s="49">
        <v>334.8</v>
      </c>
      <c r="Y135" s="49"/>
      <c r="Z135" s="49">
        <v>334.69</v>
      </c>
      <c r="AA135" s="49"/>
      <c r="AB135" s="49">
        <v>334.6</v>
      </c>
      <c r="AC135" s="49"/>
      <c r="AD135" s="49">
        <v>334.49</v>
      </c>
      <c r="AE135" s="49">
        <v>334.38</v>
      </c>
      <c r="AF135" s="48">
        <v>334.31</v>
      </c>
      <c r="AG135" s="44"/>
      <c r="AH135" s="12"/>
      <c r="AI135" s="11"/>
    </row>
    <row r="136" spans="1:37" x14ac:dyDescent="0.25">
      <c r="A136" s="47" t="s">
        <v>126</v>
      </c>
      <c r="B136" s="49"/>
      <c r="C136" s="49">
        <v>881.8</v>
      </c>
      <c r="D136" s="49">
        <v>881.9</v>
      </c>
      <c r="E136" s="49">
        <v>882.3</v>
      </c>
      <c r="F136" s="49">
        <v>883.2</v>
      </c>
      <c r="G136" s="49">
        <v>884.3</v>
      </c>
      <c r="H136" s="49"/>
      <c r="I136" s="49">
        <v>884.9</v>
      </c>
      <c r="J136" s="49"/>
      <c r="K136" s="49">
        <v>884.3</v>
      </c>
      <c r="L136" s="49"/>
      <c r="M136" s="49">
        <v>883</v>
      </c>
      <c r="N136" s="49">
        <v>882</v>
      </c>
      <c r="O136" s="49">
        <v>881.6</v>
      </c>
      <c r="P136" s="49">
        <v>881.7</v>
      </c>
      <c r="Q136" s="49">
        <v>882.9</v>
      </c>
      <c r="R136" s="49"/>
      <c r="S136" s="49">
        <v>884.5</v>
      </c>
      <c r="T136" s="49">
        <v>885.1</v>
      </c>
      <c r="U136" s="49">
        <v>885.7</v>
      </c>
      <c r="V136" s="49">
        <v>886.2</v>
      </c>
      <c r="W136" s="49"/>
      <c r="X136" s="49">
        <v>886.7</v>
      </c>
      <c r="Y136" s="49"/>
      <c r="Z136" s="49">
        <v>886.5</v>
      </c>
      <c r="AA136" s="49"/>
      <c r="AB136" s="49">
        <v>884.8</v>
      </c>
      <c r="AC136" s="49"/>
      <c r="AD136" s="49">
        <v>883.6</v>
      </c>
      <c r="AE136" s="49">
        <v>882.8</v>
      </c>
      <c r="AF136" s="48">
        <v>882.2</v>
      </c>
      <c r="AG136" s="44"/>
      <c r="AH136" s="12"/>
      <c r="AI136" s="11"/>
    </row>
    <row r="137" spans="1:37" ht="15.75" thickBot="1" x14ac:dyDescent="0.3">
      <c r="A137" s="47" t="s">
        <v>125</v>
      </c>
      <c r="B137" s="46">
        <v>1509.7</v>
      </c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.75" thickBot="1" x14ac:dyDescent="0.3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25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25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25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25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25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25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25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25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25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25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25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25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25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25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25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25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25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25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25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25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25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25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25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25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25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25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25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25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25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25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25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25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25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25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25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25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25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25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25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25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25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25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25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25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25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25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25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25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25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25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25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25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25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25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25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25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25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25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25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25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25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25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25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25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25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25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25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25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25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25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25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25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25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25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25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25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25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25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25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25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25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25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25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25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25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25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25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25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25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25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25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25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25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25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25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25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25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25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25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25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25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25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25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25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.75" thickBot="1" x14ac:dyDescent="0.3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.75" thickBot="1" x14ac:dyDescent="0.3">
      <c r="A244" s="31" t="s">
        <v>17</v>
      </c>
      <c r="B244" s="30">
        <f t="shared" ref="B244:AG244" si="79">SUM(B139:B243)</f>
        <v>0</v>
      </c>
      <c r="C244" s="14">
        <f t="shared" si="79"/>
        <v>0</v>
      </c>
      <c r="D244" s="14">
        <f t="shared" si="79"/>
        <v>0</v>
      </c>
      <c r="E244" s="14">
        <f t="shared" si="79"/>
        <v>0</v>
      </c>
      <c r="F244" s="14">
        <f t="shared" si="79"/>
        <v>0</v>
      </c>
      <c r="G244" s="14">
        <f t="shared" si="79"/>
        <v>0</v>
      </c>
      <c r="H244" s="14">
        <f t="shared" si="79"/>
        <v>0</v>
      </c>
      <c r="I244" s="14">
        <f t="shared" si="79"/>
        <v>0</v>
      </c>
      <c r="J244" s="14">
        <f t="shared" si="79"/>
        <v>0</v>
      </c>
      <c r="K244" s="14">
        <f t="shared" si="79"/>
        <v>0</v>
      </c>
      <c r="L244" s="14">
        <f t="shared" si="79"/>
        <v>0</v>
      </c>
      <c r="M244" s="14">
        <f t="shared" si="79"/>
        <v>0</v>
      </c>
      <c r="N244" s="14">
        <f t="shared" si="79"/>
        <v>0</v>
      </c>
      <c r="O244" s="14">
        <f t="shared" si="79"/>
        <v>0</v>
      </c>
      <c r="P244" s="14">
        <f t="shared" si="79"/>
        <v>0</v>
      </c>
      <c r="Q244" s="14">
        <f t="shared" si="79"/>
        <v>0</v>
      </c>
      <c r="R244" s="14">
        <f t="shared" si="79"/>
        <v>0</v>
      </c>
      <c r="S244" s="14">
        <f t="shared" si="79"/>
        <v>0</v>
      </c>
      <c r="T244" s="14">
        <f t="shared" si="79"/>
        <v>0</v>
      </c>
      <c r="U244" s="14">
        <f t="shared" si="79"/>
        <v>0</v>
      </c>
      <c r="V244" s="14">
        <f t="shared" si="79"/>
        <v>0</v>
      </c>
      <c r="W244" s="14">
        <f t="shared" si="79"/>
        <v>0</v>
      </c>
      <c r="X244" s="14">
        <f t="shared" si="79"/>
        <v>0</v>
      </c>
      <c r="Y244" s="14">
        <f t="shared" si="79"/>
        <v>0</v>
      </c>
      <c r="Z244" s="14">
        <f t="shared" si="79"/>
        <v>0</v>
      </c>
      <c r="AA244" s="14">
        <f t="shared" si="79"/>
        <v>0</v>
      </c>
      <c r="AB244" s="14">
        <f t="shared" si="79"/>
        <v>0</v>
      </c>
      <c r="AC244" s="14">
        <f t="shared" si="79"/>
        <v>0</v>
      </c>
      <c r="AD244" s="14">
        <f t="shared" si="79"/>
        <v>0</v>
      </c>
      <c r="AE244" s="14">
        <f t="shared" si="79"/>
        <v>0</v>
      </c>
      <c r="AF244" s="29">
        <f t="shared" si="79"/>
        <v>0</v>
      </c>
      <c r="AG244" s="28">
        <f t="shared" si="79"/>
        <v>412.72299999999984</v>
      </c>
      <c r="AH244" s="12"/>
      <c r="AI244" s="11"/>
      <c r="AK244" s="19"/>
    </row>
    <row r="245" spans="1:37" ht="15.75" thickBot="1" x14ac:dyDescent="0.3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25">
      <c r="A246" s="25" t="s">
        <v>16</v>
      </c>
      <c r="B246" s="24">
        <f t="shared" ref="B246:B251" si="80">AF246</f>
        <v>0.3</v>
      </c>
      <c r="C246" s="24">
        <v>0.3</v>
      </c>
      <c r="D246" s="24">
        <f t="shared" ref="D246:AF251" si="81">C246</f>
        <v>0.3</v>
      </c>
      <c r="E246" s="24">
        <f t="shared" si="81"/>
        <v>0.3</v>
      </c>
      <c r="F246" s="24">
        <f t="shared" si="81"/>
        <v>0.3</v>
      </c>
      <c r="G246" s="24">
        <f t="shared" si="81"/>
        <v>0.3</v>
      </c>
      <c r="H246" s="24">
        <f t="shared" si="81"/>
        <v>0.3</v>
      </c>
      <c r="I246" s="24">
        <f t="shared" si="81"/>
        <v>0.3</v>
      </c>
      <c r="J246" s="24">
        <f t="shared" si="81"/>
        <v>0.3</v>
      </c>
      <c r="K246" s="24">
        <f t="shared" si="81"/>
        <v>0.3</v>
      </c>
      <c r="L246" s="24">
        <f t="shared" si="81"/>
        <v>0.3</v>
      </c>
      <c r="M246" s="24">
        <f t="shared" si="81"/>
        <v>0.3</v>
      </c>
      <c r="N246" s="24">
        <f t="shared" si="81"/>
        <v>0.3</v>
      </c>
      <c r="O246" s="24">
        <f t="shared" si="81"/>
        <v>0.3</v>
      </c>
      <c r="P246" s="24">
        <f t="shared" si="81"/>
        <v>0.3</v>
      </c>
      <c r="Q246" s="24">
        <f t="shared" si="81"/>
        <v>0.3</v>
      </c>
      <c r="R246" s="24">
        <f t="shared" si="81"/>
        <v>0.3</v>
      </c>
      <c r="S246" s="24">
        <f t="shared" si="81"/>
        <v>0.3</v>
      </c>
      <c r="T246" s="24">
        <f t="shared" si="81"/>
        <v>0.3</v>
      </c>
      <c r="U246" s="24">
        <f t="shared" si="81"/>
        <v>0.3</v>
      </c>
      <c r="V246" s="24">
        <f t="shared" si="81"/>
        <v>0.3</v>
      </c>
      <c r="W246" s="24">
        <f t="shared" si="81"/>
        <v>0.3</v>
      </c>
      <c r="X246" s="24">
        <f t="shared" si="81"/>
        <v>0.3</v>
      </c>
      <c r="Y246" s="24">
        <f t="shared" si="81"/>
        <v>0.3</v>
      </c>
      <c r="Z246" s="24">
        <f t="shared" si="81"/>
        <v>0.3</v>
      </c>
      <c r="AA246" s="24">
        <f t="shared" si="81"/>
        <v>0.3</v>
      </c>
      <c r="AB246" s="24">
        <f t="shared" si="81"/>
        <v>0.3</v>
      </c>
      <c r="AC246" s="24">
        <f t="shared" si="81"/>
        <v>0.3</v>
      </c>
      <c r="AD246" s="24">
        <f t="shared" si="81"/>
        <v>0.3</v>
      </c>
      <c r="AE246" s="24">
        <f t="shared" si="81"/>
        <v>0.3</v>
      </c>
      <c r="AF246" s="24">
        <f t="shared" si="81"/>
        <v>0.3</v>
      </c>
      <c r="AG246" s="23">
        <v>2.4</v>
      </c>
      <c r="AH246" s="12"/>
      <c r="AI246" s="11"/>
      <c r="AK246" s="19"/>
    </row>
    <row r="247" spans="1:37" x14ac:dyDescent="0.25">
      <c r="A247" s="22" t="s">
        <v>15</v>
      </c>
      <c r="B247" s="21">
        <f t="shared" si="80"/>
        <v>0.4</v>
      </c>
      <c r="C247" s="21">
        <v>0.4</v>
      </c>
      <c r="D247" s="21">
        <f t="shared" si="81"/>
        <v>0.4</v>
      </c>
      <c r="E247" s="21">
        <f t="shared" si="81"/>
        <v>0.4</v>
      </c>
      <c r="F247" s="21">
        <f t="shared" si="81"/>
        <v>0.4</v>
      </c>
      <c r="G247" s="21">
        <f t="shared" si="81"/>
        <v>0.4</v>
      </c>
      <c r="H247" s="21">
        <f t="shared" si="81"/>
        <v>0.4</v>
      </c>
      <c r="I247" s="21">
        <f t="shared" si="81"/>
        <v>0.4</v>
      </c>
      <c r="J247" s="21">
        <f t="shared" si="81"/>
        <v>0.4</v>
      </c>
      <c r="K247" s="21">
        <f t="shared" si="81"/>
        <v>0.4</v>
      </c>
      <c r="L247" s="21">
        <f t="shared" si="81"/>
        <v>0.4</v>
      </c>
      <c r="M247" s="21">
        <f t="shared" si="81"/>
        <v>0.4</v>
      </c>
      <c r="N247" s="21">
        <f t="shared" si="81"/>
        <v>0.4</v>
      </c>
      <c r="O247" s="21">
        <f t="shared" si="81"/>
        <v>0.4</v>
      </c>
      <c r="P247" s="21">
        <f t="shared" si="81"/>
        <v>0.4</v>
      </c>
      <c r="Q247" s="21">
        <f t="shared" si="81"/>
        <v>0.4</v>
      </c>
      <c r="R247" s="21">
        <f t="shared" si="81"/>
        <v>0.4</v>
      </c>
      <c r="S247" s="21">
        <f t="shared" si="81"/>
        <v>0.4</v>
      </c>
      <c r="T247" s="21">
        <f t="shared" si="81"/>
        <v>0.4</v>
      </c>
      <c r="U247" s="21">
        <f t="shared" si="81"/>
        <v>0.4</v>
      </c>
      <c r="V247" s="21">
        <f t="shared" si="81"/>
        <v>0.4</v>
      </c>
      <c r="W247" s="21">
        <f t="shared" si="81"/>
        <v>0.4</v>
      </c>
      <c r="X247" s="21">
        <f t="shared" si="81"/>
        <v>0.4</v>
      </c>
      <c r="Y247" s="21">
        <f t="shared" si="81"/>
        <v>0.4</v>
      </c>
      <c r="Z247" s="21">
        <f t="shared" si="81"/>
        <v>0.4</v>
      </c>
      <c r="AA247" s="21">
        <f t="shared" si="81"/>
        <v>0.4</v>
      </c>
      <c r="AB247" s="21">
        <f t="shared" si="81"/>
        <v>0.4</v>
      </c>
      <c r="AC247" s="21">
        <f t="shared" si="81"/>
        <v>0.4</v>
      </c>
      <c r="AD247" s="21">
        <f t="shared" si="81"/>
        <v>0.4</v>
      </c>
      <c r="AE247" s="21">
        <f t="shared" si="81"/>
        <v>0.4</v>
      </c>
      <c r="AF247" s="21">
        <f t="shared" si="81"/>
        <v>0.4</v>
      </c>
      <c r="AG247" s="20">
        <v>2</v>
      </c>
      <c r="AH247" s="12"/>
      <c r="AI247" s="11"/>
      <c r="AK247" s="19"/>
    </row>
    <row r="248" spans="1:37" x14ac:dyDescent="0.25">
      <c r="A248" s="22" t="s">
        <v>14</v>
      </c>
      <c r="B248" s="21">
        <f t="shared" si="80"/>
        <v>1.5</v>
      </c>
      <c r="C248" s="21">
        <v>1.5</v>
      </c>
      <c r="D248" s="21">
        <f t="shared" si="81"/>
        <v>1.5</v>
      </c>
      <c r="E248" s="21">
        <f t="shared" si="81"/>
        <v>1.5</v>
      </c>
      <c r="F248" s="21">
        <f t="shared" si="81"/>
        <v>1.5</v>
      </c>
      <c r="G248" s="21">
        <f t="shared" si="81"/>
        <v>1.5</v>
      </c>
      <c r="H248" s="21">
        <f t="shared" si="81"/>
        <v>1.5</v>
      </c>
      <c r="I248" s="21">
        <f t="shared" si="81"/>
        <v>1.5</v>
      </c>
      <c r="J248" s="21">
        <f t="shared" si="81"/>
        <v>1.5</v>
      </c>
      <c r="K248" s="21">
        <f t="shared" si="81"/>
        <v>1.5</v>
      </c>
      <c r="L248" s="21">
        <f t="shared" si="81"/>
        <v>1.5</v>
      </c>
      <c r="M248" s="21">
        <f t="shared" si="81"/>
        <v>1.5</v>
      </c>
      <c r="N248" s="21">
        <f t="shared" si="81"/>
        <v>1.5</v>
      </c>
      <c r="O248" s="21">
        <f t="shared" si="81"/>
        <v>1.5</v>
      </c>
      <c r="P248" s="21">
        <f t="shared" si="81"/>
        <v>1.5</v>
      </c>
      <c r="Q248" s="21">
        <f t="shared" si="81"/>
        <v>1.5</v>
      </c>
      <c r="R248" s="21">
        <f t="shared" si="81"/>
        <v>1.5</v>
      </c>
      <c r="S248" s="21">
        <f t="shared" si="81"/>
        <v>1.5</v>
      </c>
      <c r="T248" s="21">
        <f t="shared" si="81"/>
        <v>1.5</v>
      </c>
      <c r="U248" s="21">
        <f t="shared" si="81"/>
        <v>1.5</v>
      </c>
      <c r="V248" s="21">
        <f t="shared" si="81"/>
        <v>1.5</v>
      </c>
      <c r="W248" s="21">
        <f t="shared" si="81"/>
        <v>1.5</v>
      </c>
      <c r="X248" s="21">
        <f t="shared" si="81"/>
        <v>1.5</v>
      </c>
      <c r="Y248" s="21">
        <f t="shared" si="81"/>
        <v>1.5</v>
      </c>
      <c r="Z248" s="21">
        <f t="shared" si="81"/>
        <v>1.5</v>
      </c>
      <c r="AA248" s="21">
        <f t="shared" si="81"/>
        <v>1.5</v>
      </c>
      <c r="AB248" s="21">
        <f t="shared" si="81"/>
        <v>1.5</v>
      </c>
      <c r="AC248" s="21">
        <f t="shared" si="81"/>
        <v>1.5</v>
      </c>
      <c r="AD248" s="21">
        <f t="shared" si="81"/>
        <v>1.5</v>
      </c>
      <c r="AE248" s="21">
        <f t="shared" si="81"/>
        <v>1.5</v>
      </c>
      <c r="AF248" s="21">
        <f t="shared" si="81"/>
        <v>1.5</v>
      </c>
      <c r="AG248" s="20">
        <v>1.5</v>
      </c>
      <c r="AH248" s="12"/>
      <c r="AI248" s="11"/>
      <c r="AK248" s="19"/>
    </row>
    <row r="249" spans="1:37" x14ac:dyDescent="0.25">
      <c r="A249" s="22" t="s">
        <v>13</v>
      </c>
      <c r="B249" s="21">
        <f t="shared" si="80"/>
        <v>0.3</v>
      </c>
      <c r="C249" s="21">
        <v>0.3</v>
      </c>
      <c r="D249" s="21">
        <f t="shared" si="81"/>
        <v>0.3</v>
      </c>
      <c r="E249" s="21">
        <f t="shared" si="81"/>
        <v>0.3</v>
      </c>
      <c r="F249" s="21">
        <f t="shared" si="81"/>
        <v>0.3</v>
      </c>
      <c r="G249" s="21">
        <f t="shared" si="81"/>
        <v>0.3</v>
      </c>
      <c r="H249" s="21">
        <f t="shared" si="81"/>
        <v>0.3</v>
      </c>
      <c r="I249" s="21">
        <f t="shared" si="81"/>
        <v>0.3</v>
      </c>
      <c r="J249" s="21">
        <f t="shared" si="81"/>
        <v>0.3</v>
      </c>
      <c r="K249" s="21">
        <f t="shared" si="81"/>
        <v>0.3</v>
      </c>
      <c r="L249" s="21">
        <f t="shared" si="81"/>
        <v>0.3</v>
      </c>
      <c r="M249" s="21">
        <f t="shared" si="81"/>
        <v>0.3</v>
      </c>
      <c r="N249" s="21">
        <f t="shared" si="81"/>
        <v>0.3</v>
      </c>
      <c r="O249" s="21">
        <f t="shared" si="81"/>
        <v>0.3</v>
      </c>
      <c r="P249" s="21">
        <f t="shared" si="81"/>
        <v>0.3</v>
      </c>
      <c r="Q249" s="21">
        <f t="shared" si="81"/>
        <v>0.3</v>
      </c>
      <c r="R249" s="21">
        <f t="shared" si="81"/>
        <v>0.3</v>
      </c>
      <c r="S249" s="21">
        <f t="shared" si="81"/>
        <v>0.3</v>
      </c>
      <c r="T249" s="21">
        <f t="shared" si="81"/>
        <v>0.3</v>
      </c>
      <c r="U249" s="21">
        <f t="shared" si="81"/>
        <v>0.3</v>
      </c>
      <c r="V249" s="21">
        <f t="shared" si="81"/>
        <v>0.3</v>
      </c>
      <c r="W249" s="21">
        <f t="shared" si="81"/>
        <v>0.3</v>
      </c>
      <c r="X249" s="21">
        <f t="shared" si="81"/>
        <v>0.3</v>
      </c>
      <c r="Y249" s="21">
        <f t="shared" si="81"/>
        <v>0.3</v>
      </c>
      <c r="Z249" s="21">
        <f t="shared" si="81"/>
        <v>0.3</v>
      </c>
      <c r="AA249" s="21">
        <f t="shared" si="81"/>
        <v>0.3</v>
      </c>
      <c r="AB249" s="21">
        <f t="shared" si="81"/>
        <v>0.3</v>
      </c>
      <c r="AC249" s="21">
        <f t="shared" si="81"/>
        <v>0.3</v>
      </c>
      <c r="AD249" s="21">
        <f t="shared" si="81"/>
        <v>0.3</v>
      </c>
      <c r="AE249" s="21">
        <f t="shared" si="81"/>
        <v>0.3</v>
      </c>
      <c r="AF249" s="21">
        <f t="shared" si="81"/>
        <v>0.3</v>
      </c>
      <c r="AG249" s="20">
        <v>1</v>
      </c>
      <c r="AH249" s="12"/>
      <c r="AI249" s="11"/>
      <c r="AK249" s="19"/>
    </row>
    <row r="250" spans="1:37" x14ac:dyDescent="0.25">
      <c r="A250" s="22" t="s">
        <v>12</v>
      </c>
      <c r="B250" s="21">
        <f t="shared" si="80"/>
        <v>0.4</v>
      </c>
      <c r="C250" s="21">
        <v>0.4</v>
      </c>
      <c r="D250" s="21">
        <f t="shared" si="81"/>
        <v>0.4</v>
      </c>
      <c r="E250" s="21">
        <f t="shared" si="81"/>
        <v>0.4</v>
      </c>
      <c r="F250" s="21">
        <f t="shared" si="81"/>
        <v>0.4</v>
      </c>
      <c r="G250" s="21">
        <f t="shared" si="81"/>
        <v>0.4</v>
      </c>
      <c r="H250" s="21">
        <f t="shared" si="81"/>
        <v>0.4</v>
      </c>
      <c r="I250" s="21">
        <f t="shared" si="81"/>
        <v>0.4</v>
      </c>
      <c r="J250" s="21">
        <f t="shared" si="81"/>
        <v>0.4</v>
      </c>
      <c r="K250" s="21">
        <f t="shared" si="81"/>
        <v>0.4</v>
      </c>
      <c r="L250" s="21">
        <f t="shared" si="81"/>
        <v>0.4</v>
      </c>
      <c r="M250" s="21">
        <f t="shared" si="81"/>
        <v>0.4</v>
      </c>
      <c r="N250" s="21">
        <f t="shared" si="81"/>
        <v>0.4</v>
      </c>
      <c r="O250" s="21">
        <f t="shared" si="81"/>
        <v>0.4</v>
      </c>
      <c r="P250" s="21">
        <f t="shared" si="81"/>
        <v>0.4</v>
      </c>
      <c r="Q250" s="21">
        <f t="shared" si="81"/>
        <v>0.4</v>
      </c>
      <c r="R250" s="21">
        <f t="shared" si="81"/>
        <v>0.4</v>
      </c>
      <c r="S250" s="21">
        <f t="shared" si="81"/>
        <v>0.4</v>
      </c>
      <c r="T250" s="21">
        <f t="shared" si="81"/>
        <v>0.4</v>
      </c>
      <c r="U250" s="21">
        <f t="shared" si="81"/>
        <v>0.4</v>
      </c>
      <c r="V250" s="21">
        <f t="shared" si="81"/>
        <v>0.4</v>
      </c>
      <c r="W250" s="21">
        <f t="shared" si="81"/>
        <v>0.4</v>
      </c>
      <c r="X250" s="21">
        <f t="shared" si="81"/>
        <v>0.4</v>
      </c>
      <c r="Y250" s="21">
        <f t="shared" si="81"/>
        <v>0.4</v>
      </c>
      <c r="Z250" s="21">
        <f t="shared" si="81"/>
        <v>0.4</v>
      </c>
      <c r="AA250" s="21">
        <f t="shared" si="81"/>
        <v>0.4</v>
      </c>
      <c r="AB250" s="21">
        <f t="shared" si="81"/>
        <v>0.4</v>
      </c>
      <c r="AC250" s="21">
        <f t="shared" si="81"/>
        <v>0.4</v>
      </c>
      <c r="AD250" s="21">
        <f t="shared" si="81"/>
        <v>0.4</v>
      </c>
      <c r="AE250" s="21">
        <f t="shared" si="81"/>
        <v>0.4</v>
      </c>
      <c r="AF250" s="21">
        <f t="shared" si="81"/>
        <v>0.4</v>
      </c>
      <c r="AG250" s="20">
        <v>1</v>
      </c>
      <c r="AH250" s="12"/>
      <c r="AI250" s="11"/>
      <c r="AK250" s="19"/>
    </row>
    <row r="251" spans="1:37" ht="15.75" thickBot="1" x14ac:dyDescent="0.3">
      <c r="A251" s="18" t="s">
        <v>11</v>
      </c>
      <c r="B251" s="17">
        <f t="shared" si="80"/>
        <v>0.64</v>
      </c>
      <c r="C251" s="17">
        <v>0.64</v>
      </c>
      <c r="D251" s="17">
        <f t="shared" si="81"/>
        <v>0.64</v>
      </c>
      <c r="E251" s="17">
        <f t="shared" si="81"/>
        <v>0.64</v>
      </c>
      <c r="F251" s="17">
        <f t="shared" si="81"/>
        <v>0.64</v>
      </c>
      <c r="G251" s="17">
        <f t="shared" si="81"/>
        <v>0.64</v>
      </c>
      <c r="H251" s="17">
        <f t="shared" si="81"/>
        <v>0.64</v>
      </c>
      <c r="I251" s="17">
        <f t="shared" si="81"/>
        <v>0.64</v>
      </c>
      <c r="J251" s="17">
        <f t="shared" si="81"/>
        <v>0.64</v>
      </c>
      <c r="K251" s="17">
        <f t="shared" si="81"/>
        <v>0.64</v>
      </c>
      <c r="L251" s="17">
        <f t="shared" si="81"/>
        <v>0.64</v>
      </c>
      <c r="M251" s="17">
        <f t="shared" si="81"/>
        <v>0.64</v>
      </c>
      <c r="N251" s="17">
        <f t="shared" si="81"/>
        <v>0.64</v>
      </c>
      <c r="O251" s="17">
        <f t="shared" si="81"/>
        <v>0.64</v>
      </c>
      <c r="P251" s="17">
        <f t="shared" si="81"/>
        <v>0.64</v>
      </c>
      <c r="Q251" s="17">
        <f t="shared" si="81"/>
        <v>0.64</v>
      </c>
      <c r="R251" s="17">
        <f t="shared" si="81"/>
        <v>0.64</v>
      </c>
      <c r="S251" s="17">
        <f t="shared" si="81"/>
        <v>0.64</v>
      </c>
      <c r="T251" s="17">
        <f t="shared" si="81"/>
        <v>0.64</v>
      </c>
      <c r="U251" s="17">
        <f t="shared" si="81"/>
        <v>0.64</v>
      </c>
      <c r="V251" s="17">
        <f t="shared" si="81"/>
        <v>0.64</v>
      </c>
      <c r="W251" s="17">
        <f t="shared" si="81"/>
        <v>0.64</v>
      </c>
      <c r="X251" s="17">
        <f t="shared" si="81"/>
        <v>0.64</v>
      </c>
      <c r="Y251" s="17">
        <f t="shared" si="81"/>
        <v>0.64</v>
      </c>
      <c r="Z251" s="17">
        <f t="shared" si="81"/>
        <v>0.64</v>
      </c>
      <c r="AA251" s="17">
        <f t="shared" si="81"/>
        <v>0.64</v>
      </c>
      <c r="AB251" s="17">
        <f t="shared" si="81"/>
        <v>0.64</v>
      </c>
      <c r="AC251" s="17">
        <f t="shared" si="81"/>
        <v>0.64</v>
      </c>
      <c r="AD251" s="17">
        <f t="shared" si="81"/>
        <v>0.64</v>
      </c>
      <c r="AE251" s="17">
        <f t="shared" si="81"/>
        <v>0.64</v>
      </c>
      <c r="AF251" s="17">
        <f t="shared" si="81"/>
        <v>0.64</v>
      </c>
      <c r="AG251" s="16">
        <v>0.66</v>
      </c>
      <c r="AH251" s="12"/>
      <c r="AI251" s="11"/>
    </row>
    <row r="252" spans="1:37" ht="15.75" thickBot="1" x14ac:dyDescent="0.3">
      <c r="A252" s="15" t="s">
        <v>10</v>
      </c>
      <c r="B252" s="14">
        <f t="shared" ref="B252:AG252" si="82">SUM(B246:B251)</f>
        <v>3.54</v>
      </c>
      <c r="C252" s="14">
        <f t="shared" si="82"/>
        <v>3.54</v>
      </c>
      <c r="D252" s="14">
        <f t="shared" si="82"/>
        <v>3.54</v>
      </c>
      <c r="E252" s="14">
        <f t="shared" si="82"/>
        <v>3.54</v>
      </c>
      <c r="F252" s="14">
        <f t="shared" si="82"/>
        <v>3.54</v>
      </c>
      <c r="G252" s="14">
        <f t="shared" si="82"/>
        <v>3.54</v>
      </c>
      <c r="H252" s="14">
        <f t="shared" si="82"/>
        <v>3.54</v>
      </c>
      <c r="I252" s="14">
        <f t="shared" si="82"/>
        <v>3.54</v>
      </c>
      <c r="J252" s="14">
        <f t="shared" si="82"/>
        <v>3.54</v>
      </c>
      <c r="K252" s="14">
        <f t="shared" si="82"/>
        <v>3.54</v>
      </c>
      <c r="L252" s="14">
        <f t="shared" si="82"/>
        <v>3.54</v>
      </c>
      <c r="M252" s="14">
        <f t="shared" si="82"/>
        <v>3.54</v>
      </c>
      <c r="N252" s="14">
        <f t="shared" si="82"/>
        <v>3.54</v>
      </c>
      <c r="O252" s="14">
        <f t="shared" si="82"/>
        <v>3.54</v>
      </c>
      <c r="P252" s="14">
        <f t="shared" si="82"/>
        <v>3.54</v>
      </c>
      <c r="Q252" s="14">
        <f t="shared" si="82"/>
        <v>3.54</v>
      </c>
      <c r="R252" s="14">
        <f t="shared" si="82"/>
        <v>3.54</v>
      </c>
      <c r="S252" s="14">
        <f t="shared" si="82"/>
        <v>3.54</v>
      </c>
      <c r="T252" s="14">
        <f t="shared" si="82"/>
        <v>3.54</v>
      </c>
      <c r="U252" s="14">
        <f t="shared" si="82"/>
        <v>3.54</v>
      </c>
      <c r="V252" s="14">
        <f t="shared" si="82"/>
        <v>3.54</v>
      </c>
      <c r="W252" s="14">
        <f t="shared" si="82"/>
        <v>3.54</v>
      </c>
      <c r="X252" s="14">
        <f t="shared" si="82"/>
        <v>3.54</v>
      </c>
      <c r="Y252" s="14">
        <f t="shared" si="82"/>
        <v>3.54</v>
      </c>
      <c r="Z252" s="14">
        <f t="shared" si="82"/>
        <v>3.54</v>
      </c>
      <c r="AA252" s="14">
        <f t="shared" si="82"/>
        <v>3.54</v>
      </c>
      <c r="AB252" s="14">
        <f t="shared" si="82"/>
        <v>3.54</v>
      </c>
      <c r="AC252" s="14">
        <f t="shared" si="82"/>
        <v>3.54</v>
      </c>
      <c r="AD252" s="14">
        <f t="shared" si="82"/>
        <v>3.54</v>
      </c>
      <c r="AE252" s="14">
        <f t="shared" si="82"/>
        <v>3.54</v>
      </c>
      <c r="AF252" s="14">
        <f t="shared" si="82"/>
        <v>3.54</v>
      </c>
      <c r="AG252" s="13">
        <f t="shared" si="82"/>
        <v>8.56</v>
      </c>
      <c r="AH252" s="12"/>
      <c r="AI252" s="11"/>
    </row>
    <row r="253" spans="1:37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25">
      <c r="A256" s="9" t="s">
        <v>9</v>
      </c>
      <c r="B256" s="8">
        <f>MAX(G99:N99)</f>
        <v>1815.44</v>
      </c>
      <c r="C256" s="7">
        <f>INDEX(G9:N9,1,MATCH(MAX(G99:N99),G99:N99,0))</f>
        <v>0.33333333333333331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25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2080/10/12)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25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25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25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25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25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25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25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25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25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25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25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25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25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25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2795" priority="89">
      <formula>$AH11=0</formula>
    </cfRule>
  </conditionalFormatting>
  <conditionalFormatting sqref="A132:A253">
    <cfRule type="expression" dxfId="2794" priority="90">
      <formula>$AH132=0</formula>
    </cfRule>
  </conditionalFormatting>
  <conditionalFormatting sqref="B8">
    <cfRule type="expression" dxfId="2793" priority="147">
      <formula>C$9&gt;=20/24</formula>
    </cfRule>
    <cfRule type="expression" dxfId="2792" priority="146">
      <formula>C$9&lt;8/24</formula>
    </cfRule>
    <cfRule type="expression" dxfId="2791" priority="145">
      <formula>AND(C$9&gt;=8/24,C$9&lt;14/24)</formula>
    </cfRule>
    <cfRule type="expression" dxfId="2790" priority="144">
      <formula>AND(C$9&gt;=14/24,C$9&lt;20/24)</formula>
    </cfRule>
  </conditionalFormatting>
  <conditionalFormatting sqref="B11:P52 Q13:AF52 B59:D74 E68:F74 D69:AF74 B77:AF99 B9:AF10 B101:AF117 B119:AF137 B244:AF244 B246:B252">
    <cfRule type="expression" dxfId="2789" priority="41">
      <formula>B$9&gt;=20/24</formula>
    </cfRule>
  </conditionalFormatting>
  <conditionalFormatting sqref="B9:AF10 B11:P52 Q13:AF52 B59:D74 E68:F74 D69:AF74 B77:AF99 B101:AF117 B119:AF137 B244:AF244 B246:B252">
    <cfRule type="expression" dxfId="2788" priority="42">
      <formula>AND(B$9&gt;=14/24,B$9&lt;20/24)</formula>
    </cfRule>
    <cfRule type="expression" dxfId="2787" priority="43">
      <formula>AND(B$9&gt;=8/24,B$9&lt;14/24)</formula>
    </cfRule>
    <cfRule type="expression" dxfId="2786" priority="44">
      <formula>B$9&lt;8/24</formula>
    </cfRule>
  </conditionalFormatting>
  <conditionalFormatting sqref="B53:AF57">
    <cfRule type="expression" dxfId="2785" priority="53">
      <formula>B$9&lt;8/24</formula>
    </cfRule>
  </conditionalFormatting>
  <conditionalFormatting sqref="D246:AF252">
    <cfRule type="expression" dxfId="2784" priority="131">
      <formula>AND(D$9&gt;=8/24,D$9&lt;14/24)</formula>
    </cfRule>
    <cfRule type="expression" dxfId="2783" priority="129">
      <formula>D$9&gt;=20/24</formula>
    </cfRule>
    <cfRule type="expression" dxfId="2782" priority="130">
      <formula>AND(D$9&gt;=14/24,D$9&lt;20/24)</formula>
    </cfRule>
    <cfRule type="expression" dxfId="2781" priority="132">
      <formula>D$9&lt;8/24</formula>
    </cfRule>
  </conditionalFormatting>
  <conditionalFormatting sqref="E63:I67 J64:J67 K67">
    <cfRule type="expression" dxfId="2780" priority="54">
      <formula>E$9&gt;=20/24</formula>
    </cfRule>
    <cfRule type="expression" dxfId="2779" priority="55">
      <formula>AND(E$9&gt;=14/24,E$9&lt;20/24)</formula>
    </cfRule>
    <cfRule type="expression" dxfId="2778" priority="56">
      <formula>AND(E$9&gt;=8/24,E$9&lt;14/24)</formula>
    </cfRule>
    <cfRule type="expression" dxfId="2777" priority="57">
      <formula>E$9&lt;8/24</formula>
    </cfRule>
  </conditionalFormatting>
  <conditionalFormatting sqref="E68:K68">
    <cfRule type="expression" dxfId="2776" priority="49">
      <formula>E$9&gt;=20/24</formula>
    </cfRule>
    <cfRule type="expression" dxfId="2775" priority="50">
      <formula>AND(E$9&gt;=14/24,E$9&lt;20/24)</formula>
    </cfRule>
    <cfRule type="expression" dxfId="2774" priority="51">
      <formula>AND(E$9&gt;=8/24,E$9&lt;14/24)</formula>
    </cfRule>
    <cfRule type="expression" dxfId="2773" priority="52">
      <formula>E$9&lt;8/24</formula>
    </cfRule>
  </conditionalFormatting>
  <conditionalFormatting sqref="E59:AF62">
    <cfRule type="expression" dxfId="2772" priority="67">
      <formula>E$9&gt;=20/24</formula>
    </cfRule>
    <cfRule type="expression" dxfId="2771" priority="68">
      <formula>AND(E$9&gt;=14/24,E$9&lt;20/24)</formula>
    </cfRule>
    <cfRule type="expression" dxfId="2770" priority="69">
      <formula>AND(E$9&gt;=8/24,E$9&lt;14/24)</formula>
    </cfRule>
    <cfRule type="expression" dxfId="2769" priority="70">
      <formula>E$9&lt;8/24</formula>
    </cfRule>
  </conditionalFormatting>
  <conditionalFormatting sqref="F56:L56 M56:AF57 E57:L57">
    <cfRule type="expression" dxfId="2768" priority="46">
      <formula>E$9&gt;=20/24</formula>
    </cfRule>
    <cfRule type="expression" dxfId="2767" priority="47">
      <formula>AND(E$9&gt;=14/24,E$9&lt;20/24)</formula>
    </cfRule>
    <cfRule type="expression" dxfId="2766" priority="48">
      <formula>AND(E$9&gt;=8/24,E$9&lt;14/24)</formula>
    </cfRule>
  </conditionalFormatting>
  <conditionalFormatting sqref="F11:P55 E11:E56 D11:D61 B11:C80 Q13:AD55 AF13:AF61 AE13:AE80 C14:P14 AB56:AD57 AA57 E57:Z61 AA58:AD61 AF62:AG62 D62:AD80 AF63:AF80 AG80">
    <cfRule type="expression" dxfId="2765" priority="40">
      <formula>B11&gt;$AG11</formula>
    </cfRule>
  </conditionalFormatting>
  <conditionalFormatting sqref="F63:P65">
    <cfRule type="expression" dxfId="2764" priority="81">
      <formula>F$9&gt;=20/24</formula>
    </cfRule>
    <cfRule type="expression" dxfId="2763" priority="84">
      <formula>F$9&lt;8/24</formula>
    </cfRule>
    <cfRule type="expression" dxfId="2762" priority="83">
      <formula>AND(F$9&gt;=8/24,F$9&lt;14/24)</formula>
    </cfRule>
    <cfRule type="expression" dxfId="2761" priority="82">
      <formula>AND(F$9&gt;=14/24,F$9&lt;20/24)</formula>
    </cfRule>
  </conditionalFormatting>
  <conditionalFormatting sqref="F56:AA56">
    <cfRule type="expression" dxfId="2760" priority="45">
      <formula>F56&gt;$AG56</formula>
    </cfRule>
  </conditionalFormatting>
  <conditionalFormatting sqref="F53:AF55 E53:E56 B53:D57">
    <cfRule type="expression" dxfId="2759" priority="37">
      <formula>B$9&gt;=20/24</formula>
    </cfRule>
    <cfRule type="expression" dxfId="2758" priority="38">
      <formula>AND(B$9&gt;=14/24,B$9&lt;20/24)</formula>
    </cfRule>
    <cfRule type="expression" dxfId="2757" priority="39">
      <formula>AND(B$9&gt;=8/24,B$9&lt;14/24)</formula>
    </cfRule>
  </conditionalFormatting>
  <conditionalFormatting sqref="L68:Y68">
    <cfRule type="expression" dxfId="2756" priority="78">
      <formula>AND(L$9&gt;=14/24,L$9&lt;20/24)</formula>
    </cfRule>
    <cfRule type="expression" dxfId="2755" priority="79">
      <formula>AND(L$9&gt;=8/24,L$9&lt;14/24)</formula>
    </cfRule>
    <cfRule type="expression" dxfId="2754" priority="80">
      <formula>L$9&lt;8/24</formula>
    </cfRule>
    <cfRule type="expression" dxfId="2753" priority="77">
      <formula>L$9&gt;=20/24</formula>
    </cfRule>
  </conditionalFormatting>
  <conditionalFormatting sqref="M8 S8 AB8">
    <cfRule type="expression" dxfId="2752" priority="138">
      <formula>N$9&lt;8/24</formula>
    </cfRule>
    <cfRule type="expression" dxfId="2751" priority="137">
      <formula>AND(N$9&gt;=8/24,N$9&lt;14/24)</formula>
    </cfRule>
    <cfRule type="expression" dxfId="2750" priority="136">
      <formula>AND(N$9&gt;=14/24,N$9&lt;20/24)</formula>
    </cfRule>
  </conditionalFormatting>
  <conditionalFormatting sqref="M63:Y67">
    <cfRule type="expression" dxfId="2749" priority="85">
      <formula>M$9&gt;=20/24</formula>
    </cfRule>
    <cfRule type="expression" dxfId="2748" priority="86">
      <formula>AND(M$9&gt;=14/24,M$9&lt;20/24)</formula>
    </cfRule>
    <cfRule type="expression" dxfId="2747" priority="87">
      <formula>AND(M$9&gt;=8/24,M$9&lt;14/24)</formula>
    </cfRule>
    <cfRule type="expression" dxfId="2746" priority="88">
      <formula>M$9&lt;8/24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Q11:AF12">
    <cfRule type="expression" dxfId="2745" priority="62">
      <formula>Q$9&lt;8/24</formula>
    </cfRule>
    <cfRule type="expression" dxfId="2744" priority="61">
      <formula>AND(Q$9&gt;=8/24,Q$9&lt;14/24)</formula>
    </cfRule>
    <cfRule type="expression" dxfId="2743" priority="60">
      <formula>AND(Q$9&gt;=14/24,Q$9&lt;20/24)</formula>
    </cfRule>
    <cfRule type="expression" dxfId="2742" priority="58">
      <formula>Q11&gt;$AG11</formula>
    </cfRule>
    <cfRule type="expression" dxfId="2741" priority="59">
      <formula>Q$9&gt;=20/24</formula>
    </cfRule>
  </conditionalFormatting>
  <conditionalFormatting sqref="S8 AB8 M8">
    <cfRule type="expression" dxfId="2740" priority="135">
      <formula>N$9&gt;=20/24</formula>
    </cfRule>
  </conditionalFormatting>
  <conditionalFormatting sqref="S8">
    <cfRule type="expression" dxfId="2739" priority="124">
      <formula>AND(U$9&gt;=8/24,U$9&lt;14/24)</formula>
    </cfRule>
    <cfRule type="expression" dxfId="2738" priority="122">
      <formula>U$9&gt;=20/24</formula>
    </cfRule>
    <cfRule type="expression" dxfId="2737" priority="123">
      <formula>AND(U$9&gt;=14/24,U$9&lt;20/24)</formula>
    </cfRule>
    <cfRule type="expression" dxfId="2736" priority="125">
      <formula>U$9&lt;8/24</formula>
    </cfRule>
  </conditionalFormatting>
  <conditionalFormatting sqref="T63:AF68">
    <cfRule type="expression" dxfId="2735" priority="74">
      <formula>T$9&lt;8/24</formula>
    </cfRule>
    <cfRule type="expression" dxfId="2734" priority="73">
      <formula>AND(T$9&gt;=8/24,T$9&lt;14/24)</formula>
    </cfRule>
    <cfRule type="expression" dxfId="2733" priority="72">
      <formula>AND(T$9&gt;=14/24,T$9&lt;20/24)</formula>
    </cfRule>
    <cfRule type="expression" dxfId="2732" priority="71">
      <formula>T$9&gt;=20/24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2731" priority="121">
      <formula>AD$9&lt;8/24</formula>
    </cfRule>
    <cfRule type="expression" dxfId="2730" priority="120">
      <formula>AND(AD$9&gt;=8/24,AD$9&lt;14/24)</formula>
    </cfRule>
    <cfRule type="expression" dxfId="2729" priority="119">
      <formula>AND(AD$9&gt;=14/24,AD$9&lt;20/24)</formula>
    </cfRule>
    <cfRule type="expression" dxfId="2728" priority="118">
      <formula>AD$9&gt;=20/24</formula>
    </cfRule>
  </conditionalFormatting>
  <conditionalFormatting sqref="AG58">
    <cfRule type="expression" dxfId="2727" priority="113">
      <formula>AG58&gt;$AG58</formula>
    </cfRule>
  </conditionalFormatting>
  <conditionalFormatting sqref="AG62">
    <cfRule type="expression" dxfId="2726" priority="98">
      <formula>AND(AG$9&gt;=8/24,AG$9&lt;14/24)</formula>
    </cfRule>
    <cfRule type="expression" dxfId="2725" priority="99">
      <formula>AG$9&lt;8/24</formula>
    </cfRule>
    <cfRule type="expression" dxfId="2724" priority="96">
      <formula>AG$9&gt;=20/24</formula>
    </cfRule>
    <cfRule type="expression" dxfId="2723" priority="97">
      <formula>AND(AG$9&gt;=14/24,AG$9&lt;20/24)</formula>
    </cfRule>
  </conditionalFormatting>
  <conditionalFormatting sqref="AG75:AG76">
    <cfRule type="expression" dxfId="2722" priority="91">
      <formula>AG75&gt;$AG75</formula>
    </cfRule>
  </conditionalFormatting>
  <conditionalFormatting sqref="AG80">
    <cfRule type="expression" dxfId="2721" priority="94">
      <formula>AND(AG$9&gt;=8/24,AG$9&lt;14/24)</formula>
    </cfRule>
    <cfRule type="expression" dxfId="2720" priority="92">
      <formula>AG$9&gt;=20/24</formula>
    </cfRule>
    <cfRule type="expression" dxfId="2719" priority="93">
      <formula>AND(AG$9&gt;=14/24,AG$9&lt;20/24)</formula>
    </cfRule>
    <cfRule type="expression" dxfId="2718" priority="95">
      <formula>AG$9&lt;8/24</formula>
    </cfRule>
  </conditionalFormatting>
  <conditionalFormatting sqref="AG97">
    <cfRule type="expression" dxfId="2717" priority="117">
      <formula>AG$9&lt;8/24</formula>
    </cfRule>
    <cfRule type="expression" dxfId="2716" priority="116">
      <formula>AND(AG$9&gt;=8/24,AG$9&lt;14/24)</formula>
    </cfRule>
    <cfRule type="expression" dxfId="2715" priority="115">
      <formula>AND(AG$9&gt;=14/24,AG$9&lt;20/24)</formula>
    </cfRule>
    <cfRule type="expression" dxfId="2714" priority="114">
      <formula>AG$9&gt;=20/24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713" priority="139">
      <formula>AJ$9&gt;=20/24</formula>
    </cfRule>
    <cfRule type="expression" dxfId="2712" priority="140">
      <formula>AND(AJ$9&gt;=14/24,AJ$9&lt;20/24)</formula>
    </cfRule>
    <cfRule type="expression" dxfId="2711" priority="141">
      <formula>AND(AJ$9&gt;=8/24,AJ$9&lt;14/24)</formula>
    </cfRule>
    <cfRule type="expression" dxfId="2710" priority="142">
      <formula>AJ$9&lt;8/24</formula>
    </cfRule>
  </conditionalFormatting>
  <conditionalFormatting sqref="AL88:AN88 AL94:AN94">
    <cfRule type="expression" dxfId="2709" priority="107">
      <formula>AND(AL$9&gt;=14/24,AL$9&lt;20/24)</formula>
    </cfRule>
    <cfRule type="expression" dxfId="2708" priority="106">
      <formula>AL$9&gt;=20/24</formula>
    </cfRule>
    <cfRule type="expression" dxfId="2707" priority="108">
      <formula>AND(AL$9&gt;=8/24,AL$9&lt;14/24)</formula>
    </cfRule>
    <cfRule type="expression" dxfId="2706" priority="109">
      <formula>AL$9&lt;8/24</formula>
    </cfRule>
  </conditionalFormatting>
  <conditionalFormatting sqref="AM15:AM21 AN16:AR21">
    <cfRule type="expression" dxfId="2705" priority="16">
      <formula>AX$9&lt;8/24</formula>
    </cfRule>
    <cfRule type="expression" dxfId="2704" priority="15">
      <formula>AND(AX$9&gt;=8/24,AX$9&lt;14/24)</formula>
    </cfRule>
    <cfRule type="expression" dxfId="2703" priority="14">
      <formula>AND(AX$9&gt;=14/24,AX$9&lt;20/24)</formula>
    </cfRule>
    <cfRule type="expression" dxfId="2702" priority="13">
      <formula>AX$9&gt;=20/24</formula>
    </cfRule>
  </conditionalFormatting>
  <conditionalFormatting sqref="AN89:AN92">
    <cfRule type="expression" dxfId="2701" priority="102">
      <formula>AN$9&gt;=20/24</formula>
    </cfRule>
    <cfRule type="expression" dxfId="2700" priority="103">
      <formula>AND(AN$9&gt;=14/24,AN$9&lt;20/24)</formula>
    </cfRule>
    <cfRule type="expression" dxfId="2699" priority="104">
      <formula>AND(AN$9&gt;=8/24,AN$9&lt;14/24)</formula>
    </cfRule>
    <cfRule type="expression" dxfId="2698" priority="105">
      <formula>AN$9&lt;8/24</formula>
    </cfRule>
  </conditionalFormatting>
  <conditionalFormatting sqref="AN15:AR15">
    <cfRule type="expression" dxfId="2697" priority="2">
      <formula>AND(U$9&gt;=14/24,U$9&lt;20/24)</formula>
    </cfRule>
    <cfRule type="expression" dxfId="2696" priority="3">
      <formula>AND(U$9&gt;=8/24,U$9&lt;14/24)</formula>
    </cfRule>
    <cfRule type="expression" dxfId="2695" priority="4">
      <formula>U$9&lt;8/24</formula>
    </cfRule>
    <cfRule type="expression" dxfId="2694" priority="1">
      <formula>U$9&gt;=20/24</formula>
    </cfRule>
  </conditionalFormatting>
  <conditionalFormatting sqref="AS15">
    <cfRule type="expression" dxfId="2693" priority="10">
      <formula>AND(AA$9&gt;=14/24,AA$9&lt;20/24)</formula>
    </cfRule>
    <cfRule type="expression" dxfId="2692" priority="11">
      <formula>AND(AA$9&gt;=8/24,AA$9&lt;14/24)</formula>
    </cfRule>
    <cfRule type="expression" dxfId="2691" priority="12">
      <formula>AA$9&lt;8/24</formula>
    </cfRule>
    <cfRule type="expression" dxfId="2690" priority="9">
      <formula>AA$9&gt;=20/24</formula>
    </cfRule>
  </conditionalFormatting>
  <conditionalFormatting sqref="AS16:AS21">
    <cfRule type="expression" dxfId="2689" priority="20">
      <formula>BE$9&lt;8/24</formula>
    </cfRule>
    <cfRule type="expression" dxfId="2688" priority="19">
      <formula>AND(BE$9&gt;=8/24,BE$9&lt;14/24)</formula>
    </cfRule>
    <cfRule type="expression" dxfId="2687" priority="18">
      <formula>AND(BE$9&gt;=14/24,BE$9&lt;20/24)</formula>
    </cfRule>
    <cfRule type="expression" dxfId="2686" priority="17">
      <formula>BE$9&gt;=20/24</formula>
    </cfRule>
  </conditionalFormatting>
  <conditionalFormatting sqref="AT15 AX15:BJ15">
    <cfRule type="expression" dxfId="2685" priority="24">
      <formula>AC$9&lt;8/24</formula>
    </cfRule>
    <cfRule type="expression" dxfId="2684" priority="23">
      <formula>AND(AC$9&gt;=8/24,AC$9&lt;14/24)</formula>
    </cfRule>
    <cfRule type="expression" dxfId="2683" priority="22">
      <formula>AND(AC$9&gt;=14/24,AC$9&lt;20/24)</formula>
    </cfRule>
    <cfRule type="expression" dxfId="2682" priority="21">
      <formula>AC$9&gt;=20/24</formula>
    </cfRule>
  </conditionalFormatting>
  <conditionalFormatting sqref="AT16:AT21">
    <cfRule type="expression" dxfId="2681" priority="28">
      <formula>BG$9&lt;8/24</formula>
    </cfRule>
    <cfRule type="expression" dxfId="2680" priority="26">
      <formula>AND(BG$9&gt;=14/24,BG$9&lt;20/24)</formula>
    </cfRule>
    <cfRule type="expression" dxfId="2679" priority="25">
      <formula>BG$9&gt;=20/24</formula>
    </cfRule>
    <cfRule type="expression" dxfId="2678" priority="27">
      <formula>AND(BG$9&gt;=8/24,BG$9&lt;14/24)</formula>
    </cfRule>
  </conditionalFormatting>
  <conditionalFormatting sqref="AU15:AV15">
    <cfRule type="expression" dxfId="2677" priority="30">
      <formula>AND(AE$9&gt;=14/24,AE$9&lt;20/24)</formula>
    </cfRule>
    <cfRule type="expression" dxfId="2676" priority="29">
      <formula>AE$9&gt;=20/24</formula>
    </cfRule>
    <cfRule type="expression" dxfId="2675" priority="32">
      <formula>AE$9&lt;8/24</formula>
    </cfRule>
    <cfRule type="expression" dxfId="2674" priority="31">
      <formula>AND(AE$9&gt;=8/24,AE$9&lt;14/24)</formula>
    </cfRule>
  </conditionalFormatting>
  <conditionalFormatting sqref="AU16:BJ21">
    <cfRule type="expression" dxfId="2673" priority="36">
      <formula>BI$9&lt;8/24</formula>
    </cfRule>
    <cfRule type="expression" dxfId="2672" priority="35">
      <formula>AND(BI$9&gt;=8/24,BI$9&lt;14/24)</formula>
    </cfRule>
    <cfRule type="expression" dxfId="2671" priority="34">
      <formula>AND(BI$9&gt;=14/24,BI$9&lt;20/24)</formula>
    </cfRule>
    <cfRule type="expression" dxfId="2670" priority="33">
      <formula>BI$9&gt;=20/24</formula>
    </cfRule>
  </conditionalFormatting>
  <conditionalFormatting sqref="AW15">
    <cfRule type="expression" dxfId="2669" priority="5">
      <formula>B$9&gt;=20/24</formula>
    </cfRule>
    <cfRule type="expression" dxfId="2668" priority="8">
      <formula>B$9&lt;8/24</formula>
    </cfRule>
    <cfRule type="expression" dxfId="2667" priority="7">
      <formula>AND(B$9&gt;=8/24,B$9&lt;14/24)</formula>
    </cfRule>
    <cfRule type="expression" dxfId="2666" priority="6">
      <formula>AND(B$9&gt;=14/24,B$9&lt;20/24)</formula>
    </cfRule>
  </conditionalFormatting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D4CB7-925B-4B8B-8309-CC8F4115949F}">
  <dimension ref="A1:CJ294"/>
  <sheetViews>
    <sheetView zoomScale="106" workbookViewId="0">
      <pane xSplit="1" ySplit="10" topLeftCell="B82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97" sqref="A97:AF10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20.25" hidden="1" x14ac:dyDescent="0.2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9.5" hidden="1" thickBot="1" x14ac:dyDescent="0.3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3">
      <c r="A4" s="162" t="s">
        <v>273</v>
      </c>
      <c r="B4" s="205" t="str">
        <f ca="1">"2080/"&amp;"10/"&amp;INT(MID(CELL("filename",D6),FIND("]",CELL("filename",D6))+1,200))</f>
        <v>2080/10/13</v>
      </c>
      <c r="C4" s="205"/>
      <c r="D4" s="205"/>
      <c r="E4" s="206" t="str">
        <f ca="1">"2080/"&amp;"10/"&amp;INT(MID(CELL("filename",G6),FIND("]",CELL("filename",G6))+1,200))</f>
        <v>2080/10/13</v>
      </c>
      <c r="F4" s="206"/>
      <c r="G4" s="206"/>
      <c r="H4" s="206" t="str">
        <f ca="1">TEXT(E4,"dddd")</f>
        <v>Sunday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3">
      <c r="A5" s="158"/>
      <c r="B5" s="161">
        <f t="shared" ref="B5:AE5" si="0">C92</f>
        <v>315.2</v>
      </c>
      <c r="C5" s="161">
        <f t="shared" si="0"/>
        <v>313.89999999999998</v>
      </c>
      <c r="D5" s="161">
        <f t="shared" si="0"/>
        <v>312.79999999999995</v>
      </c>
      <c r="E5" s="161">
        <f t="shared" si="0"/>
        <v>320.3</v>
      </c>
      <c r="F5" s="161">
        <f t="shared" si="0"/>
        <v>331.59999999999997</v>
      </c>
      <c r="G5" s="161">
        <f t="shared" si="0"/>
        <v>328</v>
      </c>
      <c r="H5" s="161">
        <f t="shared" si="0"/>
        <v>432.7</v>
      </c>
      <c r="I5" s="161">
        <f t="shared" si="0"/>
        <v>714.2</v>
      </c>
      <c r="J5" s="161">
        <f t="shared" si="0"/>
        <v>708.69999999999993</v>
      </c>
      <c r="K5" s="161">
        <f t="shared" si="0"/>
        <v>682.4</v>
      </c>
      <c r="L5" s="161">
        <f t="shared" si="0"/>
        <v>659.2</v>
      </c>
      <c r="M5" s="161">
        <f t="shared" si="0"/>
        <v>713</v>
      </c>
      <c r="N5" s="161">
        <f t="shared" si="0"/>
        <v>693.5</v>
      </c>
      <c r="O5" s="161">
        <f t="shared" si="0"/>
        <v>699.6</v>
      </c>
      <c r="P5" s="161">
        <f t="shared" si="0"/>
        <v>699.6</v>
      </c>
      <c r="Q5" s="161">
        <f t="shared" si="0"/>
        <v>699.6</v>
      </c>
      <c r="R5" s="161">
        <f t="shared" si="0"/>
        <v>870.8</v>
      </c>
      <c r="S5" s="161">
        <f t="shared" si="0"/>
        <v>845.80000000000007</v>
      </c>
      <c r="T5" s="161">
        <f t="shared" si="0"/>
        <v>879.90999999999985</v>
      </c>
      <c r="U5" s="161">
        <f t="shared" si="0"/>
        <v>892.6400000000001</v>
      </c>
      <c r="V5" s="161">
        <f t="shared" si="0"/>
        <v>869.6</v>
      </c>
      <c r="W5" s="161">
        <f t="shared" si="0"/>
        <v>713.5</v>
      </c>
      <c r="X5" s="161">
        <f t="shared" si="0"/>
        <v>593</v>
      </c>
      <c r="Y5" s="161">
        <f t="shared" si="0"/>
        <v>526.20000000000005</v>
      </c>
      <c r="Z5" s="161">
        <f t="shared" si="0"/>
        <v>519.1</v>
      </c>
      <c r="AA5" s="161">
        <f t="shared" si="0"/>
        <v>515</v>
      </c>
      <c r="AB5" s="161">
        <f t="shared" si="0"/>
        <v>495</v>
      </c>
      <c r="AC5" s="161">
        <f t="shared" si="0"/>
        <v>495</v>
      </c>
      <c r="AD5" s="161">
        <f t="shared" si="0"/>
        <v>268</v>
      </c>
      <c r="AE5" s="161">
        <f t="shared" si="0"/>
        <v>177</v>
      </c>
      <c r="AF5" s="161">
        <f>B92</f>
        <v>331.90000000000003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3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1814MW at 9:00hr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5" thickBot="1" x14ac:dyDescent="0.3">
      <c r="A7" s="151" t="str">
        <f>"Base Load="&amp;ROUND(MIN($B$7:$AF$7),0)</f>
        <v>Base Load=1104</v>
      </c>
      <c r="B7" s="150">
        <f t="shared" ref="B7:AF7" si="1">B100</f>
        <v>1623.5400000000002</v>
      </c>
      <c r="C7" s="150">
        <f t="shared" si="1"/>
        <v>1604.54</v>
      </c>
      <c r="D7" s="150">
        <f t="shared" si="1"/>
        <v>1532.54</v>
      </c>
      <c r="E7" s="150">
        <f t="shared" si="1"/>
        <v>1519.4399999999998</v>
      </c>
      <c r="F7" s="150">
        <f t="shared" si="1"/>
        <v>1507.14</v>
      </c>
      <c r="G7" s="150">
        <f t="shared" si="1"/>
        <v>1523.04</v>
      </c>
      <c r="H7" s="150">
        <f t="shared" si="1"/>
        <v>1546.94</v>
      </c>
      <c r="I7" s="150">
        <f t="shared" si="1"/>
        <v>1690.5400000000002</v>
      </c>
      <c r="J7" s="150">
        <f t="shared" si="1"/>
        <v>1792.14</v>
      </c>
      <c r="K7" s="150">
        <f t="shared" si="1"/>
        <v>1778.74</v>
      </c>
      <c r="L7" s="150">
        <f t="shared" si="1"/>
        <v>1753.6400000000003</v>
      </c>
      <c r="M7" s="150">
        <f t="shared" si="1"/>
        <v>1104.44</v>
      </c>
      <c r="N7" s="150">
        <f t="shared" si="1"/>
        <v>1814.2400000000002</v>
      </c>
      <c r="O7" s="150">
        <f t="shared" si="1"/>
        <v>1794.7400000000002</v>
      </c>
      <c r="P7" s="150">
        <f t="shared" si="1"/>
        <v>1729.14</v>
      </c>
      <c r="Q7" s="150">
        <f t="shared" si="1"/>
        <v>1718.14</v>
      </c>
      <c r="R7" s="150">
        <f t="shared" si="1"/>
        <v>1718.14</v>
      </c>
      <c r="S7" s="150">
        <f t="shared" si="1"/>
        <v>1794.25</v>
      </c>
      <c r="T7" s="150">
        <f t="shared" si="1"/>
        <v>1769.25</v>
      </c>
      <c r="U7" s="150">
        <f t="shared" si="1"/>
        <v>1788.36</v>
      </c>
      <c r="V7" s="150">
        <f t="shared" si="1"/>
        <v>1777.4800000000002</v>
      </c>
      <c r="W7" s="150">
        <f t="shared" si="1"/>
        <v>1735.78</v>
      </c>
      <c r="X7" s="150">
        <f t="shared" si="1"/>
        <v>1687.58</v>
      </c>
      <c r="Y7" s="150">
        <f t="shared" si="1"/>
        <v>1834.84</v>
      </c>
      <c r="Z7" s="150">
        <f t="shared" si="1"/>
        <v>1837.27</v>
      </c>
      <c r="AA7" s="150">
        <f t="shared" si="1"/>
        <v>1834.41</v>
      </c>
      <c r="AB7" s="150">
        <f t="shared" si="1"/>
        <v>1898.91</v>
      </c>
      <c r="AC7" s="150">
        <f t="shared" si="1"/>
        <v>1872.91</v>
      </c>
      <c r="AD7" s="150">
        <f t="shared" si="1"/>
        <v>1971.91</v>
      </c>
      <c r="AE7" s="150">
        <f t="shared" si="1"/>
        <v>1781.1100000000001</v>
      </c>
      <c r="AF7" s="150">
        <f t="shared" si="1"/>
        <v>1684.81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7.25" thickTop="1" thickBot="1" x14ac:dyDescent="0.3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1971.91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2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1971.91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.75" thickBot="1" x14ac:dyDescent="0.3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25">
      <c r="A11" s="89" t="s">
        <v>264</v>
      </c>
      <c r="B11" s="102">
        <v>21</v>
      </c>
      <c r="C11" s="102">
        <v>20.9</v>
      </c>
      <c r="D11" s="102">
        <v>21.3</v>
      </c>
      <c r="E11" s="102">
        <v>22.2</v>
      </c>
      <c r="F11" s="102">
        <v>21.3</v>
      </c>
      <c r="G11" s="102">
        <v>23.9</v>
      </c>
      <c r="H11" s="102">
        <v>21</v>
      </c>
      <c r="I11" s="102">
        <v>21</v>
      </c>
      <c r="J11" s="102">
        <v>21</v>
      </c>
      <c r="K11" s="102">
        <v>21.3</v>
      </c>
      <c r="L11" s="102">
        <v>21.3</v>
      </c>
      <c r="M11" s="102">
        <v>21.3</v>
      </c>
      <c r="N11" s="102">
        <v>21.3</v>
      </c>
      <c r="O11" s="102">
        <v>21.3</v>
      </c>
      <c r="P11" s="102">
        <v>21.3</v>
      </c>
      <c r="Q11" s="102">
        <v>21.3</v>
      </c>
      <c r="R11" s="102">
        <v>21.3</v>
      </c>
      <c r="S11" s="102">
        <v>21.3</v>
      </c>
      <c r="T11" s="102">
        <v>21.3</v>
      </c>
      <c r="U11" s="102">
        <v>21.3</v>
      </c>
      <c r="V11" s="102">
        <v>21.4</v>
      </c>
      <c r="W11" s="102">
        <v>6.2</v>
      </c>
      <c r="X11" s="102">
        <v>6.2</v>
      </c>
      <c r="Y11" s="102">
        <v>6.2</v>
      </c>
      <c r="Z11" s="102">
        <v>6.2</v>
      </c>
      <c r="AA11" s="102">
        <v>6.2</v>
      </c>
      <c r="AB11" s="102">
        <v>6.2</v>
      </c>
      <c r="AC11" s="102">
        <v>6.2</v>
      </c>
      <c r="AD11" s="102">
        <v>6.2</v>
      </c>
      <c r="AE11" s="102">
        <v>6.2</v>
      </c>
      <c r="AF11" s="102">
        <v>6.2</v>
      </c>
      <c r="AG11" s="140">
        <v>86</v>
      </c>
      <c r="AH11" s="12">
        <f t="shared" ref="AH11:AH16" si="2">MAX(B11:AF11)</f>
        <v>23.9</v>
      </c>
      <c r="AI11" s="11">
        <f t="shared" ref="AI11:AI16" si="3">MIN(B11:AF11)</f>
        <v>6.2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25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>
        <v>11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>
        <v>11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13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25">
      <c r="A13" s="89" t="s">
        <v>262</v>
      </c>
      <c r="B13" s="102">
        <v>13.5</v>
      </c>
      <c r="C13" s="102">
        <v>13.5</v>
      </c>
      <c r="D13" s="102">
        <v>13.5</v>
      </c>
      <c r="E13" s="102">
        <v>13.5</v>
      </c>
      <c r="F13" s="102">
        <v>13.5</v>
      </c>
      <c r="G13" s="102">
        <v>13.5</v>
      </c>
      <c r="H13" s="102">
        <v>13.5</v>
      </c>
      <c r="I13" s="102">
        <v>13.5</v>
      </c>
      <c r="J13" s="102">
        <v>13.5</v>
      </c>
      <c r="K13" s="102">
        <v>13.5</v>
      </c>
      <c r="L13" s="102">
        <v>13.5</v>
      </c>
      <c r="M13" s="102">
        <v>13.5</v>
      </c>
      <c r="N13" s="102">
        <v>13.5</v>
      </c>
      <c r="O13" s="102">
        <v>13.5</v>
      </c>
      <c r="P13" s="102">
        <v>13.5</v>
      </c>
      <c r="Q13" s="102">
        <v>13.5</v>
      </c>
      <c r="R13" s="102">
        <v>13.5</v>
      </c>
      <c r="S13" s="102">
        <v>12.9</v>
      </c>
      <c r="T13" s="102">
        <v>12.9</v>
      </c>
      <c r="U13" s="102">
        <v>12.9</v>
      </c>
      <c r="V13" s="102">
        <v>12.9</v>
      </c>
      <c r="W13" s="102">
        <v>14</v>
      </c>
      <c r="X13" s="102">
        <v>14</v>
      </c>
      <c r="Y13" s="102">
        <v>14</v>
      </c>
      <c r="Z13" s="102">
        <v>14</v>
      </c>
      <c r="AA13" s="102">
        <v>14</v>
      </c>
      <c r="AB13" s="102">
        <v>14</v>
      </c>
      <c r="AC13" s="102">
        <v>14</v>
      </c>
      <c r="AD13" s="102">
        <v>14</v>
      </c>
      <c r="AE13" s="102">
        <v>14</v>
      </c>
      <c r="AF13" s="102">
        <v>14</v>
      </c>
      <c r="AG13" s="130">
        <v>54</v>
      </c>
      <c r="AH13" s="12">
        <f t="shared" si="2"/>
        <v>14</v>
      </c>
      <c r="AI13" s="11">
        <f t="shared" si="3"/>
        <v>12.9</v>
      </c>
      <c r="AK13" s="19"/>
      <c r="AL13" s="6" t="str">
        <f ca="1">"Daily Load Curve(Excluding of Export) of Nepal ("&amp;A4&amp;" "&amp;B4&amp;")"</f>
        <v>Daily Load Curve(Excluding of Export) of Nepal (Nepali Date: 2080/10/13)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.75" thickBot="1" x14ac:dyDescent="0.3">
      <c r="A14" s="89" t="s">
        <v>261</v>
      </c>
      <c r="B14" s="102">
        <v>13.4</v>
      </c>
      <c r="C14" s="102">
        <v>13.4</v>
      </c>
      <c r="D14" s="102">
        <v>13.8</v>
      </c>
      <c r="E14" s="102">
        <v>13.8</v>
      </c>
      <c r="F14" s="102">
        <v>13.8</v>
      </c>
      <c r="G14" s="102">
        <v>13.8</v>
      </c>
      <c r="H14" s="102">
        <v>13.8</v>
      </c>
      <c r="I14" s="102">
        <v>13.8</v>
      </c>
      <c r="J14" s="102">
        <v>13.8</v>
      </c>
      <c r="K14" s="102">
        <v>13.8</v>
      </c>
      <c r="L14" s="102">
        <v>13.8</v>
      </c>
      <c r="M14" s="102">
        <v>13.8</v>
      </c>
      <c r="N14" s="102">
        <v>13.8</v>
      </c>
      <c r="O14" s="102">
        <v>13.8</v>
      </c>
      <c r="P14" s="102">
        <v>13.8</v>
      </c>
      <c r="Q14" s="102">
        <v>13.8</v>
      </c>
      <c r="R14" s="102">
        <v>13.8</v>
      </c>
      <c r="S14" s="102">
        <v>12</v>
      </c>
      <c r="T14" s="102">
        <v>12</v>
      </c>
      <c r="U14" s="102">
        <v>12</v>
      </c>
      <c r="V14" s="102">
        <v>12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13.8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.75" thickTop="1" x14ac:dyDescent="0.25">
      <c r="A15" s="89" t="s">
        <v>260</v>
      </c>
      <c r="B15" s="102">
        <v>36.799999999999997</v>
      </c>
      <c r="C15" s="102">
        <v>36.799999999999997</v>
      </c>
      <c r="D15" s="102">
        <v>36.799999999999997</v>
      </c>
      <c r="E15" s="102">
        <v>36.799999999999997</v>
      </c>
      <c r="F15" s="102">
        <v>36.799999999999997</v>
      </c>
      <c r="G15" s="102">
        <v>36.799999999999997</v>
      </c>
      <c r="H15" s="102">
        <v>36.799999999999997</v>
      </c>
      <c r="I15" s="102">
        <v>36.799999999999997</v>
      </c>
      <c r="J15" s="102">
        <v>36.799999999999997</v>
      </c>
      <c r="K15" s="102">
        <v>36.799999999999997</v>
      </c>
      <c r="L15" s="102">
        <v>36.799999999999997</v>
      </c>
      <c r="M15" s="102">
        <v>36.799999999999997</v>
      </c>
      <c r="N15" s="102">
        <v>36.799999999999997</v>
      </c>
      <c r="O15" s="102">
        <v>36.799999999999997</v>
      </c>
      <c r="P15" s="102">
        <v>36.799999999999997</v>
      </c>
      <c r="Q15" s="102">
        <v>36.799999999999997</v>
      </c>
      <c r="R15" s="102">
        <v>36.799999999999997</v>
      </c>
      <c r="S15" s="102">
        <v>38.200000000000003</v>
      </c>
      <c r="T15" s="102">
        <v>38.200000000000003</v>
      </c>
      <c r="U15" s="102">
        <v>38.200000000000003</v>
      </c>
      <c r="V15" s="102">
        <v>38.200000000000003</v>
      </c>
      <c r="W15" s="123">
        <v>35.6</v>
      </c>
      <c r="X15" s="123">
        <v>35.6</v>
      </c>
      <c r="Y15" s="123">
        <v>35.6</v>
      </c>
      <c r="Z15" s="123">
        <v>35.6</v>
      </c>
      <c r="AA15" s="123">
        <v>35.6</v>
      </c>
      <c r="AB15" s="123">
        <v>35.6</v>
      </c>
      <c r="AC15" s="123">
        <v>35.6</v>
      </c>
      <c r="AD15" s="123">
        <v>35.6</v>
      </c>
      <c r="AE15" s="123">
        <v>35.6</v>
      </c>
      <c r="AF15" s="123">
        <v>35.6</v>
      </c>
      <c r="AG15" s="130">
        <v>50</v>
      </c>
      <c r="AH15" s="12">
        <f t="shared" si="2"/>
        <v>38.200000000000003</v>
      </c>
      <c r="AI15" s="11">
        <f t="shared" si="3"/>
        <v>35.6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25">
      <c r="A16" s="89" t="s">
        <v>258</v>
      </c>
      <c r="B16" s="102">
        <v>15.6</v>
      </c>
      <c r="C16" s="102">
        <v>15.6</v>
      </c>
      <c r="D16" s="102">
        <v>15.6</v>
      </c>
      <c r="E16" s="102">
        <v>15.6</v>
      </c>
      <c r="F16" s="102">
        <v>15.6</v>
      </c>
      <c r="G16" s="102">
        <v>15.6</v>
      </c>
      <c r="H16" s="102">
        <v>15.6</v>
      </c>
      <c r="I16" s="102">
        <v>15.6</v>
      </c>
      <c r="J16" s="102">
        <v>15.6</v>
      </c>
      <c r="K16" s="102">
        <v>15.6</v>
      </c>
      <c r="L16" s="102">
        <v>15.6</v>
      </c>
      <c r="M16" s="102">
        <v>15.6</v>
      </c>
      <c r="N16" s="102">
        <v>15.6</v>
      </c>
      <c r="O16" s="102">
        <v>15.6</v>
      </c>
      <c r="P16" s="102">
        <v>15.6</v>
      </c>
      <c r="Q16" s="102">
        <v>15.6</v>
      </c>
      <c r="R16" s="102">
        <v>15.6</v>
      </c>
      <c r="S16" s="102">
        <v>15.2</v>
      </c>
      <c r="T16" s="102">
        <v>15.2</v>
      </c>
      <c r="U16" s="102">
        <v>15.2</v>
      </c>
      <c r="V16" s="102">
        <v>15.2</v>
      </c>
      <c r="W16" s="102">
        <v>15.2</v>
      </c>
      <c r="X16" s="102">
        <v>15.2</v>
      </c>
      <c r="Y16" s="102">
        <v>15.2</v>
      </c>
      <c r="Z16" s="102">
        <v>15.2</v>
      </c>
      <c r="AA16" s="102">
        <v>15.2</v>
      </c>
      <c r="AB16" s="102">
        <v>15.2</v>
      </c>
      <c r="AC16" s="102">
        <v>15.2</v>
      </c>
      <c r="AD16" s="102">
        <v>15.2</v>
      </c>
      <c r="AE16" s="102">
        <v>15.2</v>
      </c>
      <c r="AF16" s="102">
        <v>15.2</v>
      </c>
      <c r="AG16" s="130">
        <v>45</v>
      </c>
      <c r="AH16" s="12">
        <f t="shared" si="2"/>
        <v>15.6</v>
      </c>
      <c r="AI16" s="11">
        <f t="shared" si="3"/>
        <v>15.2</v>
      </c>
      <c r="AK16" s="19"/>
      <c r="AL16" s="135" t="s">
        <v>7</v>
      </c>
      <c r="AM16" s="134">
        <f t="shared" ref="AM16:AR16" si="4">B58</f>
        <v>531.20000000000005</v>
      </c>
      <c r="AN16" s="134">
        <f t="shared" si="4"/>
        <v>532.70000000000005</v>
      </c>
      <c r="AO16" s="134">
        <f t="shared" si="4"/>
        <v>533.90000000000009</v>
      </c>
      <c r="AP16" s="134">
        <f t="shared" si="4"/>
        <v>534.79999999999995</v>
      </c>
      <c r="AQ16" s="134">
        <f t="shared" si="4"/>
        <v>533.90000000000009</v>
      </c>
      <c r="AR16" s="134">
        <f t="shared" si="4"/>
        <v>536.5</v>
      </c>
      <c r="AS16" s="134">
        <f>I58</f>
        <v>533.6</v>
      </c>
      <c r="AT16" s="134">
        <f>K58</f>
        <v>533.90000000000009</v>
      </c>
      <c r="AU16" s="134">
        <f t="shared" ref="AU16:BD16" si="5">M58</f>
        <v>0</v>
      </c>
      <c r="AV16" s="134">
        <f t="shared" si="5"/>
        <v>533.90000000000009</v>
      </c>
      <c r="AW16" s="134">
        <f t="shared" si="5"/>
        <v>533.90000000000009</v>
      </c>
      <c r="AX16" s="134">
        <f t="shared" si="5"/>
        <v>533.90000000000009</v>
      </c>
      <c r="AY16" s="134">
        <f t="shared" si="5"/>
        <v>533.90000000000009</v>
      </c>
      <c r="AZ16" s="134">
        <f t="shared" si="5"/>
        <v>533.90000000000009</v>
      </c>
      <c r="BA16" s="134">
        <f t="shared" si="5"/>
        <v>517.10000000000014</v>
      </c>
      <c r="BB16" s="134">
        <f t="shared" si="5"/>
        <v>517.10000000000014</v>
      </c>
      <c r="BC16" s="134">
        <f t="shared" si="5"/>
        <v>517.10000000000014</v>
      </c>
      <c r="BD16" s="134">
        <f t="shared" si="5"/>
        <v>517.20000000000005</v>
      </c>
      <c r="BE16" s="133">
        <f>X58</f>
        <v>488.5</v>
      </c>
      <c r="BF16" s="133">
        <f>Z58</f>
        <v>488.5</v>
      </c>
      <c r="BG16" s="133">
        <f>AB58</f>
        <v>488.5</v>
      </c>
      <c r="BH16" s="133">
        <f>AD58</f>
        <v>488.5</v>
      </c>
      <c r="BI16" s="133">
        <f>AE58</f>
        <v>488.5</v>
      </c>
      <c r="BJ16" s="133">
        <f>AF58</f>
        <v>488.5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25">
      <c r="A17" s="89" t="s">
        <v>257</v>
      </c>
      <c r="B17" s="102">
        <v>21</v>
      </c>
      <c r="C17" s="102">
        <v>21</v>
      </c>
      <c r="D17" s="102">
        <v>21</v>
      </c>
      <c r="E17" s="102">
        <v>21</v>
      </c>
      <c r="F17" s="102">
        <v>21</v>
      </c>
      <c r="G17" s="102">
        <v>21</v>
      </c>
      <c r="H17" s="102">
        <v>21</v>
      </c>
      <c r="I17" s="102">
        <v>21</v>
      </c>
      <c r="J17" s="102">
        <v>21</v>
      </c>
      <c r="K17" s="102">
        <v>21</v>
      </c>
      <c r="L17" s="102">
        <v>21</v>
      </c>
      <c r="M17" s="102">
        <v>21</v>
      </c>
      <c r="N17" s="102">
        <v>21</v>
      </c>
      <c r="O17" s="102">
        <v>21</v>
      </c>
      <c r="P17" s="102">
        <v>21</v>
      </c>
      <c r="Q17" s="102">
        <v>21</v>
      </c>
      <c r="R17" s="102">
        <v>21</v>
      </c>
      <c r="S17" s="102">
        <v>16.100000000000001</v>
      </c>
      <c r="T17" s="102">
        <v>16.100000000000001</v>
      </c>
      <c r="U17" s="102">
        <v>16.100000000000001</v>
      </c>
      <c r="V17" s="102">
        <v>16.100000000000001</v>
      </c>
      <c r="W17" s="102">
        <v>16.100000000000001</v>
      </c>
      <c r="X17" s="102">
        <v>16.100000000000001</v>
      </c>
      <c r="Y17" s="102">
        <v>16.100000000000001</v>
      </c>
      <c r="Z17" s="102">
        <v>16.100000000000001</v>
      </c>
      <c r="AA17" s="102">
        <v>16.100000000000001</v>
      </c>
      <c r="AB17" s="102">
        <v>16.100000000000001</v>
      </c>
      <c r="AC17" s="102">
        <v>16.100000000000001</v>
      </c>
      <c r="AD17" s="102">
        <v>16.100000000000001</v>
      </c>
      <c r="AE17" s="102">
        <v>16.100000000000001</v>
      </c>
      <c r="AF17" s="102">
        <v>16.100000000000001</v>
      </c>
      <c r="AG17" s="130">
        <v>44</v>
      </c>
      <c r="AH17" s="12">
        <f>MAX(B17:AG17)</f>
        <v>44</v>
      </c>
      <c r="AI17" s="11">
        <f>MIN(B17:AG17)</f>
        <v>16.100000000000001</v>
      </c>
      <c r="AK17" s="19"/>
      <c r="AL17" s="135" t="s">
        <v>256</v>
      </c>
      <c r="AM17" s="134">
        <f t="shared" ref="AM17:AR17" si="6">B62</f>
        <v>143.69999999999999</v>
      </c>
      <c r="AN17" s="134">
        <f t="shared" si="6"/>
        <v>138.69999999999999</v>
      </c>
      <c r="AO17" s="134">
        <f t="shared" si="6"/>
        <v>118.2</v>
      </c>
      <c r="AP17" s="134">
        <f t="shared" si="6"/>
        <v>115.00000000000001</v>
      </c>
      <c r="AQ17" s="134">
        <f t="shared" si="6"/>
        <v>114.9</v>
      </c>
      <c r="AR17" s="134">
        <f t="shared" si="6"/>
        <v>115</v>
      </c>
      <c r="AS17" s="134">
        <f>I62</f>
        <v>185.20000000000002</v>
      </c>
      <c r="AT17" s="134">
        <f>K62</f>
        <v>31.8</v>
      </c>
      <c r="AU17" s="134">
        <f t="shared" ref="AU17:BD17" si="7">M62</f>
        <v>31.8</v>
      </c>
      <c r="AV17" s="134">
        <f t="shared" si="7"/>
        <v>31.8</v>
      </c>
      <c r="AW17" s="134">
        <f t="shared" si="7"/>
        <v>31.8</v>
      </c>
      <c r="AX17" s="134">
        <f t="shared" si="7"/>
        <v>31.8</v>
      </c>
      <c r="AY17" s="134">
        <f t="shared" si="7"/>
        <v>31.8</v>
      </c>
      <c r="AZ17" s="134">
        <f t="shared" si="7"/>
        <v>31.8</v>
      </c>
      <c r="BA17" s="134">
        <f t="shared" si="7"/>
        <v>15.8</v>
      </c>
      <c r="BB17" s="134">
        <f t="shared" si="7"/>
        <v>15.8</v>
      </c>
      <c r="BC17" s="134">
        <f t="shared" si="7"/>
        <v>15.8</v>
      </c>
      <c r="BD17" s="134">
        <f t="shared" si="7"/>
        <v>31.2</v>
      </c>
      <c r="BE17" s="133">
        <f>X62</f>
        <v>66.399999999999991</v>
      </c>
      <c r="BF17" s="133">
        <f>Z62</f>
        <v>234.4</v>
      </c>
      <c r="BG17" s="133">
        <f>AB62</f>
        <v>240.60000000000002</v>
      </c>
      <c r="BH17" s="133">
        <f>AD62</f>
        <v>339.6</v>
      </c>
      <c r="BI17" s="133">
        <f>AE62</f>
        <v>395.6</v>
      </c>
      <c r="BJ17" s="133">
        <f>AF62</f>
        <v>420.6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25">
      <c r="A18" s="89" t="s">
        <v>255</v>
      </c>
      <c r="B18" s="102">
        <v>9</v>
      </c>
      <c r="C18" s="102">
        <v>9</v>
      </c>
      <c r="D18" s="102">
        <v>9</v>
      </c>
      <c r="E18" s="102">
        <v>9</v>
      </c>
      <c r="F18" s="102">
        <v>9</v>
      </c>
      <c r="G18" s="102">
        <v>9</v>
      </c>
      <c r="H18" s="102">
        <v>9</v>
      </c>
      <c r="I18" s="102">
        <v>9</v>
      </c>
      <c r="J18" s="102">
        <v>9</v>
      </c>
      <c r="K18" s="102">
        <v>9</v>
      </c>
      <c r="L18" s="102">
        <v>9</v>
      </c>
      <c r="M18" s="102">
        <v>9</v>
      </c>
      <c r="N18" s="102">
        <v>9</v>
      </c>
      <c r="O18" s="102">
        <v>9</v>
      </c>
      <c r="P18" s="102">
        <v>9</v>
      </c>
      <c r="Q18" s="102">
        <v>9</v>
      </c>
      <c r="R18" s="102">
        <v>9</v>
      </c>
      <c r="S18" s="102">
        <v>8.1</v>
      </c>
      <c r="T18" s="102">
        <v>8.1</v>
      </c>
      <c r="U18" s="102">
        <v>8.1</v>
      </c>
      <c r="V18" s="102">
        <v>8.1</v>
      </c>
      <c r="W18" s="102">
        <v>8.1</v>
      </c>
      <c r="X18" s="102">
        <v>8.1</v>
      </c>
      <c r="Y18" s="102">
        <v>8.1</v>
      </c>
      <c r="Z18" s="102">
        <v>8.1</v>
      </c>
      <c r="AA18" s="102">
        <v>8.1</v>
      </c>
      <c r="AB18" s="102">
        <v>8.1</v>
      </c>
      <c r="AC18" s="102">
        <v>8.1</v>
      </c>
      <c r="AD18" s="102">
        <v>8.1</v>
      </c>
      <c r="AE18" s="102">
        <v>8.1</v>
      </c>
      <c r="AF18" s="102">
        <v>8.1</v>
      </c>
      <c r="AG18" s="130">
        <v>42</v>
      </c>
      <c r="AH18" s="12">
        <f t="shared" ref="AH18:AH81" si="8">MAX(B18:AF18)</f>
        <v>9</v>
      </c>
      <c r="AI18" s="11">
        <f t="shared" ref="AI18:AI81" si="9">MIN(B18:AF18)</f>
        <v>8.1</v>
      </c>
      <c r="AK18" s="19"/>
      <c r="AL18" s="135" t="s">
        <v>254</v>
      </c>
      <c r="AM18" s="134">
        <f t="shared" ref="AM18:AR18" si="10">B76</f>
        <v>240.64</v>
      </c>
      <c r="AN18" s="134">
        <f t="shared" si="10"/>
        <v>241.93999999999997</v>
      </c>
      <c r="AO18" s="134">
        <f t="shared" si="10"/>
        <v>220.53999999999996</v>
      </c>
      <c r="AP18" s="134">
        <f t="shared" si="10"/>
        <v>210.04</v>
      </c>
      <c r="AQ18" s="134">
        <f t="shared" si="10"/>
        <v>193.43999999999997</v>
      </c>
      <c r="AR18" s="134">
        <f t="shared" si="10"/>
        <v>193.83999999999997</v>
      </c>
      <c r="AS18" s="134">
        <f>I76</f>
        <v>242.93999999999997</v>
      </c>
      <c r="AT18" s="134">
        <f>K76</f>
        <v>357.24</v>
      </c>
      <c r="AU18" s="134">
        <f t="shared" ref="AU18:BD18" si="11">M76</f>
        <v>266.33999999999997</v>
      </c>
      <c r="AV18" s="134">
        <f t="shared" si="11"/>
        <v>358.44000000000011</v>
      </c>
      <c r="AW18" s="134">
        <f t="shared" si="11"/>
        <v>358.44000000000011</v>
      </c>
      <c r="AX18" s="134">
        <f t="shared" si="11"/>
        <v>266.74</v>
      </c>
      <c r="AY18" s="134">
        <f t="shared" si="11"/>
        <v>255.73999999999998</v>
      </c>
      <c r="AZ18" s="134">
        <f t="shared" si="11"/>
        <v>255.73999999999998</v>
      </c>
      <c r="BA18" s="134">
        <f t="shared" si="11"/>
        <v>243.45</v>
      </c>
      <c r="BB18" s="134">
        <f t="shared" si="11"/>
        <v>243.45</v>
      </c>
      <c r="BC18" s="134">
        <f t="shared" si="11"/>
        <v>253.45</v>
      </c>
      <c r="BD18" s="134">
        <f t="shared" si="11"/>
        <v>214.34</v>
      </c>
      <c r="BE18" s="133">
        <f>X76</f>
        <v>184.18000000000004</v>
      </c>
      <c r="BF18" s="133">
        <f>Z76</f>
        <v>189.94</v>
      </c>
      <c r="BG18" s="133">
        <f>AB76</f>
        <v>256.58000000000004</v>
      </c>
      <c r="BH18" s="133">
        <f>AD76</f>
        <v>250.58</v>
      </c>
      <c r="BI18" s="133">
        <f>AE76</f>
        <v>230.78</v>
      </c>
      <c r="BJ18" s="133">
        <f>AF76</f>
        <v>200.48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25">
      <c r="A19" s="89" t="s">
        <v>253</v>
      </c>
      <c r="B19" s="102">
        <v>16.2</v>
      </c>
      <c r="C19" s="102">
        <v>16.399999999999999</v>
      </c>
      <c r="D19" s="102">
        <v>16.5</v>
      </c>
      <c r="E19" s="102">
        <v>16.5</v>
      </c>
      <c r="F19" s="102">
        <v>16.5</v>
      </c>
      <c r="G19" s="102">
        <v>16.5</v>
      </c>
      <c r="H19" s="102">
        <v>16.5</v>
      </c>
      <c r="I19" s="102">
        <v>16.5</v>
      </c>
      <c r="J19" s="102">
        <v>16.5</v>
      </c>
      <c r="K19" s="102">
        <v>16.5</v>
      </c>
      <c r="L19" s="102">
        <v>16.5</v>
      </c>
      <c r="M19" s="102">
        <v>16.5</v>
      </c>
      <c r="N19" s="102">
        <v>16.5</v>
      </c>
      <c r="O19" s="102">
        <v>16.5</v>
      </c>
      <c r="P19" s="102">
        <v>16.5</v>
      </c>
      <c r="Q19" s="102">
        <v>16.5</v>
      </c>
      <c r="R19" s="102">
        <v>16.5</v>
      </c>
      <c r="S19" s="102">
        <v>14.3</v>
      </c>
      <c r="T19" s="102">
        <v>14.3</v>
      </c>
      <c r="U19" s="102">
        <v>14.3</v>
      </c>
      <c r="V19" s="102">
        <v>14.3</v>
      </c>
      <c r="W19" s="102">
        <v>14.3</v>
      </c>
      <c r="X19" s="102">
        <v>14.3</v>
      </c>
      <c r="Y19" s="102">
        <v>14.3</v>
      </c>
      <c r="Z19" s="102">
        <v>14.3</v>
      </c>
      <c r="AA19" s="102">
        <v>14.3</v>
      </c>
      <c r="AB19" s="102">
        <v>14.3</v>
      </c>
      <c r="AC19" s="102">
        <v>14.3</v>
      </c>
      <c r="AD19" s="102">
        <v>14.3</v>
      </c>
      <c r="AE19" s="102">
        <v>14.3</v>
      </c>
      <c r="AF19" s="102">
        <v>14.3</v>
      </c>
      <c r="AG19" s="130">
        <v>38.46</v>
      </c>
      <c r="AH19" s="12">
        <f t="shared" si="8"/>
        <v>16.5</v>
      </c>
      <c r="AI19" s="11">
        <f t="shared" si="9"/>
        <v>14.3</v>
      </c>
      <c r="AK19" s="19"/>
      <c r="AL19" s="135" t="s">
        <v>252</v>
      </c>
      <c r="AM19" s="134">
        <f t="shared" ref="AM19:AR19" si="12">B92</f>
        <v>331.90000000000003</v>
      </c>
      <c r="AN19" s="134">
        <f t="shared" si="12"/>
        <v>315.2</v>
      </c>
      <c r="AO19" s="134">
        <f t="shared" si="12"/>
        <v>313.89999999999998</v>
      </c>
      <c r="AP19" s="134">
        <f t="shared" si="12"/>
        <v>312.79999999999995</v>
      </c>
      <c r="AQ19" s="134">
        <f t="shared" si="12"/>
        <v>320.3</v>
      </c>
      <c r="AR19" s="134">
        <f t="shared" si="12"/>
        <v>331.59999999999997</v>
      </c>
      <c r="AS19" s="134">
        <f>I92</f>
        <v>432.7</v>
      </c>
      <c r="AT19" s="134">
        <f>K92</f>
        <v>708.69999999999993</v>
      </c>
      <c r="AU19" s="134">
        <f t="shared" ref="AU19:BD19" si="13">M92</f>
        <v>659.2</v>
      </c>
      <c r="AV19" s="134">
        <f t="shared" si="13"/>
        <v>713</v>
      </c>
      <c r="AW19" s="134">
        <f t="shared" si="13"/>
        <v>693.5</v>
      </c>
      <c r="AX19" s="134">
        <f t="shared" si="13"/>
        <v>699.6</v>
      </c>
      <c r="AY19" s="134">
        <f t="shared" si="13"/>
        <v>699.6</v>
      </c>
      <c r="AZ19" s="134">
        <f t="shared" si="13"/>
        <v>699.6</v>
      </c>
      <c r="BA19" s="134">
        <f t="shared" si="13"/>
        <v>870.8</v>
      </c>
      <c r="BB19" s="134">
        <f t="shared" si="13"/>
        <v>845.80000000000007</v>
      </c>
      <c r="BC19" s="134">
        <f t="shared" si="13"/>
        <v>879.90999999999985</v>
      </c>
      <c r="BD19" s="134">
        <f t="shared" si="13"/>
        <v>892.6400000000001</v>
      </c>
      <c r="BE19" s="133">
        <f>X92</f>
        <v>713.5</v>
      </c>
      <c r="BF19" s="133">
        <f>Z92</f>
        <v>526.20000000000005</v>
      </c>
      <c r="BG19" s="133">
        <f>AB92</f>
        <v>515</v>
      </c>
      <c r="BH19" s="133">
        <f>AD92</f>
        <v>495</v>
      </c>
      <c r="BI19" s="133">
        <f>AE92</f>
        <v>268</v>
      </c>
      <c r="BJ19" s="133">
        <f>AF92</f>
        <v>177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25">
      <c r="A20" s="89" t="s">
        <v>251</v>
      </c>
      <c r="B20" s="102">
        <v>18</v>
      </c>
      <c r="C20" s="102">
        <v>18</v>
      </c>
      <c r="D20" s="102">
        <v>18</v>
      </c>
      <c r="E20" s="102">
        <v>18</v>
      </c>
      <c r="F20" s="102">
        <v>18</v>
      </c>
      <c r="G20" s="102">
        <v>18</v>
      </c>
      <c r="H20" s="102">
        <v>18</v>
      </c>
      <c r="I20" s="102">
        <v>18</v>
      </c>
      <c r="J20" s="102">
        <v>18</v>
      </c>
      <c r="K20" s="102">
        <v>18</v>
      </c>
      <c r="L20" s="102">
        <v>18</v>
      </c>
      <c r="M20" s="102">
        <v>18</v>
      </c>
      <c r="N20" s="102">
        <v>18</v>
      </c>
      <c r="O20" s="102">
        <v>18</v>
      </c>
      <c r="P20" s="102">
        <v>18</v>
      </c>
      <c r="Q20" s="102">
        <v>18</v>
      </c>
      <c r="R20" s="102">
        <v>18</v>
      </c>
      <c r="S20" s="102">
        <v>11.4</v>
      </c>
      <c r="T20" s="102">
        <v>11.4</v>
      </c>
      <c r="U20" s="102">
        <v>11.4</v>
      </c>
      <c r="V20" s="102">
        <v>11.4</v>
      </c>
      <c r="W20" s="102">
        <v>11.4</v>
      </c>
      <c r="X20" s="102">
        <v>11.4</v>
      </c>
      <c r="Y20" s="102">
        <v>11.4</v>
      </c>
      <c r="Z20" s="102">
        <v>11.4</v>
      </c>
      <c r="AA20" s="102">
        <v>11.4</v>
      </c>
      <c r="AB20" s="102">
        <v>11.4</v>
      </c>
      <c r="AC20" s="102">
        <v>11.4</v>
      </c>
      <c r="AD20" s="102">
        <v>11.4</v>
      </c>
      <c r="AE20" s="102">
        <v>11.4</v>
      </c>
      <c r="AF20" s="102">
        <v>11.4</v>
      </c>
      <c r="AG20" s="130">
        <v>38.46</v>
      </c>
      <c r="AH20" s="12">
        <f t="shared" si="8"/>
        <v>18</v>
      </c>
      <c r="AI20" s="11">
        <f t="shared" si="9"/>
        <v>11.4</v>
      </c>
      <c r="AK20" s="19"/>
      <c r="AL20" s="135" t="s">
        <v>250</v>
      </c>
      <c r="AM20" s="134">
        <f t="shared" ref="AM20:AR20" si="14">B80</f>
        <v>96.1</v>
      </c>
      <c r="AN20" s="134">
        <f t="shared" si="14"/>
        <v>96</v>
      </c>
      <c r="AO20" s="134">
        <f t="shared" si="14"/>
        <v>96</v>
      </c>
      <c r="AP20" s="134">
        <f t="shared" si="14"/>
        <v>96.8</v>
      </c>
      <c r="AQ20" s="134">
        <f t="shared" si="14"/>
        <v>94.6</v>
      </c>
      <c r="AR20" s="134">
        <f t="shared" si="14"/>
        <v>96.100000000000009</v>
      </c>
      <c r="AS20" s="134">
        <f>I80</f>
        <v>96.100000000000009</v>
      </c>
      <c r="AT20" s="134">
        <f>K80</f>
        <v>97.100000000000009</v>
      </c>
      <c r="AU20" s="134">
        <f t="shared" ref="AU20:BD20" si="15">M80</f>
        <v>97.100000000000009</v>
      </c>
      <c r="AV20" s="134">
        <f t="shared" si="15"/>
        <v>97.100000000000009</v>
      </c>
      <c r="AW20" s="134">
        <f t="shared" si="15"/>
        <v>97.100000000000009</v>
      </c>
      <c r="AX20" s="134">
        <f t="shared" si="15"/>
        <v>97.100000000000009</v>
      </c>
      <c r="AY20" s="134">
        <f t="shared" si="15"/>
        <v>97.100000000000009</v>
      </c>
      <c r="AZ20" s="134">
        <f t="shared" si="15"/>
        <v>97.100000000000009</v>
      </c>
      <c r="BA20" s="134">
        <f t="shared" si="15"/>
        <v>97.100000000000009</v>
      </c>
      <c r="BB20" s="134">
        <f t="shared" si="15"/>
        <v>97.100000000000009</v>
      </c>
      <c r="BC20" s="134">
        <f t="shared" si="15"/>
        <v>97.100000000000009</v>
      </c>
      <c r="BD20" s="134">
        <f t="shared" si="15"/>
        <v>97.100000000000009</v>
      </c>
      <c r="BE20" s="133">
        <f>X80</f>
        <v>35</v>
      </c>
      <c r="BF20" s="133">
        <f>Z80</f>
        <v>98.23</v>
      </c>
      <c r="BG20" s="133">
        <f>AB80</f>
        <v>98.23</v>
      </c>
      <c r="BH20" s="133">
        <f>AD80</f>
        <v>98.23</v>
      </c>
      <c r="BI20" s="133">
        <f>AE80</f>
        <v>98.23</v>
      </c>
      <c r="BJ20" s="133">
        <f>AF80</f>
        <v>98.23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25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>
        <v>11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>
        <v>11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11</v>
      </c>
      <c r="AG21" s="130">
        <v>36</v>
      </c>
      <c r="AH21" s="12">
        <f t="shared" si="8"/>
        <v>11</v>
      </c>
      <c r="AI21" s="11">
        <f t="shared" si="9"/>
        <v>11</v>
      </c>
      <c r="AK21" s="19"/>
      <c r="AL21" s="135" t="s">
        <v>248</v>
      </c>
      <c r="AM21" s="134">
        <f t="shared" ref="AM21:AR21" si="16">B98</f>
        <v>280</v>
      </c>
      <c r="AN21" s="134">
        <f t="shared" si="16"/>
        <v>280</v>
      </c>
      <c r="AO21" s="134">
        <f t="shared" si="16"/>
        <v>250</v>
      </c>
      <c r="AP21" s="134">
        <f t="shared" si="16"/>
        <v>250</v>
      </c>
      <c r="AQ21" s="134">
        <f t="shared" si="16"/>
        <v>250</v>
      </c>
      <c r="AR21" s="134">
        <f t="shared" si="16"/>
        <v>250</v>
      </c>
      <c r="AS21" s="134">
        <f>I98</f>
        <v>200</v>
      </c>
      <c r="AT21" s="134">
        <f>K98</f>
        <v>50</v>
      </c>
      <c r="AU21" s="134">
        <f t="shared" ref="AU21:BD21" si="17">M98</f>
        <v>50</v>
      </c>
      <c r="AV21" s="134">
        <f t="shared" si="17"/>
        <v>80</v>
      </c>
      <c r="AW21" s="134">
        <f t="shared" si="17"/>
        <v>80</v>
      </c>
      <c r="AX21" s="134">
        <f t="shared" si="17"/>
        <v>100</v>
      </c>
      <c r="AY21" s="134">
        <f t="shared" si="17"/>
        <v>100</v>
      </c>
      <c r="AZ21" s="134">
        <f t="shared" si="17"/>
        <v>100</v>
      </c>
      <c r="BA21" s="134">
        <f t="shared" si="17"/>
        <v>50</v>
      </c>
      <c r="BB21" s="134">
        <f t="shared" si="17"/>
        <v>50</v>
      </c>
      <c r="BC21" s="134">
        <f t="shared" si="17"/>
        <v>25</v>
      </c>
      <c r="BD21" s="134">
        <f t="shared" si="17"/>
        <v>25</v>
      </c>
      <c r="BE21" s="133">
        <f>X98</f>
        <v>200</v>
      </c>
      <c r="BF21" s="133">
        <f>Z98</f>
        <v>300</v>
      </c>
      <c r="BG21" s="133">
        <f>AB98</f>
        <v>300</v>
      </c>
      <c r="BH21" s="133">
        <f>AD98</f>
        <v>300</v>
      </c>
      <c r="BI21" s="133">
        <f>AE98</f>
        <v>300</v>
      </c>
      <c r="BJ21" s="133">
        <f>AF98</f>
        <v>300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25">
      <c r="A22" s="89" t="s">
        <v>247</v>
      </c>
      <c r="B22" s="102">
        <v>9</v>
      </c>
      <c r="C22" s="102">
        <v>8.4</v>
      </c>
      <c r="D22" s="102">
        <v>8.4</v>
      </c>
      <c r="E22" s="102">
        <v>8.4</v>
      </c>
      <c r="F22" s="102">
        <v>8.4</v>
      </c>
      <c r="G22" s="102">
        <v>8.4</v>
      </c>
      <c r="H22" s="102">
        <v>8.4</v>
      </c>
      <c r="I22" s="102">
        <v>8.4</v>
      </c>
      <c r="J22" s="102">
        <v>8.4</v>
      </c>
      <c r="K22" s="102">
        <v>8.4</v>
      </c>
      <c r="L22" s="102">
        <v>8.4</v>
      </c>
      <c r="M22" s="102">
        <v>8.4</v>
      </c>
      <c r="N22" s="102">
        <v>8.4</v>
      </c>
      <c r="O22" s="102">
        <v>8.4</v>
      </c>
      <c r="P22" s="102">
        <v>8.4</v>
      </c>
      <c r="Q22" s="102">
        <v>8.4</v>
      </c>
      <c r="R22" s="102">
        <v>8.4</v>
      </c>
      <c r="S22" s="102">
        <v>8.1</v>
      </c>
      <c r="T22" s="102">
        <v>8.1</v>
      </c>
      <c r="U22" s="102">
        <v>8.1</v>
      </c>
      <c r="V22" s="102">
        <v>8.1</v>
      </c>
      <c r="W22" s="102">
        <v>8.1</v>
      </c>
      <c r="X22" s="102">
        <v>8.1</v>
      </c>
      <c r="Y22" s="102">
        <v>8.1</v>
      </c>
      <c r="Z22" s="102">
        <v>8.1</v>
      </c>
      <c r="AA22" s="102">
        <v>8.1</v>
      </c>
      <c r="AB22" s="102">
        <v>8.1</v>
      </c>
      <c r="AC22" s="102">
        <v>8.1</v>
      </c>
      <c r="AD22" s="102">
        <v>8.1</v>
      </c>
      <c r="AE22" s="102">
        <v>8.1</v>
      </c>
      <c r="AF22" s="102">
        <v>8.1</v>
      </c>
      <c r="AG22" s="88">
        <v>30</v>
      </c>
      <c r="AH22" s="12">
        <f t="shared" si="8"/>
        <v>9</v>
      </c>
      <c r="AI22" s="11">
        <f t="shared" si="9"/>
        <v>8.1</v>
      </c>
      <c r="AK22" s="19"/>
      <c r="AL22" s="132" t="s">
        <v>246</v>
      </c>
      <c r="AM22" s="131">
        <f t="shared" ref="AM22:BJ22" si="18">SUM(AM16:AM21)</f>
        <v>1623.54</v>
      </c>
      <c r="AN22" s="131">
        <f t="shared" si="18"/>
        <v>1604.54</v>
      </c>
      <c r="AO22" s="131">
        <f t="shared" si="18"/>
        <v>1532.54</v>
      </c>
      <c r="AP22" s="131">
        <f t="shared" si="18"/>
        <v>1519.4399999999998</v>
      </c>
      <c r="AQ22" s="131">
        <f t="shared" si="18"/>
        <v>1507.1399999999999</v>
      </c>
      <c r="AR22" s="131">
        <f t="shared" si="18"/>
        <v>1523.0399999999997</v>
      </c>
      <c r="AS22" s="131">
        <f t="shared" si="18"/>
        <v>1690.54</v>
      </c>
      <c r="AT22" s="131">
        <f t="shared" si="18"/>
        <v>1778.7399999999998</v>
      </c>
      <c r="AU22" s="131">
        <f t="shared" si="18"/>
        <v>1104.44</v>
      </c>
      <c r="AV22" s="131">
        <f t="shared" si="18"/>
        <v>1814.24</v>
      </c>
      <c r="AW22" s="131">
        <f t="shared" si="18"/>
        <v>1794.74</v>
      </c>
      <c r="AX22" s="131">
        <f t="shared" si="18"/>
        <v>1729.1399999999999</v>
      </c>
      <c r="AY22" s="131">
        <f t="shared" si="18"/>
        <v>1718.1399999999999</v>
      </c>
      <c r="AZ22" s="131">
        <f t="shared" si="18"/>
        <v>1718.1399999999999</v>
      </c>
      <c r="BA22" s="131">
        <f t="shared" si="18"/>
        <v>1794.25</v>
      </c>
      <c r="BB22" s="131">
        <f t="shared" si="18"/>
        <v>1769.25</v>
      </c>
      <c r="BC22" s="131">
        <f t="shared" si="18"/>
        <v>1788.36</v>
      </c>
      <c r="BD22" s="131">
        <f t="shared" si="18"/>
        <v>1777.48</v>
      </c>
      <c r="BE22" s="131">
        <f t="shared" si="18"/>
        <v>1687.58</v>
      </c>
      <c r="BF22" s="131">
        <f t="shared" si="18"/>
        <v>1837.27</v>
      </c>
      <c r="BG22" s="131">
        <f t="shared" si="18"/>
        <v>1898.91</v>
      </c>
      <c r="BH22" s="131">
        <f t="shared" si="18"/>
        <v>1971.91</v>
      </c>
      <c r="BI22" s="131">
        <f t="shared" si="18"/>
        <v>1781.1100000000001</v>
      </c>
      <c r="BJ22" s="131">
        <f t="shared" si="18"/>
        <v>1684.81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25">
      <c r="A23" s="89" t="s">
        <v>245</v>
      </c>
      <c r="B23" s="102">
        <v>6.2</v>
      </c>
      <c r="C23" s="102">
        <v>6.2</v>
      </c>
      <c r="D23" s="102">
        <v>6.2</v>
      </c>
      <c r="E23" s="102">
        <v>6.2</v>
      </c>
      <c r="F23" s="102">
        <v>6.2</v>
      </c>
      <c r="G23" s="102">
        <v>6.2</v>
      </c>
      <c r="H23" s="102">
        <v>6.2</v>
      </c>
      <c r="I23" s="102">
        <v>6.2</v>
      </c>
      <c r="J23" s="102">
        <v>6.2</v>
      </c>
      <c r="K23" s="102">
        <v>6.2</v>
      </c>
      <c r="L23" s="102">
        <v>6.2</v>
      </c>
      <c r="M23" s="102">
        <v>6.2</v>
      </c>
      <c r="N23" s="102">
        <v>6.2</v>
      </c>
      <c r="O23" s="102">
        <v>6.2</v>
      </c>
      <c r="P23" s="102">
        <v>6.2</v>
      </c>
      <c r="Q23" s="102">
        <v>6.2</v>
      </c>
      <c r="R23" s="102">
        <v>6.2</v>
      </c>
      <c r="S23" s="102">
        <v>6.2</v>
      </c>
      <c r="T23" s="102">
        <v>6.2</v>
      </c>
      <c r="U23" s="102">
        <v>6.2</v>
      </c>
      <c r="V23" s="102">
        <v>6.2</v>
      </c>
      <c r="W23" s="102">
        <v>6.2</v>
      </c>
      <c r="X23" s="102">
        <v>6.2</v>
      </c>
      <c r="Y23" s="102">
        <v>6.2</v>
      </c>
      <c r="Z23" s="102">
        <v>6.2</v>
      </c>
      <c r="AA23" s="102">
        <v>6.2</v>
      </c>
      <c r="AB23" s="102">
        <v>6.2</v>
      </c>
      <c r="AC23" s="102">
        <v>6.2</v>
      </c>
      <c r="AD23" s="102">
        <v>6.2</v>
      </c>
      <c r="AE23" s="102">
        <v>6.2</v>
      </c>
      <c r="AF23" s="102">
        <v>6.2</v>
      </c>
      <c r="AG23" s="130">
        <v>24.2</v>
      </c>
      <c r="AH23" s="12">
        <f t="shared" si="8"/>
        <v>6.2</v>
      </c>
      <c r="AI23" s="11">
        <f t="shared" si="9"/>
        <v>6.2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25">
      <c r="A24" s="89" t="s">
        <v>244</v>
      </c>
      <c r="B24" s="102">
        <v>6.8</v>
      </c>
      <c r="C24" s="102">
        <v>6.8</v>
      </c>
      <c r="D24" s="102">
        <v>6.8</v>
      </c>
      <c r="E24" s="102">
        <v>6.8</v>
      </c>
      <c r="F24" s="102">
        <v>6.8</v>
      </c>
      <c r="G24" s="102">
        <v>6.8</v>
      </c>
      <c r="H24" s="102">
        <v>6.8</v>
      </c>
      <c r="I24" s="102">
        <v>6.8</v>
      </c>
      <c r="J24" s="102">
        <v>6.8</v>
      </c>
      <c r="K24" s="102">
        <v>6.8</v>
      </c>
      <c r="L24" s="102">
        <v>6.8</v>
      </c>
      <c r="M24" s="102">
        <v>6.8</v>
      </c>
      <c r="N24" s="102">
        <v>6.8</v>
      </c>
      <c r="O24" s="102">
        <v>6.8</v>
      </c>
      <c r="P24" s="102">
        <v>6.8</v>
      </c>
      <c r="Q24" s="102">
        <v>6.8</v>
      </c>
      <c r="R24" s="102">
        <v>6.8</v>
      </c>
      <c r="S24" s="102">
        <v>6.8</v>
      </c>
      <c r="T24" s="102">
        <v>6.8</v>
      </c>
      <c r="U24" s="102">
        <v>6.8</v>
      </c>
      <c r="V24" s="102">
        <v>6.8</v>
      </c>
      <c r="W24" s="102">
        <v>6.8</v>
      </c>
      <c r="X24" s="102">
        <v>6.8</v>
      </c>
      <c r="Y24" s="102">
        <v>6.8</v>
      </c>
      <c r="Z24" s="102">
        <v>6.8</v>
      </c>
      <c r="AA24" s="102">
        <v>6.8</v>
      </c>
      <c r="AB24" s="102">
        <v>6.8</v>
      </c>
      <c r="AC24" s="102">
        <v>6.8</v>
      </c>
      <c r="AD24" s="102">
        <v>6.8</v>
      </c>
      <c r="AE24" s="102">
        <v>6.8</v>
      </c>
      <c r="AF24" s="102">
        <v>6.8</v>
      </c>
      <c r="AG24" s="130">
        <v>28</v>
      </c>
      <c r="AH24" s="12">
        <f t="shared" si="8"/>
        <v>6.8</v>
      </c>
      <c r="AI24" s="11">
        <f t="shared" si="9"/>
        <v>6.8</v>
      </c>
      <c r="AK24" s="19"/>
      <c r="AL24" s="132" t="s">
        <v>243</v>
      </c>
      <c r="AM24" s="131">
        <f t="shared" ref="AM24:BJ24" si="21">AM22+AM23</f>
        <v>1623.54</v>
      </c>
      <c r="AN24" s="131">
        <f t="shared" si="21"/>
        <v>1604.54</v>
      </c>
      <c r="AO24" s="131">
        <f t="shared" si="21"/>
        <v>1532.54</v>
      </c>
      <c r="AP24" s="131">
        <f t="shared" si="21"/>
        <v>1519.4399999999998</v>
      </c>
      <c r="AQ24" s="131">
        <f t="shared" si="21"/>
        <v>1507.1399999999999</v>
      </c>
      <c r="AR24" s="131">
        <f t="shared" si="21"/>
        <v>1523.0399999999997</v>
      </c>
      <c r="AS24" s="131">
        <f t="shared" si="21"/>
        <v>1690.54</v>
      </c>
      <c r="AT24" s="131">
        <f t="shared" si="21"/>
        <v>1778.7399999999998</v>
      </c>
      <c r="AU24" s="131">
        <f t="shared" si="21"/>
        <v>1104.44</v>
      </c>
      <c r="AV24" s="131">
        <f t="shared" si="21"/>
        <v>1814.24</v>
      </c>
      <c r="AW24" s="131">
        <f t="shared" si="21"/>
        <v>1794.74</v>
      </c>
      <c r="AX24" s="131">
        <f t="shared" si="21"/>
        <v>1729.1399999999999</v>
      </c>
      <c r="AY24" s="131">
        <f t="shared" si="21"/>
        <v>1718.1399999999999</v>
      </c>
      <c r="AZ24" s="131">
        <f t="shared" si="21"/>
        <v>1718.1399999999999</v>
      </c>
      <c r="BA24" s="131">
        <f t="shared" si="21"/>
        <v>1794.25</v>
      </c>
      <c r="BB24" s="131">
        <f t="shared" si="21"/>
        <v>1769.25</v>
      </c>
      <c r="BC24" s="131">
        <f t="shared" si="21"/>
        <v>1788.36</v>
      </c>
      <c r="BD24" s="131">
        <f t="shared" si="21"/>
        <v>1777.48</v>
      </c>
      <c r="BE24" s="131">
        <f t="shared" si="21"/>
        <v>1687.58</v>
      </c>
      <c r="BF24" s="131">
        <f t="shared" si="21"/>
        <v>1837.27</v>
      </c>
      <c r="BG24" s="131">
        <f t="shared" si="21"/>
        <v>1898.91</v>
      </c>
      <c r="BH24" s="131">
        <f t="shared" si="21"/>
        <v>1971.91</v>
      </c>
      <c r="BI24" s="131">
        <f t="shared" si="21"/>
        <v>1781.1100000000001</v>
      </c>
      <c r="BJ24" s="131">
        <f t="shared" si="21"/>
        <v>1684.81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25">
      <c r="A25" s="89" t="s">
        <v>242</v>
      </c>
      <c r="B25" s="102">
        <v>6.8</v>
      </c>
      <c r="C25" s="102">
        <v>6.8</v>
      </c>
      <c r="D25" s="102">
        <v>6.5</v>
      </c>
      <c r="E25" s="102">
        <v>6.5</v>
      </c>
      <c r="F25" s="102">
        <v>6.5</v>
      </c>
      <c r="G25" s="102">
        <v>6.5</v>
      </c>
      <c r="H25" s="102">
        <v>6.5</v>
      </c>
      <c r="I25" s="102">
        <v>6.5</v>
      </c>
      <c r="J25" s="102">
        <v>6.5</v>
      </c>
      <c r="K25" s="102">
        <v>6.5</v>
      </c>
      <c r="L25" s="102">
        <v>6.5</v>
      </c>
      <c r="M25" s="102">
        <v>6.5</v>
      </c>
      <c r="N25" s="102">
        <v>6.5</v>
      </c>
      <c r="O25" s="102">
        <v>6.5</v>
      </c>
      <c r="P25" s="102">
        <v>6.5</v>
      </c>
      <c r="Q25" s="102">
        <v>6.5</v>
      </c>
      <c r="R25" s="102">
        <v>6.5</v>
      </c>
      <c r="S25" s="102">
        <v>6.5</v>
      </c>
      <c r="T25" s="102">
        <v>6.5</v>
      </c>
      <c r="U25" s="102">
        <v>6.5</v>
      </c>
      <c r="V25" s="102">
        <v>6.5</v>
      </c>
      <c r="W25" s="102">
        <v>6.5</v>
      </c>
      <c r="X25" s="102">
        <v>6.5</v>
      </c>
      <c r="Y25" s="102">
        <v>6.5</v>
      </c>
      <c r="Z25" s="102">
        <v>6.5</v>
      </c>
      <c r="AA25" s="102">
        <v>6.5</v>
      </c>
      <c r="AB25" s="102">
        <v>6.5</v>
      </c>
      <c r="AC25" s="102">
        <v>6.5</v>
      </c>
      <c r="AD25" s="102">
        <v>6.5</v>
      </c>
      <c r="AE25" s="102">
        <v>6.5</v>
      </c>
      <c r="AF25" s="102">
        <v>6.5</v>
      </c>
      <c r="AG25" s="88">
        <v>30</v>
      </c>
      <c r="AH25" s="12">
        <f t="shared" si="8"/>
        <v>6.8</v>
      </c>
      <c r="AI25" s="11">
        <f t="shared" si="9"/>
        <v>6.5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25">
      <c r="A26" s="89" t="s">
        <v>241</v>
      </c>
      <c r="B26" s="102">
        <v>8.6</v>
      </c>
      <c r="C26" s="102">
        <v>10.4</v>
      </c>
      <c r="D26" s="102">
        <v>10.7</v>
      </c>
      <c r="E26" s="102">
        <v>10.7</v>
      </c>
      <c r="F26" s="102">
        <v>10.7</v>
      </c>
      <c r="G26" s="102">
        <v>10.7</v>
      </c>
      <c r="H26" s="102">
        <v>10.7</v>
      </c>
      <c r="I26" s="102">
        <v>10.7</v>
      </c>
      <c r="J26" s="102">
        <v>10.7</v>
      </c>
      <c r="K26" s="102">
        <v>10.7</v>
      </c>
      <c r="L26" s="102">
        <v>10.7</v>
      </c>
      <c r="M26" s="102">
        <v>10.7</v>
      </c>
      <c r="N26" s="102">
        <v>10.7</v>
      </c>
      <c r="O26" s="102">
        <v>10.7</v>
      </c>
      <c r="P26" s="102">
        <v>10.7</v>
      </c>
      <c r="Q26" s="102">
        <v>10.7</v>
      </c>
      <c r="R26" s="102">
        <v>10.7</v>
      </c>
      <c r="S26" s="102">
        <v>10.199999999999999</v>
      </c>
      <c r="T26" s="102">
        <v>10.199999999999999</v>
      </c>
      <c r="U26" s="102">
        <v>10.199999999999999</v>
      </c>
      <c r="V26" s="102">
        <v>10.199999999999999</v>
      </c>
      <c r="W26" s="102">
        <v>10.199999999999999</v>
      </c>
      <c r="X26" s="102">
        <v>10.199999999999999</v>
      </c>
      <c r="Y26" s="102">
        <v>10.199999999999999</v>
      </c>
      <c r="Z26" s="102">
        <v>10.199999999999999</v>
      </c>
      <c r="AA26" s="102">
        <v>10.199999999999999</v>
      </c>
      <c r="AB26" s="102">
        <v>10.199999999999999</v>
      </c>
      <c r="AC26" s="102">
        <v>10.199999999999999</v>
      </c>
      <c r="AD26" s="102">
        <v>10.199999999999999</v>
      </c>
      <c r="AE26" s="102">
        <v>10.199999999999999</v>
      </c>
      <c r="AF26" s="102">
        <v>10.199999999999999</v>
      </c>
      <c r="AG26" s="130">
        <v>25</v>
      </c>
      <c r="AH26" s="12">
        <f t="shared" si="8"/>
        <v>10.7</v>
      </c>
      <c r="AI26" s="11">
        <f t="shared" si="9"/>
        <v>8.6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25">
      <c r="A27" s="89" t="s">
        <v>240</v>
      </c>
      <c r="B27" s="102">
        <v>15</v>
      </c>
      <c r="C27" s="102">
        <v>15</v>
      </c>
      <c r="D27" s="102">
        <v>15</v>
      </c>
      <c r="E27" s="102">
        <v>15</v>
      </c>
      <c r="F27" s="102">
        <v>15</v>
      </c>
      <c r="G27" s="102">
        <v>15</v>
      </c>
      <c r="H27" s="102">
        <v>15</v>
      </c>
      <c r="I27" s="102">
        <v>15</v>
      </c>
      <c r="J27" s="102">
        <v>15</v>
      </c>
      <c r="K27" s="102">
        <v>15</v>
      </c>
      <c r="L27" s="102">
        <v>15</v>
      </c>
      <c r="M27" s="102">
        <v>15</v>
      </c>
      <c r="N27" s="102">
        <v>15</v>
      </c>
      <c r="O27" s="102">
        <v>15</v>
      </c>
      <c r="P27" s="102">
        <v>15</v>
      </c>
      <c r="Q27" s="102">
        <v>15</v>
      </c>
      <c r="R27" s="102">
        <v>15</v>
      </c>
      <c r="S27" s="102">
        <v>15</v>
      </c>
      <c r="T27" s="102">
        <v>15</v>
      </c>
      <c r="U27" s="102">
        <v>15</v>
      </c>
      <c r="V27" s="102">
        <v>15</v>
      </c>
      <c r="W27" s="102">
        <v>15</v>
      </c>
      <c r="X27" s="102">
        <v>15</v>
      </c>
      <c r="Y27" s="102">
        <v>15</v>
      </c>
      <c r="Z27" s="102">
        <v>15</v>
      </c>
      <c r="AA27" s="102">
        <v>15</v>
      </c>
      <c r="AB27" s="102">
        <v>15</v>
      </c>
      <c r="AC27" s="102">
        <v>15</v>
      </c>
      <c r="AD27" s="102">
        <v>15</v>
      </c>
      <c r="AE27" s="102">
        <v>15</v>
      </c>
      <c r="AF27" s="102">
        <v>15</v>
      </c>
      <c r="AG27" s="130">
        <v>25</v>
      </c>
      <c r="AH27" s="12">
        <f t="shared" si="8"/>
        <v>15</v>
      </c>
      <c r="AI27" s="11">
        <f t="shared" si="9"/>
        <v>15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25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25">
      <c r="A29" s="89" t="s">
        <v>238</v>
      </c>
      <c r="B29" s="102">
        <v>8.6</v>
      </c>
      <c r="C29" s="102">
        <v>8.5</v>
      </c>
      <c r="D29" s="102">
        <v>8.6</v>
      </c>
      <c r="E29" s="102">
        <v>8.6</v>
      </c>
      <c r="F29" s="102">
        <v>8.6</v>
      </c>
      <c r="G29" s="102">
        <v>8.6</v>
      </c>
      <c r="H29" s="102">
        <v>8.6</v>
      </c>
      <c r="I29" s="102">
        <v>8.6</v>
      </c>
      <c r="J29" s="102">
        <v>8.6</v>
      </c>
      <c r="K29" s="102">
        <v>8.6</v>
      </c>
      <c r="L29" s="102">
        <v>8.6</v>
      </c>
      <c r="M29" s="102">
        <v>8.6</v>
      </c>
      <c r="N29" s="102">
        <v>8.6</v>
      </c>
      <c r="O29" s="102">
        <v>8.6</v>
      </c>
      <c r="P29" s="102">
        <v>8.6</v>
      </c>
      <c r="Q29" s="102">
        <v>8.6</v>
      </c>
      <c r="R29" s="102">
        <v>8.6</v>
      </c>
      <c r="S29" s="102">
        <v>8.6</v>
      </c>
      <c r="T29" s="102">
        <v>8.6</v>
      </c>
      <c r="U29" s="102">
        <v>8.6</v>
      </c>
      <c r="V29" s="102">
        <v>8.6</v>
      </c>
      <c r="W29" s="102">
        <v>8.6</v>
      </c>
      <c r="X29" s="102">
        <v>8.6</v>
      </c>
      <c r="Y29" s="102">
        <v>8.6</v>
      </c>
      <c r="Z29" s="102">
        <v>8.6</v>
      </c>
      <c r="AA29" s="102">
        <v>8.6</v>
      </c>
      <c r="AB29" s="102">
        <v>8.6</v>
      </c>
      <c r="AC29" s="102">
        <v>8.6</v>
      </c>
      <c r="AD29" s="102">
        <v>8.6</v>
      </c>
      <c r="AE29" s="102">
        <v>8.6</v>
      </c>
      <c r="AF29" s="102">
        <v>8.6</v>
      </c>
      <c r="AG29" s="130">
        <v>25</v>
      </c>
      <c r="AH29" s="12">
        <f t="shared" si="8"/>
        <v>8.6</v>
      </c>
      <c r="AI29" s="11">
        <f t="shared" si="9"/>
        <v>8.5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25">
      <c r="A30" s="89" t="s">
        <v>237</v>
      </c>
      <c r="B30" s="102">
        <v>5.4</v>
      </c>
      <c r="C30" s="102">
        <v>5.5</v>
      </c>
      <c r="D30" s="102">
        <v>5.3</v>
      </c>
      <c r="E30" s="102">
        <v>5.3</v>
      </c>
      <c r="F30" s="102">
        <v>5.3</v>
      </c>
      <c r="G30" s="102">
        <v>5.3</v>
      </c>
      <c r="H30" s="102">
        <v>5.3</v>
      </c>
      <c r="I30" s="102">
        <v>5.3</v>
      </c>
      <c r="J30" s="102">
        <v>5.3</v>
      </c>
      <c r="K30" s="102">
        <v>5.3</v>
      </c>
      <c r="L30" s="102">
        <v>5.3</v>
      </c>
      <c r="M30" s="102">
        <v>5.3</v>
      </c>
      <c r="N30" s="102">
        <v>5.3</v>
      </c>
      <c r="O30" s="102">
        <v>5.3</v>
      </c>
      <c r="P30" s="102">
        <v>5.3</v>
      </c>
      <c r="Q30" s="102">
        <v>5.3</v>
      </c>
      <c r="R30" s="102">
        <v>5.3</v>
      </c>
      <c r="S30" s="102">
        <v>5.3</v>
      </c>
      <c r="T30" s="102">
        <v>5.3</v>
      </c>
      <c r="U30" s="102">
        <v>5.3</v>
      </c>
      <c r="V30" s="102">
        <v>5.3</v>
      </c>
      <c r="W30" s="102">
        <v>5.3</v>
      </c>
      <c r="X30" s="102">
        <v>5.3</v>
      </c>
      <c r="Y30" s="102">
        <v>5.3</v>
      </c>
      <c r="Z30" s="102">
        <v>5.3</v>
      </c>
      <c r="AA30" s="102">
        <v>5.3</v>
      </c>
      <c r="AB30" s="102">
        <v>5.3</v>
      </c>
      <c r="AC30" s="102">
        <v>5.3</v>
      </c>
      <c r="AD30" s="102">
        <v>5.3</v>
      </c>
      <c r="AE30" s="102">
        <v>5.3</v>
      </c>
      <c r="AF30" s="102">
        <v>5.3</v>
      </c>
      <c r="AG30" s="130">
        <v>23.5</v>
      </c>
      <c r="AH30" s="12">
        <f t="shared" si="8"/>
        <v>5.5</v>
      </c>
      <c r="AI30" s="11">
        <f t="shared" si="9"/>
        <v>5.3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25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25">
      <c r="A32" s="89" t="s">
        <v>235</v>
      </c>
      <c r="B32" s="102">
        <v>5.5</v>
      </c>
      <c r="C32" s="102">
        <v>5.5</v>
      </c>
      <c r="D32" s="102">
        <v>5.5</v>
      </c>
      <c r="E32" s="102">
        <v>5.5</v>
      </c>
      <c r="F32" s="102">
        <v>5.5</v>
      </c>
      <c r="G32" s="102">
        <v>5.5</v>
      </c>
      <c r="H32" s="102">
        <v>5.5</v>
      </c>
      <c r="I32" s="102">
        <v>5.5</v>
      </c>
      <c r="J32" s="102">
        <v>5.5</v>
      </c>
      <c r="K32" s="102">
        <v>5.5</v>
      </c>
      <c r="L32" s="102">
        <v>5.5</v>
      </c>
      <c r="M32" s="102">
        <v>5.5</v>
      </c>
      <c r="N32" s="102">
        <v>5.5</v>
      </c>
      <c r="O32" s="102">
        <v>5.5</v>
      </c>
      <c r="P32" s="102">
        <v>5.5</v>
      </c>
      <c r="Q32" s="102">
        <v>5.5</v>
      </c>
      <c r="R32" s="102">
        <v>5.5</v>
      </c>
      <c r="S32" s="102">
        <v>5.5</v>
      </c>
      <c r="T32" s="102">
        <v>5.5</v>
      </c>
      <c r="U32" s="102">
        <v>5.5</v>
      </c>
      <c r="V32" s="102">
        <v>5.5</v>
      </c>
      <c r="W32" s="102">
        <v>5.5</v>
      </c>
      <c r="X32" s="102">
        <v>5.5</v>
      </c>
      <c r="Y32" s="102">
        <v>5.5</v>
      </c>
      <c r="Z32" s="102">
        <v>5.5</v>
      </c>
      <c r="AA32" s="102">
        <v>5.5</v>
      </c>
      <c r="AB32" s="102">
        <v>5.5</v>
      </c>
      <c r="AC32" s="102">
        <v>5.5</v>
      </c>
      <c r="AD32" s="102">
        <v>5.5</v>
      </c>
      <c r="AE32" s="102">
        <v>5.5</v>
      </c>
      <c r="AF32" s="102">
        <v>5.5</v>
      </c>
      <c r="AG32" s="130">
        <v>22.1</v>
      </c>
      <c r="AH32" s="12">
        <f t="shared" si="8"/>
        <v>5.5</v>
      </c>
      <c r="AI32" s="11">
        <f t="shared" si="9"/>
        <v>5.5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25">
      <c r="A33" s="89" t="s">
        <v>234</v>
      </c>
      <c r="B33" s="102">
        <v>8</v>
      </c>
      <c r="C33" s="102">
        <v>8</v>
      </c>
      <c r="D33" s="102">
        <v>8</v>
      </c>
      <c r="E33" s="102">
        <v>8</v>
      </c>
      <c r="F33" s="102">
        <v>8</v>
      </c>
      <c r="G33" s="102">
        <v>8</v>
      </c>
      <c r="H33" s="102">
        <v>8</v>
      </c>
      <c r="I33" s="102">
        <v>8</v>
      </c>
      <c r="J33" s="102">
        <v>8</v>
      </c>
      <c r="K33" s="102">
        <v>8</v>
      </c>
      <c r="L33" s="102">
        <v>8</v>
      </c>
      <c r="M33" s="102">
        <v>8</v>
      </c>
      <c r="N33" s="102">
        <v>8</v>
      </c>
      <c r="O33" s="102">
        <v>8</v>
      </c>
      <c r="P33" s="102">
        <v>8</v>
      </c>
      <c r="Q33" s="102">
        <v>8</v>
      </c>
      <c r="R33" s="102">
        <v>8</v>
      </c>
      <c r="S33" s="102">
        <v>8</v>
      </c>
      <c r="T33" s="102">
        <v>8</v>
      </c>
      <c r="U33" s="102">
        <v>8</v>
      </c>
      <c r="V33" s="102">
        <v>8</v>
      </c>
      <c r="W33" s="102">
        <v>8</v>
      </c>
      <c r="X33" s="102">
        <v>8</v>
      </c>
      <c r="Y33" s="102">
        <v>8</v>
      </c>
      <c r="Z33" s="102">
        <v>8</v>
      </c>
      <c r="AA33" s="102">
        <v>8</v>
      </c>
      <c r="AB33" s="102">
        <v>8</v>
      </c>
      <c r="AC33" s="102">
        <v>8</v>
      </c>
      <c r="AD33" s="102">
        <v>8</v>
      </c>
      <c r="AE33" s="102">
        <v>8</v>
      </c>
      <c r="AF33" s="102">
        <v>8</v>
      </c>
      <c r="AG33" s="130">
        <v>22</v>
      </c>
      <c r="AH33" s="12">
        <f t="shared" si="8"/>
        <v>8</v>
      </c>
      <c r="AI33" s="11">
        <f t="shared" si="9"/>
        <v>8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25">
      <c r="A34" s="89" t="s">
        <v>233</v>
      </c>
      <c r="B34" s="102">
        <v>7.7</v>
      </c>
      <c r="C34" s="102">
        <v>7.9</v>
      </c>
      <c r="D34" s="102">
        <v>8.3000000000000007</v>
      </c>
      <c r="E34" s="102">
        <v>8.3000000000000007</v>
      </c>
      <c r="F34" s="102">
        <v>8.3000000000000007</v>
      </c>
      <c r="G34" s="102">
        <v>8.3000000000000007</v>
      </c>
      <c r="H34" s="102">
        <v>8.3000000000000007</v>
      </c>
      <c r="I34" s="102">
        <v>8.3000000000000007</v>
      </c>
      <c r="J34" s="102">
        <v>8.3000000000000007</v>
      </c>
      <c r="K34" s="102">
        <v>8.3000000000000007</v>
      </c>
      <c r="L34" s="102">
        <v>8.3000000000000007</v>
      </c>
      <c r="M34" s="102">
        <v>8.3000000000000007</v>
      </c>
      <c r="N34" s="102">
        <v>8.3000000000000007</v>
      </c>
      <c r="O34" s="102">
        <v>8.3000000000000007</v>
      </c>
      <c r="P34" s="102">
        <v>8.3000000000000007</v>
      </c>
      <c r="Q34" s="102">
        <v>8.3000000000000007</v>
      </c>
      <c r="R34" s="102">
        <v>8.3000000000000007</v>
      </c>
      <c r="S34" s="102">
        <v>8.3000000000000007</v>
      </c>
      <c r="T34" s="102">
        <v>8.3000000000000007</v>
      </c>
      <c r="U34" s="102">
        <v>8.3000000000000007</v>
      </c>
      <c r="V34" s="102">
        <v>8.3000000000000007</v>
      </c>
      <c r="W34" s="102">
        <v>8.3000000000000007</v>
      </c>
      <c r="X34" s="102">
        <v>8.3000000000000007</v>
      </c>
      <c r="Y34" s="102">
        <v>8.3000000000000007</v>
      </c>
      <c r="Z34" s="102">
        <v>8.3000000000000007</v>
      </c>
      <c r="AA34" s="102">
        <v>8.3000000000000007</v>
      </c>
      <c r="AB34" s="102">
        <v>8.3000000000000007</v>
      </c>
      <c r="AC34" s="102">
        <v>8.3000000000000007</v>
      </c>
      <c r="AD34" s="102">
        <v>8.3000000000000007</v>
      </c>
      <c r="AE34" s="102">
        <v>8.3000000000000007</v>
      </c>
      <c r="AF34" s="102">
        <v>8.3000000000000007</v>
      </c>
      <c r="AG34" s="130">
        <v>22</v>
      </c>
      <c r="AH34" s="12">
        <f t="shared" si="8"/>
        <v>8.3000000000000007</v>
      </c>
      <c r="AI34" s="11">
        <f t="shared" si="9"/>
        <v>7.7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25">
      <c r="A35" s="89" t="s">
        <v>232</v>
      </c>
      <c r="B35" s="102">
        <v>9.1</v>
      </c>
      <c r="C35" s="102">
        <v>9.1</v>
      </c>
      <c r="D35" s="102">
        <v>9.1</v>
      </c>
      <c r="E35" s="102">
        <v>9.1</v>
      </c>
      <c r="F35" s="102">
        <v>9.1</v>
      </c>
      <c r="G35" s="102">
        <v>9.1</v>
      </c>
      <c r="H35" s="102">
        <v>9.1</v>
      </c>
      <c r="I35" s="102">
        <v>9.1</v>
      </c>
      <c r="J35" s="102">
        <v>9.1</v>
      </c>
      <c r="K35" s="102">
        <v>9.1</v>
      </c>
      <c r="L35" s="102">
        <v>9.1</v>
      </c>
      <c r="M35" s="102">
        <v>9.1</v>
      </c>
      <c r="N35" s="102">
        <v>9.1</v>
      </c>
      <c r="O35" s="102">
        <v>9.1</v>
      </c>
      <c r="P35" s="102">
        <v>9.1</v>
      </c>
      <c r="Q35" s="102">
        <v>9.1</v>
      </c>
      <c r="R35" s="102">
        <v>9.1</v>
      </c>
      <c r="S35" s="102">
        <v>9.1</v>
      </c>
      <c r="T35" s="102">
        <v>9.1</v>
      </c>
      <c r="U35" s="102">
        <v>9.1</v>
      </c>
      <c r="V35" s="102">
        <v>9.1</v>
      </c>
      <c r="W35" s="102">
        <v>9.1</v>
      </c>
      <c r="X35" s="102">
        <v>9.1</v>
      </c>
      <c r="Y35" s="102">
        <v>9.1</v>
      </c>
      <c r="Z35" s="102">
        <v>9.1</v>
      </c>
      <c r="AA35" s="102">
        <v>9.1</v>
      </c>
      <c r="AB35" s="102">
        <v>9.1</v>
      </c>
      <c r="AC35" s="102">
        <v>9.1</v>
      </c>
      <c r="AD35" s="102">
        <v>9.1</v>
      </c>
      <c r="AE35" s="102">
        <v>9.1</v>
      </c>
      <c r="AF35" s="102">
        <v>9.1</v>
      </c>
      <c r="AG35" s="130">
        <v>20</v>
      </c>
      <c r="AH35" s="12">
        <f t="shared" si="8"/>
        <v>9.1</v>
      </c>
      <c r="AI35" s="11">
        <f t="shared" si="9"/>
        <v>9.1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25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25">
      <c r="A37" s="89" t="s">
        <v>230</v>
      </c>
      <c r="B37" s="102">
        <v>7.3</v>
      </c>
      <c r="C37" s="102">
        <v>7.3</v>
      </c>
      <c r="D37" s="102">
        <v>7.3</v>
      </c>
      <c r="E37" s="102">
        <v>7.3</v>
      </c>
      <c r="F37" s="102">
        <v>7.3</v>
      </c>
      <c r="G37" s="102">
        <v>7.3</v>
      </c>
      <c r="H37" s="102">
        <v>7.3</v>
      </c>
      <c r="I37" s="102">
        <v>7.3</v>
      </c>
      <c r="J37" s="102">
        <v>7.3</v>
      </c>
      <c r="K37" s="102">
        <v>7.3</v>
      </c>
      <c r="L37" s="102">
        <v>7.3</v>
      </c>
      <c r="M37" s="102">
        <v>7.3</v>
      </c>
      <c r="N37" s="102">
        <v>7.3</v>
      </c>
      <c r="O37" s="102">
        <v>7.3</v>
      </c>
      <c r="P37" s="102">
        <v>7.3</v>
      </c>
      <c r="Q37" s="102">
        <v>7.3</v>
      </c>
      <c r="R37" s="102">
        <v>7.3</v>
      </c>
      <c r="S37" s="102">
        <v>7.3</v>
      </c>
      <c r="T37" s="102">
        <v>7.3</v>
      </c>
      <c r="U37" s="102">
        <v>7.3</v>
      </c>
      <c r="V37" s="102">
        <v>7.3</v>
      </c>
      <c r="W37" s="102">
        <v>7.3</v>
      </c>
      <c r="X37" s="102">
        <v>7.3</v>
      </c>
      <c r="Y37" s="102">
        <v>7.3</v>
      </c>
      <c r="Z37" s="102">
        <v>7.3</v>
      </c>
      <c r="AA37" s="102">
        <v>7.3</v>
      </c>
      <c r="AB37" s="102">
        <v>7.3</v>
      </c>
      <c r="AC37" s="102">
        <v>7.3</v>
      </c>
      <c r="AD37" s="102">
        <v>7.3</v>
      </c>
      <c r="AE37" s="102">
        <v>7.3</v>
      </c>
      <c r="AF37" s="102">
        <v>7.3</v>
      </c>
      <c r="AG37" s="130">
        <v>18</v>
      </c>
      <c r="AH37" s="12">
        <f t="shared" si="8"/>
        <v>7.3</v>
      </c>
      <c r="AI37" s="11">
        <f t="shared" si="9"/>
        <v>7.3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25">
      <c r="A38" s="89" t="s">
        <v>229</v>
      </c>
      <c r="B38" s="102">
        <v>7</v>
      </c>
      <c r="C38" s="102">
        <v>7</v>
      </c>
      <c r="D38" s="102">
        <v>7</v>
      </c>
      <c r="E38" s="102">
        <v>7</v>
      </c>
      <c r="F38" s="102">
        <v>7</v>
      </c>
      <c r="G38" s="102">
        <v>7</v>
      </c>
      <c r="H38" s="102">
        <v>7</v>
      </c>
      <c r="I38" s="102">
        <v>7</v>
      </c>
      <c r="J38" s="102">
        <v>7</v>
      </c>
      <c r="K38" s="102">
        <v>7</v>
      </c>
      <c r="L38" s="102">
        <v>7</v>
      </c>
      <c r="M38" s="102">
        <v>7</v>
      </c>
      <c r="N38" s="102">
        <v>7</v>
      </c>
      <c r="O38" s="102">
        <v>7</v>
      </c>
      <c r="P38" s="102">
        <v>7</v>
      </c>
      <c r="Q38" s="102">
        <v>7</v>
      </c>
      <c r="R38" s="102">
        <v>7</v>
      </c>
      <c r="S38" s="102">
        <v>7</v>
      </c>
      <c r="T38" s="102">
        <v>7</v>
      </c>
      <c r="U38" s="102">
        <v>7</v>
      </c>
      <c r="V38" s="102">
        <v>7</v>
      </c>
      <c r="W38" s="102">
        <v>7</v>
      </c>
      <c r="X38" s="102">
        <v>7</v>
      </c>
      <c r="Y38" s="102">
        <v>7</v>
      </c>
      <c r="Z38" s="102">
        <v>7</v>
      </c>
      <c r="AA38" s="102">
        <v>7</v>
      </c>
      <c r="AB38" s="102">
        <v>7</v>
      </c>
      <c r="AC38" s="102">
        <v>7</v>
      </c>
      <c r="AD38" s="102">
        <v>7</v>
      </c>
      <c r="AE38" s="102">
        <v>7</v>
      </c>
      <c r="AF38" s="102">
        <v>7</v>
      </c>
      <c r="AG38" s="130">
        <v>14.9</v>
      </c>
      <c r="AH38" s="12">
        <f t="shared" si="8"/>
        <v>7</v>
      </c>
      <c r="AI38" s="11">
        <f t="shared" si="9"/>
        <v>7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25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25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25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25">
      <c r="A42" s="89" t="s">
        <v>225</v>
      </c>
      <c r="B42" s="102">
        <v>6</v>
      </c>
      <c r="C42" s="102">
        <v>6</v>
      </c>
      <c r="D42" s="102">
        <v>6</v>
      </c>
      <c r="E42" s="102">
        <v>6</v>
      </c>
      <c r="F42" s="102">
        <v>6</v>
      </c>
      <c r="G42" s="102">
        <v>6</v>
      </c>
      <c r="H42" s="102">
        <v>6</v>
      </c>
      <c r="I42" s="102">
        <v>6</v>
      </c>
      <c r="J42" s="102">
        <v>6</v>
      </c>
      <c r="K42" s="102">
        <v>6</v>
      </c>
      <c r="L42" s="102">
        <v>6</v>
      </c>
      <c r="M42" s="102">
        <v>6</v>
      </c>
      <c r="N42" s="102">
        <v>6</v>
      </c>
      <c r="O42" s="102">
        <v>6</v>
      </c>
      <c r="P42" s="102">
        <v>6</v>
      </c>
      <c r="Q42" s="102">
        <v>6</v>
      </c>
      <c r="R42" s="102">
        <v>6</v>
      </c>
      <c r="S42" s="102">
        <v>6</v>
      </c>
      <c r="T42" s="102">
        <v>6</v>
      </c>
      <c r="U42" s="102">
        <v>6</v>
      </c>
      <c r="V42" s="102">
        <v>6</v>
      </c>
      <c r="W42" s="102">
        <v>6</v>
      </c>
      <c r="X42" s="102">
        <v>6</v>
      </c>
      <c r="Y42" s="102">
        <v>6</v>
      </c>
      <c r="Z42" s="102">
        <v>6</v>
      </c>
      <c r="AA42" s="102">
        <v>6</v>
      </c>
      <c r="AB42" s="102">
        <v>6</v>
      </c>
      <c r="AC42" s="102">
        <v>6</v>
      </c>
      <c r="AD42" s="102">
        <v>6</v>
      </c>
      <c r="AE42" s="102">
        <v>6</v>
      </c>
      <c r="AF42" s="102">
        <v>6</v>
      </c>
      <c r="AG42" s="130">
        <v>13.6</v>
      </c>
      <c r="AH42" s="12">
        <f t="shared" si="8"/>
        <v>6</v>
      </c>
      <c r="AI42" s="11">
        <f t="shared" si="9"/>
        <v>6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25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25">
      <c r="A44" s="89" t="s">
        <v>223</v>
      </c>
      <c r="B44" s="102">
        <v>6.4</v>
      </c>
      <c r="C44" s="102">
        <v>6.4</v>
      </c>
      <c r="D44" s="102">
        <v>6.4</v>
      </c>
      <c r="E44" s="102">
        <v>6.4</v>
      </c>
      <c r="F44" s="102">
        <v>6.4</v>
      </c>
      <c r="G44" s="102">
        <v>6.4</v>
      </c>
      <c r="H44" s="102">
        <v>6.4</v>
      </c>
      <c r="I44" s="102">
        <v>6.4</v>
      </c>
      <c r="J44" s="102">
        <v>6.4</v>
      </c>
      <c r="K44" s="102">
        <v>6.4</v>
      </c>
      <c r="L44" s="102">
        <v>6.4</v>
      </c>
      <c r="M44" s="102">
        <v>6.4</v>
      </c>
      <c r="N44" s="102">
        <v>6.4</v>
      </c>
      <c r="O44" s="102">
        <v>6.4</v>
      </c>
      <c r="P44" s="102">
        <v>6.4</v>
      </c>
      <c r="Q44" s="102">
        <v>6.4</v>
      </c>
      <c r="R44" s="102">
        <v>6.4</v>
      </c>
      <c r="S44" s="102">
        <v>6.4</v>
      </c>
      <c r="T44" s="102">
        <v>6.4</v>
      </c>
      <c r="U44" s="102">
        <v>6.4</v>
      </c>
      <c r="V44" s="102">
        <v>6.4</v>
      </c>
      <c r="W44" s="102">
        <v>6.4</v>
      </c>
      <c r="X44" s="102">
        <v>6.4</v>
      </c>
      <c r="Y44" s="102">
        <v>6.4</v>
      </c>
      <c r="Z44" s="102">
        <v>6.4</v>
      </c>
      <c r="AA44" s="102">
        <v>6.4</v>
      </c>
      <c r="AB44" s="102">
        <v>6.4</v>
      </c>
      <c r="AC44" s="102">
        <v>6.4</v>
      </c>
      <c r="AD44" s="102">
        <v>6.4</v>
      </c>
      <c r="AE44" s="102">
        <v>6.4</v>
      </c>
      <c r="AF44" s="102">
        <v>6.4</v>
      </c>
      <c r="AG44" s="130">
        <v>12</v>
      </c>
      <c r="AH44" s="12">
        <f t="shared" si="8"/>
        <v>6.4</v>
      </c>
      <c r="AI44" s="11">
        <f t="shared" si="9"/>
        <v>6.4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25">
      <c r="A45" s="89" t="s">
        <v>222</v>
      </c>
      <c r="B45" s="102">
        <v>5.0999999999999996</v>
      </c>
      <c r="C45" s="102">
        <v>5.0999999999999996</v>
      </c>
      <c r="D45" s="102">
        <v>5.0999999999999996</v>
      </c>
      <c r="E45" s="102">
        <v>5.0999999999999996</v>
      </c>
      <c r="F45" s="102">
        <v>5.0999999999999996</v>
      </c>
      <c r="G45" s="102">
        <v>5.0999999999999996</v>
      </c>
      <c r="H45" s="102">
        <v>5.0999999999999996</v>
      </c>
      <c r="I45" s="102">
        <v>5.0999999999999996</v>
      </c>
      <c r="J45" s="102">
        <v>5.0999999999999996</v>
      </c>
      <c r="K45" s="102">
        <v>5.0999999999999996</v>
      </c>
      <c r="L45" s="102">
        <v>5.0999999999999996</v>
      </c>
      <c r="M45" s="102">
        <v>5.0999999999999996</v>
      </c>
      <c r="N45" s="102">
        <v>5.0999999999999996</v>
      </c>
      <c r="O45" s="102">
        <v>5.0999999999999996</v>
      </c>
      <c r="P45" s="102">
        <v>5.0999999999999996</v>
      </c>
      <c r="Q45" s="102">
        <v>5.0999999999999996</v>
      </c>
      <c r="R45" s="102">
        <v>5.0999999999999996</v>
      </c>
      <c r="S45" s="102">
        <v>5.0999999999999996</v>
      </c>
      <c r="T45" s="102">
        <v>5.0999999999999996</v>
      </c>
      <c r="U45" s="102">
        <v>5.0999999999999996</v>
      </c>
      <c r="V45" s="102">
        <v>5.0999999999999996</v>
      </c>
      <c r="W45" s="102">
        <v>5.0999999999999996</v>
      </c>
      <c r="X45" s="102">
        <v>5.0999999999999996</v>
      </c>
      <c r="Y45" s="102">
        <v>5.0999999999999996</v>
      </c>
      <c r="Z45" s="102">
        <v>5.0999999999999996</v>
      </c>
      <c r="AA45" s="102">
        <v>5.0999999999999996</v>
      </c>
      <c r="AB45" s="102">
        <v>5.0999999999999996</v>
      </c>
      <c r="AC45" s="102">
        <v>5.0999999999999996</v>
      </c>
      <c r="AD45" s="102">
        <v>5.0999999999999996</v>
      </c>
      <c r="AE45" s="102">
        <v>5.0999999999999996</v>
      </c>
      <c r="AF45" s="102">
        <v>5.0999999999999996</v>
      </c>
      <c r="AG45" s="130">
        <v>12</v>
      </c>
      <c r="AH45" s="12">
        <f t="shared" si="8"/>
        <v>5.0999999999999996</v>
      </c>
      <c r="AI45" s="11">
        <f t="shared" si="9"/>
        <v>5.0999999999999996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25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25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25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25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25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25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25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25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25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25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25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.75" thickBot="1" x14ac:dyDescent="0.3">
      <c r="A57" s="124" t="s">
        <v>210</v>
      </c>
      <c r="B57" s="122">
        <f>10.8+17.2</f>
        <v>28</v>
      </c>
      <c r="C57" s="122">
        <f>12.2+18.9</f>
        <v>31.099999999999998</v>
      </c>
      <c r="D57" s="122">
        <f>14+19.3</f>
        <v>33.299999999999997</v>
      </c>
      <c r="E57" s="122">
        <f>19+13.6</f>
        <v>32.6</v>
      </c>
      <c r="F57" s="122">
        <f>17.8+13.4</f>
        <v>31.200000000000003</v>
      </c>
      <c r="G57" s="122">
        <f>17.1+12.2</f>
        <v>29.3</v>
      </c>
      <c r="H57" s="122">
        <f>16.8+12</f>
        <v>28.8</v>
      </c>
      <c r="I57" s="122">
        <f>18+12.8</f>
        <v>30.8</v>
      </c>
      <c r="J57" s="122">
        <f>18+12.8</f>
        <v>30.8</v>
      </c>
      <c r="K57" s="123">
        <f>18.4+13</f>
        <v>31.4</v>
      </c>
      <c r="L57" s="123">
        <f>20+14.7</f>
        <v>34.700000000000003</v>
      </c>
      <c r="M57" s="123">
        <f>20+14.7</f>
        <v>34.700000000000003</v>
      </c>
      <c r="N57" s="123">
        <f>20+14.7</f>
        <v>34.700000000000003</v>
      </c>
      <c r="O57" s="123">
        <f>20+14.7</f>
        <v>34.700000000000003</v>
      </c>
      <c r="P57" s="123">
        <f t="shared" ref="P57:R57" si="22">20+14.7</f>
        <v>34.700000000000003</v>
      </c>
      <c r="Q57" s="123">
        <f t="shared" si="22"/>
        <v>34.700000000000003</v>
      </c>
      <c r="R57" s="123">
        <f t="shared" si="22"/>
        <v>34.700000000000003</v>
      </c>
      <c r="S57" s="123">
        <v>31</v>
      </c>
      <c r="T57" s="123">
        <v>31</v>
      </c>
      <c r="U57" s="123">
        <v>31</v>
      </c>
      <c r="V57" s="123">
        <v>27.8</v>
      </c>
      <c r="W57" s="123">
        <v>26</v>
      </c>
      <c r="X57" s="123">
        <v>26</v>
      </c>
      <c r="Y57" s="123">
        <v>26</v>
      </c>
      <c r="Z57" s="123">
        <v>26</v>
      </c>
      <c r="AA57" s="123">
        <v>31.2</v>
      </c>
      <c r="AB57" s="123">
        <v>23</v>
      </c>
      <c r="AC57" s="123">
        <v>23</v>
      </c>
      <c r="AD57" s="123">
        <v>23</v>
      </c>
      <c r="AE57" s="123">
        <v>23</v>
      </c>
      <c r="AF57" s="123">
        <v>23</v>
      </c>
      <c r="AG57" s="86">
        <v>240</v>
      </c>
      <c r="AH57" s="12">
        <f t="shared" si="8"/>
        <v>34.700000000000003</v>
      </c>
      <c r="AI57" s="11">
        <f t="shared" si="9"/>
        <v>23</v>
      </c>
      <c r="AK57" s="19"/>
    </row>
    <row r="58" spans="1:88" ht="15.75" thickBot="1" x14ac:dyDescent="0.3">
      <c r="A58" s="121" t="s">
        <v>209</v>
      </c>
      <c r="B58" s="76">
        <f t="shared" ref="B58:C58" si="23">SUM(B11:B56)</f>
        <v>531.20000000000005</v>
      </c>
      <c r="C58" s="76">
        <f t="shared" si="23"/>
        <v>532.70000000000005</v>
      </c>
      <c r="D58" s="76">
        <f t="shared" ref="D58" si="24">SUM(D11:D56)</f>
        <v>533.90000000000009</v>
      </c>
      <c r="E58" s="76">
        <f t="shared" ref="E58:AB58" si="25">SUM(E11:E56)</f>
        <v>534.79999999999995</v>
      </c>
      <c r="F58" s="76">
        <f t="shared" si="25"/>
        <v>533.90000000000009</v>
      </c>
      <c r="G58" s="76">
        <f t="shared" si="25"/>
        <v>536.5</v>
      </c>
      <c r="H58" s="76">
        <f t="shared" si="25"/>
        <v>533.6</v>
      </c>
      <c r="I58" s="76">
        <f t="shared" si="25"/>
        <v>533.6</v>
      </c>
      <c r="J58" s="76">
        <f t="shared" si="25"/>
        <v>533.6</v>
      </c>
      <c r="K58" s="76">
        <f t="shared" si="25"/>
        <v>533.90000000000009</v>
      </c>
      <c r="L58" s="76">
        <f t="shared" si="25"/>
        <v>533.90000000000009</v>
      </c>
      <c r="M58" s="76"/>
      <c r="N58" s="76">
        <f t="shared" si="25"/>
        <v>533.90000000000009</v>
      </c>
      <c r="O58" s="76">
        <f t="shared" si="25"/>
        <v>533.90000000000009</v>
      </c>
      <c r="P58" s="76">
        <f t="shared" si="25"/>
        <v>533.90000000000009</v>
      </c>
      <c r="Q58" s="76">
        <f t="shared" si="25"/>
        <v>533.90000000000009</v>
      </c>
      <c r="R58" s="76">
        <f t="shared" si="25"/>
        <v>533.90000000000009</v>
      </c>
      <c r="S58" s="76">
        <f t="shared" si="25"/>
        <v>517.10000000000014</v>
      </c>
      <c r="T58" s="76">
        <f t="shared" ref="T58:U58" si="26">SUM(T11:T56)</f>
        <v>517.10000000000014</v>
      </c>
      <c r="U58" s="76">
        <f t="shared" si="26"/>
        <v>517.10000000000014</v>
      </c>
      <c r="V58" s="76">
        <f t="shared" si="25"/>
        <v>517.20000000000005</v>
      </c>
      <c r="W58" s="76">
        <f t="shared" si="25"/>
        <v>488.5</v>
      </c>
      <c r="X58" s="76">
        <f t="shared" si="25"/>
        <v>488.5</v>
      </c>
      <c r="Y58" s="76">
        <f t="shared" si="25"/>
        <v>488.5</v>
      </c>
      <c r="Z58" s="76">
        <f t="shared" si="25"/>
        <v>488.5</v>
      </c>
      <c r="AA58" s="76">
        <f t="shared" si="25"/>
        <v>488.5</v>
      </c>
      <c r="AB58" s="76">
        <f t="shared" si="25"/>
        <v>488.5</v>
      </c>
      <c r="AC58" s="76">
        <f t="shared" ref="AC58:AD58" si="27">SUM(AC11:AC56)</f>
        <v>488.5</v>
      </c>
      <c r="AD58" s="76">
        <f t="shared" si="27"/>
        <v>488.5</v>
      </c>
      <c r="AE58" s="76">
        <f t="shared" ref="AE58:AF58" si="28">SUM(AE11:AE56)</f>
        <v>488.5</v>
      </c>
      <c r="AF58" s="76">
        <f t="shared" si="28"/>
        <v>488.5</v>
      </c>
      <c r="AG58" s="93">
        <f>SUM(AG14:AG56)</f>
        <v>1042.4000000000001</v>
      </c>
      <c r="AH58" s="12">
        <f t="shared" si="8"/>
        <v>536.5</v>
      </c>
      <c r="AI58" s="11">
        <f t="shared" si="9"/>
        <v>488.5</v>
      </c>
      <c r="AK58" s="19"/>
    </row>
    <row r="59" spans="1:88" x14ac:dyDescent="0.25">
      <c r="A59" s="120" t="s">
        <v>208</v>
      </c>
      <c r="B59" s="102">
        <v>105</v>
      </c>
      <c r="C59" s="102">
        <v>100.5</v>
      </c>
      <c r="D59" s="102">
        <v>80.5</v>
      </c>
      <c r="E59" s="102">
        <v>80.400000000000006</v>
      </c>
      <c r="F59" s="102">
        <v>80.400000000000006</v>
      </c>
      <c r="G59" s="102">
        <v>80.5</v>
      </c>
      <c r="H59" s="102">
        <v>120</v>
      </c>
      <c r="I59" s="102">
        <v>150</v>
      </c>
      <c r="J59" s="102">
        <v>50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19">
        <v>0</v>
      </c>
      <c r="T59" s="119">
        <v>0</v>
      </c>
      <c r="U59" s="119">
        <v>0</v>
      </c>
      <c r="V59" s="119">
        <v>0</v>
      </c>
      <c r="W59" s="102">
        <v>0</v>
      </c>
      <c r="X59" s="102">
        <v>33</v>
      </c>
      <c r="Y59" s="102">
        <v>201</v>
      </c>
      <c r="Z59" s="102">
        <v>201</v>
      </c>
      <c r="AA59" s="102">
        <v>201</v>
      </c>
      <c r="AB59" s="102">
        <v>201</v>
      </c>
      <c r="AC59" s="102">
        <v>201</v>
      </c>
      <c r="AD59" s="102">
        <v>300</v>
      </c>
      <c r="AE59" s="102">
        <v>356</v>
      </c>
      <c r="AF59" s="102">
        <v>381</v>
      </c>
      <c r="AG59" s="88">
        <v>456</v>
      </c>
      <c r="AH59" s="12">
        <f t="shared" si="8"/>
        <v>381</v>
      </c>
      <c r="AI59" s="11">
        <f t="shared" si="9"/>
        <v>0</v>
      </c>
      <c r="AK59" s="19"/>
    </row>
    <row r="60" spans="1:88" x14ac:dyDescent="0.25">
      <c r="A60" s="118" t="s">
        <v>207</v>
      </c>
      <c r="B60" s="70">
        <v>20.2</v>
      </c>
      <c r="C60" s="70">
        <v>19.7</v>
      </c>
      <c r="D60" s="70">
        <v>19.2</v>
      </c>
      <c r="E60" s="70">
        <v>19.2</v>
      </c>
      <c r="F60" s="70">
        <v>19.2</v>
      </c>
      <c r="G60" s="70">
        <v>19.2</v>
      </c>
      <c r="H60" s="70">
        <v>19.8</v>
      </c>
      <c r="I60" s="70">
        <v>19.899999999999999</v>
      </c>
      <c r="J60" s="70">
        <v>19.8</v>
      </c>
      <c r="K60" s="70">
        <v>19.8</v>
      </c>
      <c r="L60" s="70">
        <v>19.8</v>
      </c>
      <c r="M60" s="70">
        <v>19.8</v>
      </c>
      <c r="N60" s="70">
        <v>19.8</v>
      </c>
      <c r="O60" s="70">
        <v>19.8</v>
      </c>
      <c r="P60" s="70">
        <v>19.8</v>
      </c>
      <c r="Q60" s="70">
        <v>19.8</v>
      </c>
      <c r="R60" s="70">
        <v>19.8</v>
      </c>
      <c r="S60" s="70">
        <v>19.8</v>
      </c>
      <c r="T60" s="70">
        <v>19.8</v>
      </c>
      <c r="U60" s="70">
        <v>19.8</v>
      </c>
      <c r="V60" s="70">
        <v>17.7</v>
      </c>
      <c r="W60" s="70">
        <v>19.8</v>
      </c>
      <c r="X60" s="70">
        <v>19.8</v>
      </c>
      <c r="Y60" s="70">
        <v>19.8</v>
      </c>
      <c r="Z60" s="70">
        <v>19.8</v>
      </c>
      <c r="AA60" s="70">
        <v>19.8</v>
      </c>
      <c r="AB60" s="70">
        <v>19.8</v>
      </c>
      <c r="AC60" s="70">
        <v>19.8</v>
      </c>
      <c r="AD60" s="70">
        <v>19.8</v>
      </c>
      <c r="AE60" s="70">
        <v>19.8</v>
      </c>
      <c r="AF60" s="70">
        <v>19.8</v>
      </c>
      <c r="AG60" s="86">
        <v>60</v>
      </c>
      <c r="AH60" s="12">
        <f t="shared" si="8"/>
        <v>20.2</v>
      </c>
      <c r="AI60" s="11">
        <f t="shared" si="9"/>
        <v>17.7</v>
      </c>
      <c r="AK60" s="19"/>
    </row>
    <row r="61" spans="1:88" ht="15.75" thickBot="1" x14ac:dyDescent="0.3">
      <c r="A61" s="117" t="s">
        <v>206</v>
      </c>
      <c r="B61" s="110">
        <v>18.5</v>
      </c>
      <c r="C61" s="110">
        <v>18.5</v>
      </c>
      <c r="D61" s="110">
        <v>18.5</v>
      </c>
      <c r="E61" s="110">
        <v>15.4</v>
      </c>
      <c r="F61" s="110">
        <v>15.3</v>
      </c>
      <c r="G61" s="110">
        <v>15.3</v>
      </c>
      <c r="H61" s="110">
        <v>15.3</v>
      </c>
      <c r="I61" s="110">
        <v>15.3</v>
      </c>
      <c r="J61" s="110">
        <v>12</v>
      </c>
      <c r="K61" s="110">
        <v>12</v>
      </c>
      <c r="L61" s="110">
        <v>12</v>
      </c>
      <c r="M61" s="110">
        <v>12</v>
      </c>
      <c r="N61" s="110">
        <v>12</v>
      </c>
      <c r="O61" s="110">
        <v>12</v>
      </c>
      <c r="P61" s="110">
        <v>12</v>
      </c>
      <c r="Q61" s="110">
        <v>12</v>
      </c>
      <c r="R61" s="110">
        <v>12</v>
      </c>
      <c r="S61" s="110">
        <v>12</v>
      </c>
      <c r="T61" s="110">
        <v>12</v>
      </c>
      <c r="U61" s="110">
        <v>12</v>
      </c>
      <c r="V61" s="110">
        <v>13.5</v>
      </c>
      <c r="W61" s="110">
        <v>13.6</v>
      </c>
      <c r="X61" s="110">
        <v>13.6</v>
      </c>
      <c r="Y61" s="110">
        <v>13.6</v>
      </c>
      <c r="Z61" s="110">
        <v>13.6</v>
      </c>
      <c r="AA61" s="110">
        <v>19.8</v>
      </c>
      <c r="AB61" s="110">
        <v>19.8</v>
      </c>
      <c r="AC61" s="110">
        <v>19.8</v>
      </c>
      <c r="AD61" s="110">
        <v>19.8</v>
      </c>
      <c r="AE61" s="110">
        <v>19.8</v>
      </c>
      <c r="AF61" s="110">
        <v>19.8</v>
      </c>
      <c r="AG61" s="109">
        <v>22.1</v>
      </c>
      <c r="AH61" s="12">
        <f t="shared" si="8"/>
        <v>19.8</v>
      </c>
      <c r="AI61" s="11">
        <f t="shared" si="9"/>
        <v>12</v>
      </c>
      <c r="AK61" s="19"/>
    </row>
    <row r="62" spans="1:88" ht="15.75" thickBot="1" x14ac:dyDescent="0.3">
      <c r="A62" s="116" t="s">
        <v>205</v>
      </c>
      <c r="B62" s="76">
        <f t="shared" ref="B62:C62" si="29">SUM(B59:B61)</f>
        <v>143.69999999999999</v>
      </c>
      <c r="C62" s="76">
        <f t="shared" si="29"/>
        <v>138.69999999999999</v>
      </c>
      <c r="D62" s="76">
        <f t="shared" ref="D62" si="30">SUM(D59:D61)</f>
        <v>118.2</v>
      </c>
      <c r="E62" s="76">
        <f t="shared" ref="E62:AG62" si="31">SUM(E59:E61)</f>
        <v>115.00000000000001</v>
      </c>
      <c r="F62" s="76">
        <f t="shared" si="31"/>
        <v>114.9</v>
      </c>
      <c r="G62" s="76">
        <f t="shared" si="31"/>
        <v>115</v>
      </c>
      <c r="H62" s="76">
        <f t="shared" si="31"/>
        <v>155.10000000000002</v>
      </c>
      <c r="I62" s="76">
        <f t="shared" si="31"/>
        <v>185.20000000000002</v>
      </c>
      <c r="J62" s="76">
        <f t="shared" si="31"/>
        <v>81.8</v>
      </c>
      <c r="K62" s="76">
        <f t="shared" si="31"/>
        <v>31.8</v>
      </c>
      <c r="L62" s="76">
        <f t="shared" si="31"/>
        <v>31.8</v>
      </c>
      <c r="M62" s="76">
        <f t="shared" si="31"/>
        <v>31.8</v>
      </c>
      <c r="N62" s="76">
        <f t="shared" si="31"/>
        <v>31.8</v>
      </c>
      <c r="O62" s="76">
        <f t="shared" si="31"/>
        <v>31.8</v>
      </c>
      <c r="P62" s="76">
        <f t="shared" si="31"/>
        <v>31.8</v>
      </c>
      <c r="Q62" s="76">
        <f t="shared" si="31"/>
        <v>31.8</v>
      </c>
      <c r="R62" s="76">
        <f t="shared" si="31"/>
        <v>31.8</v>
      </c>
      <c r="S62" s="76">
        <v>15.8</v>
      </c>
      <c r="T62" s="76">
        <v>15.8</v>
      </c>
      <c r="U62" s="76">
        <v>15.8</v>
      </c>
      <c r="V62" s="76">
        <f t="shared" si="31"/>
        <v>31.2</v>
      </c>
      <c r="W62" s="76">
        <f t="shared" si="31"/>
        <v>33.4</v>
      </c>
      <c r="X62" s="76">
        <f t="shared" si="31"/>
        <v>66.399999999999991</v>
      </c>
      <c r="Y62" s="76">
        <f t="shared" si="31"/>
        <v>234.4</v>
      </c>
      <c r="Z62" s="76">
        <f t="shared" si="31"/>
        <v>234.4</v>
      </c>
      <c r="AA62" s="76">
        <f t="shared" si="31"/>
        <v>240.60000000000002</v>
      </c>
      <c r="AB62" s="76">
        <f t="shared" si="31"/>
        <v>240.60000000000002</v>
      </c>
      <c r="AC62" s="76">
        <f t="shared" ref="AC62:AD62" si="32">SUM(AC59:AC61)</f>
        <v>240.60000000000002</v>
      </c>
      <c r="AD62" s="76">
        <f t="shared" si="32"/>
        <v>339.6</v>
      </c>
      <c r="AE62" s="76">
        <f t="shared" ref="AE62:AF62" si="33">SUM(AE59:AE61)</f>
        <v>395.6</v>
      </c>
      <c r="AF62" s="76">
        <f t="shared" si="33"/>
        <v>420.6</v>
      </c>
      <c r="AG62" s="93">
        <f t="shared" si="31"/>
        <v>538.1</v>
      </c>
      <c r="AH62" s="12">
        <f t="shared" si="8"/>
        <v>420.6</v>
      </c>
      <c r="AI62" s="11">
        <f t="shared" si="9"/>
        <v>15.8</v>
      </c>
      <c r="AK62" s="19"/>
    </row>
    <row r="63" spans="1:88" x14ac:dyDescent="0.25">
      <c r="A63" s="89" t="s">
        <v>204</v>
      </c>
      <c r="B63" s="102">
        <v>60.3</v>
      </c>
      <c r="C63" s="102">
        <v>60.3</v>
      </c>
      <c r="D63" s="102">
        <v>49.7</v>
      </c>
      <c r="E63" s="102">
        <v>40.200000000000003</v>
      </c>
      <c r="F63" s="102">
        <v>30</v>
      </c>
      <c r="G63" s="102">
        <v>31</v>
      </c>
      <c r="H63" s="102">
        <v>30.4</v>
      </c>
      <c r="I63" s="102">
        <v>60.9</v>
      </c>
      <c r="J63" s="102">
        <v>90</v>
      </c>
      <c r="K63" s="102">
        <v>121</v>
      </c>
      <c r="L63" s="102">
        <v>121.4</v>
      </c>
      <c r="M63" s="102">
        <v>61</v>
      </c>
      <c r="N63" s="102">
        <v>121.4</v>
      </c>
      <c r="O63" s="102">
        <v>121.4</v>
      </c>
      <c r="P63" s="102">
        <v>90</v>
      </c>
      <c r="Q63" s="102">
        <v>81</v>
      </c>
      <c r="R63" s="102">
        <v>81</v>
      </c>
      <c r="S63" s="102">
        <v>92.7</v>
      </c>
      <c r="T63" s="102">
        <v>92.7</v>
      </c>
      <c r="U63" s="102">
        <v>92.7</v>
      </c>
      <c r="V63" s="102">
        <v>60</v>
      </c>
      <c r="W63" s="102">
        <v>0</v>
      </c>
      <c r="X63" s="102">
        <v>48</v>
      </c>
      <c r="Y63" s="102">
        <v>54</v>
      </c>
      <c r="Z63" s="102">
        <v>54</v>
      </c>
      <c r="AA63" s="102">
        <v>54</v>
      </c>
      <c r="AB63" s="102">
        <v>61.8</v>
      </c>
      <c r="AC63" s="102">
        <v>61.8</v>
      </c>
      <c r="AD63" s="102">
        <v>61.8</v>
      </c>
      <c r="AE63" s="102">
        <v>61.8</v>
      </c>
      <c r="AF63" s="102">
        <v>31</v>
      </c>
      <c r="AG63" s="88">
        <v>144</v>
      </c>
      <c r="AH63" s="12">
        <f t="shared" si="8"/>
        <v>121.4</v>
      </c>
      <c r="AI63" s="11">
        <f t="shared" si="9"/>
        <v>0</v>
      </c>
      <c r="AK63" s="19"/>
    </row>
    <row r="64" spans="1:88" x14ac:dyDescent="0.25">
      <c r="A64" s="87" t="s">
        <v>203</v>
      </c>
      <c r="B64" s="102">
        <v>34.5</v>
      </c>
      <c r="C64" s="102">
        <v>34.4</v>
      </c>
      <c r="D64" s="102">
        <v>34.9</v>
      </c>
      <c r="E64" s="70">
        <v>34.700000000000003</v>
      </c>
      <c r="F64" s="70">
        <v>34.799999999999997</v>
      </c>
      <c r="G64" s="70">
        <v>34.299999999999997</v>
      </c>
      <c r="H64" s="70">
        <v>25</v>
      </c>
      <c r="I64" s="70">
        <v>45</v>
      </c>
      <c r="J64" s="70">
        <v>60</v>
      </c>
      <c r="K64" s="70">
        <v>49.6</v>
      </c>
      <c r="L64" s="70">
        <v>50</v>
      </c>
      <c r="M64" s="70">
        <v>25</v>
      </c>
      <c r="N64" s="70">
        <v>50</v>
      </c>
      <c r="O64" s="70">
        <v>50</v>
      </c>
      <c r="P64" s="70">
        <v>35</v>
      </c>
      <c r="Q64" s="70">
        <v>33</v>
      </c>
      <c r="R64" s="70">
        <v>33</v>
      </c>
      <c r="S64" s="70">
        <v>34.5</v>
      </c>
      <c r="T64" s="70">
        <v>34.5</v>
      </c>
      <c r="U64" s="70">
        <v>34.5</v>
      </c>
      <c r="V64" s="70">
        <v>34.5</v>
      </c>
      <c r="W64" s="102">
        <v>0</v>
      </c>
      <c r="X64" s="102">
        <v>22</v>
      </c>
      <c r="Y64" s="102">
        <v>23</v>
      </c>
      <c r="Z64" s="102">
        <v>23</v>
      </c>
      <c r="AA64" s="102">
        <v>23</v>
      </c>
      <c r="AB64" s="102">
        <v>54.8</v>
      </c>
      <c r="AC64" s="102">
        <v>54.8</v>
      </c>
      <c r="AD64" s="102">
        <v>54.8</v>
      </c>
      <c r="AE64" s="102">
        <v>35</v>
      </c>
      <c r="AF64" s="102">
        <v>35</v>
      </c>
      <c r="AG64" s="86">
        <v>70</v>
      </c>
      <c r="AH64" s="12">
        <f t="shared" si="8"/>
        <v>60</v>
      </c>
      <c r="AI64" s="11">
        <f t="shared" si="9"/>
        <v>0</v>
      </c>
      <c r="AK64" s="19"/>
    </row>
    <row r="65" spans="1:75" x14ac:dyDescent="0.25">
      <c r="A65" s="87" t="s">
        <v>202</v>
      </c>
      <c r="B65" s="102">
        <v>40.799999999999997</v>
      </c>
      <c r="C65" s="102">
        <v>40.700000000000003</v>
      </c>
      <c r="D65" s="102">
        <v>40.799999999999997</v>
      </c>
      <c r="E65" s="70">
        <v>40</v>
      </c>
      <c r="F65" s="70">
        <v>31.5</v>
      </c>
      <c r="G65" s="70">
        <v>31.7</v>
      </c>
      <c r="H65" s="70">
        <v>31.9</v>
      </c>
      <c r="I65" s="70">
        <v>31.9</v>
      </c>
      <c r="J65" s="70">
        <v>48</v>
      </c>
      <c r="K65" s="70">
        <v>67</v>
      </c>
      <c r="L65" s="70">
        <v>67.3</v>
      </c>
      <c r="M65" s="70">
        <v>60.6</v>
      </c>
      <c r="N65" s="70">
        <v>67.3</v>
      </c>
      <c r="O65" s="70">
        <v>67.3</v>
      </c>
      <c r="P65" s="70">
        <v>22</v>
      </c>
      <c r="Q65" s="70">
        <v>22</v>
      </c>
      <c r="R65" s="70">
        <v>22</v>
      </c>
      <c r="S65" s="70">
        <v>22</v>
      </c>
      <c r="T65" s="70">
        <v>22</v>
      </c>
      <c r="U65" s="70">
        <v>22</v>
      </c>
      <c r="V65" s="70">
        <v>22</v>
      </c>
      <c r="W65" s="102">
        <v>0</v>
      </c>
      <c r="X65" s="102">
        <v>17</v>
      </c>
      <c r="Y65" s="102">
        <v>17</v>
      </c>
      <c r="Z65" s="102">
        <v>17</v>
      </c>
      <c r="AA65" s="102">
        <v>17</v>
      </c>
      <c r="AB65" s="102">
        <v>46</v>
      </c>
      <c r="AC65" s="102">
        <v>40</v>
      </c>
      <c r="AD65" s="102">
        <v>40</v>
      </c>
      <c r="AE65" s="102">
        <v>40</v>
      </c>
      <c r="AF65" s="102">
        <v>45</v>
      </c>
      <c r="AG65" s="86">
        <v>69</v>
      </c>
      <c r="AH65" s="12">
        <f t="shared" si="8"/>
        <v>67.3</v>
      </c>
      <c r="AI65" s="11">
        <f t="shared" si="9"/>
        <v>0</v>
      </c>
      <c r="AK65" s="19"/>
    </row>
    <row r="66" spans="1:75" x14ac:dyDescent="0.25">
      <c r="A66" s="87" t="s">
        <v>201</v>
      </c>
      <c r="B66" s="102">
        <v>50.4</v>
      </c>
      <c r="C66" s="102">
        <v>52.1</v>
      </c>
      <c r="D66" s="102">
        <v>50.4</v>
      </c>
      <c r="E66" s="70">
        <v>50.4</v>
      </c>
      <c r="F66" s="70">
        <v>52.4</v>
      </c>
      <c r="G66" s="70">
        <v>52.1</v>
      </c>
      <c r="H66" s="70">
        <v>52.1</v>
      </c>
      <c r="I66" s="70">
        <v>50.2</v>
      </c>
      <c r="J66" s="70">
        <v>48</v>
      </c>
      <c r="K66" s="122">
        <v>48.3</v>
      </c>
      <c r="L66" s="122">
        <v>48.3</v>
      </c>
      <c r="M66" s="122">
        <v>48.3</v>
      </c>
      <c r="N66" s="122">
        <v>48.3</v>
      </c>
      <c r="O66" s="122">
        <v>48.3</v>
      </c>
      <c r="P66" s="122">
        <v>48.3</v>
      </c>
      <c r="Q66" s="122">
        <v>48.3</v>
      </c>
      <c r="R66" s="122">
        <v>48.3</v>
      </c>
      <c r="S66" s="70">
        <v>47.01</v>
      </c>
      <c r="T66" s="70">
        <v>47.01</v>
      </c>
      <c r="U66" s="70">
        <v>47.01</v>
      </c>
      <c r="V66" s="70">
        <v>46.6</v>
      </c>
      <c r="W66" s="102">
        <v>46.4</v>
      </c>
      <c r="X66" s="102">
        <v>46.4</v>
      </c>
      <c r="Y66" s="102">
        <v>44</v>
      </c>
      <c r="Z66" s="102">
        <v>44</v>
      </c>
      <c r="AA66" s="102">
        <v>44</v>
      </c>
      <c r="AB66" s="102">
        <v>44</v>
      </c>
      <c r="AC66" s="102">
        <v>44</v>
      </c>
      <c r="AD66" s="102">
        <v>44</v>
      </c>
      <c r="AE66" s="102">
        <v>44</v>
      </c>
      <c r="AF66" s="102">
        <v>44</v>
      </c>
      <c r="AG66" s="86">
        <v>60</v>
      </c>
      <c r="AH66" s="12">
        <f t="shared" si="8"/>
        <v>52.4</v>
      </c>
      <c r="AI66" s="11">
        <f t="shared" si="9"/>
        <v>44</v>
      </c>
      <c r="AK66" s="19"/>
    </row>
    <row r="67" spans="1:75" x14ac:dyDescent="0.25">
      <c r="A67" s="87" t="s">
        <v>200</v>
      </c>
      <c r="B67" s="102">
        <v>10</v>
      </c>
      <c r="C67" s="102">
        <v>9.8000000000000007</v>
      </c>
      <c r="D67" s="102">
        <v>0</v>
      </c>
      <c r="E67" s="102">
        <v>0</v>
      </c>
      <c r="F67" s="102">
        <v>0</v>
      </c>
      <c r="G67" s="102">
        <v>0</v>
      </c>
      <c r="H67" s="70">
        <v>0</v>
      </c>
      <c r="I67" s="70">
        <v>10.199999999999999</v>
      </c>
      <c r="J67" s="70">
        <v>22.9</v>
      </c>
      <c r="K67" s="70">
        <v>22.7</v>
      </c>
      <c r="L67" s="122">
        <v>22.6</v>
      </c>
      <c r="M67" s="122">
        <v>22.6</v>
      </c>
      <c r="N67" s="122">
        <v>22.6</v>
      </c>
      <c r="O67" s="122">
        <v>22.6</v>
      </c>
      <c r="P67" s="122">
        <v>22.6</v>
      </c>
      <c r="Q67" s="122">
        <v>22.6</v>
      </c>
      <c r="R67" s="122">
        <v>22.6</v>
      </c>
      <c r="S67" s="70">
        <v>0</v>
      </c>
      <c r="T67" s="70">
        <v>0</v>
      </c>
      <c r="U67" s="70">
        <v>10</v>
      </c>
      <c r="V67" s="70">
        <v>14</v>
      </c>
      <c r="W67" s="102">
        <v>14.5</v>
      </c>
      <c r="X67" s="102">
        <v>14.5</v>
      </c>
      <c r="Y67" s="102">
        <v>14.5</v>
      </c>
      <c r="Z67" s="102">
        <v>14.5</v>
      </c>
      <c r="AA67" s="102">
        <v>14.5</v>
      </c>
      <c r="AB67" s="102">
        <v>14.5</v>
      </c>
      <c r="AC67" s="102">
        <v>14.5</v>
      </c>
      <c r="AD67" s="102">
        <v>14.5</v>
      </c>
      <c r="AE67" s="102">
        <v>14.5</v>
      </c>
      <c r="AF67" s="102">
        <v>10</v>
      </c>
      <c r="AG67" s="86">
        <v>30</v>
      </c>
      <c r="AH67" s="12">
        <f t="shared" si="8"/>
        <v>22.9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25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2.1</v>
      </c>
      <c r="K68" s="102">
        <v>3.9</v>
      </c>
      <c r="L68" s="70">
        <v>4.0999999999999996</v>
      </c>
      <c r="M68" s="70">
        <v>4.0999999999999996</v>
      </c>
      <c r="N68" s="70">
        <v>4.0999999999999996</v>
      </c>
      <c r="O68" s="70">
        <v>4.0999999999999996</v>
      </c>
      <c r="P68" s="70">
        <v>4.0999999999999996</v>
      </c>
      <c r="Q68" s="70">
        <v>4.0999999999999996</v>
      </c>
      <c r="R68" s="70">
        <v>4.0999999999999996</v>
      </c>
      <c r="S68" s="70">
        <v>11.8</v>
      </c>
      <c r="T68" s="70">
        <v>11.8</v>
      </c>
      <c r="U68" s="70">
        <v>11.8</v>
      </c>
      <c r="V68" s="70">
        <v>1.8</v>
      </c>
      <c r="W68" s="102">
        <v>0.8</v>
      </c>
      <c r="X68" s="102">
        <v>0.8</v>
      </c>
      <c r="Y68" s="102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11.8</v>
      </c>
      <c r="AI68" s="11">
        <f t="shared" si="9"/>
        <v>0</v>
      </c>
      <c r="AK68" s="19"/>
      <c r="AY68" s="1" t="s">
        <v>198</v>
      </c>
      <c r="AZ68" s="78">
        <f>ROUND(C81,0)</f>
        <v>37</v>
      </c>
      <c r="BA68" s="83">
        <f t="shared" ref="BA68:BD72" si="34">D81</f>
        <v>41.5</v>
      </c>
      <c r="BB68" s="83">
        <f t="shared" si="34"/>
        <v>38</v>
      </c>
      <c r="BC68" s="83">
        <f t="shared" si="34"/>
        <v>35</v>
      </c>
      <c r="BD68" s="83">
        <f t="shared" si="34"/>
        <v>33.799999999999997</v>
      </c>
      <c r="BE68" s="78">
        <f>I81</f>
        <v>73.900000000000006</v>
      </c>
      <c r="BF68" s="78">
        <f>K81</f>
        <v>68</v>
      </c>
      <c r="BG68" s="78">
        <f t="shared" ref="BG68:BP72" si="35">M81</f>
        <v>61.7</v>
      </c>
      <c r="BH68" s="78">
        <f t="shared" si="35"/>
        <v>75</v>
      </c>
      <c r="BI68" s="78">
        <f t="shared" si="35"/>
        <v>69.3</v>
      </c>
      <c r="BJ68" s="78">
        <f t="shared" si="35"/>
        <v>72</v>
      </c>
      <c r="BK68" s="78">
        <f t="shared" si="35"/>
        <v>72</v>
      </c>
      <c r="BL68" s="78">
        <f t="shared" si="35"/>
        <v>72</v>
      </c>
      <c r="BM68" s="78">
        <f t="shared" si="35"/>
        <v>79.8</v>
      </c>
      <c r="BN68" s="78">
        <f t="shared" si="35"/>
        <v>80</v>
      </c>
      <c r="BO68" s="78">
        <f t="shared" si="35"/>
        <v>76.8</v>
      </c>
      <c r="BP68" s="78">
        <f t="shared" si="35"/>
        <v>77.099999999999994</v>
      </c>
      <c r="BQ68" s="78">
        <f>X81</f>
        <v>77</v>
      </c>
      <c r="BR68" s="78">
        <f>Z81</f>
        <v>72</v>
      </c>
      <c r="BS68" s="83">
        <f>AB81</f>
        <v>75.5</v>
      </c>
      <c r="BT68" s="83">
        <f t="shared" ref="BT68:BV72" si="36">AD81</f>
        <v>76</v>
      </c>
      <c r="BU68" s="83">
        <f t="shared" si="36"/>
        <v>69</v>
      </c>
      <c r="BV68" s="83">
        <f t="shared" si="36"/>
        <v>62</v>
      </c>
      <c r="BW68" s="83">
        <f>B81</f>
        <v>39.1</v>
      </c>
    </row>
    <row r="69" spans="1:75" x14ac:dyDescent="0.25">
      <c r="A69" s="87" t="s">
        <v>197</v>
      </c>
      <c r="B69" s="70">
        <v>15</v>
      </c>
      <c r="C69" s="70">
        <v>15</v>
      </c>
      <c r="D69" s="70">
        <v>15</v>
      </c>
      <c r="E69" s="70">
        <v>15</v>
      </c>
      <c r="F69" s="70">
        <v>15</v>
      </c>
      <c r="G69" s="70">
        <v>15</v>
      </c>
      <c r="H69" s="70">
        <v>15</v>
      </c>
      <c r="I69" s="70">
        <v>15</v>
      </c>
      <c r="J69" s="70">
        <v>15</v>
      </c>
      <c r="K69" s="70">
        <v>15</v>
      </c>
      <c r="L69" s="70">
        <v>15</v>
      </c>
      <c r="M69" s="70">
        <v>15</v>
      </c>
      <c r="N69" s="70">
        <v>15</v>
      </c>
      <c r="O69" s="70">
        <v>15</v>
      </c>
      <c r="P69" s="70">
        <v>15</v>
      </c>
      <c r="Q69" s="70">
        <v>15</v>
      </c>
      <c r="R69" s="70">
        <v>15</v>
      </c>
      <c r="S69" s="70">
        <v>15</v>
      </c>
      <c r="T69" s="70">
        <v>15</v>
      </c>
      <c r="U69" s="70">
        <v>15</v>
      </c>
      <c r="V69" s="70">
        <v>15</v>
      </c>
      <c r="W69" s="70">
        <v>14</v>
      </c>
      <c r="X69" s="70">
        <v>14</v>
      </c>
      <c r="Y69" s="70">
        <v>14</v>
      </c>
      <c r="Z69" s="70">
        <v>14</v>
      </c>
      <c r="AA69" s="70">
        <v>14</v>
      </c>
      <c r="AB69" s="70">
        <v>14</v>
      </c>
      <c r="AC69" s="70">
        <v>14</v>
      </c>
      <c r="AD69" s="70">
        <v>14</v>
      </c>
      <c r="AE69" s="70">
        <v>14</v>
      </c>
      <c r="AF69" s="70">
        <v>14</v>
      </c>
      <c r="AG69" s="86">
        <v>24</v>
      </c>
      <c r="AH69" s="12">
        <f t="shared" si="8"/>
        <v>15</v>
      </c>
      <c r="AI69" s="11">
        <f t="shared" si="9"/>
        <v>14</v>
      </c>
      <c r="AK69" s="19"/>
      <c r="AY69" s="1" t="s">
        <v>196</v>
      </c>
      <c r="AZ69" s="78">
        <f>ROUND(C82,0)</f>
        <v>0</v>
      </c>
      <c r="BA69" s="83">
        <f t="shared" si="34"/>
        <v>0</v>
      </c>
      <c r="BB69" s="83">
        <f t="shared" si="34"/>
        <v>0</v>
      </c>
      <c r="BC69" s="83">
        <f t="shared" si="34"/>
        <v>0</v>
      </c>
      <c r="BD69" s="83">
        <f t="shared" si="34"/>
        <v>0</v>
      </c>
      <c r="BE69" s="78">
        <f>I82</f>
        <v>0</v>
      </c>
      <c r="BF69" s="78">
        <f>K82</f>
        <v>0</v>
      </c>
      <c r="BG69" s="78">
        <f t="shared" si="35"/>
        <v>0</v>
      </c>
      <c r="BH69" s="78">
        <f t="shared" si="35"/>
        <v>0</v>
      </c>
      <c r="BI69" s="78">
        <f t="shared" si="35"/>
        <v>0</v>
      </c>
      <c r="BJ69" s="78">
        <f t="shared" si="35"/>
        <v>0</v>
      </c>
      <c r="BK69" s="78">
        <f t="shared" si="35"/>
        <v>0</v>
      </c>
      <c r="BL69" s="78">
        <f t="shared" si="35"/>
        <v>0</v>
      </c>
      <c r="BM69" s="78">
        <f t="shared" si="35"/>
        <v>0</v>
      </c>
      <c r="BN69" s="78">
        <f t="shared" si="35"/>
        <v>0</v>
      </c>
      <c r="BO69" s="78">
        <f t="shared" si="35"/>
        <v>110</v>
      </c>
      <c r="BP69" s="78">
        <f t="shared" si="35"/>
        <v>115.1</v>
      </c>
      <c r="BQ69" s="78">
        <f>X82</f>
        <v>38.5</v>
      </c>
      <c r="BR69" s="78">
        <f>Z82</f>
        <v>0</v>
      </c>
      <c r="BS69" s="83">
        <f>AB82</f>
        <v>0</v>
      </c>
      <c r="BT69" s="83">
        <f t="shared" si="36"/>
        <v>0</v>
      </c>
      <c r="BU69" s="83">
        <f t="shared" si="36"/>
        <v>0</v>
      </c>
      <c r="BV69" s="83">
        <f t="shared" si="36"/>
        <v>0</v>
      </c>
      <c r="BW69" s="83">
        <f>B82</f>
        <v>0</v>
      </c>
    </row>
    <row r="70" spans="1:75" x14ac:dyDescent="0.25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220</v>
      </c>
      <c r="BA70" s="83">
        <f t="shared" si="34"/>
        <v>215.9</v>
      </c>
      <c r="BB70" s="83">
        <f t="shared" si="34"/>
        <v>220.4</v>
      </c>
      <c r="BC70" s="83">
        <f t="shared" si="34"/>
        <v>235</v>
      </c>
      <c r="BD70" s="83">
        <f t="shared" si="34"/>
        <v>245.4</v>
      </c>
      <c r="BE70" s="78">
        <f>I83</f>
        <v>260</v>
      </c>
      <c r="BF70" s="78">
        <f>K83</f>
        <v>545</v>
      </c>
      <c r="BG70" s="78">
        <f t="shared" si="35"/>
        <v>505</v>
      </c>
      <c r="BH70" s="78">
        <f t="shared" si="35"/>
        <v>536</v>
      </c>
      <c r="BI70" s="78">
        <f t="shared" si="35"/>
        <v>520</v>
      </c>
      <c r="BJ70" s="78">
        <f t="shared" si="35"/>
        <v>542</v>
      </c>
      <c r="BK70" s="78">
        <f t="shared" si="35"/>
        <v>542</v>
      </c>
      <c r="BL70" s="78">
        <f t="shared" si="35"/>
        <v>542</v>
      </c>
      <c r="BM70" s="78">
        <f t="shared" si="35"/>
        <v>568</v>
      </c>
      <c r="BN70" s="78">
        <f t="shared" si="35"/>
        <v>541</v>
      </c>
      <c r="BO70" s="78">
        <f t="shared" si="35"/>
        <v>469</v>
      </c>
      <c r="BP70" s="78">
        <f t="shared" si="35"/>
        <v>482</v>
      </c>
      <c r="BQ70" s="78">
        <f>X83</f>
        <v>418</v>
      </c>
      <c r="BR70" s="78">
        <f>Z83</f>
        <v>403.2</v>
      </c>
      <c r="BS70" s="83">
        <f>AB83</f>
        <v>389</v>
      </c>
      <c r="BT70" s="83">
        <f t="shared" si="36"/>
        <v>368</v>
      </c>
      <c r="BU70" s="83">
        <f t="shared" si="36"/>
        <v>146</v>
      </c>
      <c r="BV70" s="83">
        <f t="shared" si="36"/>
        <v>64</v>
      </c>
      <c r="BW70" s="83">
        <f>B83</f>
        <v>235</v>
      </c>
    </row>
    <row r="71" spans="1:75" s="115" customFormat="1" x14ac:dyDescent="0.25">
      <c r="A71" s="87" t="s">
        <v>193</v>
      </c>
      <c r="B71" s="70">
        <v>13</v>
      </c>
      <c r="C71" s="70">
        <v>13</v>
      </c>
      <c r="D71" s="70">
        <v>13.1</v>
      </c>
      <c r="E71" s="70">
        <v>13.1</v>
      </c>
      <c r="F71" s="70">
        <v>13.1</v>
      </c>
      <c r="G71" s="70">
        <v>13.1</v>
      </c>
      <c r="H71" s="70">
        <v>13.1</v>
      </c>
      <c r="I71" s="70">
        <v>13.1</v>
      </c>
      <c r="J71" s="70">
        <v>13.1</v>
      </c>
      <c r="K71" s="70">
        <v>13.1</v>
      </c>
      <c r="L71" s="70">
        <v>13.1</v>
      </c>
      <c r="M71" s="70">
        <v>13.1</v>
      </c>
      <c r="N71" s="70">
        <v>13.1</v>
      </c>
      <c r="O71" s="70">
        <v>13.1</v>
      </c>
      <c r="P71" s="70">
        <v>13.1</v>
      </c>
      <c r="Q71" s="70">
        <v>13.1</v>
      </c>
      <c r="R71" s="70">
        <v>13.1</v>
      </c>
      <c r="S71" s="70">
        <v>5.0999999999999996</v>
      </c>
      <c r="T71" s="70">
        <v>5.0999999999999996</v>
      </c>
      <c r="U71" s="70">
        <v>5.0999999999999996</v>
      </c>
      <c r="V71" s="70">
        <v>5.0999999999999996</v>
      </c>
      <c r="W71" s="70">
        <v>10.14</v>
      </c>
      <c r="X71" s="70">
        <v>10.14</v>
      </c>
      <c r="Y71" s="70">
        <v>10.14</v>
      </c>
      <c r="Z71" s="70">
        <v>10.14</v>
      </c>
      <c r="AA71" s="70">
        <v>10.14</v>
      </c>
      <c r="AB71" s="70">
        <v>10.14</v>
      </c>
      <c r="AC71" s="70">
        <v>10.14</v>
      </c>
      <c r="AD71" s="70">
        <v>10.14</v>
      </c>
      <c r="AE71" s="70">
        <v>10.14</v>
      </c>
      <c r="AF71" s="70">
        <v>10.14</v>
      </c>
      <c r="AG71" s="86">
        <v>14.1</v>
      </c>
      <c r="AH71" s="12">
        <f t="shared" si="8"/>
        <v>13.1</v>
      </c>
      <c r="AI71" s="11">
        <f t="shared" si="9"/>
        <v>5.0999999999999996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34"/>
        <v>0</v>
      </c>
      <c r="BB71" s="83">
        <f t="shared" si="34"/>
        <v>0</v>
      </c>
      <c r="BC71" s="83">
        <f t="shared" si="34"/>
        <v>0</v>
      </c>
      <c r="BD71" s="83">
        <f t="shared" si="34"/>
        <v>0</v>
      </c>
      <c r="BE71" s="78">
        <f>I84</f>
        <v>48.8</v>
      </c>
      <c r="BF71" s="78">
        <f>K84</f>
        <v>47.8</v>
      </c>
      <c r="BG71" s="78">
        <f t="shared" si="35"/>
        <v>46</v>
      </c>
      <c r="BH71" s="78">
        <f t="shared" si="35"/>
        <v>57</v>
      </c>
      <c r="BI71" s="78">
        <f t="shared" si="35"/>
        <v>54.7</v>
      </c>
      <c r="BJ71" s="78">
        <f t="shared" si="35"/>
        <v>33.6</v>
      </c>
      <c r="BK71" s="78">
        <f t="shared" si="35"/>
        <v>33.6</v>
      </c>
      <c r="BL71" s="78">
        <f t="shared" si="35"/>
        <v>33.6</v>
      </c>
      <c r="BM71" s="78">
        <f t="shared" si="35"/>
        <v>42.5</v>
      </c>
      <c r="BN71" s="78">
        <f t="shared" si="35"/>
        <v>45.6</v>
      </c>
      <c r="BO71" s="78">
        <f t="shared" si="35"/>
        <v>52.9</v>
      </c>
      <c r="BP71" s="78">
        <f t="shared" si="35"/>
        <v>47.1</v>
      </c>
      <c r="BQ71" s="78">
        <f>X84</f>
        <v>36</v>
      </c>
      <c r="BR71" s="78">
        <f>Z84</f>
        <v>0</v>
      </c>
      <c r="BS71" s="83">
        <f>AB84</f>
        <v>0</v>
      </c>
      <c r="BT71" s="83">
        <f t="shared" si="36"/>
        <v>0</v>
      </c>
      <c r="BU71" s="83">
        <f t="shared" si="36"/>
        <v>0</v>
      </c>
      <c r="BV71" s="83">
        <f t="shared" si="36"/>
        <v>0</v>
      </c>
      <c r="BW71" s="83">
        <f>B84</f>
        <v>0</v>
      </c>
    </row>
    <row r="72" spans="1:75" x14ac:dyDescent="0.25">
      <c r="A72" s="111" t="s">
        <v>191</v>
      </c>
      <c r="B72" s="70">
        <v>7.1</v>
      </c>
      <c r="C72" s="70">
        <v>7.1</v>
      </c>
      <c r="D72" s="70">
        <v>7.1</v>
      </c>
      <c r="E72" s="70">
        <v>7.1</v>
      </c>
      <c r="F72" s="70">
        <v>7.1</v>
      </c>
      <c r="G72" s="70">
        <v>7.1</v>
      </c>
      <c r="H72" s="70">
        <v>7.1</v>
      </c>
      <c r="I72" s="70">
        <v>7.1</v>
      </c>
      <c r="J72" s="70">
        <v>7.1</v>
      </c>
      <c r="K72" s="70">
        <v>7.1</v>
      </c>
      <c r="L72" s="70">
        <v>7.1</v>
      </c>
      <c r="M72" s="70">
        <v>7.1</v>
      </c>
      <c r="N72" s="70">
        <v>7.1</v>
      </c>
      <c r="O72" s="70">
        <v>7.1</v>
      </c>
      <c r="P72" s="70">
        <v>7.1</v>
      </c>
      <c r="Q72" s="70">
        <v>7.1</v>
      </c>
      <c r="R72" s="70">
        <v>7.1</v>
      </c>
      <c r="S72" s="70">
        <v>5.8</v>
      </c>
      <c r="T72" s="70">
        <v>5.8</v>
      </c>
      <c r="U72" s="70">
        <v>5.8</v>
      </c>
      <c r="V72" s="70">
        <v>5.8</v>
      </c>
      <c r="W72" s="70">
        <v>5.8</v>
      </c>
      <c r="X72" s="70">
        <v>5.8</v>
      </c>
      <c r="Y72" s="70">
        <v>5.8</v>
      </c>
      <c r="Z72" s="70">
        <v>5.8</v>
      </c>
      <c r="AA72" s="70">
        <v>5.8</v>
      </c>
      <c r="AB72" s="70">
        <v>5.8</v>
      </c>
      <c r="AC72" s="70">
        <v>5.8</v>
      </c>
      <c r="AD72" s="70">
        <v>5.8</v>
      </c>
      <c r="AE72" s="70">
        <v>5.8</v>
      </c>
      <c r="AF72" s="70">
        <v>5.8</v>
      </c>
      <c r="AG72" s="86">
        <v>14</v>
      </c>
      <c r="AH72" s="12">
        <f t="shared" si="8"/>
        <v>7.1</v>
      </c>
      <c r="AI72" s="11">
        <f t="shared" si="9"/>
        <v>5.8</v>
      </c>
      <c r="AK72" s="19"/>
      <c r="AY72" s="1" t="s">
        <v>190</v>
      </c>
      <c r="AZ72" s="78">
        <f>ROUND(C85,0)</f>
        <v>0</v>
      </c>
      <c r="BA72" s="83">
        <f t="shared" si="34"/>
        <v>0</v>
      </c>
      <c r="BB72" s="83">
        <f t="shared" si="34"/>
        <v>0</v>
      </c>
      <c r="BC72" s="83">
        <f t="shared" si="34"/>
        <v>0</v>
      </c>
      <c r="BD72" s="83">
        <f t="shared" si="34"/>
        <v>0</v>
      </c>
      <c r="BE72" s="78">
        <f>I85</f>
        <v>0</v>
      </c>
      <c r="BF72" s="78">
        <f>K85</f>
        <v>0</v>
      </c>
      <c r="BG72" s="78">
        <f t="shared" si="35"/>
        <v>0</v>
      </c>
      <c r="BH72" s="78">
        <f t="shared" si="35"/>
        <v>0</v>
      </c>
      <c r="BI72" s="78">
        <f t="shared" si="35"/>
        <v>0</v>
      </c>
      <c r="BJ72" s="78">
        <f t="shared" si="35"/>
        <v>0</v>
      </c>
      <c r="BK72" s="78">
        <f t="shared" si="35"/>
        <v>0</v>
      </c>
      <c r="BL72" s="78">
        <f t="shared" si="35"/>
        <v>0</v>
      </c>
      <c r="BM72" s="78">
        <f t="shared" si="35"/>
        <v>125</v>
      </c>
      <c r="BN72" s="78">
        <f t="shared" si="35"/>
        <v>124.6</v>
      </c>
      <c r="BO72" s="78">
        <f t="shared" si="35"/>
        <v>115.41</v>
      </c>
      <c r="BP72" s="78">
        <f t="shared" si="35"/>
        <v>124.24</v>
      </c>
      <c r="BQ72" s="78">
        <f>X85</f>
        <v>96</v>
      </c>
      <c r="BR72" s="78">
        <f>Z85</f>
        <v>0</v>
      </c>
      <c r="BS72" s="83">
        <f>AB85</f>
        <v>0</v>
      </c>
      <c r="BT72" s="83">
        <f t="shared" si="36"/>
        <v>0</v>
      </c>
      <c r="BU72" s="83">
        <f t="shared" si="36"/>
        <v>0</v>
      </c>
      <c r="BV72" s="83">
        <f t="shared" si="36"/>
        <v>0</v>
      </c>
      <c r="BW72" s="83">
        <f>B85</f>
        <v>0</v>
      </c>
    </row>
    <row r="73" spans="1:75" x14ac:dyDescent="0.25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0</v>
      </c>
      <c r="X73" s="70">
        <v>0</v>
      </c>
      <c r="Y73" s="70">
        <v>0</v>
      </c>
      <c r="Z73" s="70">
        <v>0</v>
      </c>
      <c r="AA73" s="70">
        <v>0</v>
      </c>
      <c r="AB73" s="70">
        <v>0</v>
      </c>
      <c r="AC73" s="70">
        <v>0</v>
      </c>
      <c r="AD73" s="70">
        <v>0</v>
      </c>
      <c r="AE73" s="70">
        <v>0</v>
      </c>
      <c r="AF73" s="70">
        <v>0</v>
      </c>
      <c r="AG73" s="86">
        <v>10.050000000000001</v>
      </c>
      <c r="AH73" s="12">
        <f t="shared" si="8"/>
        <v>4</v>
      </c>
      <c r="AI73" s="11">
        <f t="shared" si="9"/>
        <v>0</v>
      </c>
      <c r="AK73" s="19"/>
      <c r="AY73" s="1" t="s">
        <v>188</v>
      </c>
      <c r="AZ73" s="78">
        <f>ROUND(C91,0)</f>
        <v>58</v>
      </c>
      <c r="BA73" s="78">
        <f>D91</f>
        <v>56.5</v>
      </c>
      <c r="BB73" s="78">
        <f>E91</f>
        <v>54.4</v>
      </c>
      <c r="BC73" s="78">
        <f>F91</f>
        <v>50.3</v>
      </c>
      <c r="BD73" s="78">
        <f>G91</f>
        <v>52.4</v>
      </c>
      <c r="BE73" s="78">
        <f>I91</f>
        <v>50</v>
      </c>
      <c r="BF73" s="78">
        <f>K91</f>
        <v>47.9</v>
      </c>
      <c r="BG73" s="78">
        <f t="shared" ref="BG73:BP73" si="37">M91</f>
        <v>46.5</v>
      </c>
      <c r="BH73" s="78">
        <f t="shared" si="37"/>
        <v>45</v>
      </c>
      <c r="BI73" s="78">
        <f t="shared" si="37"/>
        <v>49.5</v>
      </c>
      <c r="BJ73" s="78">
        <f t="shared" si="37"/>
        <v>52</v>
      </c>
      <c r="BK73" s="78">
        <f t="shared" si="37"/>
        <v>52</v>
      </c>
      <c r="BL73" s="78">
        <f t="shared" si="37"/>
        <v>52</v>
      </c>
      <c r="BM73" s="78">
        <f t="shared" si="37"/>
        <v>55.5</v>
      </c>
      <c r="BN73" s="78">
        <f t="shared" si="37"/>
        <v>54.6</v>
      </c>
      <c r="BO73" s="78">
        <f t="shared" si="37"/>
        <v>55.8</v>
      </c>
      <c r="BP73" s="78">
        <f t="shared" si="37"/>
        <v>47.1</v>
      </c>
      <c r="BQ73" s="78">
        <f>X91</f>
        <v>48</v>
      </c>
      <c r="BR73" s="78">
        <f>Z91</f>
        <v>51</v>
      </c>
      <c r="BS73" s="78">
        <f>AB91</f>
        <v>50.5</v>
      </c>
      <c r="BT73" s="78">
        <f>AD91</f>
        <v>51</v>
      </c>
      <c r="BU73" s="78">
        <f>AE91</f>
        <v>53</v>
      </c>
      <c r="BV73" s="78">
        <f>AF91</f>
        <v>51</v>
      </c>
      <c r="BW73" s="78">
        <f>B91</f>
        <v>57.8</v>
      </c>
    </row>
    <row r="74" spans="1:75" x14ac:dyDescent="0.25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.75" thickBot="1" x14ac:dyDescent="0.3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5.5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5.5</v>
      </c>
      <c r="AI75" s="11">
        <f t="shared" si="9"/>
        <v>3.5</v>
      </c>
      <c r="AK75" s="19"/>
      <c r="AZ75" s="78">
        <f t="shared" ref="AZ75:BW80" si="38">VALUE(AZ68)</f>
        <v>37</v>
      </c>
      <c r="BA75" s="78">
        <f t="shared" si="38"/>
        <v>41.5</v>
      </c>
      <c r="BB75" s="78">
        <f t="shared" si="38"/>
        <v>38</v>
      </c>
      <c r="BC75" s="78">
        <f t="shared" si="38"/>
        <v>35</v>
      </c>
      <c r="BD75" s="78">
        <f t="shared" si="38"/>
        <v>33.799999999999997</v>
      </c>
      <c r="BE75" s="78">
        <f t="shared" si="38"/>
        <v>73.900000000000006</v>
      </c>
      <c r="BF75" s="78">
        <f t="shared" si="38"/>
        <v>68</v>
      </c>
      <c r="BG75" s="78">
        <f t="shared" si="38"/>
        <v>61.7</v>
      </c>
      <c r="BH75" s="78">
        <f t="shared" si="38"/>
        <v>75</v>
      </c>
      <c r="BI75" s="78">
        <f t="shared" si="38"/>
        <v>69.3</v>
      </c>
      <c r="BJ75" s="78">
        <f t="shared" si="38"/>
        <v>72</v>
      </c>
      <c r="BK75" s="78">
        <f t="shared" si="38"/>
        <v>72</v>
      </c>
      <c r="BL75" s="78">
        <f t="shared" si="38"/>
        <v>72</v>
      </c>
      <c r="BM75" s="78">
        <f t="shared" si="38"/>
        <v>79.8</v>
      </c>
      <c r="BN75" s="78">
        <f t="shared" si="38"/>
        <v>80</v>
      </c>
      <c r="BO75" s="78">
        <f t="shared" si="38"/>
        <v>76.8</v>
      </c>
      <c r="BP75" s="78">
        <f t="shared" si="38"/>
        <v>77.099999999999994</v>
      </c>
      <c r="BQ75" s="78">
        <f t="shared" si="38"/>
        <v>77</v>
      </c>
      <c r="BR75" s="78">
        <f t="shared" si="38"/>
        <v>72</v>
      </c>
      <c r="BS75" s="78">
        <f t="shared" si="38"/>
        <v>75.5</v>
      </c>
      <c r="BT75" s="78">
        <f t="shared" si="38"/>
        <v>76</v>
      </c>
      <c r="BU75" s="78">
        <f t="shared" si="38"/>
        <v>69</v>
      </c>
      <c r="BV75" s="78">
        <f t="shared" si="38"/>
        <v>62</v>
      </c>
      <c r="BW75" s="78">
        <f t="shared" si="38"/>
        <v>39.1</v>
      </c>
    </row>
    <row r="76" spans="1:75" ht="15.75" thickBot="1" x14ac:dyDescent="0.3">
      <c r="A76" s="77" t="s">
        <v>186</v>
      </c>
      <c r="B76" s="76">
        <f t="shared" ref="B76:C76" si="39">SUM(B63:B75)</f>
        <v>240.64</v>
      </c>
      <c r="C76" s="76">
        <f t="shared" si="39"/>
        <v>241.93999999999997</v>
      </c>
      <c r="D76" s="76">
        <f t="shared" ref="D76" si="40">SUM(D63:D75)</f>
        <v>220.53999999999996</v>
      </c>
      <c r="E76" s="76">
        <f t="shared" ref="E76:AG76" si="41">SUM(E63:E75)</f>
        <v>210.04</v>
      </c>
      <c r="F76" s="76">
        <f t="shared" si="41"/>
        <v>193.43999999999997</v>
      </c>
      <c r="G76" s="76">
        <f t="shared" si="41"/>
        <v>193.83999999999997</v>
      </c>
      <c r="H76" s="76">
        <f t="shared" si="41"/>
        <v>184.14</v>
      </c>
      <c r="I76" s="76">
        <f t="shared" si="41"/>
        <v>242.93999999999997</v>
      </c>
      <c r="J76" s="76">
        <f t="shared" si="41"/>
        <v>315.74000000000007</v>
      </c>
      <c r="K76" s="76">
        <f t="shared" si="41"/>
        <v>357.24</v>
      </c>
      <c r="L76" s="76">
        <f t="shared" si="41"/>
        <v>358.44000000000011</v>
      </c>
      <c r="M76" s="76">
        <f t="shared" si="41"/>
        <v>266.33999999999997</v>
      </c>
      <c r="N76" s="76">
        <f t="shared" si="41"/>
        <v>358.44000000000011</v>
      </c>
      <c r="O76" s="76">
        <f t="shared" si="41"/>
        <v>358.44000000000011</v>
      </c>
      <c r="P76" s="76">
        <f t="shared" si="41"/>
        <v>266.74</v>
      </c>
      <c r="Q76" s="76">
        <f t="shared" si="41"/>
        <v>255.73999999999998</v>
      </c>
      <c r="R76" s="76">
        <f t="shared" si="41"/>
        <v>255.73999999999998</v>
      </c>
      <c r="S76" s="76">
        <f>SUM(S63:S75)</f>
        <v>243.45</v>
      </c>
      <c r="T76" s="76">
        <f t="shared" si="41"/>
        <v>243.45</v>
      </c>
      <c r="U76" s="76">
        <f t="shared" si="41"/>
        <v>253.45</v>
      </c>
      <c r="V76" s="76">
        <f t="shared" si="41"/>
        <v>214.34</v>
      </c>
      <c r="W76" s="76">
        <f t="shared" si="41"/>
        <v>97.179999999999993</v>
      </c>
      <c r="X76" s="76">
        <f t="shared" si="41"/>
        <v>184.18000000000004</v>
      </c>
      <c r="Y76" s="76">
        <f t="shared" si="41"/>
        <v>187.94</v>
      </c>
      <c r="Z76" s="76">
        <f t="shared" si="41"/>
        <v>189.94</v>
      </c>
      <c r="AA76" s="76">
        <f t="shared" si="41"/>
        <v>187.98</v>
      </c>
      <c r="AB76" s="76">
        <f t="shared" si="41"/>
        <v>256.58000000000004</v>
      </c>
      <c r="AC76" s="76">
        <f t="shared" ref="AC76:AD76" si="42">SUM(AC63:AC75)</f>
        <v>250.58</v>
      </c>
      <c r="AD76" s="76">
        <f t="shared" si="42"/>
        <v>250.58</v>
      </c>
      <c r="AE76" s="76">
        <f t="shared" ref="AE76:AF76" si="43">SUM(AE63:AE75)</f>
        <v>230.78</v>
      </c>
      <c r="AF76" s="76">
        <f t="shared" si="43"/>
        <v>200.48</v>
      </c>
      <c r="AG76" s="93">
        <f t="shared" si="41"/>
        <v>489.91</v>
      </c>
      <c r="AH76" s="12">
        <f t="shared" si="8"/>
        <v>358.44000000000011</v>
      </c>
      <c r="AI76" s="11">
        <f t="shared" si="9"/>
        <v>97.179999999999993</v>
      </c>
      <c r="AK76" s="19"/>
      <c r="AZ76" s="78">
        <f t="shared" si="38"/>
        <v>0</v>
      </c>
      <c r="BA76" s="78">
        <f t="shared" si="38"/>
        <v>0</v>
      </c>
      <c r="BB76" s="78">
        <f t="shared" si="38"/>
        <v>0</v>
      </c>
      <c r="BC76" s="78">
        <f t="shared" si="38"/>
        <v>0</v>
      </c>
      <c r="BD76" s="78">
        <f t="shared" si="38"/>
        <v>0</v>
      </c>
      <c r="BE76" s="78">
        <f t="shared" si="38"/>
        <v>0</v>
      </c>
      <c r="BF76" s="78">
        <f t="shared" si="38"/>
        <v>0</v>
      </c>
      <c r="BG76" s="78">
        <f t="shared" si="38"/>
        <v>0</v>
      </c>
      <c r="BH76" s="78">
        <f t="shared" si="38"/>
        <v>0</v>
      </c>
      <c r="BI76" s="78">
        <f t="shared" si="38"/>
        <v>0</v>
      </c>
      <c r="BJ76" s="78">
        <f t="shared" si="38"/>
        <v>0</v>
      </c>
      <c r="BK76" s="78">
        <f t="shared" si="38"/>
        <v>0</v>
      </c>
      <c r="BL76" s="78">
        <f t="shared" si="38"/>
        <v>0</v>
      </c>
      <c r="BM76" s="78">
        <f t="shared" si="38"/>
        <v>0</v>
      </c>
      <c r="BN76" s="78">
        <f t="shared" si="38"/>
        <v>0</v>
      </c>
      <c r="BO76" s="78">
        <f t="shared" si="38"/>
        <v>110</v>
      </c>
      <c r="BP76" s="78">
        <f t="shared" si="38"/>
        <v>115.1</v>
      </c>
      <c r="BQ76" s="78">
        <f t="shared" si="38"/>
        <v>38.5</v>
      </c>
      <c r="BR76" s="78">
        <f t="shared" si="38"/>
        <v>0</v>
      </c>
      <c r="BS76" s="78">
        <f t="shared" si="38"/>
        <v>0</v>
      </c>
      <c r="BT76" s="78">
        <f t="shared" si="38"/>
        <v>0</v>
      </c>
      <c r="BU76" s="78">
        <f t="shared" si="38"/>
        <v>0</v>
      </c>
      <c r="BV76" s="78">
        <f t="shared" si="38"/>
        <v>0</v>
      </c>
      <c r="BW76" s="78">
        <f t="shared" si="38"/>
        <v>0</v>
      </c>
    </row>
    <row r="77" spans="1:75" x14ac:dyDescent="0.25">
      <c r="A77" s="89" t="s">
        <v>185</v>
      </c>
      <c r="B77" s="102">
        <v>58.7</v>
      </c>
      <c r="C77" s="102">
        <v>59.1</v>
      </c>
      <c r="D77" s="102">
        <v>59.1</v>
      </c>
      <c r="E77" s="102">
        <v>59.1</v>
      </c>
      <c r="F77" s="102">
        <v>59</v>
      </c>
      <c r="G77" s="102">
        <v>59.1</v>
      </c>
      <c r="H77" s="102">
        <v>59.1</v>
      </c>
      <c r="I77" s="102">
        <v>59.1</v>
      </c>
      <c r="J77" s="102">
        <v>59</v>
      </c>
      <c r="K77" s="102">
        <v>59</v>
      </c>
      <c r="L77" s="102">
        <v>59</v>
      </c>
      <c r="M77" s="102">
        <v>59</v>
      </c>
      <c r="N77" s="102">
        <v>59</v>
      </c>
      <c r="O77" s="102">
        <v>59</v>
      </c>
      <c r="P77" s="102">
        <v>59</v>
      </c>
      <c r="Q77" s="102">
        <v>59</v>
      </c>
      <c r="R77" s="102">
        <v>59</v>
      </c>
      <c r="S77" s="102">
        <v>59</v>
      </c>
      <c r="T77" s="102">
        <v>59</v>
      </c>
      <c r="U77" s="102">
        <v>59</v>
      </c>
      <c r="V77" s="102">
        <v>59</v>
      </c>
      <c r="W77" s="102">
        <v>59</v>
      </c>
      <c r="X77" s="102">
        <v>20</v>
      </c>
      <c r="Y77" s="102">
        <v>35</v>
      </c>
      <c r="Z77" s="102">
        <v>60</v>
      </c>
      <c r="AA77" s="102">
        <v>60</v>
      </c>
      <c r="AB77" s="102">
        <v>60</v>
      </c>
      <c r="AC77" s="102">
        <v>60</v>
      </c>
      <c r="AD77" s="102">
        <v>60</v>
      </c>
      <c r="AE77" s="102">
        <v>60</v>
      </c>
      <c r="AF77" s="102">
        <v>60</v>
      </c>
      <c r="AG77" s="88">
        <v>60</v>
      </c>
      <c r="AH77" s="12">
        <f t="shared" si="8"/>
        <v>60</v>
      </c>
      <c r="AI77" s="11">
        <f t="shared" si="9"/>
        <v>20</v>
      </c>
      <c r="AK77" s="19"/>
      <c r="AZ77" s="78">
        <f t="shared" si="38"/>
        <v>220</v>
      </c>
      <c r="BA77" s="78">
        <f t="shared" si="38"/>
        <v>215.9</v>
      </c>
      <c r="BB77" s="78">
        <f t="shared" si="38"/>
        <v>220.4</v>
      </c>
      <c r="BC77" s="78">
        <f t="shared" si="38"/>
        <v>235</v>
      </c>
      <c r="BD77" s="78">
        <f t="shared" si="38"/>
        <v>245.4</v>
      </c>
      <c r="BE77" s="78">
        <f t="shared" si="38"/>
        <v>260</v>
      </c>
      <c r="BF77" s="78">
        <f t="shared" si="38"/>
        <v>545</v>
      </c>
      <c r="BG77" s="78">
        <f t="shared" si="38"/>
        <v>505</v>
      </c>
      <c r="BH77" s="78">
        <f t="shared" si="38"/>
        <v>536</v>
      </c>
      <c r="BI77" s="78">
        <f t="shared" si="38"/>
        <v>520</v>
      </c>
      <c r="BJ77" s="78">
        <f t="shared" si="38"/>
        <v>542</v>
      </c>
      <c r="BK77" s="78">
        <f t="shared" si="38"/>
        <v>542</v>
      </c>
      <c r="BL77" s="78">
        <f t="shared" si="38"/>
        <v>542</v>
      </c>
      <c r="BM77" s="78">
        <f t="shared" si="38"/>
        <v>568</v>
      </c>
      <c r="BN77" s="78">
        <f t="shared" si="38"/>
        <v>541</v>
      </c>
      <c r="BO77" s="78">
        <f t="shared" si="38"/>
        <v>469</v>
      </c>
      <c r="BP77" s="78">
        <f t="shared" si="38"/>
        <v>482</v>
      </c>
      <c r="BQ77" s="78">
        <f t="shared" si="38"/>
        <v>418</v>
      </c>
      <c r="BR77" s="78">
        <f t="shared" si="38"/>
        <v>403.2</v>
      </c>
      <c r="BS77" s="78">
        <f t="shared" si="38"/>
        <v>389</v>
      </c>
      <c r="BT77" s="78">
        <f t="shared" si="38"/>
        <v>368</v>
      </c>
      <c r="BU77" s="78">
        <f t="shared" si="38"/>
        <v>146</v>
      </c>
      <c r="BV77" s="78">
        <f t="shared" si="38"/>
        <v>64</v>
      </c>
      <c r="BW77" s="78">
        <f t="shared" si="38"/>
        <v>235</v>
      </c>
    </row>
    <row r="78" spans="1:75" x14ac:dyDescent="0.25">
      <c r="A78" s="87" t="s">
        <v>184</v>
      </c>
      <c r="B78" s="70">
        <v>27.4</v>
      </c>
      <c r="C78" s="70">
        <v>27</v>
      </c>
      <c r="D78" s="70">
        <v>27</v>
      </c>
      <c r="E78" s="70">
        <v>27.6</v>
      </c>
      <c r="F78" s="70">
        <v>26</v>
      </c>
      <c r="G78" s="70">
        <v>27.1</v>
      </c>
      <c r="H78" s="70">
        <v>27.1</v>
      </c>
      <c r="I78" s="70">
        <v>27.1</v>
      </c>
      <c r="J78" s="70">
        <v>27.7</v>
      </c>
      <c r="K78" s="70">
        <v>27.9</v>
      </c>
      <c r="L78" s="70">
        <v>27.9</v>
      </c>
      <c r="M78" s="70">
        <v>27.9</v>
      </c>
      <c r="N78" s="70">
        <v>27.9</v>
      </c>
      <c r="O78" s="70">
        <v>27.9</v>
      </c>
      <c r="P78" s="70">
        <v>27.9</v>
      </c>
      <c r="Q78" s="70">
        <v>27.9</v>
      </c>
      <c r="R78" s="70">
        <v>27.9</v>
      </c>
      <c r="S78" s="70">
        <v>27.9</v>
      </c>
      <c r="T78" s="70">
        <v>27.9</v>
      </c>
      <c r="U78" s="70">
        <v>27.9</v>
      </c>
      <c r="V78" s="70">
        <v>27.9</v>
      </c>
      <c r="W78" s="70">
        <v>27.9</v>
      </c>
      <c r="X78" s="70">
        <v>11</v>
      </c>
      <c r="Y78" s="70">
        <v>12</v>
      </c>
      <c r="Z78" s="70">
        <v>28</v>
      </c>
      <c r="AA78" s="70">
        <v>28</v>
      </c>
      <c r="AB78" s="70">
        <v>28</v>
      </c>
      <c r="AC78" s="70">
        <v>28</v>
      </c>
      <c r="AD78" s="70">
        <v>28</v>
      </c>
      <c r="AE78" s="70">
        <v>28</v>
      </c>
      <c r="AF78" s="70">
        <v>28</v>
      </c>
      <c r="AG78" s="86">
        <v>32</v>
      </c>
      <c r="AH78" s="12">
        <f t="shared" si="8"/>
        <v>28</v>
      </c>
      <c r="AI78" s="11">
        <f t="shared" si="9"/>
        <v>11</v>
      </c>
      <c r="AK78" s="19"/>
      <c r="AZ78" s="78">
        <f t="shared" si="38"/>
        <v>0</v>
      </c>
      <c r="BA78" s="78">
        <f t="shared" si="38"/>
        <v>0</v>
      </c>
      <c r="BB78" s="78">
        <f t="shared" si="38"/>
        <v>0</v>
      </c>
      <c r="BC78" s="78">
        <f t="shared" si="38"/>
        <v>0</v>
      </c>
      <c r="BD78" s="78">
        <f t="shared" si="38"/>
        <v>0</v>
      </c>
      <c r="BE78" s="78">
        <f t="shared" si="38"/>
        <v>48.8</v>
      </c>
      <c r="BF78" s="78">
        <f t="shared" si="38"/>
        <v>47.8</v>
      </c>
      <c r="BG78" s="78">
        <f t="shared" si="38"/>
        <v>46</v>
      </c>
      <c r="BH78" s="78">
        <f t="shared" si="38"/>
        <v>57</v>
      </c>
      <c r="BI78" s="78">
        <f t="shared" si="38"/>
        <v>54.7</v>
      </c>
      <c r="BJ78" s="78">
        <f t="shared" si="38"/>
        <v>33.6</v>
      </c>
      <c r="BK78" s="78">
        <f t="shared" si="38"/>
        <v>33.6</v>
      </c>
      <c r="BL78" s="78">
        <f t="shared" si="38"/>
        <v>33.6</v>
      </c>
      <c r="BM78" s="78">
        <f t="shared" si="38"/>
        <v>42.5</v>
      </c>
      <c r="BN78" s="78">
        <f t="shared" si="38"/>
        <v>45.6</v>
      </c>
      <c r="BO78" s="78">
        <f t="shared" si="38"/>
        <v>52.9</v>
      </c>
      <c r="BP78" s="78">
        <f t="shared" si="38"/>
        <v>47.1</v>
      </c>
      <c r="BQ78" s="78">
        <f t="shared" si="38"/>
        <v>36</v>
      </c>
      <c r="BR78" s="78">
        <f t="shared" si="38"/>
        <v>0</v>
      </c>
      <c r="BS78" s="78">
        <f t="shared" si="38"/>
        <v>0</v>
      </c>
      <c r="BT78" s="78">
        <f t="shared" si="38"/>
        <v>0</v>
      </c>
      <c r="BU78" s="78">
        <f t="shared" si="38"/>
        <v>0</v>
      </c>
      <c r="BV78" s="78">
        <f t="shared" si="38"/>
        <v>0</v>
      </c>
      <c r="BW78" s="78">
        <f t="shared" si="38"/>
        <v>0</v>
      </c>
    </row>
    <row r="79" spans="1:75" ht="15.75" thickBot="1" x14ac:dyDescent="0.3">
      <c r="A79" s="111" t="s">
        <v>183</v>
      </c>
      <c r="B79" s="110">
        <v>10</v>
      </c>
      <c r="C79" s="110">
        <v>9.9</v>
      </c>
      <c r="D79" s="110">
        <v>9.9</v>
      </c>
      <c r="E79" s="110">
        <v>10.1</v>
      </c>
      <c r="F79" s="110">
        <v>9.6</v>
      </c>
      <c r="G79" s="110">
        <v>9.9</v>
      </c>
      <c r="H79" s="110">
        <v>9.9</v>
      </c>
      <c r="I79" s="110">
        <v>9.9</v>
      </c>
      <c r="J79" s="110">
        <v>10.1</v>
      </c>
      <c r="K79" s="110">
        <v>10.199999999999999</v>
      </c>
      <c r="L79" s="110">
        <v>10.199999999999999</v>
      </c>
      <c r="M79" s="110">
        <v>10.199999999999999</v>
      </c>
      <c r="N79" s="110">
        <v>10.199999999999999</v>
      </c>
      <c r="O79" s="110">
        <v>10.199999999999999</v>
      </c>
      <c r="P79" s="110">
        <v>10.199999999999999</v>
      </c>
      <c r="Q79" s="110">
        <v>10.199999999999999</v>
      </c>
      <c r="R79" s="110">
        <v>10.199999999999999</v>
      </c>
      <c r="S79" s="110">
        <v>10.199999999999999</v>
      </c>
      <c r="T79" s="110">
        <v>10.199999999999999</v>
      </c>
      <c r="U79" s="110">
        <v>10.199999999999999</v>
      </c>
      <c r="V79" s="110">
        <v>10.199999999999999</v>
      </c>
      <c r="W79" s="110">
        <v>10.199999999999999</v>
      </c>
      <c r="X79" s="110">
        <v>4</v>
      </c>
      <c r="Y79" s="110">
        <v>4</v>
      </c>
      <c r="Z79" s="110">
        <v>10.23</v>
      </c>
      <c r="AA79" s="110">
        <v>10.23</v>
      </c>
      <c r="AB79" s="110">
        <v>10.23</v>
      </c>
      <c r="AC79" s="110">
        <v>10.23</v>
      </c>
      <c r="AD79" s="110">
        <v>10.23</v>
      </c>
      <c r="AE79" s="110">
        <v>10.23</v>
      </c>
      <c r="AF79" s="110">
        <v>10.23</v>
      </c>
      <c r="AG79" s="109">
        <v>14</v>
      </c>
      <c r="AH79" s="12">
        <f t="shared" si="8"/>
        <v>10.23</v>
      </c>
      <c r="AI79" s="11">
        <f t="shared" si="9"/>
        <v>4</v>
      </c>
      <c r="AK79" s="19"/>
      <c r="AZ79" s="78">
        <f t="shared" si="38"/>
        <v>0</v>
      </c>
      <c r="BA79" s="78">
        <f t="shared" si="38"/>
        <v>0</v>
      </c>
      <c r="BB79" s="78">
        <f t="shared" si="38"/>
        <v>0</v>
      </c>
      <c r="BC79" s="78">
        <f t="shared" si="38"/>
        <v>0</v>
      </c>
      <c r="BD79" s="78">
        <f t="shared" si="38"/>
        <v>0</v>
      </c>
      <c r="BE79" s="78">
        <f t="shared" si="38"/>
        <v>0</v>
      </c>
      <c r="BF79" s="78">
        <f t="shared" si="38"/>
        <v>0</v>
      </c>
      <c r="BG79" s="78">
        <f t="shared" si="38"/>
        <v>0</v>
      </c>
      <c r="BH79" s="78">
        <f t="shared" si="38"/>
        <v>0</v>
      </c>
      <c r="BI79" s="78">
        <f t="shared" si="38"/>
        <v>0</v>
      </c>
      <c r="BJ79" s="78">
        <f t="shared" si="38"/>
        <v>0</v>
      </c>
      <c r="BK79" s="78">
        <f t="shared" si="38"/>
        <v>0</v>
      </c>
      <c r="BL79" s="78">
        <f t="shared" si="38"/>
        <v>0</v>
      </c>
      <c r="BM79" s="78">
        <f t="shared" si="38"/>
        <v>125</v>
      </c>
      <c r="BN79" s="78">
        <f t="shared" si="38"/>
        <v>124.6</v>
      </c>
      <c r="BO79" s="78">
        <f t="shared" si="38"/>
        <v>115.41</v>
      </c>
      <c r="BP79" s="78">
        <f t="shared" si="38"/>
        <v>124.24</v>
      </c>
      <c r="BQ79" s="78">
        <f t="shared" si="38"/>
        <v>96</v>
      </c>
      <c r="BR79" s="78">
        <f t="shared" si="38"/>
        <v>0</v>
      </c>
      <c r="BS79" s="78">
        <f t="shared" si="38"/>
        <v>0</v>
      </c>
      <c r="BT79" s="78">
        <f t="shared" si="38"/>
        <v>0</v>
      </c>
      <c r="BU79" s="78">
        <f t="shared" si="38"/>
        <v>0</v>
      </c>
      <c r="BV79" s="78">
        <f t="shared" si="38"/>
        <v>0</v>
      </c>
      <c r="BW79" s="78">
        <f t="shared" si="38"/>
        <v>0</v>
      </c>
    </row>
    <row r="80" spans="1:75" ht="15.75" thickBot="1" x14ac:dyDescent="0.3">
      <c r="A80" s="77" t="s">
        <v>182</v>
      </c>
      <c r="B80" s="76">
        <f t="shared" ref="B80:C80" si="44">B77+B78+B79</f>
        <v>96.1</v>
      </c>
      <c r="C80" s="76">
        <f t="shared" si="44"/>
        <v>96</v>
      </c>
      <c r="D80" s="76">
        <f t="shared" ref="D80" si="45">D77+D78+D79</f>
        <v>96</v>
      </c>
      <c r="E80" s="76">
        <f t="shared" ref="E80:AB80" si="46">E77+E78+E79</f>
        <v>96.8</v>
      </c>
      <c r="F80" s="76">
        <f t="shared" si="46"/>
        <v>94.6</v>
      </c>
      <c r="G80" s="76">
        <f t="shared" si="46"/>
        <v>96.100000000000009</v>
      </c>
      <c r="H80" s="76">
        <f t="shared" si="46"/>
        <v>96.100000000000009</v>
      </c>
      <c r="I80" s="76">
        <f t="shared" si="46"/>
        <v>96.100000000000009</v>
      </c>
      <c r="J80" s="76">
        <f t="shared" si="46"/>
        <v>96.8</v>
      </c>
      <c r="K80" s="76">
        <f t="shared" si="46"/>
        <v>97.100000000000009</v>
      </c>
      <c r="L80" s="76">
        <f t="shared" si="46"/>
        <v>97.100000000000009</v>
      </c>
      <c r="M80" s="76">
        <f t="shared" si="46"/>
        <v>97.100000000000009</v>
      </c>
      <c r="N80" s="76">
        <f t="shared" si="46"/>
        <v>97.100000000000009</v>
      </c>
      <c r="O80" s="76">
        <f t="shared" si="46"/>
        <v>97.100000000000009</v>
      </c>
      <c r="P80" s="76">
        <f t="shared" si="46"/>
        <v>97.100000000000009</v>
      </c>
      <c r="Q80" s="76">
        <f t="shared" si="46"/>
        <v>97.100000000000009</v>
      </c>
      <c r="R80" s="76">
        <f t="shared" si="46"/>
        <v>97.100000000000009</v>
      </c>
      <c r="S80" s="76">
        <f t="shared" si="46"/>
        <v>97.100000000000009</v>
      </c>
      <c r="T80" s="76">
        <f t="shared" si="46"/>
        <v>97.100000000000009</v>
      </c>
      <c r="U80" s="76">
        <f t="shared" si="46"/>
        <v>97.100000000000009</v>
      </c>
      <c r="V80" s="76">
        <f t="shared" si="46"/>
        <v>97.100000000000009</v>
      </c>
      <c r="W80" s="76">
        <f t="shared" si="46"/>
        <v>97.100000000000009</v>
      </c>
      <c r="X80" s="76">
        <f t="shared" si="46"/>
        <v>35</v>
      </c>
      <c r="Y80" s="76">
        <f t="shared" si="46"/>
        <v>51</v>
      </c>
      <c r="Z80" s="76">
        <f t="shared" si="46"/>
        <v>98.23</v>
      </c>
      <c r="AA80" s="76">
        <f t="shared" si="46"/>
        <v>98.23</v>
      </c>
      <c r="AB80" s="76">
        <f t="shared" si="46"/>
        <v>98.23</v>
      </c>
      <c r="AC80" s="76">
        <f t="shared" ref="AC80:AD80" si="47">AC77+AC78+AC79</f>
        <v>98.23</v>
      </c>
      <c r="AD80" s="76">
        <f t="shared" si="47"/>
        <v>98.23</v>
      </c>
      <c r="AE80" s="76">
        <f t="shared" ref="AE80:AF80" si="48">AE77+AE78+AE79</f>
        <v>98.23</v>
      </c>
      <c r="AF80" s="76">
        <f t="shared" si="48"/>
        <v>98.23</v>
      </c>
      <c r="AG80" s="93">
        <f>SUM(AG77:AG79)</f>
        <v>106</v>
      </c>
      <c r="AH80" s="12">
        <f t="shared" si="8"/>
        <v>98.23</v>
      </c>
      <c r="AI80" s="11">
        <f t="shared" si="9"/>
        <v>35</v>
      </c>
      <c r="AK80" s="19"/>
      <c r="AZ80" s="78">
        <f t="shared" si="38"/>
        <v>58</v>
      </c>
      <c r="BA80" s="78">
        <f t="shared" si="38"/>
        <v>56.5</v>
      </c>
      <c r="BB80" s="78">
        <f t="shared" si="38"/>
        <v>54.4</v>
      </c>
      <c r="BC80" s="78">
        <f t="shared" si="38"/>
        <v>50.3</v>
      </c>
      <c r="BD80" s="78">
        <f t="shared" si="38"/>
        <v>52.4</v>
      </c>
      <c r="BE80" s="78">
        <f t="shared" si="38"/>
        <v>50</v>
      </c>
      <c r="BF80" s="78">
        <f t="shared" si="38"/>
        <v>47.9</v>
      </c>
      <c r="BG80" s="78">
        <f t="shared" si="38"/>
        <v>46.5</v>
      </c>
      <c r="BH80" s="78">
        <f t="shared" si="38"/>
        <v>45</v>
      </c>
      <c r="BI80" s="78">
        <f t="shared" si="38"/>
        <v>49.5</v>
      </c>
      <c r="BJ80" s="78">
        <f t="shared" si="38"/>
        <v>52</v>
      </c>
      <c r="BK80" s="78">
        <f t="shared" si="38"/>
        <v>52</v>
      </c>
      <c r="BL80" s="78">
        <f t="shared" si="38"/>
        <v>52</v>
      </c>
      <c r="BM80" s="78">
        <f t="shared" si="38"/>
        <v>55.5</v>
      </c>
      <c r="BN80" s="78">
        <f t="shared" si="38"/>
        <v>54.6</v>
      </c>
      <c r="BO80" s="78">
        <f t="shared" si="38"/>
        <v>55.8</v>
      </c>
      <c r="BP80" s="78">
        <f t="shared" si="38"/>
        <v>47.1</v>
      </c>
      <c r="BQ80" s="78">
        <f t="shared" si="38"/>
        <v>48</v>
      </c>
      <c r="BR80" s="78">
        <f t="shared" si="38"/>
        <v>51</v>
      </c>
      <c r="BS80" s="78">
        <f t="shared" si="38"/>
        <v>50.5</v>
      </c>
      <c r="BT80" s="78">
        <f t="shared" si="38"/>
        <v>51</v>
      </c>
      <c r="BU80" s="78">
        <f t="shared" si="38"/>
        <v>53</v>
      </c>
      <c r="BV80" s="78">
        <f t="shared" si="38"/>
        <v>51</v>
      </c>
      <c r="BW80" s="78">
        <f t="shared" si="38"/>
        <v>57.8</v>
      </c>
    </row>
    <row r="81" spans="1:64" x14ac:dyDescent="0.25">
      <c r="A81" s="89" t="s">
        <v>157</v>
      </c>
      <c r="B81" s="102">
        <v>39.1</v>
      </c>
      <c r="C81" s="102">
        <v>37.200000000000003</v>
      </c>
      <c r="D81" s="102">
        <v>41.5</v>
      </c>
      <c r="E81" s="102">
        <v>38</v>
      </c>
      <c r="F81" s="102">
        <v>35</v>
      </c>
      <c r="G81" s="102">
        <v>33.799999999999997</v>
      </c>
      <c r="H81" s="102">
        <v>32.700000000000003</v>
      </c>
      <c r="I81" s="102">
        <v>73.900000000000006</v>
      </c>
      <c r="J81" s="102">
        <v>71</v>
      </c>
      <c r="K81" s="102">
        <v>68</v>
      </c>
      <c r="L81" s="102">
        <v>64.599999999999994</v>
      </c>
      <c r="M81" s="102">
        <v>61.7</v>
      </c>
      <c r="N81" s="102">
        <v>75</v>
      </c>
      <c r="O81" s="102">
        <v>69.3</v>
      </c>
      <c r="P81" s="102">
        <v>72</v>
      </c>
      <c r="Q81" s="102">
        <v>72</v>
      </c>
      <c r="R81" s="102">
        <v>72</v>
      </c>
      <c r="S81" s="102">
        <v>79.8</v>
      </c>
      <c r="T81" s="102">
        <v>80</v>
      </c>
      <c r="U81" s="102">
        <v>76.8</v>
      </c>
      <c r="V81" s="102">
        <v>77.099999999999994</v>
      </c>
      <c r="W81" s="102">
        <v>73</v>
      </c>
      <c r="X81" s="102">
        <v>77</v>
      </c>
      <c r="Y81" s="102">
        <v>68</v>
      </c>
      <c r="Z81" s="102">
        <v>72</v>
      </c>
      <c r="AA81" s="102">
        <v>73.8</v>
      </c>
      <c r="AB81" s="102">
        <v>75.5</v>
      </c>
      <c r="AC81" s="102">
        <v>76</v>
      </c>
      <c r="AD81" s="102">
        <v>76</v>
      </c>
      <c r="AE81" s="102">
        <v>69</v>
      </c>
      <c r="AF81" s="102">
        <v>62</v>
      </c>
      <c r="AG81" s="88"/>
      <c r="AH81" s="12">
        <f t="shared" si="8"/>
        <v>80</v>
      </c>
      <c r="AI81" s="11">
        <f t="shared" si="9"/>
        <v>32.700000000000003</v>
      </c>
      <c r="AK81" s="19"/>
      <c r="AY81" s="78"/>
    </row>
    <row r="82" spans="1:64" x14ac:dyDescent="0.25">
      <c r="A82" s="87" t="s">
        <v>160</v>
      </c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>
        <v>110</v>
      </c>
      <c r="V82" s="70">
        <v>115.1</v>
      </c>
      <c r="W82" s="70">
        <v>121</v>
      </c>
      <c r="X82" s="70">
        <v>38.5</v>
      </c>
      <c r="Y82" s="70">
        <v>0</v>
      </c>
      <c r="Z82" s="70">
        <v>0</v>
      </c>
      <c r="AA82" s="70">
        <v>0</v>
      </c>
      <c r="AB82" s="70">
        <v>0</v>
      </c>
      <c r="AC82" s="70">
        <v>0</v>
      </c>
      <c r="AD82" s="70">
        <v>0</v>
      </c>
      <c r="AE82" s="70">
        <v>0</v>
      </c>
      <c r="AF82" s="70">
        <v>0</v>
      </c>
      <c r="AG82" s="86"/>
      <c r="AH82" s="12">
        <f t="shared" ref="AH82:AH125" si="49">MAX(B82:AF82)</f>
        <v>121</v>
      </c>
      <c r="AI82" s="11">
        <f t="shared" ref="AI82:AI125" si="50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25">
      <c r="A83" s="87" t="s">
        <v>181</v>
      </c>
      <c r="B83" s="70">
        <v>235</v>
      </c>
      <c r="C83" s="70">
        <v>220.3</v>
      </c>
      <c r="D83" s="70">
        <v>215.9</v>
      </c>
      <c r="E83" s="70">
        <v>220.4</v>
      </c>
      <c r="F83" s="70">
        <v>235</v>
      </c>
      <c r="G83" s="70">
        <v>245.4</v>
      </c>
      <c r="H83" s="70">
        <v>207</v>
      </c>
      <c r="I83" s="70">
        <v>260</v>
      </c>
      <c r="J83" s="70">
        <v>545</v>
      </c>
      <c r="K83" s="70">
        <v>545</v>
      </c>
      <c r="L83" s="70">
        <v>524.5</v>
      </c>
      <c r="M83" s="70">
        <v>505</v>
      </c>
      <c r="N83" s="70">
        <v>536</v>
      </c>
      <c r="O83" s="70">
        <v>520</v>
      </c>
      <c r="P83" s="70">
        <v>542</v>
      </c>
      <c r="Q83" s="70">
        <v>542</v>
      </c>
      <c r="R83" s="70">
        <v>542</v>
      </c>
      <c r="S83" s="70">
        <v>568</v>
      </c>
      <c r="T83" s="70">
        <v>541</v>
      </c>
      <c r="U83" s="70">
        <v>469</v>
      </c>
      <c r="V83" s="70">
        <v>482</v>
      </c>
      <c r="W83" s="70">
        <v>492</v>
      </c>
      <c r="X83" s="70">
        <v>418</v>
      </c>
      <c r="Y83" s="70">
        <v>380</v>
      </c>
      <c r="Z83" s="70">
        <v>403.2</v>
      </c>
      <c r="AA83" s="70">
        <v>393.7</v>
      </c>
      <c r="AB83" s="70">
        <v>389</v>
      </c>
      <c r="AC83" s="70">
        <v>368</v>
      </c>
      <c r="AD83" s="70">
        <v>368</v>
      </c>
      <c r="AE83" s="70">
        <v>146</v>
      </c>
      <c r="AF83" s="70">
        <v>64</v>
      </c>
      <c r="AG83" s="96"/>
      <c r="AH83" s="12">
        <f t="shared" si="49"/>
        <v>568</v>
      </c>
      <c r="AI83" s="11">
        <f t="shared" si="50"/>
        <v>64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25">
      <c r="A84" s="87" t="s">
        <v>161</v>
      </c>
      <c r="B84" s="85"/>
      <c r="C84" s="85"/>
      <c r="D84" s="85"/>
      <c r="E84" s="85"/>
      <c r="F84" s="85"/>
      <c r="G84" s="85"/>
      <c r="H84" s="85">
        <v>38.299999999999997</v>
      </c>
      <c r="I84" s="85">
        <v>48.8</v>
      </c>
      <c r="J84" s="85">
        <v>48</v>
      </c>
      <c r="K84" s="85">
        <v>47.8</v>
      </c>
      <c r="L84" s="85">
        <v>45.3</v>
      </c>
      <c r="M84" s="85">
        <v>46</v>
      </c>
      <c r="N84" s="85">
        <v>57</v>
      </c>
      <c r="O84" s="85">
        <v>54.7</v>
      </c>
      <c r="P84" s="85">
        <v>33.6</v>
      </c>
      <c r="Q84" s="85">
        <v>33.6</v>
      </c>
      <c r="R84" s="85">
        <v>33.6</v>
      </c>
      <c r="S84" s="85">
        <v>42.5</v>
      </c>
      <c r="T84" s="85">
        <v>45.6</v>
      </c>
      <c r="U84" s="85">
        <v>52.9</v>
      </c>
      <c r="V84" s="85">
        <v>47.1</v>
      </c>
      <c r="W84" s="85">
        <v>38</v>
      </c>
      <c r="X84" s="85">
        <v>36</v>
      </c>
      <c r="Y84" s="85">
        <v>35</v>
      </c>
      <c r="Z84" s="85">
        <v>0</v>
      </c>
      <c r="AA84" s="85">
        <v>0</v>
      </c>
      <c r="AB84" s="85">
        <v>0</v>
      </c>
      <c r="AC84" s="85">
        <v>0</v>
      </c>
      <c r="AD84" s="85">
        <v>0</v>
      </c>
      <c r="AE84" s="85">
        <v>0</v>
      </c>
      <c r="AF84" s="85">
        <v>0</v>
      </c>
      <c r="AG84" s="96"/>
      <c r="AH84" s="12">
        <f t="shared" si="49"/>
        <v>57</v>
      </c>
      <c r="AI84" s="11">
        <f t="shared" si="50"/>
        <v>0</v>
      </c>
      <c r="AK84" s="19"/>
      <c r="AY84" s="78"/>
      <c r="BF84" s="83"/>
      <c r="BG84" s="78">
        <f t="array" ref="BG84:BL107">TRANSPOSE(AZ68:BW73)</f>
        <v>37</v>
      </c>
      <c r="BH84" s="78">
        <v>0</v>
      </c>
      <c r="BI84" s="78">
        <v>220</v>
      </c>
      <c r="BJ84" s="78">
        <v>0</v>
      </c>
      <c r="BK84" s="78">
        <v>0</v>
      </c>
      <c r="BL84" s="78">
        <v>58</v>
      </c>
    </row>
    <row r="85" spans="1:64" x14ac:dyDescent="0.25">
      <c r="A85" s="87" t="s">
        <v>180</v>
      </c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>
        <v>125</v>
      </c>
      <c r="T85" s="102">
        <v>124.6</v>
      </c>
      <c r="U85" s="102">
        <v>115.41</v>
      </c>
      <c r="V85" s="102">
        <v>124.24</v>
      </c>
      <c r="W85" s="102">
        <v>100</v>
      </c>
      <c r="X85" s="102">
        <v>96</v>
      </c>
      <c r="Y85" s="102">
        <v>64</v>
      </c>
      <c r="Z85" s="102">
        <v>0</v>
      </c>
      <c r="AA85" s="102">
        <v>0</v>
      </c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49"/>
        <v>125</v>
      </c>
      <c r="AI85" s="11">
        <f t="shared" si="50"/>
        <v>0</v>
      </c>
      <c r="AK85" s="19"/>
      <c r="AY85" s="78"/>
      <c r="BF85" s="83"/>
      <c r="BG85" s="78">
        <v>41.5</v>
      </c>
      <c r="BH85" s="78">
        <v>0</v>
      </c>
      <c r="BI85" s="78">
        <v>215.9</v>
      </c>
      <c r="BJ85" s="78">
        <v>0</v>
      </c>
      <c r="BK85" s="78">
        <v>0</v>
      </c>
      <c r="BL85" s="78">
        <v>56.5</v>
      </c>
    </row>
    <row r="86" spans="1:64" x14ac:dyDescent="0.25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49"/>
        <v>0</v>
      </c>
      <c r="AI86" s="11">
        <f t="shared" si="50"/>
        <v>0</v>
      </c>
      <c r="AK86" s="19"/>
      <c r="AY86" s="78"/>
      <c r="BF86" s="83"/>
      <c r="BG86" s="78">
        <v>38</v>
      </c>
      <c r="BH86" s="78">
        <v>0</v>
      </c>
      <c r="BI86" s="78">
        <v>220.4</v>
      </c>
      <c r="BJ86" s="78">
        <v>0</v>
      </c>
      <c r="BK86" s="78">
        <v>0</v>
      </c>
      <c r="BL86" s="78">
        <v>54.4</v>
      </c>
    </row>
    <row r="87" spans="1:64" ht="15.75" thickBot="1" x14ac:dyDescent="0.3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49"/>
        <v>0</v>
      </c>
      <c r="AI87" s="11">
        <f t="shared" si="50"/>
        <v>0</v>
      </c>
      <c r="AK87" s="19"/>
      <c r="AL87" s="108" t="s">
        <v>177</v>
      </c>
      <c r="AM87" s="108"/>
      <c r="AY87" s="78"/>
      <c r="BF87" s="78"/>
      <c r="BG87" s="78">
        <v>35</v>
      </c>
      <c r="BH87" s="78">
        <v>0</v>
      </c>
      <c r="BI87" s="78">
        <v>235</v>
      </c>
      <c r="BJ87" s="78">
        <v>0</v>
      </c>
      <c r="BK87" s="78">
        <v>0</v>
      </c>
      <c r="BL87" s="78">
        <v>50.3</v>
      </c>
    </row>
    <row r="88" spans="1:64" x14ac:dyDescent="0.25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49"/>
        <v>0</v>
      </c>
      <c r="AI88" s="11">
        <f t="shared" si="50"/>
        <v>0</v>
      </c>
      <c r="AK88" s="107"/>
      <c r="AL88" s="106"/>
      <c r="AM88" s="106"/>
      <c r="AN88" s="105"/>
      <c r="AY88" s="78"/>
      <c r="BF88" s="78"/>
      <c r="BG88" s="78">
        <v>33.799999999999997</v>
      </c>
      <c r="BH88" s="78">
        <v>0</v>
      </c>
      <c r="BI88" s="78">
        <v>245.4</v>
      </c>
      <c r="BJ88" s="78">
        <v>0</v>
      </c>
      <c r="BK88" s="78">
        <v>0</v>
      </c>
      <c r="BL88" s="78">
        <v>52.4</v>
      </c>
    </row>
    <row r="89" spans="1:64" x14ac:dyDescent="0.25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49"/>
        <v>0</v>
      </c>
      <c r="AI89" s="11">
        <f t="shared" si="50"/>
        <v>0</v>
      </c>
      <c r="AK89" s="104" t="s">
        <v>174</v>
      </c>
      <c r="AL89" s="70"/>
      <c r="AM89" s="85"/>
      <c r="AN89" s="103"/>
      <c r="AY89" s="78"/>
      <c r="BF89" s="78"/>
      <c r="BG89" s="78">
        <v>73.900000000000006</v>
      </c>
      <c r="BH89" s="78">
        <v>0</v>
      </c>
      <c r="BI89" s="78">
        <v>260</v>
      </c>
      <c r="BJ89" s="78">
        <v>48.8</v>
      </c>
      <c r="BK89" s="78">
        <v>0</v>
      </c>
      <c r="BL89" s="78">
        <v>50</v>
      </c>
    </row>
    <row r="90" spans="1:64" x14ac:dyDescent="0.25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49"/>
        <v>0</v>
      </c>
      <c r="AI90" s="11">
        <f t="shared" si="50"/>
        <v>0</v>
      </c>
      <c r="AK90" s="104" t="s">
        <v>172</v>
      </c>
      <c r="AL90" s="85"/>
      <c r="AM90" s="85"/>
      <c r="AN90" s="103"/>
      <c r="AY90" s="78"/>
      <c r="BF90" s="78"/>
      <c r="BG90" s="78">
        <v>68</v>
      </c>
      <c r="BH90" s="78">
        <v>0</v>
      </c>
      <c r="BI90" s="78">
        <v>545</v>
      </c>
      <c r="BJ90" s="78">
        <v>47.8</v>
      </c>
      <c r="BK90" s="78">
        <v>0</v>
      </c>
      <c r="BL90" s="78">
        <v>47.9</v>
      </c>
    </row>
    <row r="91" spans="1:64" ht="15.75" thickBot="1" x14ac:dyDescent="0.3">
      <c r="A91" s="82" t="s">
        <v>171</v>
      </c>
      <c r="B91" s="97">
        <v>57.8</v>
      </c>
      <c r="C91" s="97">
        <v>57.7</v>
      </c>
      <c r="D91" s="97">
        <v>56.5</v>
      </c>
      <c r="E91" s="97">
        <v>54.4</v>
      </c>
      <c r="F91" s="97">
        <v>50.3</v>
      </c>
      <c r="G91" s="97">
        <v>52.4</v>
      </c>
      <c r="H91" s="97">
        <v>50</v>
      </c>
      <c r="I91" s="97">
        <v>50</v>
      </c>
      <c r="J91" s="97">
        <v>50.2</v>
      </c>
      <c r="K91" s="97">
        <v>47.9</v>
      </c>
      <c r="L91" s="97">
        <v>48</v>
      </c>
      <c r="M91" s="97">
        <v>46.5</v>
      </c>
      <c r="N91" s="97">
        <v>45</v>
      </c>
      <c r="O91" s="97">
        <v>49.5</v>
      </c>
      <c r="P91" s="97">
        <v>52</v>
      </c>
      <c r="Q91" s="97">
        <v>52</v>
      </c>
      <c r="R91" s="97">
        <v>52</v>
      </c>
      <c r="S91" s="97">
        <v>55.5</v>
      </c>
      <c r="T91" s="97">
        <v>54.6</v>
      </c>
      <c r="U91" s="97">
        <v>55.8</v>
      </c>
      <c r="V91" s="97">
        <v>47.1</v>
      </c>
      <c r="W91" s="97">
        <v>45.6</v>
      </c>
      <c r="X91" s="97">
        <v>48</v>
      </c>
      <c r="Y91" s="97">
        <v>46</v>
      </c>
      <c r="Z91" s="97">
        <v>51</v>
      </c>
      <c r="AA91" s="97">
        <v>51.6</v>
      </c>
      <c r="AB91" s="97">
        <v>50.5</v>
      </c>
      <c r="AC91" s="97">
        <v>51</v>
      </c>
      <c r="AD91" s="97">
        <v>51</v>
      </c>
      <c r="AE91" s="97">
        <v>53</v>
      </c>
      <c r="AF91" s="97">
        <v>51</v>
      </c>
      <c r="AG91" s="80"/>
      <c r="AH91" s="12">
        <f t="shared" si="49"/>
        <v>57.8</v>
      </c>
      <c r="AI91" s="11">
        <f t="shared" si="50"/>
        <v>45</v>
      </c>
      <c r="AK91" s="98"/>
      <c r="AL91" s="102"/>
      <c r="AM91" s="102"/>
      <c r="AN91" s="101"/>
      <c r="AY91" s="78"/>
      <c r="BF91" s="78"/>
      <c r="BG91" s="78">
        <v>61.7</v>
      </c>
      <c r="BH91" s="78">
        <v>0</v>
      </c>
      <c r="BI91" s="78">
        <v>505</v>
      </c>
      <c r="BJ91" s="78">
        <v>46</v>
      </c>
      <c r="BK91" s="78">
        <v>0</v>
      </c>
      <c r="BL91" s="78">
        <v>46.5</v>
      </c>
    </row>
    <row r="92" spans="1:64" ht="15.75" thickBot="1" x14ac:dyDescent="0.3">
      <c r="A92" s="77" t="s">
        <v>170</v>
      </c>
      <c r="B92" s="76">
        <f t="shared" ref="B92" si="51">SUMIF(B81:B91,"&gt;0")</f>
        <v>331.90000000000003</v>
      </c>
      <c r="C92" s="76">
        <f t="shared" ref="C92:AB92" si="52">SUMIF(C81:C91,"&gt;0")</f>
        <v>315.2</v>
      </c>
      <c r="D92" s="76">
        <f t="shared" si="52"/>
        <v>313.89999999999998</v>
      </c>
      <c r="E92" s="76">
        <f t="shared" si="52"/>
        <v>312.79999999999995</v>
      </c>
      <c r="F92" s="76">
        <f t="shared" si="52"/>
        <v>320.3</v>
      </c>
      <c r="G92" s="76">
        <f t="shared" si="52"/>
        <v>331.59999999999997</v>
      </c>
      <c r="H92" s="76">
        <f t="shared" si="52"/>
        <v>328</v>
      </c>
      <c r="I92" s="76">
        <f t="shared" si="52"/>
        <v>432.7</v>
      </c>
      <c r="J92" s="76">
        <f t="shared" si="52"/>
        <v>714.2</v>
      </c>
      <c r="K92" s="76">
        <f t="shared" si="52"/>
        <v>708.69999999999993</v>
      </c>
      <c r="L92" s="76">
        <f t="shared" si="52"/>
        <v>682.4</v>
      </c>
      <c r="M92" s="76">
        <f t="shared" si="52"/>
        <v>659.2</v>
      </c>
      <c r="N92" s="76">
        <f t="shared" si="52"/>
        <v>713</v>
      </c>
      <c r="O92" s="76">
        <f t="shared" si="52"/>
        <v>693.5</v>
      </c>
      <c r="P92" s="76">
        <f t="shared" si="52"/>
        <v>699.6</v>
      </c>
      <c r="Q92" s="76">
        <f t="shared" si="52"/>
        <v>699.6</v>
      </c>
      <c r="R92" s="76">
        <f t="shared" si="52"/>
        <v>699.6</v>
      </c>
      <c r="S92" s="76">
        <f t="shared" si="52"/>
        <v>870.8</v>
      </c>
      <c r="T92" s="76">
        <f t="shared" si="52"/>
        <v>845.80000000000007</v>
      </c>
      <c r="U92" s="76">
        <f t="shared" si="52"/>
        <v>879.90999999999985</v>
      </c>
      <c r="V92" s="76">
        <f t="shared" si="52"/>
        <v>892.6400000000001</v>
      </c>
      <c r="W92" s="76">
        <f t="shared" si="52"/>
        <v>869.6</v>
      </c>
      <c r="X92" s="76">
        <f t="shared" si="52"/>
        <v>713.5</v>
      </c>
      <c r="Y92" s="76">
        <f t="shared" si="52"/>
        <v>593</v>
      </c>
      <c r="Z92" s="76">
        <f t="shared" si="52"/>
        <v>526.20000000000005</v>
      </c>
      <c r="AA92" s="76">
        <f t="shared" si="52"/>
        <v>519.1</v>
      </c>
      <c r="AB92" s="76">
        <f t="shared" si="52"/>
        <v>515</v>
      </c>
      <c r="AC92" s="76">
        <f t="shared" ref="AC92:AD92" si="53">SUMIF(AC81:AC91,"&gt;0")</f>
        <v>495</v>
      </c>
      <c r="AD92" s="76">
        <f t="shared" si="53"/>
        <v>495</v>
      </c>
      <c r="AE92" s="76">
        <f t="shared" ref="AE92:AF92" si="54">SUMIF(AE81:AE91,"&gt;0")</f>
        <v>268</v>
      </c>
      <c r="AF92" s="76">
        <f t="shared" si="54"/>
        <v>177</v>
      </c>
      <c r="AG92" s="75">
        <f>SUM(AG81:AG91)</f>
        <v>0</v>
      </c>
      <c r="AH92" s="12">
        <f t="shared" si="49"/>
        <v>892.6400000000001</v>
      </c>
      <c r="AI92" s="11">
        <f t="shared" si="50"/>
        <v>177</v>
      </c>
      <c r="AK92" s="98"/>
      <c r="AL92" s="97"/>
      <c r="AM92" s="100"/>
      <c r="AN92" s="220"/>
      <c r="AY92" s="78"/>
      <c r="BF92" s="78"/>
      <c r="BG92" s="78">
        <v>75</v>
      </c>
      <c r="BH92" s="78">
        <v>0</v>
      </c>
      <c r="BI92" s="78">
        <v>536</v>
      </c>
      <c r="BJ92" s="78">
        <v>57</v>
      </c>
      <c r="BK92" s="78">
        <v>0</v>
      </c>
      <c r="BL92" s="78">
        <v>45</v>
      </c>
    </row>
    <row r="93" spans="1:64" x14ac:dyDescent="0.25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49"/>
        <v>0</v>
      </c>
      <c r="AI93" s="11">
        <f t="shared" si="50"/>
        <v>0</v>
      </c>
      <c r="AK93" s="98"/>
      <c r="AL93" s="97"/>
      <c r="AM93" s="97"/>
      <c r="AN93" s="221"/>
      <c r="BF93" s="78"/>
      <c r="BG93" s="78">
        <v>69.3</v>
      </c>
      <c r="BH93" s="78">
        <v>0</v>
      </c>
      <c r="BI93" s="78">
        <v>520</v>
      </c>
      <c r="BJ93" s="78">
        <v>54.7</v>
      </c>
      <c r="BK93" s="78">
        <v>0</v>
      </c>
      <c r="BL93" s="78">
        <v>49.5</v>
      </c>
    </row>
    <row r="94" spans="1:64" ht="15.75" thickBot="1" x14ac:dyDescent="0.3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49"/>
        <v>0</v>
      </c>
      <c r="AI94" s="11">
        <f t="shared" si="50"/>
        <v>0</v>
      </c>
      <c r="AK94" s="95"/>
      <c r="AL94" s="67"/>
      <c r="AM94" s="67"/>
      <c r="AN94" s="94"/>
      <c r="BF94" s="78"/>
      <c r="BG94" s="78">
        <v>72</v>
      </c>
      <c r="BH94" s="78">
        <v>0</v>
      </c>
      <c r="BI94" s="78">
        <v>542</v>
      </c>
      <c r="BJ94" s="78">
        <v>33.6</v>
      </c>
      <c r="BK94" s="78">
        <v>0</v>
      </c>
      <c r="BL94" s="78">
        <v>52</v>
      </c>
    </row>
    <row r="95" spans="1:64" ht="15.75" thickBot="1" x14ac:dyDescent="0.3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49"/>
        <v>0</v>
      </c>
      <c r="AI95" s="11">
        <f t="shared" si="50"/>
        <v>0</v>
      </c>
      <c r="BF95" s="78"/>
      <c r="BG95" s="78">
        <v>72</v>
      </c>
      <c r="BH95" s="78">
        <v>0</v>
      </c>
      <c r="BI95" s="78">
        <v>542</v>
      </c>
      <c r="BJ95" s="78">
        <v>33.6</v>
      </c>
      <c r="BK95" s="78">
        <v>0</v>
      </c>
      <c r="BL95" s="78">
        <v>52</v>
      </c>
    </row>
    <row r="96" spans="1:64" ht="15.75" thickBot="1" x14ac:dyDescent="0.3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>
        <v>0</v>
      </c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49"/>
        <v>0</v>
      </c>
      <c r="AI96" s="11">
        <f t="shared" si="50"/>
        <v>0</v>
      </c>
      <c r="BF96" s="78"/>
      <c r="BG96" s="78">
        <v>72</v>
      </c>
      <c r="BH96" s="78">
        <v>0</v>
      </c>
      <c r="BI96" s="78">
        <v>542</v>
      </c>
      <c r="BJ96" s="78">
        <v>33.6</v>
      </c>
      <c r="BK96" s="78">
        <v>0</v>
      </c>
      <c r="BL96" s="78">
        <v>52</v>
      </c>
    </row>
    <row r="97" spans="1:64" ht="15.75" thickBot="1" x14ac:dyDescent="0.3">
      <c r="A97" s="77" t="s">
        <v>165</v>
      </c>
      <c r="B97" s="90">
        <f t="shared" ref="B97" si="55">B58+B62+B80+B76+B92+B96</f>
        <v>1343.5400000000002</v>
      </c>
      <c r="C97" s="90">
        <f t="shared" ref="C97:AG97" si="56">C58+C62+C80+C76+C92+C96</f>
        <v>1324.54</v>
      </c>
      <c r="D97" s="90">
        <f t="shared" si="56"/>
        <v>1282.54</v>
      </c>
      <c r="E97" s="90">
        <f t="shared" si="56"/>
        <v>1269.4399999999998</v>
      </c>
      <c r="F97" s="90">
        <f t="shared" si="56"/>
        <v>1257.1400000000001</v>
      </c>
      <c r="G97" s="90">
        <f t="shared" si="56"/>
        <v>1273.04</v>
      </c>
      <c r="H97" s="90">
        <f t="shared" si="56"/>
        <v>1296.94</v>
      </c>
      <c r="I97" s="90">
        <f t="shared" si="56"/>
        <v>1490.5400000000002</v>
      </c>
      <c r="J97" s="90">
        <f t="shared" si="56"/>
        <v>1742.14</v>
      </c>
      <c r="K97" s="90">
        <f t="shared" si="56"/>
        <v>1728.74</v>
      </c>
      <c r="L97" s="90">
        <f t="shared" si="56"/>
        <v>1703.6400000000003</v>
      </c>
      <c r="M97" s="90">
        <f t="shared" si="56"/>
        <v>1054.44</v>
      </c>
      <c r="N97" s="90">
        <f t="shared" si="56"/>
        <v>1734.2400000000002</v>
      </c>
      <c r="O97" s="90">
        <f t="shared" si="56"/>
        <v>1714.7400000000002</v>
      </c>
      <c r="P97" s="90">
        <f t="shared" si="56"/>
        <v>1629.14</v>
      </c>
      <c r="Q97" s="90">
        <f t="shared" si="56"/>
        <v>1618.14</v>
      </c>
      <c r="R97" s="90">
        <f t="shared" si="56"/>
        <v>1618.14</v>
      </c>
      <c r="S97" s="90">
        <f t="shared" si="56"/>
        <v>1744.25</v>
      </c>
      <c r="T97" s="90">
        <f t="shared" si="56"/>
        <v>1719.25</v>
      </c>
      <c r="U97" s="90">
        <f t="shared" si="56"/>
        <v>1763.36</v>
      </c>
      <c r="V97" s="90">
        <f t="shared" si="56"/>
        <v>1752.4800000000002</v>
      </c>
      <c r="W97" s="90">
        <f t="shared" si="56"/>
        <v>1585.78</v>
      </c>
      <c r="X97" s="90">
        <f t="shared" si="56"/>
        <v>1487.58</v>
      </c>
      <c r="Y97" s="90">
        <f t="shared" si="56"/>
        <v>1554.84</v>
      </c>
      <c r="Z97" s="90">
        <f t="shared" si="56"/>
        <v>1537.27</v>
      </c>
      <c r="AA97" s="90">
        <f t="shared" si="56"/>
        <v>1534.41</v>
      </c>
      <c r="AB97" s="90">
        <f t="shared" si="56"/>
        <v>1598.91</v>
      </c>
      <c r="AC97" s="90">
        <f t="shared" ref="AC97:AD97" si="57">AC58+AC62+AC80+AC76+AC92+AC96</f>
        <v>1572.91</v>
      </c>
      <c r="AD97" s="90">
        <f t="shared" si="57"/>
        <v>1671.91</v>
      </c>
      <c r="AE97" s="90">
        <f t="shared" ref="AE97:AF97" si="58">AE58+AE62+AE80+AE76+AE92+AE96</f>
        <v>1481.1100000000001</v>
      </c>
      <c r="AF97" s="90">
        <f t="shared" si="58"/>
        <v>1384.81</v>
      </c>
      <c r="AG97" s="93">
        <f t="shared" si="56"/>
        <v>2231.81</v>
      </c>
      <c r="AH97" s="12">
        <f t="shared" si="49"/>
        <v>1763.36</v>
      </c>
      <c r="AI97" s="11">
        <f t="shared" si="50"/>
        <v>1054.44</v>
      </c>
      <c r="BF97" s="78"/>
      <c r="BG97" s="78">
        <v>79.8</v>
      </c>
      <c r="BH97" s="78">
        <v>0</v>
      </c>
      <c r="BI97" s="78">
        <v>568</v>
      </c>
      <c r="BJ97" s="78">
        <v>42.5</v>
      </c>
      <c r="BK97" s="78">
        <v>125</v>
      </c>
      <c r="BL97" s="78">
        <v>55.5</v>
      </c>
    </row>
    <row r="98" spans="1:64" ht="15.75" thickBot="1" x14ac:dyDescent="0.3">
      <c r="A98" s="92" t="s">
        <v>164</v>
      </c>
      <c r="B98" s="91">
        <v>280</v>
      </c>
      <c r="C98" s="91">
        <v>280</v>
      </c>
      <c r="D98" s="91">
        <v>250</v>
      </c>
      <c r="E98" s="91">
        <v>250</v>
      </c>
      <c r="F98" s="91">
        <v>250</v>
      </c>
      <c r="G98" s="91">
        <v>250</v>
      </c>
      <c r="H98" s="91">
        <v>250</v>
      </c>
      <c r="I98" s="91">
        <v>200</v>
      </c>
      <c r="J98" s="91">
        <v>50</v>
      </c>
      <c r="K98" s="91">
        <v>50</v>
      </c>
      <c r="L98" s="91">
        <v>50</v>
      </c>
      <c r="M98" s="91">
        <v>50</v>
      </c>
      <c r="N98" s="91">
        <v>80</v>
      </c>
      <c r="O98" s="91">
        <v>80</v>
      </c>
      <c r="P98" s="91">
        <v>100</v>
      </c>
      <c r="Q98" s="91">
        <v>100</v>
      </c>
      <c r="R98" s="91">
        <v>100</v>
      </c>
      <c r="S98" s="91">
        <v>50</v>
      </c>
      <c r="T98" s="91">
        <v>50</v>
      </c>
      <c r="U98" s="91">
        <v>25</v>
      </c>
      <c r="V98" s="91">
        <v>25</v>
      </c>
      <c r="W98" s="91">
        <v>150</v>
      </c>
      <c r="X98" s="91">
        <v>200</v>
      </c>
      <c r="Y98" s="91">
        <v>280</v>
      </c>
      <c r="Z98" s="91">
        <v>300</v>
      </c>
      <c r="AA98" s="91">
        <v>300</v>
      </c>
      <c r="AB98" s="91">
        <v>300</v>
      </c>
      <c r="AC98" s="91">
        <v>300</v>
      </c>
      <c r="AD98" s="91">
        <v>300</v>
      </c>
      <c r="AE98" s="91">
        <v>300</v>
      </c>
      <c r="AF98" s="91">
        <v>300</v>
      </c>
      <c r="AG98" s="75"/>
      <c r="AH98" s="12">
        <f t="shared" si="49"/>
        <v>300</v>
      </c>
      <c r="AI98" s="11">
        <f t="shared" si="50"/>
        <v>25</v>
      </c>
      <c r="BF98" s="78"/>
      <c r="BG98" s="78">
        <v>80</v>
      </c>
      <c r="BH98" s="78">
        <v>0</v>
      </c>
      <c r="BI98" s="78">
        <v>541</v>
      </c>
      <c r="BJ98" s="78">
        <v>45.6</v>
      </c>
      <c r="BK98" s="78">
        <v>124.6</v>
      </c>
      <c r="BL98" s="78">
        <v>54.6</v>
      </c>
    </row>
    <row r="99" spans="1:64" ht="15.75" thickBot="1" x14ac:dyDescent="0.3">
      <c r="A99" s="77" t="s">
        <v>163</v>
      </c>
      <c r="B99" s="90">
        <f t="shared" ref="B99" si="59">B97+B98</f>
        <v>1623.5400000000002</v>
      </c>
      <c r="C99" s="90">
        <f t="shared" ref="C99:AB99" si="60">C97+C98</f>
        <v>1604.54</v>
      </c>
      <c r="D99" s="90">
        <f t="shared" si="60"/>
        <v>1532.54</v>
      </c>
      <c r="E99" s="90">
        <f t="shared" si="60"/>
        <v>1519.4399999999998</v>
      </c>
      <c r="F99" s="90">
        <f t="shared" si="60"/>
        <v>1507.14</v>
      </c>
      <c r="G99" s="90">
        <f t="shared" si="60"/>
        <v>1523.04</v>
      </c>
      <c r="H99" s="90">
        <f t="shared" si="60"/>
        <v>1546.94</v>
      </c>
      <c r="I99" s="90">
        <f t="shared" si="60"/>
        <v>1690.5400000000002</v>
      </c>
      <c r="J99" s="90">
        <f t="shared" si="60"/>
        <v>1792.14</v>
      </c>
      <c r="K99" s="90">
        <f t="shared" si="60"/>
        <v>1778.74</v>
      </c>
      <c r="L99" s="90">
        <f t="shared" si="60"/>
        <v>1753.6400000000003</v>
      </c>
      <c r="M99" s="90">
        <f t="shared" si="60"/>
        <v>1104.44</v>
      </c>
      <c r="N99" s="90">
        <f t="shared" si="60"/>
        <v>1814.2400000000002</v>
      </c>
      <c r="O99" s="90">
        <f t="shared" si="60"/>
        <v>1794.7400000000002</v>
      </c>
      <c r="P99" s="90">
        <f t="shared" si="60"/>
        <v>1729.14</v>
      </c>
      <c r="Q99" s="90">
        <f t="shared" si="60"/>
        <v>1718.14</v>
      </c>
      <c r="R99" s="90">
        <f t="shared" si="60"/>
        <v>1718.14</v>
      </c>
      <c r="S99" s="90">
        <f t="shared" si="60"/>
        <v>1794.25</v>
      </c>
      <c r="T99" s="90">
        <f t="shared" si="60"/>
        <v>1769.25</v>
      </c>
      <c r="U99" s="90">
        <f t="shared" si="60"/>
        <v>1788.36</v>
      </c>
      <c r="V99" s="90">
        <f t="shared" si="60"/>
        <v>1777.4800000000002</v>
      </c>
      <c r="W99" s="90">
        <f t="shared" si="60"/>
        <v>1735.78</v>
      </c>
      <c r="X99" s="90">
        <f t="shared" si="60"/>
        <v>1687.58</v>
      </c>
      <c r="Y99" s="90">
        <f t="shared" si="60"/>
        <v>1834.84</v>
      </c>
      <c r="Z99" s="90">
        <f t="shared" si="60"/>
        <v>1837.27</v>
      </c>
      <c r="AA99" s="90">
        <f t="shared" si="60"/>
        <v>1834.41</v>
      </c>
      <c r="AB99" s="90">
        <f t="shared" si="60"/>
        <v>1898.91</v>
      </c>
      <c r="AC99" s="90">
        <f t="shared" ref="AC99:AD99" si="61">AC97+AC98</f>
        <v>1872.91</v>
      </c>
      <c r="AD99" s="90">
        <f t="shared" si="61"/>
        <v>1971.91</v>
      </c>
      <c r="AE99" s="90">
        <f t="shared" ref="AE99:AF99" si="62">AE97+AE98</f>
        <v>1781.1100000000001</v>
      </c>
      <c r="AF99" s="90">
        <f t="shared" si="62"/>
        <v>1684.81</v>
      </c>
      <c r="AG99" s="75">
        <f>AG96+AG92+AG80+AG76+AG58+AG98</f>
        <v>1693.71</v>
      </c>
      <c r="AH99" s="12">
        <f t="shared" si="49"/>
        <v>1971.91</v>
      </c>
      <c r="AI99" s="11">
        <f t="shared" si="50"/>
        <v>1104.44</v>
      </c>
      <c r="BF99" s="78"/>
      <c r="BG99" s="78">
        <v>76.8</v>
      </c>
      <c r="BH99" s="78">
        <v>110</v>
      </c>
      <c r="BI99" s="78">
        <v>469</v>
      </c>
      <c r="BJ99" s="78">
        <v>52.9</v>
      </c>
      <c r="BK99" s="78">
        <v>115.41</v>
      </c>
      <c r="BL99" s="78">
        <v>55.8</v>
      </c>
    </row>
    <row r="100" spans="1:64" ht="15.75" thickBot="1" x14ac:dyDescent="0.3">
      <c r="A100" s="77" t="s">
        <v>162</v>
      </c>
      <c r="B100" s="90">
        <f t="shared" ref="B100" si="63">B99-(B107)</f>
        <v>1623.5400000000002</v>
      </c>
      <c r="C100" s="90">
        <f t="shared" ref="C100:AB100" si="64">C99-(C107)</f>
        <v>1604.54</v>
      </c>
      <c r="D100" s="90">
        <f t="shared" si="64"/>
        <v>1532.54</v>
      </c>
      <c r="E100" s="90">
        <f t="shared" si="64"/>
        <v>1519.4399999999998</v>
      </c>
      <c r="F100" s="90">
        <f t="shared" si="64"/>
        <v>1507.14</v>
      </c>
      <c r="G100" s="90">
        <f t="shared" si="64"/>
        <v>1523.04</v>
      </c>
      <c r="H100" s="90">
        <f t="shared" si="64"/>
        <v>1546.94</v>
      </c>
      <c r="I100" s="90">
        <f t="shared" si="64"/>
        <v>1690.5400000000002</v>
      </c>
      <c r="J100" s="90">
        <f t="shared" si="64"/>
        <v>1792.14</v>
      </c>
      <c r="K100" s="90">
        <f t="shared" si="64"/>
        <v>1778.74</v>
      </c>
      <c r="L100" s="90">
        <f t="shared" si="64"/>
        <v>1753.6400000000003</v>
      </c>
      <c r="M100" s="90">
        <f t="shared" si="64"/>
        <v>1104.44</v>
      </c>
      <c r="N100" s="90">
        <f t="shared" si="64"/>
        <v>1814.2400000000002</v>
      </c>
      <c r="O100" s="90">
        <f t="shared" si="64"/>
        <v>1794.7400000000002</v>
      </c>
      <c r="P100" s="90">
        <f t="shared" si="64"/>
        <v>1729.14</v>
      </c>
      <c r="Q100" s="90">
        <f t="shared" si="64"/>
        <v>1718.14</v>
      </c>
      <c r="R100" s="90">
        <f t="shared" si="64"/>
        <v>1718.14</v>
      </c>
      <c r="S100" s="90">
        <f t="shared" si="64"/>
        <v>1794.25</v>
      </c>
      <c r="T100" s="90">
        <f t="shared" si="64"/>
        <v>1769.25</v>
      </c>
      <c r="U100" s="90">
        <f t="shared" si="64"/>
        <v>1788.36</v>
      </c>
      <c r="V100" s="90">
        <f t="shared" si="64"/>
        <v>1777.4800000000002</v>
      </c>
      <c r="W100" s="90">
        <f t="shared" si="64"/>
        <v>1735.78</v>
      </c>
      <c r="X100" s="90">
        <f t="shared" si="64"/>
        <v>1687.58</v>
      </c>
      <c r="Y100" s="90">
        <f t="shared" si="64"/>
        <v>1834.84</v>
      </c>
      <c r="Z100" s="90">
        <f t="shared" si="64"/>
        <v>1837.27</v>
      </c>
      <c r="AA100" s="90">
        <f t="shared" si="64"/>
        <v>1834.41</v>
      </c>
      <c r="AB100" s="90">
        <f t="shared" si="64"/>
        <v>1898.91</v>
      </c>
      <c r="AC100" s="90">
        <f t="shared" ref="AC100:AD100" si="65">AC99-(AC107)</f>
        <v>1872.91</v>
      </c>
      <c r="AD100" s="90">
        <f t="shared" si="65"/>
        <v>1971.91</v>
      </c>
      <c r="AE100" s="90">
        <f t="shared" ref="AE100:AF100" si="66">AE99-(AE107)</f>
        <v>1781.1100000000001</v>
      </c>
      <c r="AF100" s="90">
        <f t="shared" si="66"/>
        <v>1684.81</v>
      </c>
      <c r="AG100" s="75"/>
      <c r="AH100" s="12">
        <f t="shared" si="49"/>
        <v>1971.91</v>
      </c>
      <c r="AI100" s="11">
        <f t="shared" si="50"/>
        <v>1104.44</v>
      </c>
      <c r="BF100" s="78"/>
      <c r="BG100" s="78">
        <v>77.099999999999994</v>
      </c>
      <c r="BH100" s="78">
        <v>115.1</v>
      </c>
      <c r="BI100" s="78">
        <v>482</v>
      </c>
      <c r="BJ100" s="78">
        <v>47.1</v>
      </c>
      <c r="BK100" s="78">
        <v>124.24</v>
      </c>
      <c r="BL100" s="78">
        <v>47.1</v>
      </c>
    </row>
    <row r="101" spans="1:64" x14ac:dyDescent="0.25">
      <c r="A101" s="89" t="s">
        <v>161</v>
      </c>
      <c r="B101" s="85">
        <f t="shared" ref="B101" si="67">IF(B84&lt;0,B84*-1,0)</f>
        <v>0</v>
      </c>
      <c r="C101" s="85">
        <f t="shared" ref="C101:AB101" si="68">IF(C84&lt;0,C84*-1,0)</f>
        <v>0</v>
      </c>
      <c r="D101" s="85">
        <f t="shared" si="68"/>
        <v>0</v>
      </c>
      <c r="E101" s="85">
        <f t="shared" si="68"/>
        <v>0</v>
      </c>
      <c r="F101" s="85">
        <f t="shared" si="68"/>
        <v>0</v>
      </c>
      <c r="G101" s="85">
        <f t="shared" si="68"/>
        <v>0</v>
      </c>
      <c r="H101" s="85">
        <f t="shared" si="68"/>
        <v>0</v>
      </c>
      <c r="I101" s="85">
        <f t="shared" si="68"/>
        <v>0</v>
      </c>
      <c r="J101" s="85">
        <f t="shared" si="68"/>
        <v>0</v>
      </c>
      <c r="K101" s="85">
        <f t="shared" si="68"/>
        <v>0</v>
      </c>
      <c r="L101" s="85">
        <f t="shared" si="68"/>
        <v>0</v>
      </c>
      <c r="M101" s="85">
        <f t="shared" si="68"/>
        <v>0</v>
      </c>
      <c r="N101" s="85">
        <f t="shared" si="68"/>
        <v>0</v>
      </c>
      <c r="O101" s="85">
        <f t="shared" si="68"/>
        <v>0</v>
      </c>
      <c r="P101" s="85">
        <f t="shared" si="68"/>
        <v>0</v>
      </c>
      <c r="Q101" s="85">
        <f t="shared" si="68"/>
        <v>0</v>
      </c>
      <c r="R101" s="85">
        <f t="shared" si="68"/>
        <v>0</v>
      </c>
      <c r="S101" s="85">
        <f t="shared" si="68"/>
        <v>0</v>
      </c>
      <c r="T101" s="85">
        <f t="shared" si="68"/>
        <v>0</v>
      </c>
      <c r="U101" s="85">
        <f t="shared" si="68"/>
        <v>0</v>
      </c>
      <c r="V101" s="85">
        <f t="shared" si="68"/>
        <v>0</v>
      </c>
      <c r="W101" s="85">
        <f t="shared" si="68"/>
        <v>0</v>
      </c>
      <c r="X101" s="85">
        <f t="shared" si="68"/>
        <v>0</v>
      </c>
      <c r="Y101" s="85">
        <f t="shared" si="68"/>
        <v>0</v>
      </c>
      <c r="Z101" s="85">
        <f t="shared" si="68"/>
        <v>0</v>
      </c>
      <c r="AA101" s="85">
        <f t="shared" si="68"/>
        <v>0</v>
      </c>
      <c r="AB101" s="85">
        <f t="shared" si="68"/>
        <v>0</v>
      </c>
      <c r="AC101" s="85">
        <f t="shared" ref="AC101:AD101" si="69">IF(AC84&lt;0,AC84*-1,0)</f>
        <v>0</v>
      </c>
      <c r="AD101" s="85">
        <f t="shared" si="69"/>
        <v>0</v>
      </c>
      <c r="AE101" s="85">
        <f t="shared" ref="AE101:AF101" si="70">IF(AE84&lt;0,AE84*-1,0)</f>
        <v>0</v>
      </c>
      <c r="AF101" s="85">
        <f t="shared" si="70"/>
        <v>0</v>
      </c>
      <c r="AG101" s="88"/>
      <c r="AH101" s="12">
        <f t="shared" si="49"/>
        <v>0</v>
      </c>
      <c r="AI101" s="11">
        <f t="shared" si="50"/>
        <v>0</v>
      </c>
      <c r="BF101" s="83"/>
      <c r="BG101" s="78">
        <v>77</v>
      </c>
      <c r="BH101" s="78">
        <v>38.5</v>
      </c>
      <c r="BI101" s="78">
        <v>418</v>
      </c>
      <c r="BJ101" s="78">
        <v>36</v>
      </c>
      <c r="BK101" s="78">
        <v>96</v>
      </c>
      <c r="BL101" s="78">
        <v>48</v>
      </c>
    </row>
    <row r="102" spans="1:64" x14ac:dyDescent="0.25">
      <c r="A102" s="87" t="s">
        <v>160</v>
      </c>
      <c r="B102" s="85">
        <f t="shared" ref="B102" si="71">IF(B82&lt;0,B82*-1,0)</f>
        <v>0</v>
      </c>
      <c r="C102" s="85">
        <f t="shared" ref="C102:AB102" si="72">IF(C82&lt;0,C82*-1,0)</f>
        <v>0</v>
      </c>
      <c r="D102" s="85">
        <f t="shared" si="72"/>
        <v>0</v>
      </c>
      <c r="E102" s="85">
        <f t="shared" si="72"/>
        <v>0</v>
      </c>
      <c r="F102" s="85">
        <f t="shared" si="72"/>
        <v>0</v>
      </c>
      <c r="G102" s="85">
        <f t="shared" si="72"/>
        <v>0</v>
      </c>
      <c r="H102" s="85">
        <f t="shared" si="72"/>
        <v>0</v>
      </c>
      <c r="I102" s="85">
        <f t="shared" si="72"/>
        <v>0</v>
      </c>
      <c r="J102" s="85">
        <f t="shared" si="72"/>
        <v>0</v>
      </c>
      <c r="K102" s="85">
        <f t="shared" si="72"/>
        <v>0</v>
      </c>
      <c r="L102" s="85">
        <f t="shared" si="72"/>
        <v>0</v>
      </c>
      <c r="M102" s="85">
        <f t="shared" si="72"/>
        <v>0</v>
      </c>
      <c r="N102" s="85">
        <f t="shared" si="72"/>
        <v>0</v>
      </c>
      <c r="O102" s="85">
        <f t="shared" si="72"/>
        <v>0</v>
      </c>
      <c r="P102" s="85">
        <f t="shared" si="72"/>
        <v>0</v>
      </c>
      <c r="Q102" s="85">
        <f t="shared" si="72"/>
        <v>0</v>
      </c>
      <c r="R102" s="85">
        <f t="shared" si="72"/>
        <v>0</v>
      </c>
      <c r="S102" s="85">
        <f t="shared" si="72"/>
        <v>0</v>
      </c>
      <c r="T102" s="85">
        <f t="shared" si="72"/>
        <v>0</v>
      </c>
      <c r="U102" s="85">
        <f t="shared" si="72"/>
        <v>0</v>
      </c>
      <c r="V102" s="85">
        <f t="shared" si="72"/>
        <v>0</v>
      </c>
      <c r="W102" s="85">
        <f t="shared" si="72"/>
        <v>0</v>
      </c>
      <c r="X102" s="85">
        <f t="shared" si="72"/>
        <v>0</v>
      </c>
      <c r="Y102" s="85">
        <f t="shared" si="72"/>
        <v>0</v>
      </c>
      <c r="Z102" s="85">
        <f t="shared" si="72"/>
        <v>0</v>
      </c>
      <c r="AA102" s="85">
        <f t="shared" si="72"/>
        <v>0</v>
      </c>
      <c r="AB102" s="85">
        <f t="shared" si="72"/>
        <v>0</v>
      </c>
      <c r="AC102" s="85">
        <f t="shared" ref="AC102:AD102" si="73">IF(AC82&lt;0,AC82*-1,0)</f>
        <v>0</v>
      </c>
      <c r="AD102" s="85">
        <f t="shared" si="73"/>
        <v>0</v>
      </c>
      <c r="AE102" s="85">
        <f t="shared" ref="AE102:AF102" si="74">IF(AE82&lt;0,AE82*-1,0)</f>
        <v>0</v>
      </c>
      <c r="AF102" s="85">
        <f t="shared" si="74"/>
        <v>0</v>
      </c>
      <c r="AG102" s="86"/>
      <c r="AH102" s="12">
        <f t="shared" si="49"/>
        <v>0</v>
      </c>
      <c r="AI102" s="11">
        <f t="shared" si="50"/>
        <v>0</v>
      </c>
      <c r="BF102" s="83"/>
      <c r="BG102" s="78">
        <v>72</v>
      </c>
      <c r="BH102" s="78">
        <v>0</v>
      </c>
      <c r="BI102" s="78">
        <v>403.2</v>
      </c>
      <c r="BJ102" s="78">
        <v>0</v>
      </c>
      <c r="BK102" s="78">
        <v>0</v>
      </c>
      <c r="BL102" s="78">
        <v>51</v>
      </c>
    </row>
    <row r="103" spans="1:64" x14ac:dyDescent="0.25">
      <c r="A103" s="82" t="s">
        <v>159</v>
      </c>
      <c r="B103" s="85">
        <f t="shared" ref="B103" si="75">IF(B85&lt;0,B85*-1,0)</f>
        <v>0</v>
      </c>
      <c r="C103" s="85">
        <f t="shared" ref="C103:AB103" si="76">IF(C85&lt;0,C85*-1,0)</f>
        <v>0</v>
      </c>
      <c r="D103" s="85">
        <f t="shared" si="76"/>
        <v>0</v>
      </c>
      <c r="E103" s="85">
        <f t="shared" si="76"/>
        <v>0</v>
      </c>
      <c r="F103" s="85">
        <f t="shared" si="76"/>
        <v>0</v>
      </c>
      <c r="G103" s="85">
        <f t="shared" si="76"/>
        <v>0</v>
      </c>
      <c r="H103" s="85">
        <f t="shared" si="76"/>
        <v>0</v>
      </c>
      <c r="I103" s="85">
        <f t="shared" si="76"/>
        <v>0</v>
      </c>
      <c r="J103" s="85">
        <f t="shared" si="76"/>
        <v>0</v>
      </c>
      <c r="K103" s="85">
        <f t="shared" si="76"/>
        <v>0</v>
      </c>
      <c r="L103" s="85">
        <f t="shared" si="76"/>
        <v>0</v>
      </c>
      <c r="M103" s="85">
        <f t="shared" si="76"/>
        <v>0</v>
      </c>
      <c r="N103" s="85">
        <f t="shared" si="76"/>
        <v>0</v>
      </c>
      <c r="O103" s="85">
        <f t="shared" si="76"/>
        <v>0</v>
      </c>
      <c r="P103" s="85">
        <f t="shared" si="76"/>
        <v>0</v>
      </c>
      <c r="Q103" s="85">
        <f t="shared" si="76"/>
        <v>0</v>
      </c>
      <c r="R103" s="85">
        <f t="shared" si="76"/>
        <v>0</v>
      </c>
      <c r="S103" s="85">
        <f t="shared" si="76"/>
        <v>0</v>
      </c>
      <c r="T103" s="85">
        <f t="shared" si="76"/>
        <v>0</v>
      </c>
      <c r="U103" s="85">
        <f t="shared" si="76"/>
        <v>0</v>
      </c>
      <c r="V103" s="85">
        <f t="shared" si="76"/>
        <v>0</v>
      </c>
      <c r="W103" s="85">
        <f t="shared" si="76"/>
        <v>0</v>
      </c>
      <c r="X103" s="85">
        <f t="shared" si="76"/>
        <v>0</v>
      </c>
      <c r="Y103" s="85">
        <f t="shared" si="76"/>
        <v>0</v>
      </c>
      <c r="Z103" s="85">
        <f t="shared" si="76"/>
        <v>0</v>
      </c>
      <c r="AA103" s="85">
        <f t="shared" si="76"/>
        <v>0</v>
      </c>
      <c r="AB103" s="85">
        <f t="shared" si="76"/>
        <v>0</v>
      </c>
      <c r="AC103" s="85">
        <f t="shared" ref="AC103:AD103" si="77">IF(AC85&lt;0,AC85*-1,0)</f>
        <v>0</v>
      </c>
      <c r="AD103" s="85">
        <f t="shared" si="77"/>
        <v>0</v>
      </c>
      <c r="AE103" s="85">
        <f t="shared" ref="AE103:AF103" si="78">IF(AE85&lt;0,AE85*-1,0)</f>
        <v>0</v>
      </c>
      <c r="AF103" s="85">
        <f t="shared" si="78"/>
        <v>0</v>
      </c>
      <c r="AG103" s="84"/>
      <c r="AH103" s="12">
        <f t="shared" si="49"/>
        <v>0</v>
      </c>
      <c r="AI103" s="11">
        <f t="shared" si="50"/>
        <v>0</v>
      </c>
      <c r="BF103" s="83"/>
      <c r="BG103" s="78">
        <v>75.5</v>
      </c>
      <c r="BH103" s="78">
        <v>0</v>
      </c>
      <c r="BI103" s="78">
        <v>389</v>
      </c>
      <c r="BJ103" s="78">
        <v>0</v>
      </c>
      <c r="BK103" s="78">
        <v>0</v>
      </c>
      <c r="BL103" s="78">
        <v>50.5</v>
      </c>
    </row>
    <row r="104" spans="1:64" x14ac:dyDescent="0.25">
      <c r="A104" s="82" t="s">
        <v>158</v>
      </c>
      <c r="B104" s="85">
        <f t="shared" ref="B104" si="79">IF(B83&lt;0,B83*-1,0)</f>
        <v>0</v>
      </c>
      <c r="C104" s="85">
        <f t="shared" ref="C104:AB104" si="80">IF(C83&lt;0,C83*-1,0)</f>
        <v>0</v>
      </c>
      <c r="D104" s="85">
        <f t="shared" si="80"/>
        <v>0</v>
      </c>
      <c r="E104" s="85">
        <f t="shared" si="80"/>
        <v>0</v>
      </c>
      <c r="F104" s="85">
        <f t="shared" si="80"/>
        <v>0</v>
      </c>
      <c r="G104" s="85">
        <f t="shared" si="80"/>
        <v>0</v>
      </c>
      <c r="H104" s="85">
        <f t="shared" si="80"/>
        <v>0</v>
      </c>
      <c r="I104" s="85">
        <f t="shared" si="80"/>
        <v>0</v>
      </c>
      <c r="J104" s="85">
        <f t="shared" si="80"/>
        <v>0</v>
      </c>
      <c r="K104" s="85">
        <f t="shared" si="80"/>
        <v>0</v>
      </c>
      <c r="L104" s="85">
        <f t="shared" si="80"/>
        <v>0</v>
      </c>
      <c r="M104" s="85">
        <f t="shared" si="80"/>
        <v>0</v>
      </c>
      <c r="N104" s="85">
        <f t="shared" si="80"/>
        <v>0</v>
      </c>
      <c r="O104" s="85">
        <f t="shared" si="80"/>
        <v>0</v>
      </c>
      <c r="P104" s="85">
        <f t="shared" si="80"/>
        <v>0</v>
      </c>
      <c r="Q104" s="85">
        <f t="shared" si="80"/>
        <v>0</v>
      </c>
      <c r="R104" s="85">
        <f t="shared" si="80"/>
        <v>0</v>
      </c>
      <c r="S104" s="85">
        <f t="shared" si="80"/>
        <v>0</v>
      </c>
      <c r="T104" s="85">
        <f t="shared" si="80"/>
        <v>0</v>
      </c>
      <c r="U104" s="85">
        <f t="shared" si="80"/>
        <v>0</v>
      </c>
      <c r="V104" s="85">
        <f t="shared" si="80"/>
        <v>0</v>
      </c>
      <c r="W104" s="85">
        <f t="shared" si="80"/>
        <v>0</v>
      </c>
      <c r="X104" s="85">
        <f t="shared" si="80"/>
        <v>0</v>
      </c>
      <c r="Y104" s="85">
        <f t="shared" si="80"/>
        <v>0</v>
      </c>
      <c r="Z104" s="85">
        <f t="shared" si="80"/>
        <v>0</v>
      </c>
      <c r="AA104" s="85">
        <f t="shared" si="80"/>
        <v>0</v>
      </c>
      <c r="AB104" s="85">
        <f t="shared" si="80"/>
        <v>0</v>
      </c>
      <c r="AC104" s="85">
        <f t="shared" ref="AC104:AD104" si="81">IF(AC83&lt;0,AC83*-1,0)</f>
        <v>0</v>
      </c>
      <c r="AD104" s="85">
        <f t="shared" si="81"/>
        <v>0</v>
      </c>
      <c r="AE104" s="85">
        <f t="shared" ref="AE104:AF104" si="82">IF(AE83&lt;0,AE83*-1,0)</f>
        <v>0</v>
      </c>
      <c r="AF104" s="85">
        <f t="shared" si="82"/>
        <v>0</v>
      </c>
      <c r="AG104" s="84"/>
      <c r="AH104" s="12">
        <f t="shared" si="49"/>
        <v>0</v>
      </c>
      <c r="AI104" s="11">
        <f t="shared" si="50"/>
        <v>0</v>
      </c>
      <c r="BF104" s="83"/>
      <c r="BG104" s="78">
        <v>76</v>
      </c>
      <c r="BH104" s="78">
        <v>0</v>
      </c>
      <c r="BI104" s="78">
        <v>368</v>
      </c>
      <c r="BJ104" s="78">
        <v>0</v>
      </c>
      <c r="BK104" s="78">
        <v>0</v>
      </c>
      <c r="BL104" s="78">
        <v>51</v>
      </c>
    </row>
    <row r="105" spans="1:64" x14ac:dyDescent="0.25">
      <c r="A105" s="82" t="s">
        <v>157</v>
      </c>
      <c r="B105" s="85">
        <f t="shared" ref="B105" si="83">IF(B81&lt;0,B81*-1,0)</f>
        <v>0</v>
      </c>
      <c r="C105" s="85">
        <f t="shared" ref="C105:AB105" si="84">IF(C81&lt;0,C81*-1,0)</f>
        <v>0</v>
      </c>
      <c r="D105" s="85">
        <f t="shared" si="84"/>
        <v>0</v>
      </c>
      <c r="E105" s="85">
        <f t="shared" si="84"/>
        <v>0</v>
      </c>
      <c r="F105" s="85">
        <f t="shared" si="84"/>
        <v>0</v>
      </c>
      <c r="G105" s="85">
        <f t="shared" si="84"/>
        <v>0</v>
      </c>
      <c r="H105" s="85">
        <f t="shared" si="84"/>
        <v>0</v>
      </c>
      <c r="I105" s="85">
        <f t="shared" si="84"/>
        <v>0</v>
      </c>
      <c r="J105" s="85">
        <f t="shared" si="84"/>
        <v>0</v>
      </c>
      <c r="K105" s="85">
        <f t="shared" si="84"/>
        <v>0</v>
      </c>
      <c r="L105" s="85">
        <f t="shared" si="84"/>
        <v>0</v>
      </c>
      <c r="M105" s="85">
        <f t="shared" si="84"/>
        <v>0</v>
      </c>
      <c r="N105" s="85">
        <f t="shared" si="84"/>
        <v>0</v>
      </c>
      <c r="O105" s="85">
        <f t="shared" si="84"/>
        <v>0</v>
      </c>
      <c r="P105" s="85">
        <f t="shared" si="84"/>
        <v>0</v>
      </c>
      <c r="Q105" s="85">
        <f t="shared" si="84"/>
        <v>0</v>
      </c>
      <c r="R105" s="85">
        <f t="shared" si="84"/>
        <v>0</v>
      </c>
      <c r="S105" s="85">
        <f t="shared" si="84"/>
        <v>0</v>
      </c>
      <c r="T105" s="85">
        <f t="shared" si="84"/>
        <v>0</v>
      </c>
      <c r="U105" s="85">
        <f t="shared" si="84"/>
        <v>0</v>
      </c>
      <c r="V105" s="85">
        <f t="shared" si="84"/>
        <v>0</v>
      </c>
      <c r="W105" s="85">
        <f t="shared" si="84"/>
        <v>0</v>
      </c>
      <c r="X105" s="85">
        <f t="shared" si="84"/>
        <v>0</v>
      </c>
      <c r="Y105" s="85">
        <f t="shared" si="84"/>
        <v>0</v>
      </c>
      <c r="Z105" s="85">
        <f t="shared" si="84"/>
        <v>0</v>
      </c>
      <c r="AA105" s="85">
        <f t="shared" si="84"/>
        <v>0</v>
      </c>
      <c r="AB105" s="85">
        <f t="shared" si="84"/>
        <v>0</v>
      </c>
      <c r="AC105" s="85">
        <f t="shared" ref="AC105:AD105" si="85">IF(AC81&lt;0,AC81*-1,0)</f>
        <v>0</v>
      </c>
      <c r="AD105" s="85">
        <f t="shared" si="85"/>
        <v>0</v>
      </c>
      <c r="AE105" s="85">
        <f t="shared" ref="AE105:AF105" si="86">IF(AE81&lt;0,AE81*-1,0)</f>
        <v>0</v>
      </c>
      <c r="AF105" s="85">
        <f t="shared" si="86"/>
        <v>0</v>
      </c>
      <c r="AG105" s="84"/>
      <c r="AH105" s="12">
        <f t="shared" si="49"/>
        <v>0</v>
      </c>
      <c r="AI105" s="11">
        <f t="shared" si="50"/>
        <v>0</v>
      </c>
      <c r="BF105" s="83"/>
      <c r="BG105" s="78">
        <v>69</v>
      </c>
      <c r="BH105" s="78">
        <v>0</v>
      </c>
      <c r="BI105" s="78">
        <v>146</v>
      </c>
      <c r="BJ105" s="78">
        <v>0</v>
      </c>
      <c r="BK105" s="78">
        <v>0</v>
      </c>
      <c r="BL105" s="78">
        <v>53</v>
      </c>
    </row>
    <row r="106" spans="1:64" ht="15.75" thickBot="1" x14ac:dyDescent="0.3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1</v>
      </c>
      <c r="AD106" s="81">
        <v>1</v>
      </c>
      <c r="AE106" s="81">
        <v>0</v>
      </c>
      <c r="AF106" s="81">
        <v>0</v>
      </c>
      <c r="AG106" s="80"/>
      <c r="AH106" s="12">
        <f t="shared" si="49"/>
        <v>1</v>
      </c>
      <c r="AI106" s="11">
        <f t="shared" si="50"/>
        <v>0</v>
      </c>
      <c r="BG106" s="78">
        <v>62</v>
      </c>
      <c r="BH106" s="78">
        <v>0</v>
      </c>
      <c r="BI106" s="78">
        <v>64</v>
      </c>
      <c r="BJ106" s="78">
        <v>0</v>
      </c>
      <c r="BK106" s="78">
        <v>0</v>
      </c>
      <c r="BL106" s="78">
        <v>51</v>
      </c>
    </row>
    <row r="107" spans="1:64" ht="15.75" thickBot="1" x14ac:dyDescent="0.3">
      <c r="A107" s="79" t="s">
        <v>155</v>
      </c>
      <c r="B107" s="76">
        <f t="shared" ref="B107" si="87">SUM(B101:B106)</f>
        <v>0</v>
      </c>
      <c r="C107" s="76">
        <f t="shared" ref="C107:AB107" si="88">SUM(C101:C106)</f>
        <v>0</v>
      </c>
      <c r="D107" s="76">
        <f t="shared" si="88"/>
        <v>0</v>
      </c>
      <c r="E107" s="76">
        <f t="shared" si="88"/>
        <v>0</v>
      </c>
      <c r="F107" s="76">
        <f t="shared" si="88"/>
        <v>0</v>
      </c>
      <c r="G107" s="76">
        <f t="shared" si="88"/>
        <v>0</v>
      </c>
      <c r="H107" s="76">
        <f t="shared" si="88"/>
        <v>0</v>
      </c>
      <c r="I107" s="76">
        <f t="shared" si="88"/>
        <v>0</v>
      </c>
      <c r="J107" s="76">
        <f t="shared" si="88"/>
        <v>0</v>
      </c>
      <c r="K107" s="76">
        <f t="shared" si="88"/>
        <v>0</v>
      </c>
      <c r="L107" s="76">
        <f t="shared" si="88"/>
        <v>0</v>
      </c>
      <c r="M107" s="76">
        <f t="shared" si="88"/>
        <v>0</v>
      </c>
      <c r="N107" s="76">
        <f t="shared" si="88"/>
        <v>0</v>
      </c>
      <c r="O107" s="76">
        <f t="shared" si="88"/>
        <v>0</v>
      </c>
      <c r="P107" s="76">
        <f t="shared" si="88"/>
        <v>0</v>
      </c>
      <c r="Q107" s="76">
        <f t="shared" si="88"/>
        <v>0</v>
      </c>
      <c r="R107" s="76">
        <f t="shared" si="88"/>
        <v>0</v>
      </c>
      <c r="S107" s="76">
        <f t="shared" si="88"/>
        <v>0</v>
      </c>
      <c r="T107" s="76">
        <f t="shared" si="88"/>
        <v>0</v>
      </c>
      <c r="U107" s="76">
        <f t="shared" si="88"/>
        <v>0</v>
      </c>
      <c r="V107" s="76">
        <f t="shared" si="88"/>
        <v>0</v>
      </c>
      <c r="W107" s="76">
        <f t="shared" si="88"/>
        <v>0</v>
      </c>
      <c r="X107" s="76">
        <f t="shared" si="88"/>
        <v>0</v>
      </c>
      <c r="Y107" s="76">
        <f t="shared" si="88"/>
        <v>0</v>
      </c>
      <c r="Z107" s="76">
        <f t="shared" si="88"/>
        <v>0</v>
      </c>
      <c r="AA107" s="76">
        <f t="shared" si="88"/>
        <v>0</v>
      </c>
      <c r="AB107" s="76">
        <f t="shared" si="88"/>
        <v>0</v>
      </c>
      <c r="AC107" s="76">
        <v>0</v>
      </c>
      <c r="AD107" s="76">
        <v>0</v>
      </c>
      <c r="AE107" s="76">
        <v>0</v>
      </c>
      <c r="AF107" s="76">
        <v>0</v>
      </c>
      <c r="AG107" s="75"/>
      <c r="AH107" s="12">
        <f t="shared" si="49"/>
        <v>0</v>
      </c>
      <c r="AI107" s="11">
        <f t="shared" si="50"/>
        <v>0</v>
      </c>
      <c r="AK107" s="19"/>
      <c r="BG107" s="78">
        <v>39.1</v>
      </c>
      <c r="BH107" s="78">
        <v>0</v>
      </c>
      <c r="BI107" s="78">
        <v>235</v>
      </c>
      <c r="BJ107" s="78">
        <v>0</v>
      </c>
      <c r="BK107" s="78">
        <v>0</v>
      </c>
      <c r="BL107" s="78">
        <v>57.8</v>
      </c>
    </row>
    <row r="108" spans="1:64" ht="15.75" thickBot="1" x14ac:dyDescent="0.3">
      <c r="A108" s="77" t="s">
        <v>154</v>
      </c>
      <c r="B108" s="76">
        <f t="shared" ref="B108" si="89">B92-B107</f>
        <v>331.90000000000003</v>
      </c>
      <c r="C108" s="76">
        <f t="shared" ref="C108:AB108" si="90">C92-C107</f>
        <v>315.2</v>
      </c>
      <c r="D108" s="76">
        <f t="shared" si="90"/>
        <v>313.89999999999998</v>
      </c>
      <c r="E108" s="76">
        <f t="shared" si="90"/>
        <v>312.79999999999995</v>
      </c>
      <c r="F108" s="76">
        <f t="shared" si="90"/>
        <v>320.3</v>
      </c>
      <c r="G108" s="76">
        <f t="shared" si="90"/>
        <v>331.59999999999997</v>
      </c>
      <c r="H108" s="76">
        <f t="shared" si="90"/>
        <v>328</v>
      </c>
      <c r="I108" s="76">
        <f t="shared" si="90"/>
        <v>432.7</v>
      </c>
      <c r="J108" s="76">
        <f t="shared" si="90"/>
        <v>714.2</v>
      </c>
      <c r="K108" s="76">
        <f t="shared" si="90"/>
        <v>708.69999999999993</v>
      </c>
      <c r="L108" s="76">
        <f t="shared" si="90"/>
        <v>682.4</v>
      </c>
      <c r="M108" s="76">
        <f t="shared" si="90"/>
        <v>659.2</v>
      </c>
      <c r="N108" s="76">
        <f t="shared" si="90"/>
        <v>713</v>
      </c>
      <c r="O108" s="76">
        <f t="shared" si="90"/>
        <v>693.5</v>
      </c>
      <c r="P108" s="76">
        <f t="shared" si="90"/>
        <v>699.6</v>
      </c>
      <c r="Q108" s="76">
        <f t="shared" si="90"/>
        <v>699.6</v>
      </c>
      <c r="R108" s="76">
        <f t="shared" si="90"/>
        <v>699.6</v>
      </c>
      <c r="S108" s="76">
        <f t="shared" si="90"/>
        <v>870.8</v>
      </c>
      <c r="T108" s="76">
        <f t="shared" si="90"/>
        <v>845.80000000000007</v>
      </c>
      <c r="U108" s="76">
        <f t="shared" si="90"/>
        <v>879.90999999999985</v>
      </c>
      <c r="V108" s="76">
        <f t="shared" si="90"/>
        <v>892.6400000000001</v>
      </c>
      <c r="W108" s="76">
        <f t="shared" si="90"/>
        <v>869.6</v>
      </c>
      <c r="X108" s="76">
        <f t="shared" si="90"/>
        <v>713.5</v>
      </c>
      <c r="Y108" s="76">
        <f t="shared" si="90"/>
        <v>593</v>
      </c>
      <c r="Z108" s="76">
        <f t="shared" si="90"/>
        <v>526.20000000000005</v>
      </c>
      <c r="AA108" s="76">
        <f t="shared" si="90"/>
        <v>519.1</v>
      </c>
      <c r="AB108" s="76">
        <f t="shared" si="90"/>
        <v>515</v>
      </c>
      <c r="AC108" s="76">
        <f t="shared" ref="AC108:AD108" si="91">AC92-AC107</f>
        <v>495</v>
      </c>
      <c r="AD108" s="76">
        <f t="shared" si="91"/>
        <v>495</v>
      </c>
      <c r="AE108" s="76">
        <f t="shared" ref="AE108:AF108" si="92">AE92-AE107</f>
        <v>268</v>
      </c>
      <c r="AF108" s="76">
        <f t="shared" si="92"/>
        <v>177</v>
      </c>
      <c r="AG108" s="75"/>
      <c r="AH108" s="12">
        <f t="shared" si="49"/>
        <v>892.6400000000001</v>
      </c>
      <c r="AI108" s="11">
        <f t="shared" si="50"/>
        <v>177</v>
      </c>
    </row>
    <row r="109" spans="1:64" x14ac:dyDescent="0.25">
      <c r="A109" s="25" t="s">
        <v>153</v>
      </c>
      <c r="B109" s="74">
        <v>50.04</v>
      </c>
      <c r="C109" s="74">
        <v>50.05</v>
      </c>
      <c r="D109" s="74">
        <v>50.04</v>
      </c>
      <c r="E109" s="74">
        <v>50.039000000000001</v>
      </c>
      <c r="F109" s="74">
        <v>49.994999999999997</v>
      </c>
      <c r="G109" s="74">
        <v>50.04</v>
      </c>
      <c r="H109" s="74">
        <v>49.987000000000002</v>
      </c>
      <c r="I109" s="74">
        <v>50.091999999999999</v>
      </c>
      <c r="J109" s="74">
        <v>50.003</v>
      </c>
      <c r="K109" s="74">
        <v>50.029000000000003</v>
      </c>
      <c r="L109" s="74">
        <v>49.972999999999999</v>
      </c>
      <c r="M109" s="74">
        <v>49.927</v>
      </c>
      <c r="N109" s="74">
        <v>50.018000000000001</v>
      </c>
      <c r="O109" s="74">
        <v>50.073999999999998</v>
      </c>
      <c r="P109" s="74">
        <v>50.073999999999998</v>
      </c>
      <c r="Q109" s="74">
        <v>50.045000000000002</v>
      </c>
      <c r="R109" s="74">
        <v>50.045000000000002</v>
      </c>
      <c r="S109" s="74">
        <v>49.970999999999997</v>
      </c>
      <c r="T109" s="74">
        <v>49.970999999999997</v>
      </c>
      <c r="U109" s="74">
        <v>49.936</v>
      </c>
      <c r="V109" s="74">
        <v>49.962000000000003</v>
      </c>
      <c r="W109" s="74">
        <v>49.962000000000003</v>
      </c>
      <c r="X109" s="74">
        <v>49.962000000000003</v>
      </c>
      <c r="Y109" s="74">
        <v>49.962000000000003</v>
      </c>
      <c r="Z109" s="74">
        <v>49.962000000000003</v>
      </c>
      <c r="AA109" s="74">
        <v>49.962000000000003</v>
      </c>
      <c r="AB109" s="74">
        <v>50.02</v>
      </c>
      <c r="AC109" s="74">
        <v>50.02</v>
      </c>
      <c r="AD109" s="74">
        <v>50.02</v>
      </c>
      <c r="AE109" s="74">
        <v>50.034999999999997</v>
      </c>
      <c r="AF109" s="74">
        <v>50.01</v>
      </c>
      <c r="AG109" s="73"/>
      <c r="AH109" s="12">
        <f t="shared" si="49"/>
        <v>50.091999999999999</v>
      </c>
      <c r="AI109" s="11">
        <f t="shared" si="50"/>
        <v>49.927</v>
      </c>
    </row>
    <row r="110" spans="1:64" x14ac:dyDescent="0.25">
      <c r="A110" s="22" t="s">
        <v>152</v>
      </c>
      <c r="B110" s="70">
        <v>131.1</v>
      </c>
      <c r="C110" s="70">
        <v>131.4</v>
      </c>
      <c r="D110" s="70">
        <v>131.1</v>
      </c>
      <c r="E110" s="70">
        <v>131</v>
      </c>
      <c r="F110" s="70">
        <v>131.19999999999999</v>
      </c>
      <c r="G110" s="70">
        <v>129.80000000000001</v>
      </c>
      <c r="H110" s="70">
        <v>130.4</v>
      </c>
      <c r="I110" s="70">
        <v>125.8</v>
      </c>
      <c r="J110" s="70">
        <v>123.2</v>
      </c>
      <c r="K110" s="70">
        <v>123</v>
      </c>
      <c r="L110" s="70">
        <v>122.3</v>
      </c>
      <c r="M110" s="70">
        <v>126.8</v>
      </c>
      <c r="N110" s="70">
        <v>125.4</v>
      </c>
      <c r="O110" s="70">
        <v>125.1</v>
      </c>
      <c r="P110" s="70">
        <v>125.1</v>
      </c>
      <c r="Q110" s="70">
        <v>125.9</v>
      </c>
      <c r="R110" s="70">
        <v>125.9</v>
      </c>
      <c r="S110" s="70">
        <v>124.7</v>
      </c>
      <c r="T110" s="70">
        <v>124.7</v>
      </c>
      <c r="U110" s="70">
        <v>123.9</v>
      </c>
      <c r="V110" s="70">
        <v>126.4</v>
      </c>
      <c r="W110" s="70">
        <v>126.4</v>
      </c>
      <c r="X110" s="70">
        <v>126.4</v>
      </c>
      <c r="Y110" s="70">
        <v>126.4</v>
      </c>
      <c r="Z110" s="70">
        <v>126.4</v>
      </c>
      <c r="AA110" s="70">
        <v>126.4</v>
      </c>
      <c r="AB110" s="70">
        <v>127.6</v>
      </c>
      <c r="AC110" s="70">
        <v>127.6</v>
      </c>
      <c r="AD110" s="70">
        <v>127.6</v>
      </c>
      <c r="AE110" s="70">
        <v>127.6</v>
      </c>
      <c r="AF110" s="70">
        <v>128</v>
      </c>
      <c r="AG110" s="69"/>
      <c r="AH110" s="12">
        <f t="shared" si="49"/>
        <v>131.4</v>
      </c>
      <c r="AI110" s="11">
        <f t="shared" si="50"/>
        <v>122.3</v>
      </c>
    </row>
    <row r="111" spans="1:64" x14ac:dyDescent="0.25">
      <c r="A111" s="22" t="s">
        <v>151</v>
      </c>
      <c r="B111" s="70">
        <v>134.30000000000001</v>
      </c>
      <c r="C111" s="70">
        <v>134.69999999999999</v>
      </c>
      <c r="D111" s="70">
        <v>134.80000000000001</v>
      </c>
      <c r="E111" s="70">
        <v>134.6</v>
      </c>
      <c r="F111" s="70">
        <v>134.69999999999999</v>
      </c>
      <c r="G111" s="70">
        <v>133.5</v>
      </c>
      <c r="H111" s="70">
        <v>133.6</v>
      </c>
      <c r="I111" s="70">
        <v>130.4</v>
      </c>
      <c r="J111" s="70">
        <v>128.1</v>
      </c>
      <c r="K111" s="70">
        <v>127.8</v>
      </c>
      <c r="L111" s="70">
        <v>127.3</v>
      </c>
      <c r="M111" s="70">
        <v>129.4</v>
      </c>
      <c r="N111" s="70">
        <v>128.6</v>
      </c>
      <c r="O111" s="70">
        <v>128</v>
      </c>
      <c r="P111" s="70">
        <v>128</v>
      </c>
      <c r="Q111" s="70">
        <v>128.9</v>
      </c>
      <c r="R111" s="70">
        <v>128.9</v>
      </c>
      <c r="S111" s="70">
        <v>126.8</v>
      </c>
      <c r="T111" s="70">
        <v>126.8</v>
      </c>
      <c r="U111" s="70">
        <v>127</v>
      </c>
      <c r="V111" s="70">
        <v>129</v>
      </c>
      <c r="W111" s="70">
        <v>129</v>
      </c>
      <c r="X111" s="70">
        <v>129</v>
      </c>
      <c r="Y111" s="70">
        <v>129</v>
      </c>
      <c r="Z111" s="70">
        <v>129</v>
      </c>
      <c r="AA111" s="70">
        <v>129</v>
      </c>
      <c r="AB111" s="70">
        <v>131.4</v>
      </c>
      <c r="AC111" s="70">
        <v>131.4</v>
      </c>
      <c r="AD111" s="70">
        <v>131.4</v>
      </c>
      <c r="AE111" s="70">
        <v>132</v>
      </c>
      <c r="AF111" s="70">
        <v>132</v>
      </c>
      <c r="AG111" s="69"/>
      <c r="AH111" s="12">
        <f t="shared" si="49"/>
        <v>134.80000000000001</v>
      </c>
      <c r="AI111" s="11">
        <f t="shared" si="50"/>
        <v>126.8</v>
      </c>
    </row>
    <row r="112" spans="1:64" x14ac:dyDescent="0.25">
      <c r="A112" s="22" t="s">
        <v>150</v>
      </c>
      <c r="B112" s="70">
        <v>131.6</v>
      </c>
      <c r="C112" s="70">
        <v>130.5</v>
      </c>
      <c r="D112" s="70">
        <v>129.6</v>
      </c>
      <c r="E112" s="70">
        <v>129.4</v>
      </c>
      <c r="F112" s="70">
        <v>129.4</v>
      </c>
      <c r="G112" s="70">
        <v>128.5</v>
      </c>
      <c r="H112" s="70">
        <v>127</v>
      </c>
      <c r="I112" s="70">
        <v>122.4</v>
      </c>
      <c r="J112" s="70">
        <v>127.8</v>
      </c>
      <c r="K112" s="70">
        <v>128.19999999999999</v>
      </c>
      <c r="L112" s="70">
        <v>124.2</v>
      </c>
      <c r="M112" s="70">
        <v>123.4</v>
      </c>
      <c r="N112" s="70">
        <v>126.1</v>
      </c>
      <c r="O112" s="70">
        <v>126.7</v>
      </c>
      <c r="P112" s="70">
        <v>126.7</v>
      </c>
      <c r="Q112" s="70">
        <v>129</v>
      </c>
      <c r="R112" s="70">
        <v>129</v>
      </c>
      <c r="S112" s="70">
        <v>125.5</v>
      </c>
      <c r="T112" s="70">
        <v>125.5</v>
      </c>
      <c r="U112" s="70">
        <v>125.5</v>
      </c>
      <c r="V112" s="70">
        <v>128</v>
      </c>
      <c r="W112" s="70">
        <v>128</v>
      </c>
      <c r="X112" s="70">
        <v>128</v>
      </c>
      <c r="Y112" s="70">
        <v>128</v>
      </c>
      <c r="Z112" s="70">
        <v>128</v>
      </c>
      <c r="AA112" s="70">
        <v>128</v>
      </c>
      <c r="AB112" s="70">
        <v>128.69999999999999</v>
      </c>
      <c r="AC112" s="70">
        <v>128.69999999999999</v>
      </c>
      <c r="AD112" s="70">
        <v>128.69999999999999</v>
      </c>
      <c r="AE112" s="70">
        <v>131</v>
      </c>
      <c r="AF112" s="70">
        <v>131.69999999999999</v>
      </c>
      <c r="AG112" s="69"/>
      <c r="AH112" s="12">
        <f t="shared" si="49"/>
        <v>131.69999999999999</v>
      </c>
      <c r="AI112" s="11">
        <f t="shared" si="50"/>
        <v>122.4</v>
      </c>
    </row>
    <row r="113" spans="1:35" x14ac:dyDescent="0.25">
      <c r="A113" s="72" t="s">
        <v>149</v>
      </c>
      <c r="B113" s="70">
        <v>131.80000000000001</v>
      </c>
      <c r="C113" s="70">
        <v>131.6</v>
      </c>
      <c r="D113" s="70">
        <v>131.1</v>
      </c>
      <c r="E113" s="70">
        <v>131.30000000000001</v>
      </c>
      <c r="F113" s="70">
        <v>131.19999999999999</v>
      </c>
      <c r="G113" s="70">
        <v>129.80000000000001</v>
      </c>
      <c r="H113" s="70">
        <v>127.5</v>
      </c>
      <c r="I113" s="70">
        <v>122</v>
      </c>
      <c r="J113" s="70">
        <v>129.1</v>
      </c>
      <c r="K113" s="70">
        <v>126.5</v>
      </c>
      <c r="L113" s="70">
        <v>123.9</v>
      </c>
      <c r="M113" s="70">
        <v>126.5</v>
      </c>
      <c r="N113" s="70">
        <v>127.7</v>
      </c>
      <c r="O113" s="70">
        <v>126.9</v>
      </c>
      <c r="P113" s="70">
        <v>126.9</v>
      </c>
      <c r="Q113" s="70">
        <v>128</v>
      </c>
      <c r="R113" s="70">
        <v>128</v>
      </c>
      <c r="S113" s="70">
        <v>127.1</v>
      </c>
      <c r="T113" s="70">
        <v>127.1</v>
      </c>
      <c r="U113" s="70">
        <v>127.1</v>
      </c>
      <c r="V113" s="70">
        <v>123.4</v>
      </c>
      <c r="W113" s="70">
        <v>123.4</v>
      </c>
      <c r="X113" s="70">
        <v>123.4</v>
      </c>
      <c r="Y113" s="70">
        <v>123.4</v>
      </c>
      <c r="Z113" s="70">
        <v>123.4</v>
      </c>
      <c r="AA113" s="70">
        <v>123.4</v>
      </c>
      <c r="AB113" s="70">
        <v>127</v>
      </c>
      <c r="AC113" s="70">
        <v>127</v>
      </c>
      <c r="AD113" s="70">
        <v>127</v>
      </c>
      <c r="AE113" s="70">
        <v>130</v>
      </c>
      <c r="AF113" s="70">
        <v>130.5</v>
      </c>
      <c r="AG113" s="69"/>
      <c r="AH113" s="12">
        <f t="shared" si="49"/>
        <v>131.80000000000001</v>
      </c>
      <c r="AI113" s="11">
        <f t="shared" si="50"/>
        <v>122</v>
      </c>
    </row>
    <row r="114" spans="1:35" x14ac:dyDescent="0.25">
      <c r="A114" s="72" t="s">
        <v>148</v>
      </c>
      <c r="B114" s="56">
        <v>135.19999999999999</v>
      </c>
      <c r="C114" s="56">
        <v>136.5</v>
      </c>
      <c r="D114" s="56">
        <v>136.6</v>
      </c>
      <c r="E114" s="56">
        <v>136.4</v>
      </c>
      <c r="F114" s="56">
        <v>136.6</v>
      </c>
      <c r="G114" s="56">
        <v>135.30000000000001</v>
      </c>
      <c r="H114" s="56">
        <v>134.9</v>
      </c>
      <c r="I114" s="56">
        <v>135</v>
      </c>
      <c r="J114" s="56">
        <v>132.6</v>
      </c>
      <c r="K114" s="56">
        <v>133.5</v>
      </c>
      <c r="L114" s="56">
        <v>133.1</v>
      </c>
      <c r="M114" s="56">
        <v>133</v>
      </c>
      <c r="N114" s="56">
        <v>132.19999999999999</v>
      </c>
      <c r="O114" s="56">
        <v>134.30000000000001</v>
      </c>
      <c r="P114" s="56">
        <v>134.30000000000001</v>
      </c>
      <c r="Q114" s="56">
        <v>135.5</v>
      </c>
      <c r="R114" s="56">
        <v>135.5</v>
      </c>
      <c r="S114" s="56">
        <v>130</v>
      </c>
      <c r="T114" s="56">
        <v>130</v>
      </c>
      <c r="U114" s="56">
        <v>130</v>
      </c>
      <c r="V114" s="56">
        <v>134.80000000000001</v>
      </c>
      <c r="W114" s="56">
        <v>134.80000000000001</v>
      </c>
      <c r="X114" s="56">
        <v>134.80000000000001</v>
      </c>
      <c r="Y114" s="56">
        <v>134.80000000000001</v>
      </c>
      <c r="Z114" s="56">
        <v>134.80000000000001</v>
      </c>
      <c r="AA114" s="56">
        <v>134.80000000000001</v>
      </c>
      <c r="AB114" s="56">
        <v>135</v>
      </c>
      <c r="AC114" s="56">
        <v>135</v>
      </c>
      <c r="AD114" s="56">
        <v>135</v>
      </c>
      <c r="AE114" s="56">
        <v>136</v>
      </c>
      <c r="AF114" s="56">
        <v>135</v>
      </c>
      <c r="AG114" s="71"/>
      <c r="AH114" s="12">
        <f t="shared" si="49"/>
        <v>136.6</v>
      </c>
      <c r="AI114" s="11">
        <f t="shared" si="50"/>
        <v>130</v>
      </c>
    </row>
    <row r="115" spans="1:35" x14ac:dyDescent="0.25">
      <c r="A115" s="22" t="s">
        <v>147</v>
      </c>
      <c r="B115" s="70">
        <v>133.5</v>
      </c>
      <c r="C115" s="70">
        <v>135.69999999999999</v>
      </c>
      <c r="D115" s="70">
        <v>136.30000000000001</v>
      </c>
      <c r="E115" s="70">
        <v>137.6</v>
      </c>
      <c r="F115" s="70">
        <v>137.80000000000001</v>
      </c>
      <c r="G115" s="70">
        <v>137.30000000000001</v>
      </c>
      <c r="H115" s="70">
        <v>136.19999999999999</v>
      </c>
      <c r="I115" s="70">
        <v>130.6</v>
      </c>
      <c r="J115" s="70">
        <v>127</v>
      </c>
      <c r="K115" s="70">
        <v>127.8</v>
      </c>
      <c r="L115" s="70">
        <v>124.6</v>
      </c>
      <c r="M115" s="70">
        <v>122.2</v>
      </c>
      <c r="N115" s="70">
        <v>123.8</v>
      </c>
      <c r="O115" s="70">
        <v>128.30000000000001</v>
      </c>
      <c r="P115" s="70">
        <v>128.30000000000001</v>
      </c>
      <c r="Q115" s="70">
        <v>128.6</v>
      </c>
      <c r="R115" s="70">
        <v>128.6</v>
      </c>
      <c r="S115" s="70">
        <v>129.80000000000001</v>
      </c>
      <c r="T115" s="70">
        <v>129.80000000000001</v>
      </c>
      <c r="U115" s="70">
        <v>129.80000000000001</v>
      </c>
      <c r="V115" s="70">
        <v>125</v>
      </c>
      <c r="W115" s="70">
        <v>125</v>
      </c>
      <c r="X115" s="70">
        <v>125</v>
      </c>
      <c r="Y115" s="70">
        <v>125</v>
      </c>
      <c r="Z115" s="70">
        <v>125</v>
      </c>
      <c r="AA115" s="70">
        <v>125</v>
      </c>
      <c r="AB115" s="70">
        <v>130.80000000000001</v>
      </c>
      <c r="AC115" s="70">
        <v>130.80000000000001</v>
      </c>
      <c r="AD115" s="70">
        <v>130.80000000000001</v>
      </c>
      <c r="AE115" s="70">
        <v>133.6</v>
      </c>
      <c r="AF115" s="70">
        <v>133</v>
      </c>
      <c r="AG115" s="69"/>
      <c r="AH115" s="12">
        <f t="shared" si="49"/>
        <v>137.80000000000001</v>
      </c>
      <c r="AI115" s="11">
        <f t="shared" si="50"/>
        <v>122.2</v>
      </c>
    </row>
    <row r="116" spans="1:35" ht="15.75" thickBot="1" x14ac:dyDescent="0.3">
      <c r="A116" s="22" t="s">
        <v>146</v>
      </c>
      <c r="B116" s="67">
        <v>67.099999999999994</v>
      </c>
      <c r="C116" s="67">
        <v>67.3</v>
      </c>
      <c r="D116" s="67">
        <v>67.400000000000006</v>
      </c>
      <c r="E116" s="67">
        <v>67.3</v>
      </c>
      <c r="F116" s="67">
        <v>67.36</v>
      </c>
      <c r="G116" s="67">
        <v>66.8</v>
      </c>
      <c r="H116" s="67">
        <v>66.7</v>
      </c>
      <c r="I116" s="67">
        <v>65.5</v>
      </c>
      <c r="J116" s="67">
        <v>64.3</v>
      </c>
      <c r="K116" s="67">
        <v>64.2</v>
      </c>
      <c r="L116" s="67">
        <v>64</v>
      </c>
      <c r="M116" s="67">
        <v>64.8</v>
      </c>
      <c r="N116" s="67">
        <v>64.3</v>
      </c>
      <c r="O116" s="67">
        <v>64</v>
      </c>
      <c r="P116" s="67">
        <v>64</v>
      </c>
      <c r="Q116" s="67">
        <v>64.400000000000006</v>
      </c>
      <c r="R116" s="67">
        <v>64.400000000000006</v>
      </c>
      <c r="S116" s="67">
        <v>63.6</v>
      </c>
      <c r="T116" s="67">
        <v>63.6</v>
      </c>
      <c r="U116" s="67">
        <v>63.6</v>
      </c>
      <c r="V116" s="67">
        <v>63.9</v>
      </c>
      <c r="W116" s="67">
        <v>63.9</v>
      </c>
      <c r="X116" s="67">
        <v>63.9</v>
      </c>
      <c r="Y116" s="67">
        <v>63.9</v>
      </c>
      <c r="Z116" s="67">
        <v>63.9</v>
      </c>
      <c r="AA116" s="67">
        <v>63.9</v>
      </c>
      <c r="AB116" s="67">
        <v>65.5</v>
      </c>
      <c r="AC116" s="67">
        <v>65.5</v>
      </c>
      <c r="AD116" s="67">
        <v>65.5</v>
      </c>
      <c r="AE116" s="67">
        <v>66</v>
      </c>
      <c r="AF116" s="67">
        <v>66.3</v>
      </c>
      <c r="AG116" s="66"/>
      <c r="AH116" s="12">
        <f t="shared" si="49"/>
        <v>67.400000000000006</v>
      </c>
      <c r="AI116" s="11">
        <f t="shared" si="50"/>
        <v>63.6</v>
      </c>
    </row>
    <row r="117" spans="1:35" ht="15.75" thickBot="1" x14ac:dyDescent="0.3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49"/>
        <v>0</v>
      </c>
      <c r="AI117" s="11">
        <f t="shared" si="50"/>
        <v>0</v>
      </c>
    </row>
    <row r="118" spans="1:35" ht="15.75" thickBot="1" x14ac:dyDescent="0.3">
      <c r="A118" s="65" t="s">
        <v>144</v>
      </c>
      <c r="B118" s="64">
        <f t="shared" ref="B118" si="93">SUM(B22,B28,B31:B32,B66,B68:B69,B71,B73,B119:B123,B155,B161,B167,B176,B178,B190,B197,B200:B201,B208,B210,B212,B216:B218,B220:B222,B227,B233:B234,B236:B238,B246,B251)</f>
        <v>152.34</v>
      </c>
      <c r="C118" s="64">
        <f t="shared" ref="C118:O118" si="94">SUM(C22,C28,C31:C32,C66,C68:C69,C71,C73,C119:C123,C155,C161,C167,C176,C178,C190,C197,C200:C201,C208,C210,C212,C216:C218,C220:C222,C227,C233:C234,C236:C238,C246,C251)</f>
        <v>137.74</v>
      </c>
      <c r="D118" s="64">
        <f t="shared" si="94"/>
        <v>131.84</v>
      </c>
      <c r="E118" s="64">
        <f t="shared" si="94"/>
        <v>129.13999999999999</v>
      </c>
      <c r="F118" s="64">
        <f t="shared" si="94"/>
        <v>135.04</v>
      </c>
      <c r="G118" s="64">
        <f t="shared" si="94"/>
        <v>170.34</v>
      </c>
      <c r="H118" s="64">
        <f t="shared" si="94"/>
        <v>190.04</v>
      </c>
      <c r="I118" s="64">
        <f t="shared" si="94"/>
        <v>248.73999999999998</v>
      </c>
      <c r="J118" s="64">
        <f t="shared" si="94"/>
        <v>322.44</v>
      </c>
      <c r="K118" s="64">
        <f t="shared" si="94"/>
        <v>327.54000000000002</v>
      </c>
      <c r="L118" s="64">
        <f t="shared" si="94"/>
        <v>325.44</v>
      </c>
      <c r="M118" s="64">
        <f t="shared" si="94"/>
        <v>315.53999999999996</v>
      </c>
      <c r="N118" s="64">
        <f t="shared" si="94"/>
        <v>318.14</v>
      </c>
      <c r="O118" s="64">
        <f t="shared" si="94"/>
        <v>310.73999999999995</v>
      </c>
      <c r="P118" s="64">
        <v>42</v>
      </c>
      <c r="Q118" s="64">
        <f t="shared" ref="Q118:X118" si="95">SUM(Q22,Q28,Q31:Q32,Q66,Q68:Q69,Q71,Q73,Q119:Q123,Q155,Q161,Q167,Q176,Q178,Q190,Q197,Q200:Q201,Q208,Q210,Q212,Q216:Q218,Q220:Q222,Q227,Q233:Q234,Q236:Q238,Q246,Q251)</f>
        <v>239.23999999999998</v>
      </c>
      <c r="R118" s="64">
        <f t="shared" si="95"/>
        <v>239.23999999999998</v>
      </c>
      <c r="S118" s="64">
        <f t="shared" si="95"/>
        <v>272.05</v>
      </c>
      <c r="T118" s="64">
        <f t="shared" si="95"/>
        <v>277.95</v>
      </c>
      <c r="U118" s="64">
        <f t="shared" si="95"/>
        <v>283.25</v>
      </c>
      <c r="V118" s="64">
        <f t="shared" si="95"/>
        <v>261.33999999999997</v>
      </c>
      <c r="W118" s="64">
        <f t="shared" si="95"/>
        <v>236.88</v>
      </c>
      <c r="X118" s="64">
        <f t="shared" si="95"/>
        <v>276.88</v>
      </c>
      <c r="Y118" s="64">
        <f>SUM(Y20,Y26,Y37:Y38,Y66,Y68:Y69,Y71,Y73,Y119:Y123,Y148,Y154,Y160,Y169,Y171,Y183,Y190,Y193:Y194,Y201,Y203,Y205,Y209:Y211,Y213:Y215,Y220,Y226:Y227,Y229:Y231,Y239,Y244)</f>
        <v>282.04000000000002</v>
      </c>
      <c r="Z118" s="64">
        <f>SUM(Z20,Z26,Z37:Z38,Z66,Z68:Z69,Z71,Z73,Z119:Z123,Z148,Z154,Z160,Z169,Z171,Z183,Z190,Z193:Z194,Z201,Z203,Z205,Z209:Z211,Z213:Z215,Z220,Z226:Z227,Z229:Z231,Z239,Z244)</f>
        <v>282.04000000000002</v>
      </c>
      <c r="AA118" s="64">
        <f t="shared" ref="AA118" si="96">SUM(AA22,AA28,AA31:AA32,AA66,AA68:AA69,AA71,AA73,AA119:AA123,AA155,AA161,AA167,AA176,AA178,AA190,AA197,AA200:AA201,AA208,AA210,AA212,AA216:AA218,AA220:AA222,AA227,AA233:AA234,AA236:AA238,AA246,AA251)</f>
        <v>319.47999999999996</v>
      </c>
      <c r="AB118" s="64">
        <f t="shared" ref="AB118:AC118" si="97">SUM(AB22,AB28,AB31:AB32,AB66,AB68:AB69,AB71,AB73,AB119:AB123,AB155,AB161,AB167,AB176,AB178,AB190,AB197,AB200:AB201,AB208,AB210,AB212,AB216:AB218,AB220:AB222,AB227,AB233:AB234,AB236:AB238,AB246,AB251)</f>
        <v>311.68</v>
      </c>
      <c r="AC118" s="64">
        <f t="shared" si="97"/>
        <v>291.82</v>
      </c>
      <c r="AD118" s="64">
        <f t="shared" ref="AD118:AE118" si="98">SUM(AD22,AD28,AD31:AD32,AD66,AD68:AD69,AD71,AD73,AD119:AD123,AD155,AD161,AD167,AD176,AD178,AD190,AD197,AD200:AD201,AD208,AD210,AD212,AD216:AD218,AD220:AD222,AD227,AD233:AD234,AD236:AD238,AD246,AD251)</f>
        <v>291.82</v>
      </c>
      <c r="AE118" s="64">
        <f t="shared" si="98"/>
        <v>162.68</v>
      </c>
      <c r="AF118" s="64">
        <f t="shared" ref="AF118" si="99">SUM(AF22,AF28,AF31:AF32,AF66,AF68:AF69,AF71,AF73,AF119:AF123,AF155,AF161,AF167,AF176,AF178,AF190,AF197,AF200:AF201,AF208,AF210,AF212,AF216:AF218,AF220:AF222,AF227,AF233:AF234,AF236:AF238,AF246,AF251)</f>
        <v>122.67999999999999</v>
      </c>
      <c r="AG118" s="63"/>
      <c r="AH118" s="12">
        <f t="shared" si="49"/>
        <v>327.54000000000002</v>
      </c>
      <c r="AI118" s="11">
        <f t="shared" si="50"/>
        <v>42</v>
      </c>
    </row>
    <row r="119" spans="1:35" x14ac:dyDescent="0.25">
      <c r="A119" s="59" t="s">
        <v>143</v>
      </c>
      <c r="B119" s="62">
        <v>-1.6</v>
      </c>
      <c r="C119" s="62">
        <v>2.4</v>
      </c>
      <c r="D119" s="62">
        <v>9.3000000000000007</v>
      </c>
      <c r="E119" s="62">
        <v>6</v>
      </c>
      <c r="F119" s="62">
        <v>-0.1</v>
      </c>
      <c r="G119" s="62">
        <v>8.4</v>
      </c>
      <c r="H119" s="62">
        <v>2.2999999999999998</v>
      </c>
      <c r="I119" s="62">
        <v>28.6</v>
      </c>
      <c r="J119" s="62">
        <v>35</v>
      </c>
      <c r="K119" s="62">
        <v>41.3</v>
      </c>
      <c r="L119" s="62">
        <v>38</v>
      </c>
      <c r="M119" s="62">
        <v>-2.8</v>
      </c>
      <c r="N119" s="62">
        <v>-4.0999999999999996</v>
      </c>
      <c r="O119" s="62">
        <v>-4.3</v>
      </c>
      <c r="P119" s="62">
        <v>-4.3</v>
      </c>
      <c r="Q119" s="62">
        <v>-17.8</v>
      </c>
      <c r="R119" s="62">
        <v>-17.8</v>
      </c>
      <c r="S119" s="62">
        <v>-12.2</v>
      </c>
      <c r="T119" s="62">
        <v>-14</v>
      </c>
      <c r="U119" s="62">
        <v>-16.100000000000001</v>
      </c>
      <c r="V119" s="62">
        <v>-27.2</v>
      </c>
      <c r="W119" s="62">
        <v>-44</v>
      </c>
      <c r="X119" s="62">
        <v>-8</v>
      </c>
      <c r="Y119" s="62">
        <v>-8</v>
      </c>
      <c r="Z119" s="62">
        <v>-8</v>
      </c>
      <c r="AA119" s="62">
        <v>2.5</v>
      </c>
      <c r="AB119" s="62">
        <v>4</v>
      </c>
      <c r="AC119" s="62">
        <v>6.14</v>
      </c>
      <c r="AD119" s="62">
        <v>6.14</v>
      </c>
      <c r="AE119" s="62">
        <v>0</v>
      </c>
      <c r="AF119" s="62">
        <v>-1</v>
      </c>
      <c r="AG119" s="55">
        <v>75</v>
      </c>
      <c r="AH119" s="12">
        <f t="shared" si="49"/>
        <v>41.3</v>
      </c>
      <c r="AI119" s="11">
        <f t="shared" si="50"/>
        <v>-44</v>
      </c>
    </row>
    <row r="120" spans="1:35" x14ac:dyDescent="0.25">
      <c r="A120" s="57" t="s">
        <v>142</v>
      </c>
      <c r="B120" s="61">
        <v>2.4</v>
      </c>
      <c r="C120" s="61">
        <v>10</v>
      </c>
      <c r="D120" s="61">
        <v>17.3</v>
      </c>
      <c r="E120" s="61">
        <v>13.6</v>
      </c>
      <c r="F120" s="61">
        <v>5.2</v>
      </c>
      <c r="G120" s="61">
        <v>16.399999999999999</v>
      </c>
      <c r="H120" s="61">
        <v>7</v>
      </c>
      <c r="I120" s="61">
        <v>38</v>
      </c>
      <c r="J120" s="61">
        <v>43</v>
      </c>
      <c r="K120" s="61">
        <v>49.9</v>
      </c>
      <c r="L120" s="61">
        <v>46.2</v>
      </c>
      <c r="M120" s="61">
        <v>-10</v>
      </c>
      <c r="N120" s="61">
        <v>-14</v>
      </c>
      <c r="O120" s="61">
        <v>-13.3</v>
      </c>
      <c r="P120" s="61">
        <v>-13.3</v>
      </c>
      <c r="Q120" s="61">
        <v>-30.3</v>
      </c>
      <c r="R120" s="61">
        <v>-30.3</v>
      </c>
      <c r="S120" s="61">
        <v>-22.8</v>
      </c>
      <c r="T120" s="61">
        <v>-26</v>
      </c>
      <c r="U120" s="61">
        <v>-28.8</v>
      </c>
      <c r="V120" s="61">
        <v>-36.799999999999997</v>
      </c>
      <c r="W120" s="61">
        <v>-62</v>
      </c>
      <c r="X120" s="61">
        <v>-7</v>
      </c>
      <c r="Y120" s="61">
        <v>-7</v>
      </c>
      <c r="Z120" s="61">
        <v>-7</v>
      </c>
      <c r="AA120" s="61">
        <v>6.7</v>
      </c>
      <c r="AB120" s="61">
        <v>10</v>
      </c>
      <c r="AC120" s="61">
        <v>12</v>
      </c>
      <c r="AD120" s="61">
        <v>12</v>
      </c>
      <c r="AE120" s="61">
        <v>4</v>
      </c>
      <c r="AF120" s="61">
        <v>4</v>
      </c>
      <c r="AG120" s="55">
        <v>240</v>
      </c>
      <c r="AH120" s="12">
        <f t="shared" si="49"/>
        <v>49.9</v>
      </c>
      <c r="AI120" s="11">
        <f t="shared" si="50"/>
        <v>-62</v>
      </c>
    </row>
    <row r="121" spans="1:35" x14ac:dyDescent="0.25">
      <c r="A121" s="57" t="s">
        <v>141</v>
      </c>
      <c r="B121" s="61">
        <f>-3.6-12.3</f>
        <v>-15.9</v>
      </c>
      <c r="C121" s="61">
        <f>-11.9-19.7</f>
        <v>-31.6</v>
      </c>
      <c r="D121" s="61">
        <f>-17.4-27.1</f>
        <v>-44.5</v>
      </c>
      <c r="E121" s="61">
        <f>-14.8-24.4</f>
        <v>-39.200000000000003</v>
      </c>
      <c r="F121" s="61">
        <f>-8-17</f>
        <v>-25</v>
      </c>
      <c r="G121" s="61">
        <f>-12-22</f>
        <v>-34</v>
      </c>
      <c r="H121" s="61">
        <f>-3-11.9</f>
        <v>-14.9</v>
      </c>
      <c r="I121" s="61">
        <f>-12-23</f>
        <v>-35</v>
      </c>
      <c r="J121" s="61">
        <v>-17</v>
      </c>
      <c r="K121" s="61">
        <f>-10.5-21</f>
        <v>-31.5</v>
      </c>
      <c r="L121" s="61">
        <f>-10-16.1</f>
        <v>-26.1</v>
      </c>
      <c r="M121" s="61">
        <v>53</v>
      </c>
      <c r="N121" s="61">
        <f>36+30</f>
        <v>66</v>
      </c>
      <c r="O121" s="61">
        <f>37+31</f>
        <v>68</v>
      </c>
      <c r="P121" s="61">
        <f>37+31</f>
        <v>68</v>
      </c>
      <c r="Q121" s="61">
        <v>72</v>
      </c>
      <c r="R121" s="61">
        <v>72</v>
      </c>
      <c r="S121" s="61">
        <v>46</v>
      </c>
      <c r="T121" s="61">
        <v>52</v>
      </c>
      <c r="U121" s="61">
        <v>60.2</v>
      </c>
      <c r="V121" s="61">
        <v>57.8</v>
      </c>
      <c r="W121" s="61">
        <v>64</v>
      </c>
      <c r="X121" s="61">
        <v>31</v>
      </c>
      <c r="Y121" s="61">
        <v>31</v>
      </c>
      <c r="Z121" s="61">
        <v>31</v>
      </c>
      <c r="AA121" s="61">
        <v>-1</v>
      </c>
      <c r="AB121" s="61">
        <v>10</v>
      </c>
      <c r="AC121" s="61">
        <v>11</v>
      </c>
      <c r="AD121" s="61">
        <v>11</v>
      </c>
      <c r="AE121" s="61">
        <v>-36</v>
      </c>
      <c r="AF121" s="61">
        <v>-46</v>
      </c>
      <c r="AG121" s="55">
        <v>240</v>
      </c>
      <c r="AH121" s="12">
        <f t="shared" si="49"/>
        <v>72</v>
      </c>
      <c r="AI121" s="11">
        <f t="shared" si="50"/>
        <v>-46</v>
      </c>
    </row>
    <row r="122" spans="1:35" ht="15.75" thickBot="1" x14ac:dyDescent="0.3">
      <c r="A122" s="57" t="s">
        <v>140</v>
      </c>
      <c r="B122" s="61">
        <v>31.8</v>
      </c>
      <c r="C122" s="61">
        <v>29.8</v>
      </c>
      <c r="D122" s="61">
        <v>28.6</v>
      </c>
      <c r="E122" s="61">
        <v>28.5</v>
      </c>
      <c r="F122" s="61">
        <v>30.3</v>
      </c>
      <c r="G122" s="61">
        <v>30</v>
      </c>
      <c r="H122" s="61">
        <v>33.200000000000003</v>
      </c>
      <c r="I122" s="61">
        <v>24</v>
      </c>
      <c r="J122" s="61">
        <v>22.8</v>
      </c>
      <c r="K122" s="61">
        <v>24.7</v>
      </c>
      <c r="L122" s="61">
        <v>24.6</v>
      </c>
      <c r="M122" s="61">
        <v>39</v>
      </c>
      <c r="N122" s="61">
        <v>38.9</v>
      </c>
      <c r="O122" s="61">
        <v>39</v>
      </c>
      <c r="P122" s="61">
        <v>39</v>
      </c>
      <c r="Q122" s="61">
        <v>35</v>
      </c>
      <c r="R122" s="61">
        <v>35</v>
      </c>
      <c r="S122" s="61">
        <v>36.1</v>
      </c>
      <c r="T122" s="61">
        <v>32</v>
      </c>
      <c r="U122" s="61">
        <v>37</v>
      </c>
      <c r="V122" s="61">
        <v>46.1</v>
      </c>
      <c r="W122" s="61">
        <v>53</v>
      </c>
      <c r="X122" s="61">
        <v>28</v>
      </c>
      <c r="Y122" s="61">
        <v>28</v>
      </c>
      <c r="Z122" s="61">
        <v>28</v>
      </c>
      <c r="AA122" s="61">
        <v>43.7</v>
      </c>
      <c r="AB122" s="61">
        <v>42</v>
      </c>
      <c r="AC122" s="61">
        <v>40</v>
      </c>
      <c r="AD122" s="61">
        <v>40</v>
      </c>
      <c r="AE122" s="61">
        <v>36</v>
      </c>
      <c r="AF122" s="61">
        <v>33</v>
      </c>
      <c r="AG122" s="55">
        <v>60</v>
      </c>
      <c r="AH122" s="12">
        <f t="shared" si="49"/>
        <v>53</v>
      </c>
      <c r="AI122" s="11">
        <f t="shared" si="50"/>
        <v>22.8</v>
      </c>
    </row>
    <row r="123" spans="1:35" x14ac:dyDescent="0.25">
      <c r="A123" s="59" t="s">
        <v>139</v>
      </c>
      <c r="B123" s="58">
        <v>24.8</v>
      </c>
      <c r="C123" s="58">
        <v>15.2</v>
      </c>
      <c r="D123" s="58">
        <v>10.8</v>
      </c>
      <c r="E123" s="58">
        <v>9.9</v>
      </c>
      <c r="F123" s="58">
        <v>12.3</v>
      </c>
      <c r="G123" s="58">
        <v>37.5</v>
      </c>
      <c r="H123" s="58">
        <v>50.4</v>
      </c>
      <c r="I123" s="58">
        <v>83</v>
      </c>
      <c r="J123" s="58">
        <v>128.6</v>
      </c>
      <c r="K123" s="58">
        <v>131</v>
      </c>
      <c r="L123" s="58">
        <v>130.4</v>
      </c>
      <c r="M123" s="58">
        <v>124</v>
      </c>
      <c r="N123" s="58">
        <v>119</v>
      </c>
      <c r="O123" s="58">
        <v>109</v>
      </c>
      <c r="P123" s="58">
        <v>109</v>
      </c>
      <c r="Q123" s="58">
        <f>37+31</f>
        <v>68</v>
      </c>
      <c r="R123" s="58">
        <f>37+31</f>
        <v>68</v>
      </c>
      <c r="S123" s="58">
        <v>114.5</v>
      </c>
      <c r="T123" s="58">
        <v>123.5</v>
      </c>
      <c r="U123" s="58">
        <v>120.5</v>
      </c>
      <c r="V123" s="58">
        <v>121.4</v>
      </c>
      <c r="W123" s="58">
        <v>127</v>
      </c>
      <c r="X123" s="58">
        <v>134</v>
      </c>
      <c r="Y123" s="58">
        <v>134</v>
      </c>
      <c r="Z123" s="58">
        <v>134</v>
      </c>
      <c r="AA123" s="58">
        <v>171.9</v>
      </c>
      <c r="AB123" s="58">
        <v>150</v>
      </c>
      <c r="AC123" s="58">
        <v>127</v>
      </c>
      <c r="AD123" s="58">
        <v>127</v>
      </c>
      <c r="AE123" s="58">
        <v>63</v>
      </c>
      <c r="AF123" s="58">
        <v>37</v>
      </c>
      <c r="AG123" s="60">
        <v>120</v>
      </c>
      <c r="AH123" s="12">
        <f t="shared" si="49"/>
        <v>171.9</v>
      </c>
      <c r="AI123" s="11">
        <f t="shared" si="50"/>
        <v>9.9</v>
      </c>
    </row>
    <row r="124" spans="1:35" x14ac:dyDescent="0.25">
      <c r="A124" s="57" t="s">
        <v>138</v>
      </c>
      <c r="B124" s="58">
        <v>32.6</v>
      </c>
      <c r="C124" s="58">
        <v>28.5</v>
      </c>
      <c r="D124" s="58">
        <v>25.6</v>
      </c>
      <c r="E124" s="58">
        <v>25.2</v>
      </c>
      <c r="F124" s="58">
        <v>26.1</v>
      </c>
      <c r="G124" s="58">
        <v>38.700000000000003</v>
      </c>
      <c r="H124" s="58">
        <v>45.5</v>
      </c>
      <c r="I124" s="58">
        <v>62</v>
      </c>
      <c r="J124" s="58">
        <v>83.9</v>
      </c>
      <c r="K124" s="58">
        <v>85</v>
      </c>
      <c r="L124" s="58">
        <v>84.4</v>
      </c>
      <c r="M124" s="58">
        <v>81.5</v>
      </c>
      <c r="N124" s="58">
        <v>78</v>
      </c>
      <c r="O124" s="58">
        <v>73</v>
      </c>
      <c r="P124" s="58">
        <v>73</v>
      </c>
      <c r="Q124" s="58">
        <v>67.5</v>
      </c>
      <c r="R124" s="58">
        <v>67.5</v>
      </c>
      <c r="S124" s="58">
        <v>76.5</v>
      </c>
      <c r="T124" s="58">
        <v>68</v>
      </c>
      <c r="U124" s="58">
        <v>79.5</v>
      </c>
      <c r="V124" s="58">
        <v>79.400000000000006</v>
      </c>
      <c r="W124" s="58">
        <v>77</v>
      </c>
      <c r="X124" s="58">
        <v>85</v>
      </c>
      <c r="Y124" s="58">
        <v>85</v>
      </c>
      <c r="Z124" s="58">
        <v>85</v>
      </c>
      <c r="AA124" s="58">
        <v>107.5</v>
      </c>
      <c r="AB124" s="58">
        <v>90</v>
      </c>
      <c r="AC124" s="58">
        <v>83</v>
      </c>
      <c r="AD124" s="58">
        <v>83</v>
      </c>
      <c r="AE124" s="58">
        <v>53</v>
      </c>
      <c r="AF124" s="58">
        <v>40</v>
      </c>
      <c r="AG124" s="60"/>
      <c r="AH124" s="12">
        <f t="shared" si="49"/>
        <v>107.5</v>
      </c>
      <c r="AI124" s="11">
        <f t="shared" si="50"/>
        <v>25.2</v>
      </c>
    </row>
    <row r="125" spans="1:35" x14ac:dyDescent="0.25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49"/>
        <v>0</v>
      </c>
      <c r="AI125" s="11">
        <f t="shared" si="50"/>
        <v>0</v>
      </c>
    </row>
    <row r="126" spans="1:35" ht="15.75" thickBot="1" x14ac:dyDescent="0.3">
      <c r="A126" s="57" t="s">
        <v>136</v>
      </c>
      <c r="B126" s="58">
        <v>60.7</v>
      </c>
      <c r="C126" s="58">
        <v>55</v>
      </c>
      <c r="D126" s="58">
        <v>51.8</v>
      </c>
      <c r="E126" s="58">
        <v>55.7</v>
      </c>
      <c r="F126" s="58">
        <v>61.3</v>
      </c>
      <c r="G126" s="58">
        <v>56.3</v>
      </c>
      <c r="H126" s="58">
        <v>54.2</v>
      </c>
      <c r="I126" s="58">
        <v>90</v>
      </c>
      <c r="J126" s="58">
        <v>95</v>
      </c>
      <c r="K126" s="58">
        <v>102</v>
      </c>
      <c r="L126" s="58">
        <v>107</v>
      </c>
      <c r="M126" s="58">
        <v>84</v>
      </c>
      <c r="N126" s="58">
        <v>106</v>
      </c>
      <c r="O126" s="58">
        <v>106</v>
      </c>
      <c r="P126" s="58">
        <v>106</v>
      </c>
      <c r="Q126" s="58">
        <v>102</v>
      </c>
      <c r="R126" s="58">
        <v>102</v>
      </c>
      <c r="S126" s="58">
        <v>100.1</v>
      </c>
      <c r="T126" s="58">
        <v>103.6</v>
      </c>
      <c r="U126" s="58">
        <v>113</v>
      </c>
      <c r="V126" s="58">
        <v>98.6</v>
      </c>
      <c r="W126" s="58">
        <v>108</v>
      </c>
      <c r="X126" s="58">
        <v>90</v>
      </c>
      <c r="Y126" s="58">
        <v>90</v>
      </c>
      <c r="Z126" s="58">
        <v>90</v>
      </c>
      <c r="AA126" s="58">
        <v>84.9</v>
      </c>
      <c r="AB126" s="58">
        <v>85</v>
      </c>
      <c r="AC126" s="58">
        <v>90</v>
      </c>
      <c r="AD126" s="58">
        <v>90</v>
      </c>
      <c r="AE126" s="58">
        <v>92</v>
      </c>
      <c r="AF126" s="58">
        <v>87</v>
      </c>
      <c r="AG126" s="55"/>
      <c r="AH126" s="12">
        <f>MAX(B126:AF126)</f>
        <v>113</v>
      </c>
      <c r="AI126" s="11">
        <f>MIN(B126:AF126)</f>
        <v>51.8</v>
      </c>
    </row>
    <row r="127" spans="1:35" x14ac:dyDescent="0.25">
      <c r="A127" s="59" t="s">
        <v>135</v>
      </c>
      <c r="B127" s="58">
        <v>-78.8</v>
      </c>
      <c r="C127" s="58">
        <v>-73.2</v>
      </c>
      <c r="D127" s="58">
        <v>-64.8</v>
      </c>
      <c r="E127" s="58">
        <v>-63.6</v>
      </c>
      <c r="F127" s="58">
        <v>-63.6</v>
      </c>
      <c r="G127" s="58">
        <v>-50.8</v>
      </c>
      <c r="H127" s="58">
        <v>-63.9</v>
      </c>
      <c r="I127" s="58">
        <v>-61.8</v>
      </c>
      <c r="J127" s="58">
        <v>-61.8</v>
      </c>
      <c r="K127" s="58">
        <v>-38</v>
      </c>
      <c r="L127" s="58">
        <v>-72.900000000000006</v>
      </c>
      <c r="M127" s="58">
        <v>113</v>
      </c>
      <c r="N127" s="58">
        <v>60</v>
      </c>
      <c r="O127" s="58">
        <v>51</v>
      </c>
      <c r="P127" s="58">
        <v>51</v>
      </c>
      <c r="Q127" s="58">
        <v>39</v>
      </c>
      <c r="R127" s="58">
        <v>39</v>
      </c>
      <c r="S127" s="58">
        <v>27.2</v>
      </c>
      <c r="T127" s="58">
        <v>27.2</v>
      </c>
      <c r="U127" s="58">
        <v>30.8</v>
      </c>
      <c r="V127" s="58">
        <v>37.700000000000003</v>
      </c>
      <c r="W127" s="58">
        <v>40</v>
      </c>
      <c r="X127" s="58">
        <v>28</v>
      </c>
      <c r="Y127" s="58">
        <v>28</v>
      </c>
      <c r="Z127" s="58">
        <v>28</v>
      </c>
      <c r="AA127" s="58">
        <v>-42.5</v>
      </c>
      <c r="AB127" s="58">
        <v>-50</v>
      </c>
      <c r="AC127" s="58">
        <v>-58</v>
      </c>
      <c r="AD127" s="58">
        <v>-58</v>
      </c>
      <c r="AE127" s="58">
        <v>-167</v>
      </c>
      <c r="AF127" s="58">
        <v>-192</v>
      </c>
      <c r="AG127" s="55"/>
      <c r="AH127" s="12">
        <f>MAX(B127:AF127)</f>
        <v>113</v>
      </c>
      <c r="AI127" s="11">
        <f>MIN(B127:AF127)</f>
        <v>-192</v>
      </c>
    </row>
    <row r="128" spans="1:35" x14ac:dyDescent="0.25">
      <c r="A128" s="57" t="s">
        <v>134</v>
      </c>
      <c r="B128" s="56">
        <v>-44.7</v>
      </c>
      <c r="C128" s="56">
        <v>-37.4</v>
      </c>
      <c r="D128" s="56">
        <v>-32.6</v>
      </c>
      <c r="E128" s="56">
        <v>-30.2</v>
      </c>
      <c r="F128" s="56">
        <v>-30.7</v>
      </c>
      <c r="G128" s="56">
        <v>-35.799999999999997</v>
      </c>
      <c r="H128" s="56">
        <v>-41</v>
      </c>
      <c r="I128" s="56">
        <v>-43.2</v>
      </c>
      <c r="J128" s="56">
        <v>-43.2</v>
      </c>
      <c r="K128" s="56">
        <v>-44</v>
      </c>
      <c r="L128" s="56">
        <v>-44</v>
      </c>
      <c r="M128" s="56">
        <v>-17</v>
      </c>
      <c r="N128" s="56">
        <v>-35</v>
      </c>
      <c r="O128" s="56">
        <v>-33</v>
      </c>
      <c r="P128" s="56">
        <v>-33</v>
      </c>
      <c r="Q128" s="56">
        <v>-50</v>
      </c>
      <c r="R128" s="56">
        <v>-50</v>
      </c>
      <c r="S128" s="56">
        <v>-45.9</v>
      </c>
      <c r="T128" s="56">
        <v>-61.2</v>
      </c>
      <c r="U128" s="56">
        <v>-56</v>
      </c>
      <c r="V128" s="56">
        <v>-61.3</v>
      </c>
      <c r="W128" s="56">
        <v>68</v>
      </c>
      <c r="X128" s="56">
        <v>68</v>
      </c>
      <c r="Y128" s="56">
        <v>68</v>
      </c>
      <c r="Z128" s="56">
        <v>68</v>
      </c>
      <c r="AA128" s="56">
        <v>-66</v>
      </c>
      <c r="AB128" s="56">
        <v>-67</v>
      </c>
      <c r="AC128" s="56">
        <v>-67</v>
      </c>
      <c r="AD128" s="56">
        <v>-67</v>
      </c>
      <c r="AE128" s="56">
        <v>-61</v>
      </c>
      <c r="AF128" s="56">
        <v>-52</v>
      </c>
      <c r="AG128" s="55"/>
      <c r="AH128" s="12">
        <f>MAX(B128:AF128)</f>
        <v>68</v>
      </c>
      <c r="AI128" s="11">
        <f>MIN(B128:AF128)</f>
        <v>-67</v>
      </c>
    </row>
    <row r="129" spans="1:37" x14ac:dyDescent="0.25">
      <c r="A129" s="57" t="s">
        <v>133</v>
      </c>
      <c r="B129" s="56">
        <v>89.5</v>
      </c>
      <c r="C129" s="56">
        <v>81</v>
      </c>
      <c r="D129" s="56">
        <v>82.3</v>
      </c>
      <c r="E129" s="56">
        <v>82.7</v>
      </c>
      <c r="F129" s="56">
        <v>82.9</v>
      </c>
      <c r="G129" s="56">
        <v>81.099999999999994</v>
      </c>
      <c r="H129" s="56">
        <v>80.5</v>
      </c>
      <c r="I129" s="56">
        <v>108.8</v>
      </c>
      <c r="J129" s="56">
        <v>108.8</v>
      </c>
      <c r="K129" s="56">
        <v>120.4</v>
      </c>
      <c r="L129" s="56"/>
      <c r="M129" s="56">
        <v>110</v>
      </c>
      <c r="N129" s="56">
        <v>120</v>
      </c>
      <c r="O129" s="56">
        <v>114</v>
      </c>
      <c r="P129" s="56">
        <v>114</v>
      </c>
      <c r="Q129" s="56">
        <v>123</v>
      </c>
      <c r="R129" s="56">
        <v>123</v>
      </c>
      <c r="S129" s="56">
        <v>123.9</v>
      </c>
      <c r="T129" s="56">
        <v>80.900000000000006</v>
      </c>
      <c r="U129" s="56">
        <v>72.599999999999994</v>
      </c>
      <c r="V129" s="56">
        <v>77.599999999999994</v>
      </c>
      <c r="W129" s="56">
        <v>76</v>
      </c>
      <c r="X129" s="56">
        <v>89</v>
      </c>
      <c r="Y129" s="56">
        <v>89</v>
      </c>
      <c r="Z129" s="56">
        <v>89</v>
      </c>
      <c r="AA129" s="56">
        <v>118.5</v>
      </c>
      <c r="AB129" s="56">
        <v>119</v>
      </c>
      <c r="AC129" s="56">
        <v>119</v>
      </c>
      <c r="AD129" s="56">
        <v>119</v>
      </c>
      <c r="AE129" s="56">
        <v>108</v>
      </c>
      <c r="AF129" s="56">
        <v>105</v>
      </c>
      <c r="AG129" s="55"/>
      <c r="AH129" s="12">
        <f>MAX(B129:AF129)</f>
        <v>123.9</v>
      </c>
      <c r="AI129" s="11">
        <f>MIN(B129:AF129)</f>
        <v>72.599999999999994</v>
      </c>
    </row>
    <row r="130" spans="1:37" ht="15.75" thickBot="1" x14ac:dyDescent="0.3">
      <c r="A130" s="57" t="s">
        <v>132</v>
      </c>
      <c r="B130" s="56">
        <v>100.1</v>
      </c>
      <c r="C130" s="56">
        <v>93.3</v>
      </c>
      <c r="D130" s="56">
        <v>91.9</v>
      </c>
      <c r="E130" s="56">
        <v>89.7</v>
      </c>
      <c r="F130" s="56">
        <v>89.5</v>
      </c>
      <c r="G130" s="56">
        <v>88.6</v>
      </c>
      <c r="H130" s="56">
        <v>90.2</v>
      </c>
      <c r="I130" s="56">
        <v>106.8</v>
      </c>
      <c r="J130" s="56">
        <v>106.8</v>
      </c>
      <c r="K130" s="56">
        <v>110.1</v>
      </c>
      <c r="L130" s="56"/>
      <c r="M130" s="56">
        <v>112</v>
      </c>
      <c r="N130" s="56">
        <v>120</v>
      </c>
      <c r="O130" s="56">
        <v>114</v>
      </c>
      <c r="P130" s="56">
        <v>114</v>
      </c>
      <c r="Q130" s="56">
        <v>125</v>
      </c>
      <c r="R130" s="56">
        <v>125</v>
      </c>
      <c r="S130" s="56">
        <v>132.19999999999999</v>
      </c>
      <c r="T130" s="56">
        <v>82.5</v>
      </c>
      <c r="U130" s="56">
        <v>75.8</v>
      </c>
      <c r="V130" s="56">
        <v>80.599999999999994</v>
      </c>
      <c r="W130" s="56">
        <v>80</v>
      </c>
      <c r="X130" s="56">
        <v>72</v>
      </c>
      <c r="Y130" s="56">
        <v>72</v>
      </c>
      <c r="Z130" s="56">
        <v>72</v>
      </c>
      <c r="AA130" s="56">
        <v>123.5</v>
      </c>
      <c r="AB130" s="56">
        <v>125</v>
      </c>
      <c r="AC130" s="56">
        <v>129</v>
      </c>
      <c r="AD130" s="56">
        <v>129</v>
      </c>
      <c r="AE130" s="56">
        <v>118</v>
      </c>
      <c r="AF130" s="56">
        <v>115</v>
      </c>
      <c r="AG130" s="55"/>
      <c r="AH130" s="12">
        <f>MAX(B130:AF130)</f>
        <v>132.19999999999999</v>
      </c>
      <c r="AI130" s="11">
        <f>MIN(B130:AF130)</f>
        <v>72</v>
      </c>
    </row>
    <row r="131" spans="1:37" ht="15.75" thickBot="1" x14ac:dyDescent="0.3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25">
      <c r="A132" s="47" t="s">
        <v>130</v>
      </c>
      <c r="B132" s="53">
        <v>1982.6</v>
      </c>
      <c r="C132" s="53">
        <v>1982.58</v>
      </c>
      <c r="D132" s="53">
        <v>1982.6</v>
      </c>
      <c r="E132" s="51">
        <v>1982.65</v>
      </c>
      <c r="F132" s="51">
        <v>1982.72</v>
      </c>
      <c r="G132" s="51">
        <v>1982.78</v>
      </c>
      <c r="H132" s="51"/>
      <c r="I132" s="51">
        <v>1982.72</v>
      </c>
      <c r="J132" s="51"/>
      <c r="K132" s="51"/>
      <c r="L132" s="51"/>
      <c r="M132" s="51">
        <v>1983.14</v>
      </c>
      <c r="N132" s="51">
        <v>1983.45</v>
      </c>
      <c r="O132" s="51">
        <v>1983.72</v>
      </c>
      <c r="P132" s="51">
        <v>1984</v>
      </c>
      <c r="Q132" s="51">
        <v>1984.3</v>
      </c>
      <c r="R132" s="51">
        <v>1984.54</v>
      </c>
      <c r="S132" s="51">
        <v>1984.75</v>
      </c>
      <c r="T132" s="51">
        <v>1985</v>
      </c>
      <c r="U132" s="51">
        <v>1985.24</v>
      </c>
      <c r="V132" s="51">
        <v>1985.45</v>
      </c>
      <c r="W132" s="51"/>
      <c r="X132" s="51">
        <v>1985.7</v>
      </c>
      <c r="Y132" s="51"/>
      <c r="Z132" s="51">
        <v>1985.5</v>
      </c>
      <c r="AA132" s="51"/>
      <c r="AB132" s="51">
        <v>1985.22</v>
      </c>
      <c r="AC132" s="51"/>
      <c r="AD132" s="51">
        <v>1984.9</v>
      </c>
      <c r="AE132" s="51">
        <v>1984.22</v>
      </c>
      <c r="AF132" s="50">
        <v>1983.38</v>
      </c>
      <c r="AG132" s="44"/>
      <c r="AH132" s="12"/>
      <c r="AI132" s="11"/>
    </row>
    <row r="133" spans="1:37" x14ac:dyDescent="0.25">
      <c r="A133" s="47" t="s">
        <v>129</v>
      </c>
      <c r="B133" s="49">
        <v>519.16</v>
      </c>
      <c r="C133" s="49">
        <v>519.15</v>
      </c>
      <c r="D133" s="49">
        <v>519.16999999999996</v>
      </c>
      <c r="E133" s="49">
        <v>519.30999999999995</v>
      </c>
      <c r="F133" s="49">
        <v>519.57000000000005</v>
      </c>
      <c r="G133" s="49">
        <v>519.83000000000004</v>
      </c>
      <c r="H133" s="49"/>
      <c r="I133" s="49">
        <v>520.08000000000004</v>
      </c>
      <c r="J133" s="49"/>
      <c r="K133" s="49"/>
      <c r="L133" s="49"/>
      <c r="M133" s="49">
        <v>519.76</v>
      </c>
      <c r="N133" s="49">
        <v>519.79999999999995</v>
      </c>
      <c r="O133" s="49">
        <v>519.75</v>
      </c>
      <c r="P133" s="49">
        <v>519.61</v>
      </c>
      <c r="Q133" s="49">
        <v>519.6</v>
      </c>
      <c r="R133" s="49">
        <v>519.52</v>
      </c>
      <c r="S133" s="49">
        <v>519.36</v>
      </c>
      <c r="T133" s="49">
        <v>519.1</v>
      </c>
      <c r="U133" s="49">
        <v>518.82000000000005</v>
      </c>
      <c r="V133" s="49">
        <v>518.66</v>
      </c>
      <c r="W133" s="49"/>
      <c r="X133" s="49">
        <v>519.11</v>
      </c>
      <c r="Y133" s="49"/>
      <c r="Z133" s="49">
        <v>519.19000000000005</v>
      </c>
      <c r="AA133" s="49"/>
      <c r="AB133" s="49">
        <v>519</v>
      </c>
      <c r="AC133" s="49"/>
      <c r="AD133" s="49">
        <v>519.02</v>
      </c>
      <c r="AE133" s="49">
        <v>519.01</v>
      </c>
      <c r="AF133" s="48"/>
      <c r="AG133" s="44"/>
      <c r="AH133" s="12"/>
      <c r="AI133" s="11"/>
    </row>
    <row r="134" spans="1:37" x14ac:dyDescent="0.25">
      <c r="A134" s="47" t="s">
        <v>128</v>
      </c>
      <c r="B134" s="49">
        <v>621.98</v>
      </c>
      <c r="C134" s="49">
        <v>622.02</v>
      </c>
      <c r="D134" s="49">
        <v>622.11</v>
      </c>
      <c r="E134" s="49">
        <v>622.19000000000005</v>
      </c>
      <c r="F134" s="49">
        <v>622.22</v>
      </c>
      <c r="G134" s="49">
        <v>622.27</v>
      </c>
      <c r="H134" s="49"/>
      <c r="I134" s="49">
        <v>622.39</v>
      </c>
      <c r="J134" s="49"/>
      <c r="K134" s="49"/>
      <c r="L134" s="49"/>
      <c r="M134" s="49">
        <v>621.83000000000004</v>
      </c>
      <c r="N134" s="49">
        <v>622.02</v>
      </c>
      <c r="O134" s="49">
        <v>622.29</v>
      </c>
      <c r="P134" s="49">
        <v>622.4</v>
      </c>
      <c r="Q134" s="49">
        <v>622.45000000000005</v>
      </c>
      <c r="R134" s="49">
        <v>622.54999999999995</v>
      </c>
      <c r="S134" s="49">
        <v>622.66999999999996</v>
      </c>
      <c r="T134" s="49">
        <v>622.72</v>
      </c>
      <c r="U134" s="49">
        <v>622.80999999999995</v>
      </c>
      <c r="V134" s="49">
        <v>622.89</v>
      </c>
      <c r="W134" s="49"/>
      <c r="X134" s="49">
        <v>623.20000000000005</v>
      </c>
      <c r="Y134" s="49"/>
      <c r="Z134" s="49">
        <v>623.35</v>
      </c>
      <c r="AA134" s="49"/>
      <c r="AB134" s="49">
        <v>622.9</v>
      </c>
      <c r="AC134" s="49">
        <v>622.71</v>
      </c>
      <c r="AD134" s="49">
        <v>622.57000000000005</v>
      </c>
      <c r="AE134" s="49">
        <v>622.58000000000004</v>
      </c>
      <c r="AF134" s="48">
        <v>622.59</v>
      </c>
      <c r="AG134" s="44"/>
      <c r="AH134" s="12"/>
      <c r="AI134" s="11"/>
    </row>
    <row r="135" spans="1:37" x14ac:dyDescent="0.25">
      <c r="A135" s="47" t="s">
        <v>127</v>
      </c>
      <c r="B135" s="49">
        <v>334.28</v>
      </c>
      <c r="C135" s="49">
        <v>334.45</v>
      </c>
      <c r="D135" s="49">
        <v>334.55</v>
      </c>
      <c r="E135" s="49">
        <v>334.55</v>
      </c>
      <c r="F135" s="49">
        <v>334.52</v>
      </c>
      <c r="G135" s="49">
        <v>334.55</v>
      </c>
      <c r="H135" s="49"/>
      <c r="I135" s="49">
        <v>334.59</v>
      </c>
      <c r="J135" s="49"/>
      <c r="K135" s="49"/>
      <c r="L135" s="49"/>
      <c r="M135" s="49">
        <v>334.26</v>
      </c>
      <c r="N135" s="49">
        <v>333.99</v>
      </c>
      <c r="O135" s="49">
        <v>333.9</v>
      </c>
      <c r="P135" s="49">
        <v>334.01</v>
      </c>
      <c r="Q135" s="49">
        <v>334.3</v>
      </c>
      <c r="R135" s="49">
        <v>334.59</v>
      </c>
      <c r="S135" s="49">
        <v>334.8</v>
      </c>
      <c r="T135" s="49">
        <v>334.9</v>
      </c>
      <c r="U135" s="49">
        <v>334.98</v>
      </c>
      <c r="V135" s="49"/>
      <c r="W135" s="49"/>
      <c r="X135" s="49"/>
      <c r="Y135" s="49"/>
      <c r="Z135" s="49"/>
      <c r="AA135" s="49"/>
      <c r="AB135" s="49">
        <v>335.37</v>
      </c>
      <c r="AC135" s="49"/>
      <c r="AD135" s="49">
        <v>335.29</v>
      </c>
      <c r="AE135" s="49">
        <v>335.23</v>
      </c>
      <c r="AF135" s="48">
        <v>335.19</v>
      </c>
      <c r="AG135" s="44"/>
      <c r="AH135" s="12"/>
      <c r="AI135" s="11"/>
    </row>
    <row r="136" spans="1:37" x14ac:dyDescent="0.25">
      <c r="A136" s="47" t="s">
        <v>126</v>
      </c>
      <c r="B136" s="49">
        <v>881.6</v>
      </c>
      <c r="C136" s="49">
        <v>881.5</v>
      </c>
      <c r="D136" s="49">
        <v>881.6</v>
      </c>
      <c r="E136" s="49">
        <v>882.7</v>
      </c>
      <c r="F136" s="49">
        <v>883.7</v>
      </c>
      <c r="G136" s="49">
        <v>884.6</v>
      </c>
      <c r="H136" s="49"/>
      <c r="I136" s="49">
        <v>885.1</v>
      </c>
      <c r="J136" s="49"/>
      <c r="K136" s="49"/>
      <c r="L136" s="49"/>
      <c r="M136" s="49">
        <v>883.5</v>
      </c>
      <c r="N136" s="49">
        <v>882.8</v>
      </c>
      <c r="O136" s="49">
        <v>882.4</v>
      </c>
      <c r="P136" s="49">
        <v>881.9</v>
      </c>
      <c r="Q136" s="49">
        <v>881.5</v>
      </c>
      <c r="R136" s="49">
        <v>882.7</v>
      </c>
      <c r="S136" s="49">
        <v>883.5</v>
      </c>
      <c r="T136" s="49">
        <v>884.2</v>
      </c>
      <c r="U136" s="49">
        <v>884.8</v>
      </c>
      <c r="V136" s="49"/>
      <c r="W136" s="49"/>
      <c r="X136" s="49"/>
      <c r="Y136" s="49"/>
      <c r="Z136" s="49"/>
      <c r="AA136" s="49"/>
      <c r="AB136" s="49">
        <v>883.7</v>
      </c>
      <c r="AC136" s="49"/>
      <c r="AD136" s="49"/>
      <c r="AE136" s="49"/>
      <c r="AF136" s="48">
        <v>882.5</v>
      </c>
      <c r="AG136" s="44"/>
      <c r="AH136" s="12"/>
      <c r="AI136" s="11"/>
    </row>
    <row r="137" spans="1:37" ht="15.75" thickBot="1" x14ac:dyDescent="0.3">
      <c r="A137" s="47" t="s">
        <v>125</v>
      </c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>
        <v>1508.49</v>
      </c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.75" thickBot="1" x14ac:dyDescent="0.3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25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25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25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25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25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25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25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25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25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25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25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25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25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25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25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25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25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25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25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25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25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25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25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25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25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25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25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25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25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25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25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25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25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25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25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25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25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25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25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25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25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25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25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25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25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25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25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25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25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25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25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25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25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25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25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25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25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25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25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25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25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25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25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25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25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25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25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25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25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25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25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25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25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25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25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25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25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25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25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25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25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25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25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25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25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25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25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25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25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25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25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25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25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25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25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25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25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25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25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25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25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25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25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25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.75" thickBot="1" x14ac:dyDescent="0.3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.75" thickBot="1" x14ac:dyDescent="0.3">
      <c r="A244" s="31" t="s">
        <v>17</v>
      </c>
      <c r="B244" s="30">
        <f t="shared" ref="B244:AG244" si="100">SUM(B139:B243)</f>
        <v>0</v>
      </c>
      <c r="C244" s="14">
        <f t="shared" si="100"/>
        <v>0</v>
      </c>
      <c r="D244" s="14">
        <f t="shared" si="100"/>
        <v>0</v>
      </c>
      <c r="E244" s="14">
        <f t="shared" si="100"/>
        <v>0</v>
      </c>
      <c r="F244" s="14">
        <f t="shared" si="100"/>
        <v>0</v>
      </c>
      <c r="G244" s="14">
        <f t="shared" si="100"/>
        <v>0</v>
      </c>
      <c r="H244" s="14">
        <f t="shared" si="100"/>
        <v>0</v>
      </c>
      <c r="I244" s="14">
        <f t="shared" si="100"/>
        <v>0</v>
      </c>
      <c r="J244" s="14">
        <f t="shared" si="100"/>
        <v>0</v>
      </c>
      <c r="K244" s="14">
        <f t="shared" si="100"/>
        <v>0</v>
      </c>
      <c r="L244" s="14">
        <f t="shared" si="100"/>
        <v>0</v>
      </c>
      <c r="M244" s="14">
        <f t="shared" si="100"/>
        <v>0</v>
      </c>
      <c r="N244" s="14">
        <f t="shared" si="100"/>
        <v>0</v>
      </c>
      <c r="O244" s="14">
        <f t="shared" si="100"/>
        <v>0</v>
      </c>
      <c r="P244" s="14">
        <f t="shared" si="100"/>
        <v>0</v>
      </c>
      <c r="Q244" s="14">
        <f t="shared" si="100"/>
        <v>0</v>
      </c>
      <c r="R244" s="14">
        <f t="shared" si="100"/>
        <v>0</v>
      </c>
      <c r="S244" s="14">
        <f t="shared" si="100"/>
        <v>0</v>
      </c>
      <c r="T244" s="14">
        <f t="shared" si="100"/>
        <v>0</v>
      </c>
      <c r="U244" s="14">
        <f t="shared" si="100"/>
        <v>0</v>
      </c>
      <c r="V244" s="14">
        <f t="shared" si="100"/>
        <v>0</v>
      </c>
      <c r="W244" s="14">
        <f t="shared" si="100"/>
        <v>0</v>
      </c>
      <c r="X244" s="14">
        <f t="shared" si="100"/>
        <v>0</v>
      </c>
      <c r="Y244" s="14">
        <f t="shared" si="100"/>
        <v>0</v>
      </c>
      <c r="Z244" s="14">
        <f t="shared" si="100"/>
        <v>0</v>
      </c>
      <c r="AA244" s="14">
        <f t="shared" si="100"/>
        <v>0</v>
      </c>
      <c r="AB244" s="14">
        <f t="shared" si="100"/>
        <v>0</v>
      </c>
      <c r="AC244" s="14">
        <f t="shared" si="100"/>
        <v>0</v>
      </c>
      <c r="AD244" s="14">
        <f t="shared" si="100"/>
        <v>0</v>
      </c>
      <c r="AE244" s="14">
        <f t="shared" si="100"/>
        <v>0</v>
      </c>
      <c r="AF244" s="29">
        <f t="shared" si="100"/>
        <v>0</v>
      </c>
      <c r="AG244" s="28">
        <f t="shared" si="100"/>
        <v>412.72299999999984</v>
      </c>
      <c r="AH244" s="12"/>
      <c r="AI244" s="11"/>
      <c r="AK244" s="19"/>
    </row>
    <row r="245" spans="1:37" ht="15.75" thickBot="1" x14ac:dyDescent="0.3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25">
      <c r="A246" s="25" t="s">
        <v>16</v>
      </c>
      <c r="B246" s="24">
        <f t="shared" ref="B246:B251" si="101">AF246</f>
        <v>0.3</v>
      </c>
      <c r="C246" s="24">
        <v>0.3</v>
      </c>
      <c r="D246" s="24">
        <f t="shared" ref="D246:AF251" si="102">C246</f>
        <v>0.3</v>
      </c>
      <c r="E246" s="24">
        <f t="shared" si="102"/>
        <v>0.3</v>
      </c>
      <c r="F246" s="24">
        <f t="shared" si="102"/>
        <v>0.3</v>
      </c>
      <c r="G246" s="24">
        <f t="shared" si="102"/>
        <v>0.3</v>
      </c>
      <c r="H246" s="24">
        <f t="shared" si="102"/>
        <v>0.3</v>
      </c>
      <c r="I246" s="24">
        <f t="shared" si="102"/>
        <v>0.3</v>
      </c>
      <c r="J246" s="24">
        <f t="shared" si="102"/>
        <v>0.3</v>
      </c>
      <c r="K246" s="24">
        <f t="shared" si="102"/>
        <v>0.3</v>
      </c>
      <c r="L246" s="24">
        <f t="shared" si="102"/>
        <v>0.3</v>
      </c>
      <c r="M246" s="24">
        <f t="shared" si="102"/>
        <v>0.3</v>
      </c>
      <c r="N246" s="24">
        <f t="shared" si="102"/>
        <v>0.3</v>
      </c>
      <c r="O246" s="24">
        <f t="shared" si="102"/>
        <v>0.3</v>
      </c>
      <c r="P246" s="24">
        <f t="shared" si="102"/>
        <v>0.3</v>
      </c>
      <c r="Q246" s="24">
        <f t="shared" si="102"/>
        <v>0.3</v>
      </c>
      <c r="R246" s="24">
        <f t="shared" si="102"/>
        <v>0.3</v>
      </c>
      <c r="S246" s="24">
        <f t="shared" si="102"/>
        <v>0.3</v>
      </c>
      <c r="T246" s="24">
        <f t="shared" si="102"/>
        <v>0.3</v>
      </c>
      <c r="U246" s="24">
        <f t="shared" si="102"/>
        <v>0.3</v>
      </c>
      <c r="V246" s="24">
        <f t="shared" si="102"/>
        <v>0.3</v>
      </c>
      <c r="W246" s="24">
        <f t="shared" si="102"/>
        <v>0.3</v>
      </c>
      <c r="X246" s="24">
        <f t="shared" si="102"/>
        <v>0.3</v>
      </c>
      <c r="Y246" s="24">
        <f t="shared" si="102"/>
        <v>0.3</v>
      </c>
      <c r="Z246" s="24">
        <f t="shared" si="102"/>
        <v>0.3</v>
      </c>
      <c r="AA246" s="24">
        <f t="shared" si="102"/>
        <v>0.3</v>
      </c>
      <c r="AB246" s="24">
        <f t="shared" si="102"/>
        <v>0.3</v>
      </c>
      <c r="AC246" s="24">
        <f t="shared" si="102"/>
        <v>0.3</v>
      </c>
      <c r="AD246" s="24">
        <f t="shared" si="102"/>
        <v>0.3</v>
      </c>
      <c r="AE246" s="24">
        <f t="shared" si="102"/>
        <v>0.3</v>
      </c>
      <c r="AF246" s="24">
        <f t="shared" si="102"/>
        <v>0.3</v>
      </c>
      <c r="AG246" s="23">
        <v>2.4</v>
      </c>
      <c r="AH246" s="12"/>
      <c r="AI246" s="11"/>
      <c r="AK246" s="19"/>
    </row>
    <row r="247" spans="1:37" x14ac:dyDescent="0.25">
      <c r="A247" s="22" t="s">
        <v>15</v>
      </c>
      <c r="B247" s="21">
        <f t="shared" si="101"/>
        <v>0.4</v>
      </c>
      <c r="C247" s="21">
        <v>0.4</v>
      </c>
      <c r="D247" s="21">
        <f t="shared" si="102"/>
        <v>0.4</v>
      </c>
      <c r="E247" s="21">
        <f t="shared" si="102"/>
        <v>0.4</v>
      </c>
      <c r="F247" s="21">
        <f t="shared" si="102"/>
        <v>0.4</v>
      </c>
      <c r="G247" s="21">
        <f t="shared" si="102"/>
        <v>0.4</v>
      </c>
      <c r="H247" s="21">
        <f t="shared" si="102"/>
        <v>0.4</v>
      </c>
      <c r="I247" s="21">
        <f t="shared" si="102"/>
        <v>0.4</v>
      </c>
      <c r="J247" s="21">
        <f t="shared" si="102"/>
        <v>0.4</v>
      </c>
      <c r="K247" s="21">
        <f t="shared" si="102"/>
        <v>0.4</v>
      </c>
      <c r="L247" s="21">
        <f t="shared" si="102"/>
        <v>0.4</v>
      </c>
      <c r="M247" s="21">
        <f t="shared" si="102"/>
        <v>0.4</v>
      </c>
      <c r="N247" s="21">
        <f t="shared" si="102"/>
        <v>0.4</v>
      </c>
      <c r="O247" s="21">
        <f t="shared" si="102"/>
        <v>0.4</v>
      </c>
      <c r="P247" s="21">
        <f t="shared" si="102"/>
        <v>0.4</v>
      </c>
      <c r="Q247" s="21">
        <f t="shared" si="102"/>
        <v>0.4</v>
      </c>
      <c r="R247" s="21">
        <f t="shared" si="102"/>
        <v>0.4</v>
      </c>
      <c r="S247" s="21">
        <f t="shared" si="102"/>
        <v>0.4</v>
      </c>
      <c r="T247" s="21">
        <f t="shared" si="102"/>
        <v>0.4</v>
      </c>
      <c r="U247" s="21">
        <f t="shared" si="102"/>
        <v>0.4</v>
      </c>
      <c r="V247" s="21">
        <f t="shared" si="102"/>
        <v>0.4</v>
      </c>
      <c r="W247" s="21">
        <f t="shared" si="102"/>
        <v>0.4</v>
      </c>
      <c r="X247" s="21">
        <f t="shared" si="102"/>
        <v>0.4</v>
      </c>
      <c r="Y247" s="21">
        <f t="shared" si="102"/>
        <v>0.4</v>
      </c>
      <c r="Z247" s="21">
        <f t="shared" si="102"/>
        <v>0.4</v>
      </c>
      <c r="AA247" s="21">
        <f t="shared" si="102"/>
        <v>0.4</v>
      </c>
      <c r="AB247" s="21">
        <f t="shared" si="102"/>
        <v>0.4</v>
      </c>
      <c r="AC247" s="21">
        <f t="shared" si="102"/>
        <v>0.4</v>
      </c>
      <c r="AD247" s="21">
        <f t="shared" si="102"/>
        <v>0.4</v>
      </c>
      <c r="AE247" s="21">
        <f t="shared" si="102"/>
        <v>0.4</v>
      </c>
      <c r="AF247" s="21">
        <f t="shared" si="102"/>
        <v>0.4</v>
      </c>
      <c r="AG247" s="20">
        <v>2</v>
      </c>
      <c r="AH247" s="12"/>
      <c r="AI247" s="11"/>
      <c r="AK247" s="19"/>
    </row>
    <row r="248" spans="1:37" x14ac:dyDescent="0.25">
      <c r="A248" s="22" t="s">
        <v>14</v>
      </c>
      <c r="B248" s="21">
        <f t="shared" si="101"/>
        <v>1.5</v>
      </c>
      <c r="C248" s="21">
        <v>1.5</v>
      </c>
      <c r="D248" s="21">
        <f t="shared" si="102"/>
        <v>1.5</v>
      </c>
      <c r="E248" s="21">
        <f t="shared" si="102"/>
        <v>1.5</v>
      </c>
      <c r="F248" s="21">
        <f t="shared" si="102"/>
        <v>1.5</v>
      </c>
      <c r="G248" s="21">
        <f t="shared" si="102"/>
        <v>1.5</v>
      </c>
      <c r="H248" s="21">
        <f t="shared" si="102"/>
        <v>1.5</v>
      </c>
      <c r="I248" s="21">
        <f t="shared" si="102"/>
        <v>1.5</v>
      </c>
      <c r="J248" s="21">
        <f t="shared" si="102"/>
        <v>1.5</v>
      </c>
      <c r="K248" s="21">
        <f t="shared" si="102"/>
        <v>1.5</v>
      </c>
      <c r="L248" s="21">
        <f t="shared" si="102"/>
        <v>1.5</v>
      </c>
      <c r="M248" s="21">
        <f t="shared" si="102"/>
        <v>1.5</v>
      </c>
      <c r="N248" s="21">
        <f t="shared" si="102"/>
        <v>1.5</v>
      </c>
      <c r="O248" s="21">
        <f t="shared" si="102"/>
        <v>1.5</v>
      </c>
      <c r="P248" s="21">
        <f t="shared" si="102"/>
        <v>1.5</v>
      </c>
      <c r="Q248" s="21">
        <f t="shared" si="102"/>
        <v>1.5</v>
      </c>
      <c r="R248" s="21">
        <f t="shared" si="102"/>
        <v>1.5</v>
      </c>
      <c r="S248" s="21">
        <f t="shared" si="102"/>
        <v>1.5</v>
      </c>
      <c r="T248" s="21">
        <f t="shared" si="102"/>
        <v>1.5</v>
      </c>
      <c r="U248" s="21">
        <f t="shared" si="102"/>
        <v>1.5</v>
      </c>
      <c r="V248" s="21">
        <f t="shared" si="102"/>
        <v>1.5</v>
      </c>
      <c r="W248" s="21">
        <f t="shared" si="102"/>
        <v>1.5</v>
      </c>
      <c r="X248" s="21">
        <f t="shared" si="102"/>
        <v>1.5</v>
      </c>
      <c r="Y248" s="21">
        <f t="shared" si="102"/>
        <v>1.5</v>
      </c>
      <c r="Z248" s="21">
        <f t="shared" si="102"/>
        <v>1.5</v>
      </c>
      <c r="AA248" s="21">
        <f t="shared" si="102"/>
        <v>1.5</v>
      </c>
      <c r="AB248" s="21">
        <f t="shared" si="102"/>
        <v>1.5</v>
      </c>
      <c r="AC248" s="21">
        <f t="shared" si="102"/>
        <v>1.5</v>
      </c>
      <c r="AD248" s="21">
        <f t="shared" si="102"/>
        <v>1.5</v>
      </c>
      <c r="AE248" s="21">
        <f t="shared" si="102"/>
        <v>1.5</v>
      </c>
      <c r="AF248" s="21">
        <f t="shared" si="102"/>
        <v>1.5</v>
      </c>
      <c r="AG248" s="20">
        <v>1.5</v>
      </c>
      <c r="AH248" s="12"/>
      <c r="AI248" s="11"/>
      <c r="AK248" s="19"/>
    </row>
    <row r="249" spans="1:37" x14ac:dyDescent="0.25">
      <c r="A249" s="22" t="s">
        <v>13</v>
      </c>
      <c r="B249" s="21">
        <f t="shared" si="101"/>
        <v>0.3</v>
      </c>
      <c r="C249" s="21">
        <v>0.3</v>
      </c>
      <c r="D249" s="21">
        <f t="shared" si="102"/>
        <v>0.3</v>
      </c>
      <c r="E249" s="21">
        <f t="shared" si="102"/>
        <v>0.3</v>
      </c>
      <c r="F249" s="21">
        <f t="shared" si="102"/>
        <v>0.3</v>
      </c>
      <c r="G249" s="21">
        <f t="shared" si="102"/>
        <v>0.3</v>
      </c>
      <c r="H249" s="21">
        <f t="shared" si="102"/>
        <v>0.3</v>
      </c>
      <c r="I249" s="21">
        <f t="shared" si="102"/>
        <v>0.3</v>
      </c>
      <c r="J249" s="21">
        <f t="shared" si="102"/>
        <v>0.3</v>
      </c>
      <c r="K249" s="21">
        <f t="shared" si="102"/>
        <v>0.3</v>
      </c>
      <c r="L249" s="21">
        <f t="shared" si="102"/>
        <v>0.3</v>
      </c>
      <c r="M249" s="21">
        <f t="shared" si="102"/>
        <v>0.3</v>
      </c>
      <c r="N249" s="21">
        <f t="shared" si="102"/>
        <v>0.3</v>
      </c>
      <c r="O249" s="21">
        <f t="shared" si="102"/>
        <v>0.3</v>
      </c>
      <c r="P249" s="21">
        <f t="shared" si="102"/>
        <v>0.3</v>
      </c>
      <c r="Q249" s="21">
        <f t="shared" si="102"/>
        <v>0.3</v>
      </c>
      <c r="R249" s="21">
        <f t="shared" si="102"/>
        <v>0.3</v>
      </c>
      <c r="S249" s="21">
        <f t="shared" si="102"/>
        <v>0.3</v>
      </c>
      <c r="T249" s="21">
        <f t="shared" si="102"/>
        <v>0.3</v>
      </c>
      <c r="U249" s="21">
        <f t="shared" si="102"/>
        <v>0.3</v>
      </c>
      <c r="V249" s="21">
        <f t="shared" si="102"/>
        <v>0.3</v>
      </c>
      <c r="W249" s="21">
        <f t="shared" si="102"/>
        <v>0.3</v>
      </c>
      <c r="X249" s="21">
        <f t="shared" si="102"/>
        <v>0.3</v>
      </c>
      <c r="Y249" s="21">
        <f t="shared" si="102"/>
        <v>0.3</v>
      </c>
      <c r="Z249" s="21">
        <f t="shared" si="102"/>
        <v>0.3</v>
      </c>
      <c r="AA249" s="21">
        <f t="shared" si="102"/>
        <v>0.3</v>
      </c>
      <c r="AB249" s="21">
        <f t="shared" si="102"/>
        <v>0.3</v>
      </c>
      <c r="AC249" s="21">
        <f t="shared" si="102"/>
        <v>0.3</v>
      </c>
      <c r="AD249" s="21">
        <f t="shared" si="102"/>
        <v>0.3</v>
      </c>
      <c r="AE249" s="21">
        <f t="shared" si="102"/>
        <v>0.3</v>
      </c>
      <c r="AF249" s="21">
        <f t="shared" si="102"/>
        <v>0.3</v>
      </c>
      <c r="AG249" s="20">
        <v>1</v>
      </c>
      <c r="AH249" s="12"/>
      <c r="AI249" s="11"/>
      <c r="AK249" s="19"/>
    </row>
    <row r="250" spans="1:37" x14ac:dyDescent="0.25">
      <c r="A250" s="22" t="s">
        <v>12</v>
      </c>
      <c r="B250" s="21">
        <f t="shared" si="101"/>
        <v>0.4</v>
      </c>
      <c r="C250" s="21">
        <v>0.4</v>
      </c>
      <c r="D250" s="21">
        <f t="shared" si="102"/>
        <v>0.4</v>
      </c>
      <c r="E250" s="21">
        <f t="shared" si="102"/>
        <v>0.4</v>
      </c>
      <c r="F250" s="21">
        <f t="shared" si="102"/>
        <v>0.4</v>
      </c>
      <c r="G250" s="21">
        <f t="shared" si="102"/>
        <v>0.4</v>
      </c>
      <c r="H250" s="21">
        <f t="shared" si="102"/>
        <v>0.4</v>
      </c>
      <c r="I250" s="21">
        <f t="shared" si="102"/>
        <v>0.4</v>
      </c>
      <c r="J250" s="21">
        <f t="shared" si="102"/>
        <v>0.4</v>
      </c>
      <c r="K250" s="21">
        <f t="shared" si="102"/>
        <v>0.4</v>
      </c>
      <c r="L250" s="21">
        <f t="shared" si="102"/>
        <v>0.4</v>
      </c>
      <c r="M250" s="21">
        <f t="shared" si="102"/>
        <v>0.4</v>
      </c>
      <c r="N250" s="21">
        <f t="shared" si="102"/>
        <v>0.4</v>
      </c>
      <c r="O250" s="21">
        <f t="shared" si="102"/>
        <v>0.4</v>
      </c>
      <c r="P250" s="21">
        <f t="shared" si="102"/>
        <v>0.4</v>
      </c>
      <c r="Q250" s="21">
        <f t="shared" si="102"/>
        <v>0.4</v>
      </c>
      <c r="R250" s="21">
        <f t="shared" si="102"/>
        <v>0.4</v>
      </c>
      <c r="S250" s="21">
        <f t="shared" si="102"/>
        <v>0.4</v>
      </c>
      <c r="T250" s="21">
        <f t="shared" si="102"/>
        <v>0.4</v>
      </c>
      <c r="U250" s="21">
        <f t="shared" si="102"/>
        <v>0.4</v>
      </c>
      <c r="V250" s="21">
        <f t="shared" si="102"/>
        <v>0.4</v>
      </c>
      <c r="W250" s="21">
        <f t="shared" si="102"/>
        <v>0.4</v>
      </c>
      <c r="X250" s="21">
        <f t="shared" si="102"/>
        <v>0.4</v>
      </c>
      <c r="Y250" s="21">
        <f t="shared" si="102"/>
        <v>0.4</v>
      </c>
      <c r="Z250" s="21">
        <f t="shared" si="102"/>
        <v>0.4</v>
      </c>
      <c r="AA250" s="21">
        <f t="shared" si="102"/>
        <v>0.4</v>
      </c>
      <c r="AB250" s="21">
        <f t="shared" si="102"/>
        <v>0.4</v>
      </c>
      <c r="AC250" s="21">
        <f t="shared" si="102"/>
        <v>0.4</v>
      </c>
      <c r="AD250" s="21">
        <f t="shared" si="102"/>
        <v>0.4</v>
      </c>
      <c r="AE250" s="21">
        <f t="shared" si="102"/>
        <v>0.4</v>
      </c>
      <c r="AF250" s="21">
        <f t="shared" si="102"/>
        <v>0.4</v>
      </c>
      <c r="AG250" s="20">
        <v>1</v>
      </c>
      <c r="AH250" s="12"/>
      <c r="AI250" s="11"/>
      <c r="AK250" s="19"/>
    </row>
    <row r="251" spans="1:37" ht="15.75" thickBot="1" x14ac:dyDescent="0.3">
      <c r="A251" s="18" t="s">
        <v>11</v>
      </c>
      <c r="B251" s="17">
        <f t="shared" si="101"/>
        <v>0.64</v>
      </c>
      <c r="C251" s="17">
        <v>0.64</v>
      </c>
      <c r="D251" s="17">
        <f t="shared" si="102"/>
        <v>0.64</v>
      </c>
      <c r="E251" s="17">
        <f t="shared" si="102"/>
        <v>0.64</v>
      </c>
      <c r="F251" s="17">
        <f t="shared" si="102"/>
        <v>0.64</v>
      </c>
      <c r="G251" s="17">
        <f t="shared" si="102"/>
        <v>0.64</v>
      </c>
      <c r="H251" s="17">
        <f t="shared" si="102"/>
        <v>0.64</v>
      </c>
      <c r="I251" s="17">
        <f t="shared" si="102"/>
        <v>0.64</v>
      </c>
      <c r="J251" s="17">
        <f t="shared" si="102"/>
        <v>0.64</v>
      </c>
      <c r="K251" s="17">
        <f t="shared" si="102"/>
        <v>0.64</v>
      </c>
      <c r="L251" s="17">
        <f t="shared" si="102"/>
        <v>0.64</v>
      </c>
      <c r="M251" s="17">
        <f t="shared" si="102"/>
        <v>0.64</v>
      </c>
      <c r="N251" s="17">
        <f t="shared" si="102"/>
        <v>0.64</v>
      </c>
      <c r="O251" s="17">
        <f t="shared" si="102"/>
        <v>0.64</v>
      </c>
      <c r="P251" s="17">
        <f t="shared" si="102"/>
        <v>0.64</v>
      </c>
      <c r="Q251" s="17">
        <f t="shared" si="102"/>
        <v>0.64</v>
      </c>
      <c r="R251" s="17">
        <f t="shared" si="102"/>
        <v>0.64</v>
      </c>
      <c r="S251" s="17">
        <f t="shared" si="102"/>
        <v>0.64</v>
      </c>
      <c r="T251" s="17">
        <f t="shared" si="102"/>
        <v>0.64</v>
      </c>
      <c r="U251" s="17">
        <f t="shared" si="102"/>
        <v>0.64</v>
      </c>
      <c r="V251" s="17">
        <f t="shared" si="102"/>
        <v>0.64</v>
      </c>
      <c r="W251" s="17">
        <f t="shared" si="102"/>
        <v>0.64</v>
      </c>
      <c r="X251" s="17">
        <f t="shared" si="102"/>
        <v>0.64</v>
      </c>
      <c r="Y251" s="17">
        <f t="shared" si="102"/>
        <v>0.64</v>
      </c>
      <c r="Z251" s="17">
        <f t="shared" si="102"/>
        <v>0.64</v>
      </c>
      <c r="AA251" s="17">
        <f t="shared" si="102"/>
        <v>0.64</v>
      </c>
      <c r="AB251" s="17">
        <f t="shared" si="102"/>
        <v>0.64</v>
      </c>
      <c r="AC251" s="17">
        <f t="shared" si="102"/>
        <v>0.64</v>
      </c>
      <c r="AD251" s="17">
        <f t="shared" si="102"/>
        <v>0.64</v>
      </c>
      <c r="AE251" s="17">
        <f t="shared" si="102"/>
        <v>0.64</v>
      </c>
      <c r="AF251" s="17">
        <f t="shared" si="102"/>
        <v>0.64</v>
      </c>
      <c r="AG251" s="16">
        <v>0.66</v>
      </c>
      <c r="AH251" s="12"/>
      <c r="AI251" s="11"/>
    </row>
    <row r="252" spans="1:37" ht="15.75" thickBot="1" x14ac:dyDescent="0.3">
      <c r="A252" s="15" t="s">
        <v>10</v>
      </c>
      <c r="B252" s="14">
        <f t="shared" ref="B252:AG252" si="103">SUM(B246:B251)</f>
        <v>3.54</v>
      </c>
      <c r="C252" s="14">
        <f t="shared" si="103"/>
        <v>3.54</v>
      </c>
      <c r="D252" s="14">
        <f t="shared" si="103"/>
        <v>3.54</v>
      </c>
      <c r="E252" s="14">
        <f t="shared" si="103"/>
        <v>3.54</v>
      </c>
      <c r="F252" s="14">
        <f t="shared" si="103"/>
        <v>3.54</v>
      </c>
      <c r="G252" s="14">
        <f t="shared" si="103"/>
        <v>3.54</v>
      </c>
      <c r="H252" s="14">
        <f t="shared" si="103"/>
        <v>3.54</v>
      </c>
      <c r="I252" s="14">
        <f t="shared" si="103"/>
        <v>3.54</v>
      </c>
      <c r="J252" s="14">
        <f t="shared" si="103"/>
        <v>3.54</v>
      </c>
      <c r="K252" s="14">
        <f t="shared" si="103"/>
        <v>3.54</v>
      </c>
      <c r="L252" s="14">
        <f t="shared" si="103"/>
        <v>3.54</v>
      </c>
      <c r="M252" s="14">
        <f t="shared" si="103"/>
        <v>3.54</v>
      </c>
      <c r="N252" s="14">
        <f t="shared" si="103"/>
        <v>3.54</v>
      </c>
      <c r="O252" s="14">
        <f t="shared" si="103"/>
        <v>3.54</v>
      </c>
      <c r="P252" s="14">
        <f t="shared" si="103"/>
        <v>3.54</v>
      </c>
      <c r="Q252" s="14">
        <f t="shared" si="103"/>
        <v>3.54</v>
      </c>
      <c r="R252" s="14">
        <f t="shared" si="103"/>
        <v>3.54</v>
      </c>
      <c r="S252" s="14">
        <f t="shared" si="103"/>
        <v>3.54</v>
      </c>
      <c r="T252" s="14">
        <f t="shared" si="103"/>
        <v>3.54</v>
      </c>
      <c r="U252" s="14">
        <f t="shared" si="103"/>
        <v>3.54</v>
      </c>
      <c r="V252" s="14">
        <f t="shared" si="103"/>
        <v>3.54</v>
      </c>
      <c r="W252" s="14">
        <f t="shared" si="103"/>
        <v>3.54</v>
      </c>
      <c r="X252" s="14">
        <f t="shared" si="103"/>
        <v>3.54</v>
      </c>
      <c r="Y252" s="14">
        <f t="shared" si="103"/>
        <v>3.54</v>
      </c>
      <c r="Z252" s="14">
        <f t="shared" si="103"/>
        <v>3.54</v>
      </c>
      <c r="AA252" s="14">
        <f t="shared" si="103"/>
        <v>3.54</v>
      </c>
      <c r="AB252" s="14">
        <f t="shared" si="103"/>
        <v>3.54</v>
      </c>
      <c r="AC252" s="14">
        <f t="shared" si="103"/>
        <v>3.54</v>
      </c>
      <c r="AD252" s="14">
        <f t="shared" si="103"/>
        <v>3.54</v>
      </c>
      <c r="AE252" s="14">
        <f t="shared" si="103"/>
        <v>3.54</v>
      </c>
      <c r="AF252" s="14">
        <f t="shared" si="103"/>
        <v>3.54</v>
      </c>
      <c r="AG252" s="13">
        <f t="shared" si="103"/>
        <v>8.56</v>
      </c>
      <c r="AH252" s="12"/>
      <c r="AI252" s="11"/>
    </row>
    <row r="253" spans="1:37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25">
      <c r="A256" s="9" t="s">
        <v>9</v>
      </c>
      <c r="B256" s="8">
        <f>MAX(G99:N99)</f>
        <v>1814.2400000000002</v>
      </c>
      <c r="C256" s="7">
        <f>INDEX(G9:N9,1,MATCH(MAX(G99:N99),G99:N99,0))</f>
        <v>0.375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25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2080/10/13)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25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25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25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25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25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25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25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25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25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25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25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25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25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25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2665" priority="115">
      <formula>$AH11=0</formula>
    </cfRule>
  </conditionalFormatting>
  <conditionalFormatting sqref="A132:A253">
    <cfRule type="expression" dxfId="2664" priority="116">
      <formula>$AH132=0</formula>
    </cfRule>
  </conditionalFormatting>
  <conditionalFormatting sqref="B8">
    <cfRule type="expression" dxfId="2663" priority="170">
      <formula>AND(C$9&gt;=14/24,C$9&lt;20/24)</formula>
    </cfRule>
    <cfRule type="expression" dxfId="2662" priority="171">
      <formula>AND(C$9&gt;=8/24,C$9&lt;14/24)</formula>
    </cfRule>
    <cfRule type="expression" dxfId="2661" priority="172">
      <formula>C$9&lt;8/24</formula>
    </cfRule>
    <cfRule type="expression" dxfId="2660" priority="173">
      <formula>C$9&gt;=20/24</formula>
    </cfRule>
  </conditionalFormatting>
  <conditionalFormatting sqref="B11:D12 E12:R12">
    <cfRule type="expression" dxfId="2659" priority="12">
      <formula>AND(B$9&gt;=14/24,B$9&lt;20/24)</formula>
    </cfRule>
    <cfRule type="expression" dxfId="2658" priority="13">
      <formula>AND(B$9&gt;=8/24,B$9&lt;14/24)</formula>
    </cfRule>
    <cfRule type="expression" dxfId="2657" priority="14">
      <formula>B$9&lt;8/24</formula>
    </cfRule>
  </conditionalFormatting>
  <conditionalFormatting sqref="B11:D80 G13:R54 E13:F55 S27:AF54 E67:G74 H68:I74 J69:K74 L70:R74">
    <cfRule type="expression" dxfId="2656" priority="4">
      <formula>B11&gt;$AG11</formula>
    </cfRule>
  </conditionalFormatting>
  <conditionalFormatting sqref="B56:D57">
    <cfRule type="expression" dxfId="2655" priority="15">
      <formula>B$9&gt;=20/24</formula>
    </cfRule>
    <cfRule type="expression" dxfId="2654" priority="16">
      <formula>AND(B$9&gt;=14/24,B$9&lt;20/24)</formula>
    </cfRule>
    <cfRule type="expression" dxfId="2653" priority="17">
      <formula>AND(B$9&gt;=8/24,B$9&lt;14/24)</formula>
    </cfRule>
    <cfRule type="expression" dxfId="2652" priority="26">
      <formula>B$9&lt;8/24</formula>
    </cfRule>
  </conditionalFormatting>
  <conditionalFormatting sqref="B59:D68">
    <cfRule type="expression" dxfId="2651" priority="21">
      <formula>B$9&lt;8/24</formula>
    </cfRule>
    <cfRule type="expression" dxfId="2650" priority="18">
      <formula>B$9&gt;=20/24</formula>
    </cfRule>
    <cfRule type="expression" dxfId="2649" priority="19">
      <formula>AND(B$9&gt;=14/24,B$9&lt;20/24)</formula>
    </cfRule>
    <cfRule type="expression" dxfId="2648" priority="20">
      <formula>AND(B$9&gt;=8/24,B$9&lt;14/24)</formula>
    </cfRule>
  </conditionalFormatting>
  <conditionalFormatting sqref="B13:R52 S27:AF52 B69:K74 L70:R74 C77:D91 B77:B99 B101:AF117 B119:AF137">
    <cfRule type="expression" dxfId="2647" priority="5">
      <formula>B$9&gt;=20/24</formula>
    </cfRule>
    <cfRule type="expression" dxfId="2646" priority="6">
      <formula>AND(B$9&gt;=14/24,B$9&lt;20/24)</formula>
    </cfRule>
    <cfRule type="expression" dxfId="2645" priority="7">
      <formula>AND(B$9&gt;=8/24,B$9&lt;14/24)</formula>
    </cfRule>
    <cfRule type="expression" dxfId="2644" priority="8">
      <formula>B$9&lt;8/24</formula>
    </cfRule>
  </conditionalFormatting>
  <conditionalFormatting sqref="B9:AF10 E11 S12:V26 W16:AF26 L69:R69 S69:AF74 E77:AB91 AC77:AF97 C92:AB97 C98:AF99 B244:AF244 B246:B252">
    <cfRule type="expression" dxfId="2643" priority="70">
      <formula>B$9&lt;8/24</formula>
    </cfRule>
    <cfRule type="expression" dxfId="2642" priority="69">
      <formula>AND(B$9&gt;=8/24,B$9&lt;14/24)</formula>
    </cfRule>
    <cfRule type="expression" dxfId="2641" priority="68">
      <formula>AND(B$9&gt;=14/24,B$9&lt;20/24)</formula>
    </cfRule>
  </conditionalFormatting>
  <conditionalFormatting sqref="D246:AF252">
    <cfRule type="expression" dxfId="2640" priority="157">
      <formula>AND(D$9&gt;=8/24,D$9&lt;14/24)</formula>
    </cfRule>
    <cfRule type="expression" dxfId="2639" priority="158">
      <formula>D$9&lt;8/24</formula>
    </cfRule>
    <cfRule type="expression" dxfId="2638" priority="156">
      <formula>AND(D$9&gt;=14/24,D$9&lt;20/24)</formula>
    </cfRule>
    <cfRule type="expression" dxfId="2637" priority="155">
      <formula>D$9&gt;=20/24</formula>
    </cfRule>
  </conditionalFormatting>
  <conditionalFormatting sqref="E11 S12:V26 W16:AF26 G55:AF55 E57:AB62 AC57:AF80 AG62 E63:N66 O63:R69 S63:AB74 H67:N67 J68:N68 L69:N69 E75:AB80 AG80">
    <cfRule type="expression" dxfId="2636" priority="66">
      <formula>E11&gt;$AG11</formula>
    </cfRule>
  </conditionalFormatting>
  <conditionalFormatting sqref="E11 S12:V26 W16:AF26 L69:R69 S69:AF74 E77:AB91 AC77:AF97 B9:AF10 C92:AB97 C98:AF99 B244:AF244 B246:B252">
    <cfRule type="expression" dxfId="2635" priority="67">
      <formula>B$9&gt;=20/24</formula>
    </cfRule>
  </conditionalFormatting>
  <conditionalFormatting sqref="E67:G68 H68:I68">
    <cfRule type="expression" dxfId="2634" priority="24">
      <formula>AND(E$9&gt;=8/24,E$9&lt;14/24)</formula>
    </cfRule>
    <cfRule type="expression" dxfId="2633" priority="25">
      <formula>E$9&lt;8/24</formula>
    </cfRule>
    <cfRule type="expression" dxfId="2632" priority="23">
      <formula>AND(E$9&gt;=14/24,E$9&lt;20/24)</formula>
    </cfRule>
    <cfRule type="expression" dxfId="2631" priority="22">
      <formula>E$9&gt;=20/24</formula>
    </cfRule>
  </conditionalFormatting>
  <conditionalFormatting sqref="E63:I66 J64:J67 H67:I67 K67">
    <cfRule type="expression" dxfId="2630" priority="80">
      <formula>E$9&gt;=20/24</formula>
    </cfRule>
    <cfRule type="expression" dxfId="2629" priority="81">
      <formula>AND(E$9&gt;=14/24,E$9&lt;20/24)</formula>
    </cfRule>
    <cfRule type="expression" dxfId="2628" priority="83">
      <formula>E$9&lt;8/24</formula>
    </cfRule>
    <cfRule type="expression" dxfId="2627" priority="82">
      <formula>AND(E$9&gt;=8/24,E$9&lt;14/24)</formula>
    </cfRule>
  </conditionalFormatting>
  <conditionalFormatting sqref="E12:R12 B11:D12">
    <cfRule type="expression" dxfId="2626" priority="11">
      <formula>B$9&gt;=20/24</formula>
    </cfRule>
  </conditionalFormatting>
  <conditionalFormatting sqref="E12:R12">
    <cfRule type="expression" dxfId="2625" priority="10">
      <formula>E12&gt;$AG12</formula>
    </cfRule>
  </conditionalFormatting>
  <conditionalFormatting sqref="E11:AA11 AB11:AF15 W12:AA15">
    <cfRule type="expression" dxfId="2624" priority="88">
      <formula>E$9&lt;8/24</formula>
    </cfRule>
    <cfRule type="expression" dxfId="2623" priority="87">
      <formula>AND(E$9&gt;=8/24,E$9&lt;14/24)</formula>
    </cfRule>
    <cfRule type="expression" dxfId="2622" priority="84">
      <formula>E11&gt;$AG11</formula>
    </cfRule>
    <cfRule type="expression" dxfId="2621" priority="85">
      <formula>E$9&gt;=20/24</formula>
    </cfRule>
    <cfRule type="expression" dxfId="2620" priority="86">
      <formula>AND(E$9&gt;=14/24,E$9&lt;20/24)</formula>
    </cfRule>
  </conditionalFormatting>
  <conditionalFormatting sqref="E56:AF56">
    <cfRule type="expression" dxfId="2619" priority="71">
      <formula>E56&gt;$AG56</formula>
    </cfRule>
  </conditionalFormatting>
  <conditionalFormatting sqref="E59:AF62">
    <cfRule type="expression" dxfId="2618" priority="94">
      <formula>AND(E$9&gt;=14/24,E$9&lt;20/24)</formula>
    </cfRule>
    <cfRule type="expression" dxfId="2617" priority="93">
      <formula>E$9&gt;=20/24</formula>
    </cfRule>
    <cfRule type="expression" dxfId="2616" priority="96">
      <formula>E$9&lt;8/24</formula>
    </cfRule>
    <cfRule type="expression" dxfId="2615" priority="95">
      <formula>AND(E$9&gt;=8/24,E$9&lt;14/24)</formula>
    </cfRule>
  </conditionalFormatting>
  <conditionalFormatting sqref="F63:R65">
    <cfRule type="expression" dxfId="2614" priority="107">
      <formula>F$9&gt;=20/24</formula>
    </cfRule>
    <cfRule type="expression" dxfId="2613" priority="108">
      <formula>AND(F$9&gt;=14/24,F$9&lt;20/24)</formula>
    </cfRule>
    <cfRule type="expression" dxfId="2612" priority="109">
      <formula>AND(F$9&gt;=8/24,F$9&lt;14/24)</formula>
    </cfRule>
    <cfRule type="expression" dxfId="2611" priority="110">
      <formula>F$9&lt;8/24</formula>
    </cfRule>
  </conditionalFormatting>
  <conditionalFormatting sqref="G55:H55 I55:I56 J55:AF57 E56:H56 E57:I57">
    <cfRule type="expression" dxfId="2610" priority="79">
      <formula>E$9&lt;8/24</formula>
    </cfRule>
  </conditionalFormatting>
  <conditionalFormatting sqref="G55:H55 I55:AF56 E56:H56 E57:AF57">
    <cfRule type="expression" dxfId="2609" priority="74">
      <formula>AND(E$9&gt;=8/24,E$9&lt;14/24)</formula>
    </cfRule>
    <cfRule type="expression" dxfId="2608" priority="73">
      <formula>AND(E$9&gt;=14/24,E$9&lt;20/24)</formula>
    </cfRule>
  </conditionalFormatting>
  <conditionalFormatting sqref="G53:AF54 B53:F55">
    <cfRule type="expression" dxfId="2607" priority="2">
      <formula>AND(B$9&gt;=14/24,B$9&lt;20/24)</formula>
    </cfRule>
    <cfRule type="expression" dxfId="2606" priority="3">
      <formula>AND(B$9&gt;=8/24,B$9&lt;14/24)</formula>
    </cfRule>
    <cfRule type="expression" dxfId="2605" priority="9">
      <formula>B$9&lt;8/24</formula>
    </cfRule>
    <cfRule type="expression" dxfId="2604" priority="1">
      <formula>B$9&gt;=20/24</formula>
    </cfRule>
  </conditionalFormatting>
  <conditionalFormatting sqref="I55:AF56 E56:H56 G55:H55 E57:AF57">
    <cfRule type="expression" dxfId="2603" priority="72">
      <formula>E$9&gt;=20/24</formula>
    </cfRule>
  </conditionalFormatting>
  <conditionalFormatting sqref="J68:K68">
    <cfRule type="expression" dxfId="2602" priority="75">
      <formula>J$9&gt;=20/24</formula>
    </cfRule>
    <cfRule type="expression" dxfId="2601" priority="78">
      <formula>J$9&lt;8/24</formula>
    </cfRule>
    <cfRule type="expression" dxfId="2600" priority="77">
      <formula>AND(J$9&gt;=8/24,J$9&lt;14/24)</formula>
    </cfRule>
    <cfRule type="expression" dxfId="2599" priority="76">
      <formula>AND(J$9&gt;=14/24,J$9&lt;20/24)</formula>
    </cfRule>
  </conditionalFormatting>
  <conditionalFormatting sqref="L68:V68">
    <cfRule type="expression" dxfId="2598" priority="104">
      <formula>AND(L$9&gt;=14/24,L$9&lt;20/24)</formula>
    </cfRule>
    <cfRule type="expression" dxfId="2597" priority="105">
      <formula>AND(L$9&gt;=8/24,L$9&lt;14/24)</formula>
    </cfRule>
    <cfRule type="expression" dxfId="2596" priority="106">
      <formula>L$9&lt;8/24</formula>
    </cfRule>
    <cfRule type="expression" dxfId="2595" priority="103">
      <formula>L$9&gt;=20/24</formula>
    </cfRule>
  </conditionalFormatting>
  <conditionalFormatting sqref="M8 S8 AB8">
    <cfRule type="expression" dxfId="2594" priority="164">
      <formula>N$9&lt;8/24</formula>
    </cfRule>
    <cfRule type="expression" dxfId="2593" priority="163">
      <formula>AND(N$9&gt;=8/24,N$9&lt;14/24)</formula>
    </cfRule>
    <cfRule type="expression" dxfId="2592" priority="162">
      <formula>AND(N$9&gt;=14/24,N$9&lt;20/24)</formula>
    </cfRule>
  </conditionalFormatting>
  <conditionalFormatting sqref="O3:P3">
    <cfRule type="iconSet" priority="159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591" priority="161">
      <formula>N$9&gt;=20/24</formula>
    </cfRule>
  </conditionalFormatting>
  <conditionalFormatting sqref="S8">
    <cfRule type="expression" dxfId="2590" priority="151">
      <formula>U$9&lt;8/24</formula>
    </cfRule>
    <cfRule type="expression" dxfId="2589" priority="150">
      <formula>AND(U$9&gt;=8/24,U$9&lt;14/24)</formula>
    </cfRule>
    <cfRule type="expression" dxfId="2588" priority="149">
      <formula>AND(U$9&gt;=14/24,U$9&lt;20/24)</formula>
    </cfRule>
    <cfRule type="expression" dxfId="2587" priority="148">
      <formula>U$9&gt;=20/24</formula>
    </cfRule>
  </conditionalFormatting>
  <conditionalFormatting sqref="S63:V67">
    <cfRule type="expression" dxfId="2586" priority="111">
      <formula>S$9&gt;=20/24</formula>
    </cfRule>
    <cfRule type="expression" dxfId="2585" priority="112">
      <formula>AND(S$9&gt;=14/24,S$9&lt;20/24)</formula>
    </cfRule>
    <cfRule type="expression" dxfId="2584" priority="113">
      <formula>AND(S$9&gt;=8/24,S$9&lt;14/24)</formula>
    </cfRule>
    <cfRule type="expression" dxfId="2583" priority="114">
      <formula>S$9&lt;8/24</formula>
    </cfRule>
  </conditionalFormatting>
  <conditionalFormatting sqref="V3 AB3">
    <cfRule type="iconSet" priority="160">
      <iconSet iconSet="3TrafficLights2" reverse="1">
        <cfvo type="percent" val="0"/>
        <cfvo type="num" val="1"/>
        <cfvo type="num" val="1"/>
      </iconSet>
    </cfRule>
  </conditionalFormatting>
  <conditionalFormatting sqref="V63:AF68">
    <cfRule type="expression" dxfId="2582" priority="97">
      <formula>V$9&gt;=20/24</formula>
    </cfRule>
    <cfRule type="expression" dxfId="2581" priority="98">
      <formula>AND(V$9&gt;=14/24,V$9&lt;20/24)</formula>
    </cfRule>
    <cfRule type="expression" dxfId="2580" priority="99">
      <formula>AND(V$9&gt;=8/24,V$9&lt;14/24)</formula>
    </cfRule>
    <cfRule type="expression" dxfId="2579" priority="100">
      <formula>V$9&lt;8/24</formula>
    </cfRule>
  </conditionalFormatting>
  <conditionalFormatting sqref="AB8">
    <cfRule type="expression" dxfId="2578" priority="147">
      <formula>AD$9&lt;8/24</formula>
    </cfRule>
    <cfRule type="expression" dxfId="2577" priority="146">
      <formula>AND(AD$9&gt;=8/24,AD$9&lt;14/24)</formula>
    </cfRule>
    <cfRule type="expression" dxfId="2576" priority="145">
      <formula>AND(AD$9&gt;=14/24,AD$9&lt;20/24)</formula>
    </cfRule>
    <cfRule type="expression" dxfId="2575" priority="144">
      <formula>AD$9&gt;=20/24</formula>
    </cfRule>
  </conditionalFormatting>
  <conditionalFormatting sqref="AG58">
    <cfRule type="expression" dxfId="2574" priority="139">
      <formula>AG58&gt;$AG58</formula>
    </cfRule>
  </conditionalFormatting>
  <conditionalFormatting sqref="AG62">
    <cfRule type="expression" dxfId="2573" priority="124">
      <formula>AND(AG$9&gt;=8/24,AG$9&lt;14/24)</formula>
    </cfRule>
    <cfRule type="expression" dxfId="2572" priority="125">
      <formula>AG$9&lt;8/24</formula>
    </cfRule>
    <cfRule type="expression" dxfId="2571" priority="122">
      <formula>AG$9&gt;=20/24</formula>
    </cfRule>
    <cfRule type="expression" dxfId="2570" priority="123">
      <formula>AND(AG$9&gt;=14/24,AG$9&lt;20/24)</formula>
    </cfRule>
  </conditionalFormatting>
  <conditionalFormatting sqref="AG75:AG76">
    <cfRule type="expression" dxfId="2569" priority="117">
      <formula>AG75&gt;$AG75</formula>
    </cfRule>
  </conditionalFormatting>
  <conditionalFormatting sqref="AG80">
    <cfRule type="expression" dxfId="2568" priority="119">
      <formula>AND(AG$9&gt;=14/24,AG$9&lt;20/24)</formula>
    </cfRule>
    <cfRule type="expression" dxfId="2567" priority="120">
      <formula>AND(AG$9&gt;=8/24,AG$9&lt;14/24)</formula>
    </cfRule>
    <cfRule type="expression" dxfId="2566" priority="118">
      <formula>AG$9&gt;=20/24</formula>
    </cfRule>
    <cfRule type="expression" dxfId="2565" priority="121">
      <formula>AG$9&lt;8/24</formula>
    </cfRule>
  </conditionalFormatting>
  <conditionalFormatting sqref="AG97">
    <cfRule type="expression" dxfId="2564" priority="143">
      <formula>AG$9&lt;8/24</formula>
    </cfRule>
    <cfRule type="expression" dxfId="2563" priority="142">
      <formula>AND(AG$9&gt;=8/24,AG$9&lt;14/24)</formula>
    </cfRule>
    <cfRule type="expression" dxfId="2562" priority="141">
      <formula>AND(AG$9&gt;=14/24,AG$9&lt;20/24)</formula>
    </cfRule>
    <cfRule type="expression" dxfId="2561" priority="140">
      <formula>AG$9&gt;=20/24</formula>
    </cfRule>
  </conditionalFormatting>
  <conditionalFormatting sqref="AL4:AL6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37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36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6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53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560" priority="165">
      <formula>AJ$9&gt;=20/24</formula>
    </cfRule>
    <cfRule type="expression" dxfId="2559" priority="166">
      <formula>AND(AJ$9&gt;=14/24,AJ$9&lt;20/24)</formula>
    </cfRule>
    <cfRule type="expression" dxfId="2558" priority="167">
      <formula>AND(AJ$9&gt;=8/24,AJ$9&lt;14/24)</formula>
    </cfRule>
    <cfRule type="expression" dxfId="2557" priority="168">
      <formula>AJ$9&lt;8/24</formula>
    </cfRule>
  </conditionalFormatting>
  <conditionalFormatting sqref="AL88:AN88 AL94:AN94">
    <cfRule type="expression" dxfId="2556" priority="133">
      <formula>AND(AL$9&gt;=14/24,AL$9&lt;20/24)</formula>
    </cfRule>
    <cfRule type="expression" dxfId="2555" priority="132">
      <formula>AL$9&gt;=20/24</formula>
    </cfRule>
    <cfRule type="expression" dxfId="2554" priority="134">
      <formula>AND(AL$9&gt;=8/24,AL$9&lt;14/24)</formula>
    </cfRule>
    <cfRule type="expression" dxfId="2553" priority="135">
      <formula>AL$9&lt;8/24</formula>
    </cfRule>
  </conditionalFormatting>
  <conditionalFormatting sqref="AM15:AM21 AN16:AR21">
    <cfRule type="expression" dxfId="2552" priority="42">
      <formula>AX$9&lt;8/24</formula>
    </cfRule>
    <cfRule type="expression" dxfId="2551" priority="41">
      <formula>AND(AX$9&gt;=8/24,AX$9&lt;14/24)</formula>
    </cfRule>
    <cfRule type="expression" dxfId="2550" priority="40">
      <formula>AND(AX$9&gt;=14/24,AX$9&lt;20/24)</formula>
    </cfRule>
    <cfRule type="expression" dxfId="2549" priority="39">
      <formula>AX$9&gt;=20/24</formula>
    </cfRule>
  </conditionalFormatting>
  <conditionalFormatting sqref="AN89:AN92">
    <cfRule type="expression" dxfId="2548" priority="128">
      <formula>AN$9&gt;=20/24</formula>
    </cfRule>
    <cfRule type="expression" dxfId="2547" priority="129">
      <formula>AND(AN$9&gt;=14/24,AN$9&lt;20/24)</formula>
    </cfRule>
    <cfRule type="expression" dxfId="2546" priority="130">
      <formula>AND(AN$9&gt;=8/24,AN$9&lt;14/24)</formula>
    </cfRule>
    <cfRule type="expression" dxfId="2545" priority="131">
      <formula>AN$9&lt;8/24</formula>
    </cfRule>
  </conditionalFormatting>
  <conditionalFormatting sqref="AN15:AR15">
    <cfRule type="expression" dxfId="2544" priority="29">
      <formula>AND(U$9&gt;=8/24,U$9&lt;14/24)</formula>
    </cfRule>
    <cfRule type="expression" dxfId="2543" priority="30">
      <formula>U$9&lt;8/24</formula>
    </cfRule>
    <cfRule type="expression" dxfId="2542" priority="27">
      <formula>U$9&gt;=20/24</formula>
    </cfRule>
    <cfRule type="expression" dxfId="2541" priority="28">
      <formula>AND(U$9&gt;=14/24,U$9&lt;20/24)</formula>
    </cfRule>
  </conditionalFormatting>
  <conditionalFormatting sqref="AS15">
    <cfRule type="expression" dxfId="2540" priority="35">
      <formula>AA$9&gt;=20/24</formula>
    </cfRule>
    <cfRule type="expression" dxfId="2539" priority="37">
      <formula>AND(AA$9&gt;=8/24,AA$9&lt;14/24)</formula>
    </cfRule>
    <cfRule type="expression" dxfId="2538" priority="38">
      <formula>AA$9&lt;8/24</formula>
    </cfRule>
    <cfRule type="expression" dxfId="2537" priority="36">
      <formula>AND(AA$9&gt;=14/24,AA$9&lt;20/24)</formula>
    </cfRule>
  </conditionalFormatting>
  <conditionalFormatting sqref="AS16:AS21">
    <cfRule type="expression" dxfId="2536" priority="46">
      <formula>BE$9&lt;8/24</formula>
    </cfRule>
    <cfRule type="expression" dxfId="2535" priority="45">
      <formula>AND(BE$9&gt;=8/24,BE$9&lt;14/24)</formula>
    </cfRule>
    <cfRule type="expression" dxfId="2534" priority="44">
      <formula>AND(BE$9&gt;=14/24,BE$9&lt;20/24)</formula>
    </cfRule>
    <cfRule type="expression" dxfId="2533" priority="43">
      <formula>BE$9&gt;=20/24</formula>
    </cfRule>
  </conditionalFormatting>
  <conditionalFormatting sqref="AT15 AX15:BJ15">
    <cfRule type="expression" dxfId="2532" priority="47">
      <formula>AC$9&gt;=20/24</formula>
    </cfRule>
    <cfRule type="expression" dxfId="2531" priority="50">
      <formula>AC$9&lt;8/24</formula>
    </cfRule>
    <cfRule type="expression" dxfId="2530" priority="49">
      <formula>AND(AC$9&gt;=8/24,AC$9&lt;14/24)</formula>
    </cfRule>
    <cfRule type="expression" dxfId="2529" priority="48">
      <formula>AND(AC$9&gt;=14/24,AC$9&lt;20/24)</formula>
    </cfRule>
  </conditionalFormatting>
  <conditionalFormatting sqref="AT16:AT21">
    <cfRule type="expression" dxfId="2528" priority="54">
      <formula>BG$9&lt;8/24</formula>
    </cfRule>
    <cfRule type="expression" dxfId="2527" priority="53">
      <formula>AND(BG$9&gt;=8/24,BG$9&lt;14/24)</formula>
    </cfRule>
    <cfRule type="expression" dxfId="2526" priority="51">
      <formula>BG$9&gt;=20/24</formula>
    </cfRule>
    <cfRule type="expression" dxfId="2525" priority="52">
      <formula>AND(BG$9&gt;=14/24,BG$9&lt;20/24)</formula>
    </cfRule>
  </conditionalFormatting>
  <conditionalFormatting sqref="AU15:AV15">
    <cfRule type="expression" dxfId="2524" priority="58">
      <formula>AE$9&lt;8/24</formula>
    </cfRule>
    <cfRule type="expression" dxfId="2523" priority="55">
      <formula>AE$9&gt;=20/24</formula>
    </cfRule>
    <cfRule type="expression" dxfId="2522" priority="56">
      <formula>AND(AE$9&gt;=14/24,AE$9&lt;20/24)</formula>
    </cfRule>
    <cfRule type="expression" dxfId="2521" priority="57">
      <formula>AND(AE$9&gt;=8/24,AE$9&lt;14/24)</formula>
    </cfRule>
  </conditionalFormatting>
  <conditionalFormatting sqref="AU16:BJ21">
    <cfRule type="expression" dxfId="2520" priority="59">
      <formula>BI$9&gt;=20/24</formula>
    </cfRule>
    <cfRule type="expression" dxfId="2519" priority="60">
      <formula>AND(BI$9&gt;=14/24,BI$9&lt;20/24)</formula>
    </cfRule>
    <cfRule type="expression" dxfId="2518" priority="61">
      <formula>AND(BI$9&gt;=8/24,BI$9&lt;14/24)</formula>
    </cfRule>
    <cfRule type="expression" dxfId="2517" priority="62">
      <formula>BI$9&lt;8/24</formula>
    </cfRule>
  </conditionalFormatting>
  <conditionalFormatting sqref="AW15">
    <cfRule type="expression" dxfId="2516" priority="32">
      <formula>AND(B$9&gt;=14/24,B$9&lt;20/24)</formula>
    </cfRule>
    <cfRule type="expression" dxfId="2515" priority="31">
      <formula>B$9&gt;=20/24</formula>
    </cfRule>
    <cfRule type="expression" dxfId="2514" priority="34">
      <formula>B$9&lt;8/24</formula>
    </cfRule>
    <cfRule type="expression" dxfId="2513" priority="33">
      <formula>AND(B$9&gt;=8/24,B$9&lt;14/24)</formula>
    </cfRule>
  </conditionalFormatting>
  <pageMargins left="0.7" right="0.7" top="0.75" bottom="0.75" header="0.3" footer="0.3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2B0B0-63AB-4ED5-A0C6-77E91505BAA2}">
  <dimension ref="A1:CJ294"/>
  <sheetViews>
    <sheetView zoomScale="106" workbookViewId="0">
      <pane xSplit="1" ySplit="10" topLeftCell="B76" activePane="bottomRight" state="frozen"/>
      <selection activeCell="B83" sqref="B83:J83"/>
      <selection pane="topRight" activeCell="B83" sqref="B83:J83"/>
      <selection pane="bottomLeft" activeCell="B83" sqref="B83:J83"/>
      <selection pane="bottomRight" activeCell="B83" sqref="B83:J83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20.25" hidden="1" x14ac:dyDescent="0.2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9.5" hidden="1" thickBot="1" x14ac:dyDescent="0.3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3">
      <c r="A4" s="162" t="s">
        <v>273</v>
      </c>
      <c r="B4" s="205" t="str">
        <f ca="1">"2080/"&amp;"10/"&amp;INT(MID(CELL("filename",D6),FIND("]",CELL("filename",D6))+1,200))</f>
        <v>2080/10/14</v>
      </c>
      <c r="C4" s="205"/>
      <c r="D4" s="205"/>
      <c r="E4" s="206" t="str">
        <f ca="1">"2080/"&amp;"10/"&amp;INT(MID(CELL("filename",G6),FIND("]",CELL("filename",G6))+1,200))</f>
        <v>2080/10/14</v>
      </c>
      <c r="F4" s="206"/>
      <c r="G4" s="206"/>
      <c r="H4" s="206" t="str">
        <f ca="1">TEXT(E4,"dddd")</f>
        <v>Monday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3">
      <c r="A5" s="158"/>
      <c r="B5" s="161">
        <f t="shared" ref="B5:AE5" si="0">C92</f>
        <v>300</v>
      </c>
      <c r="C5" s="161">
        <f t="shared" si="0"/>
        <v>300</v>
      </c>
      <c r="D5" s="161">
        <f t="shared" si="0"/>
        <v>228.2</v>
      </c>
      <c r="E5" s="161">
        <f t="shared" si="0"/>
        <v>224.5</v>
      </c>
      <c r="F5" s="161">
        <f t="shared" si="0"/>
        <v>270.2</v>
      </c>
      <c r="G5" s="161">
        <f t="shared" si="0"/>
        <v>306</v>
      </c>
      <c r="H5" s="161">
        <f t="shared" si="0"/>
        <v>352.4</v>
      </c>
      <c r="I5" s="161">
        <f t="shared" si="0"/>
        <v>522.4</v>
      </c>
      <c r="J5" s="161">
        <f t="shared" si="0"/>
        <v>804.4</v>
      </c>
      <c r="K5" s="161">
        <f t="shared" si="0"/>
        <v>812.7</v>
      </c>
      <c r="L5" s="161">
        <f t="shared" si="0"/>
        <v>841</v>
      </c>
      <c r="M5" s="161">
        <f t="shared" si="0"/>
        <v>835</v>
      </c>
      <c r="N5" s="161">
        <f t="shared" si="0"/>
        <v>793</v>
      </c>
      <c r="O5" s="161">
        <f t="shared" si="0"/>
        <v>887</v>
      </c>
      <c r="P5" s="161">
        <f t="shared" si="0"/>
        <v>849.2</v>
      </c>
      <c r="Q5" s="161">
        <f t="shared" si="0"/>
        <v>784.6</v>
      </c>
      <c r="R5" s="161">
        <f t="shared" si="0"/>
        <v>864.69999999999993</v>
      </c>
      <c r="S5" s="161">
        <f t="shared" si="0"/>
        <v>890.9</v>
      </c>
      <c r="T5" s="161">
        <f t="shared" si="0"/>
        <v>857.60000000000014</v>
      </c>
      <c r="U5" s="161">
        <f t="shared" si="0"/>
        <v>908.50000000000011</v>
      </c>
      <c r="V5" s="161">
        <f t="shared" si="0"/>
        <v>850.2</v>
      </c>
      <c r="W5" s="161">
        <f t="shared" si="0"/>
        <v>702.6</v>
      </c>
      <c r="X5" s="161">
        <f t="shared" si="0"/>
        <v>346.4</v>
      </c>
      <c r="Y5" s="161">
        <f t="shared" si="0"/>
        <v>463.5</v>
      </c>
      <c r="Z5" s="161">
        <f t="shared" si="0"/>
        <v>354.70000000000005</v>
      </c>
      <c r="AA5" s="161">
        <f t="shared" si="0"/>
        <v>381.6</v>
      </c>
      <c r="AB5" s="161">
        <f t="shared" si="0"/>
        <v>367.6</v>
      </c>
      <c r="AC5" s="161">
        <f t="shared" si="0"/>
        <v>388</v>
      </c>
      <c r="AD5" s="161">
        <f t="shared" si="0"/>
        <v>293.3</v>
      </c>
      <c r="AE5" s="161">
        <f t="shared" si="0"/>
        <v>223.39999999999998</v>
      </c>
      <c r="AF5" s="161">
        <f>B92</f>
        <v>273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3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1727MW at 8:00hr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5" thickBot="1" x14ac:dyDescent="0.3">
      <c r="A7" s="151" t="str">
        <f>"Base Load="&amp;ROUND(MIN($B$7:$AF$7),0)</f>
        <v>Base Load=1430</v>
      </c>
      <c r="B7" s="150">
        <f t="shared" ref="B7:AF7" si="1">B100</f>
        <v>1561.46</v>
      </c>
      <c r="C7" s="150">
        <f t="shared" si="1"/>
        <v>1488.46</v>
      </c>
      <c r="D7" s="150">
        <f t="shared" si="1"/>
        <v>1488.46</v>
      </c>
      <c r="E7" s="150">
        <f t="shared" si="1"/>
        <v>1431.6599999999999</v>
      </c>
      <c r="F7" s="150">
        <f t="shared" si="1"/>
        <v>1429.96</v>
      </c>
      <c r="G7" s="150">
        <f t="shared" si="1"/>
        <v>1458.1599999999999</v>
      </c>
      <c r="H7" s="150">
        <f t="shared" si="1"/>
        <v>1493.96</v>
      </c>
      <c r="I7" s="150">
        <f t="shared" si="1"/>
        <v>1580.06</v>
      </c>
      <c r="J7" s="150">
        <f t="shared" si="1"/>
        <v>1500.06</v>
      </c>
      <c r="K7" s="150">
        <f t="shared" si="1"/>
        <v>1630.46</v>
      </c>
      <c r="L7" s="150">
        <f t="shared" si="1"/>
        <v>1697.06</v>
      </c>
      <c r="M7" s="150">
        <f t="shared" si="1"/>
        <v>1727.1299999999999</v>
      </c>
      <c r="N7" s="150">
        <f t="shared" si="1"/>
        <v>1700.4299999999998</v>
      </c>
      <c r="O7" s="150">
        <f t="shared" si="1"/>
        <v>1662.09</v>
      </c>
      <c r="P7" s="150">
        <f t="shared" si="1"/>
        <v>1788.6299999999999</v>
      </c>
      <c r="Q7" s="150">
        <f t="shared" si="1"/>
        <v>1770.9299999999998</v>
      </c>
      <c r="R7" s="150">
        <f t="shared" si="1"/>
        <v>1689.23</v>
      </c>
      <c r="S7" s="150">
        <f t="shared" si="1"/>
        <v>1770.6299999999997</v>
      </c>
      <c r="T7" s="150">
        <f t="shared" si="1"/>
        <v>1789.73</v>
      </c>
      <c r="U7" s="150">
        <f t="shared" si="1"/>
        <v>1716.23</v>
      </c>
      <c r="V7" s="150">
        <f t="shared" si="1"/>
        <v>1727.33</v>
      </c>
      <c r="W7" s="150">
        <f t="shared" si="1"/>
        <v>1641.13</v>
      </c>
      <c r="X7" s="150">
        <f t="shared" si="1"/>
        <v>1537.73</v>
      </c>
      <c r="Y7" s="150">
        <f t="shared" si="1"/>
        <v>1572.83</v>
      </c>
      <c r="Z7" s="150">
        <f t="shared" si="1"/>
        <v>2011.0299999999997</v>
      </c>
      <c r="AA7" s="150">
        <f t="shared" si="1"/>
        <v>1955.6299999999999</v>
      </c>
      <c r="AB7" s="150">
        <f t="shared" si="1"/>
        <v>1856.0299999999997</v>
      </c>
      <c r="AC7" s="150">
        <f t="shared" si="1"/>
        <v>1831.73</v>
      </c>
      <c r="AD7" s="150">
        <f t="shared" si="1"/>
        <v>1813.1299999999999</v>
      </c>
      <c r="AE7" s="150">
        <f t="shared" si="1"/>
        <v>1721.1299999999999</v>
      </c>
      <c r="AF7" s="150">
        <f t="shared" si="1"/>
        <v>1620.0300000000002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7.25" thickTop="1" thickBot="1" x14ac:dyDescent="0.3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2011.03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2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2011.03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.75" thickBot="1" x14ac:dyDescent="0.3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25">
      <c r="A11" s="89" t="s">
        <v>264</v>
      </c>
      <c r="B11" s="102">
        <v>6.2</v>
      </c>
      <c r="C11" s="102">
        <v>6.2</v>
      </c>
      <c r="D11" s="102">
        <v>6.2</v>
      </c>
      <c r="E11" s="102">
        <v>6.2</v>
      </c>
      <c r="F11" s="102">
        <v>6.2</v>
      </c>
      <c r="G11" s="102">
        <v>6.2</v>
      </c>
      <c r="H11" s="102">
        <v>6.2</v>
      </c>
      <c r="I11" s="102">
        <v>6.2</v>
      </c>
      <c r="J11" s="102">
        <v>6.2</v>
      </c>
      <c r="K11" s="102">
        <v>6.2</v>
      </c>
      <c r="L11" s="102">
        <v>6.2</v>
      </c>
      <c r="M11" s="102">
        <v>6.2</v>
      </c>
      <c r="N11" s="102">
        <v>6.2</v>
      </c>
      <c r="O11" s="102">
        <v>6.2</v>
      </c>
      <c r="P11" s="102">
        <v>6.2</v>
      </c>
      <c r="Q11" s="102">
        <v>20.7</v>
      </c>
      <c r="R11" s="102">
        <v>20.7</v>
      </c>
      <c r="S11" s="102">
        <v>20.7</v>
      </c>
      <c r="T11" s="102">
        <v>20.7</v>
      </c>
      <c r="U11" s="102">
        <v>20.7</v>
      </c>
      <c r="V11" s="102">
        <v>20.7</v>
      </c>
      <c r="W11" s="102">
        <v>20.7</v>
      </c>
      <c r="X11" s="102">
        <v>20.7</v>
      </c>
      <c r="Y11" s="102">
        <v>20.7</v>
      </c>
      <c r="Z11" s="102">
        <v>20.7</v>
      </c>
      <c r="AA11" s="102">
        <v>20.7</v>
      </c>
      <c r="AB11" s="102">
        <v>20.7</v>
      </c>
      <c r="AC11" s="102">
        <v>20.7</v>
      </c>
      <c r="AD11" s="102">
        <v>20.7</v>
      </c>
      <c r="AE11" s="102">
        <v>20.7</v>
      </c>
      <c r="AF11" s="102">
        <v>20.7</v>
      </c>
      <c r="AG11" s="140">
        <v>86</v>
      </c>
      <c r="AH11" s="12">
        <f t="shared" ref="AH11:AH16" si="2">MAX(B11:AF11)</f>
        <v>20.7</v>
      </c>
      <c r="AI11" s="11">
        <f t="shared" ref="AI11:AI16" si="3">MIN(B11:AF11)</f>
        <v>6.2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25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>
        <v>11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>
        <v>11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14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25">
      <c r="A13" s="89" t="s">
        <v>262</v>
      </c>
      <c r="B13" s="102">
        <v>14</v>
      </c>
      <c r="C13" s="102">
        <v>14</v>
      </c>
      <c r="D13" s="102">
        <v>14</v>
      </c>
      <c r="E13" s="102">
        <v>14</v>
      </c>
      <c r="F13" s="102">
        <v>14</v>
      </c>
      <c r="G13" s="102">
        <v>14</v>
      </c>
      <c r="H13" s="102">
        <v>14</v>
      </c>
      <c r="I13" s="102">
        <v>14</v>
      </c>
      <c r="J13" s="102">
        <v>14</v>
      </c>
      <c r="K13" s="102">
        <v>14</v>
      </c>
      <c r="L13" s="102">
        <v>14</v>
      </c>
      <c r="M13" s="102">
        <v>14</v>
      </c>
      <c r="N13" s="102">
        <v>14</v>
      </c>
      <c r="O13" s="102">
        <v>14</v>
      </c>
      <c r="P13" s="102">
        <v>14</v>
      </c>
      <c r="Q13" s="102">
        <v>13.4</v>
      </c>
      <c r="R13" s="102">
        <v>13.4</v>
      </c>
      <c r="S13" s="102">
        <v>13.4</v>
      </c>
      <c r="T13" s="102">
        <v>13.4</v>
      </c>
      <c r="U13" s="102">
        <v>13.4</v>
      </c>
      <c r="V13" s="102">
        <v>13.4</v>
      </c>
      <c r="W13" s="102">
        <v>13.4</v>
      </c>
      <c r="X13" s="102">
        <v>13.4</v>
      </c>
      <c r="Y13" s="102">
        <v>13.4</v>
      </c>
      <c r="Z13" s="102">
        <v>13.4</v>
      </c>
      <c r="AA13" s="102">
        <v>13.4</v>
      </c>
      <c r="AB13" s="102">
        <v>13.4</v>
      </c>
      <c r="AC13" s="102">
        <v>13.4</v>
      </c>
      <c r="AD13" s="102">
        <v>13.4</v>
      </c>
      <c r="AE13" s="102">
        <v>13.4</v>
      </c>
      <c r="AF13" s="102">
        <v>13.4</v>
      </c>
      <c r="AG13" s="130">
        <v>54</v>
      </c>
      <c r="AH13" s="12">
        <f t="shared" si="2"/>
        <v>14</v>
      </c>
      <c r="AI13" s="11">
        <f t="shared" si="3"/>
        <v>13.4</v>
      </c>
      <c r="AK13" s="19"/>
      <c r="AL13" s="6" t="str">
        <f ca="1">"Daily Load Curve(Excluding of Export) of Nepal ("&amp;A4&amp;" "&amp;B4&amp;")"</f>
        <v>Daily Load Curve(Excluding of Export) of Nepal (Nepali Date: 2080/10/14)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.75" thickBot="1" x14ac:dyDescent="0.3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.75" thickTop="1" x14ac:dyDescent="0.25">
      <c r="A15" s="89" t="s">
        <v>260</v>
      </c>
      <c r="B15" s="102">
        <v>35.6</v>
      </c>
      <c r="C15" s="102">
        <v>35.6</v>
      </c>
      <c r="D15" s="102">
        <v>35.6</v>
      </c>
      <c r="E15" s="102">
        <v>35.6</v>
      </c>
      <c r="F15" s="102">
        <v>35.6</v>
      </c>
      <c r="G15" s="102">
        <v>35.6</v>
      </c>
      <c r="H15" s="102">
        <v>35.6</v>
      </c>
      <c r="I15" s="102">
        <v>35.6</v>
      </c>
      <c r="J15" s="102">
        <v>35.6</v>
      </c>
      <c r="K15" s="102">
        <v>35.6</v>
      </c>
      <c r="L15" s="102">
        <v>35.6</v>
      </c>
      <c r="M15" s="102">
        <v>35.6</v>
      </c>
      <c r="N15" s="102">
        <v>35.6</v>
      </c>
      <c r="O15" s="102">
        <v>35.6</v>
      </c>
      <c r="P15" s="102">
        <v>35.6</v>
      </c>
      <c r="Q15" s="102">
        <v>40.5</v>
      </c>
      <c r="R15" s="102">
        <v>40.5</v>
      </c>
      <c r="S15" s="102">
        <v>40.5</v>
      </c>
      <c r="T15" s="102">
        <v>40.5</v>
      </c>
      <c r="U15" s="102">
        <v>40.5</v>
      </c>
      <c r="V15" s="102">
        <v>40.5</v>
      </c>
      <c r="W15" s="102">
        <v>40.5</v>
      </c>
      <c r="X15" s="102">
        <v>40.5</v>
      </c>
      <c r="Y15" s="102">
        <v>40.5</v>
      </c>
      <c r="Z15" s="123">
        <v>40.5</v>
      </c>
      <c r="AA15" s="123">
        <v>40.5</v>
      </c>
      <c r="AB15" s="123">
        <v>40.5</v>
      </c>
      <c r="AC15" s="123">
        <v>40.5</v>
      </c>
      <c r="AD15" s="123">
        <v>40.5</v>
      </c>
      <c r="AE15" s="123">
        <v>43.2</v>
      </c>
      <c r="AF15" s="123">
        <v>43.2</v>
      </c>
      <c r="AG15" s="130">
        <v>50</v>
      </c>
      <c r="AH15" s="12">
        <f t="shared" si="2"/>
        <v>43.2</v>
      </c>
      <c r="AI15" s="11">
        <f t="shared" si="3"/>
        <v>35.6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25">
      <c r="A16" s="89" t="s">
        <v>258</v>
      </c>
      <c r="B16" s="102">
        <v>15.2</v>
      </c>
      <c r="C16" s="102">
        <v>15.2</v>
      </c>
      <c r="D16" s="102">
        <v>15.2</v>
      </c>
      <c r="E16" s="102">
        <v>15.2</v>
      </c>
      <c r="F16" s="102">
        <v>15.2</v>
      </c>
      <c r="G16" s="102">
        <v>15.2</v>
      </c>
      <c r="H16" s="102">
        <v>15.2</v>
      </c>
      <c r="I16" s="102">
        <v>15.2</v>
      </c>
      <c r="J16" s="102">
        <v>15.2</v>
      </c>
      <c r="K16" s="102">
        <v>15.2</v>
      </c>
      <c r="L16" s="102">
        <v>15.2</v>
      </c>
      <c r="M16" s="102">
        <v>15.2</v>
      </c>
      <c r="N16" s="102">
        <v>15.2</v>
      </c>
      <c r="O16" s="102">
        <v>15.2</v>
      </c>
      <c r="P16" s="102">
        <v>15.2</v>
      </c>
      <c r="Q16" s="102">
        <v>13.5</v>
      </c>
      <c r="R16" s="102">
        <v>13.5</v>
      </c>
      <c r="S16" s="102">
        <v>13.5</v>
      </c>
      <c r="T16" s="102">
        <v>13.5</v>
      </c>
      <c r="U16" s="102">
        <v>13.5</v>
      </c>
      <c r="V16" s="102">
        <v>13.5</v>
      </c>
      <c r="W16" s="102">
        <v>13.5</v>
      </c>
      <c r="X16" s="102">
        <v>13.5</v>
      </c>
      <c r="Y16" s="102">
        <v>13.5</v>
      </c>
      <c r="Z16" s="102">
        <v>13.5</v>
      </c>
      <c r="AA16" s="102">
        <v>13.5</v>
      </c>
      <c r="AB16" s="102">
        <v>13.5</v>
      </c>
      <c r="AC16" s="102">
        <v>13.5</v>
      </c>
      <c r="AD16" s="102">
        <v>13.5</v>
      </c>
      <c r="AE16" s="102">
        <v>13.5</v>
      </c>
      <c r="AF16" s="102">
        <v>13.5</v>
      </c>
      <c r="AG16" s="130">
        <v>45</v>
      </c>
      <c r="AH16" s="12">
        <f t="shared" si="2"/>
        <v>15.2</v>
      </c>
      <c r="AI16" s="11">
        <f t="shared" si="3"/>
        <v>13.5</v>
      </c>
      <c r="AK16" s="19"/>
      <c r="AL16" s="135" t="s">
        <v>7</v>
      </c>
      <c r="AM16" s="134">
        <f t="shared" ref="AM16:AR16" si="4">B58</f>
        <v>461.74999999999994</v>
      </c>
      <c r="AN16" s="134">
        <f t="shared" si="4"/>
        <v>461.74999999999994</v>
      </c>
      <c r="AO16" s="134">
        <f t="shared" si="4"/>
        <v>461.74999999999994</v>
      </c>
      <c r="AP16" s="134">
        <f t="shared" si="4"/>
        <v>461.74999999999994</v>
      </c>
      <c r="AQ16" s="134">
        <f t="shared" si="4"/>
        <v>461.74999999999994</v>
      </c>
      <c r="AR16" s="134">
        <f t="shared" si="4"/>
        <v>461.74999999999994</v>
      </c>
      <c r="AS16" s="134">
        <f>I58</f>
        <v>461.74999999999994</v>
      </c>
      <c r="AT16" s="134">
        <f>K58</f>
        <v>461.74999999999994</v>
      </c>
      <c r="AU16" s="134">
        <f t="shared" ref="AU16:BD16" si="5">M58</f>
        <v>461.74999999999994</v>
      </c>
      <c r="AV16" s="134">
        <f t="shared" si="5"/>
        <v>461.74999999999994</v>
      </c>
      <c r="AW16" s="134">
        <f t="shared" si="5"/>
        <v>461.74999999999994</v>
      </c>
      <c r="AX16" s="134">
        <f t="shared" si="5"/>
        <v>461.74999999999994</v>
      </c>
      <c r="AY16" s="134">
        <f t="shared" si="5"/>
        <v>483.34999999999997</v>
      </c>
      <c r="AZ16" s="134">
        <f t="shared" si="5"/>
        <v>483.34999999999997</v>
      </c>
      <c r="BA16" s="134">
        <f t="shared" si="5"/>
        <v>483.34999999999997</v>
      </c>
      <c r="BB16" s="134">
        <f t="shared" si="5"/>
        <v>483.34999999999997</v>
      </c>
      <c r="BC16" s="134">
        <f t="shared" si="5"/>
        <v>483.34999999999997</v>
      </c>
      <c r="BD16" s="134">
        <f t="shared" si="5"/>
        <v>483.34999999999997</v>
      </c>
      <c r="BE16" s="133">
        <f>X58</f>
        <v>483.34999999999997</v>
      </c>
      <c r="BF16" s="133">
        <f>Z58</f>
        <v>483.34999999999997</v>
      </c>
      <c r="BG16" s="133">
        <f>AB58</f>
        <v>483.34999999999997</v>
      </c>
      <c r="BH16" s="133">
        <f>AD58</f>
        <v>483.34999999999997</v>
      </c>
      <c r="BI16" s="133">
        <f>AE58</f>
        <v>486.05</v>
      </c>
      <c r="BJ16" s="133">
        <f>AF58</f>
        <v>486.05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25">
      <c r="A17" s="89" t="s">
        <v>257</v>
      </c>
      <c r="B17" s="102">
        <v>16.100000000000001</v>
      </c>
      <c r="C17" s="102">
        <v>16.100000000000001</v>
      </c>
      <c r="D17" s="102">
        <v>16.100000000000001</v>
      </c>
      <c r="E17" s="102">
        <v>16.100000000000001</v>
      </c>
      <c r="F17" s="102">
        <v>16.100000000000001</v>
      </c>
      <c r="G17" s="102">
        <v>16.100000000000001</v>
      </c>
      <c r="H17" s="102">
        <v>16.100000000000001</v>
      </c>
      <c r="I17" s="102">
        <v>16.100000000000001</v>
      </c>
      <c r="J17" s="102">
        <v>16.100000000000001</v>
      </c>
      <c r="K17" s="102">
        <v>16.100000000000001</v>
      </c>
      <c r="L17" s="102">
        <v>16.100000000000001</v>
      </c>
      <c r="M17" s="102">
        <v>16.100000000000001</v>
      </c>
      <c r="N17" s="102">
        <v>16.100000000000001</v>
      </c>
      <c r="O17" s="102">
        <v>16.100000000000001</v>
      </c>
      <c r="P17" s="102">
        <v>16.100000000000001</v>
      </c>
      <c r="Q17" s="102">
        <v>16</v>
      </c>
      <c r="R17" s="102">
        <v>16</v>
      </c>
      <c r="S17" s="102">
        <v>16</v>
      </c>
      <c r="T17" s="102">
        <v>16</v>
      </c>
      <c r="U17" s="102">
        <v>16</v>
      </c>
      <c r="V17" s="102">
        <v>16</v>
      </c>
      <c r="W17" s="102">
        <v>16</v>
      </c>
      <c r="X17" s="102">
        <v>16</v>
      </c>
      <c r="Y17" s="102">
        <v>16</v>
      </c>
      <c r="Z17" s="102">
        <v>16</v>
      </c>
      <c r="AA17" s="102">
        <v>16</v>
      </c>
      <c r="AB17" s="102">
        <v>16</v>
      </c>
      <c r="AC17" s="102">
        <v>16</v>
      </c>
      <c r="AD17" s="102">
        <v>16</v>
      </c>
      <c r="AE17" s="102">
        <v>16</v>
      </c>
      <c r="AF17" s="102">
        <v>16</v>
      </c>
      <c r="AG17" s="130">
        <v>44</v>
      </c>
      <c r="AH17" s="12">
        <f>MAX(B17:AG17)</f>
        <v>44</v>
      </c>
      <c r="AI17" s="11">
        <f>MIN(B17:AG17)</f>
        <v>16</v>
      </c>
      <c r="AK17" s="19"/>
      <c r="AL17" s="135" t="s">
        <v>256</v>
      </c>
      <c r="AM17" s="134">
        <f t="shared" ref="AM17:AR17" si="6">B62</f>
        <v>209.60000000000002</v>
      </c>
      <c r="AN17" s="134">
        <f t="shared" si="6"/>
        <v>139.6</v>
      </c>
      <c r="AO17" s="134">
        <f t="shared" si="6"/>
        <v>139.6</v>
      </c>
      <c r="AP17" s="134">
        <f t="shared" si="6"/>
        <v>139.6</v>
      </c>
      <c r="AQ17" s="134">
        <f t="shared" si="6"/>
        <v>139.6</v>
      </c>
      <c r="AR17" s="134">
        <f t="shared" si="6"/>
        <v>139.6</v>
      </c>
      <c r="AS17" s="134">
        <f>I62</f>
        <v>139.6</v>
      </c>
      <c r="AT17" s="134">
        <f>K62</f>
        <v>39.6</v>
      </c>
      <c r="AU17" s="134">
        <f t="shared" ref="AU17:BD17" si="7">M62</f>
        <v>39.6</v>
      </c>
      <c r="AV17" s="134">
        <f t="shared" si="7"/>
        <v>39.6</v>
      </c>
      <c r="AW17" s="134">
        <f t="shared" si="7"/>
        <v>39.6</v>
      </c>
      <c r="AX17" s="134">
        <f t="shared" si="7"/>
        <v>39.6</v>
      </c>
      <c r="AY17" s="134">
        <f t="shared" si="7"/>
        <v>33.700000000000003</v>
      </c>
      <c r="AZ17" s="134">
        <f t="shared" si="7"/>
        <v>33.700000000000003</v>
      </c>
      <c r="BA17" s="134">
        <f t="shared" si="7"/>
        <v>37.6</v>
      </c>
      <c r="BB17" s="134">
        <f t="shared" si="7"/>
        <v>37.5</v>
      </c>
      <c r="BC17" s="134">
        <f t="shared" si="7"/>
        <v>37.5</v>
      </c>
      <c r="BD17" s="134">
        <f t="shared" si="7"/>
        <v>37.5</v>
      </c>
      <c r="BE17" s="133">
        <f>X62</f>
        <v>53.1</v>
      </c>
      <c r="BF17" s="133">
        <f>Z62</f>
        <v>337.5</v>
      </c>
      <c r="BG17" s="133">
        <f>AB62</f>
        <v>321.5</v>
      </c>
      <c r="BH17" s="133">
        <f>AD62</f>
        <v>282.5</v>
      </c>
      <c r="BI17" s="133">
        <f>AE62</f>
        <v>282.5</v>
      </c>
      <c r="BJ17" s="133">
        <f>AF62</f>
        <v>240.9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25">
      <c r="A18" s="89" t="s">
        <v>255</v>
      </c>
      <c r="B18" s="102">
        <v>8.1</v>
      </c>
      <c r="C18" s="102">
        <v>8.1</v>
      </c>
      <c r="D18" s="102">
        <v>8.1</v>
      </c>
      <c r="E18" s="102">
        <v>8.1</v>
      </c>
      <c r="F18" s="102">
        <v>8.1</v>
      </c>
      <c r="G18" s="102">
        <v>8.1</v>
      </c>
      <c r="H18" s="102">
        <v>8.1</v>
      </c>
      <c r="I18" s="102">
        <v>8.1</v>
      </c>
      <c r="J18" s="102">
        <v>8.1</v>
      </c>
      <c r="K18" s="102">
        <v>8.1</v>
      </c>
      <c r="L18" s="102">
        <v>8.1</v>
      </c>
      <c r="M18" s="102">
        <v>8.1</v>
      </c>
      <c r="N18" s="102">
        <v>8.1</v>
      </c>
      <c r="O18" s="102">
        <v>8.1</v>
      </c>
      <c r="P18" s="102">
        <v>8.1</v>
      </c>
      <c r="Q18" s="102">
        <v>9</v>
      </c>
      <c r="R18" s="102">
        <v>9</v>
      </c>
      <c r="S18" s="102">
        <v>9</v>
      </c>
      <c r="T18" s="102">
        <v>9</v>
      </c>
      <c r="U18" s="102">
        <v>9</v>
      </c>
      <c r="V18" s="102">
        <v>9</v>
      </c>
      <c r="W18" s="102">
        <v>9</v>
      </c>
      <c r="X18" s="102">
        <v>9</v>
      </c>
      <c r="Y18" s="102">
        <v>9</v>
      </c>
      <c r="Z18" s="102">
        <v>9</v>
      </c>
      <c r="AA18" s="102">
        <v>9</v>
      </c>
      <c r="AB18" s="102">
        <v>9</v>
      </c>
      <c r="AC18" s="102">
        <v>9</v>
      </c>
      <c r="AD18" s="102">
        <v>9</v>
      </c>
      <c r="AE18" s="102">
        <v>9</v>
      </c>
      <c r="AF18" s="102">
        <v>9</v>
      </c>
      <c r="AG18" s="130">
        <v>42</v>
      </c>
      <c r="AH18" s="12">
        <f t="shared" ref="AH18:AH81" si="8">MAX(B18:AF18)</f>
        <v>9</v>
      </c>
      <c r="AI18" s="11">
        <f t="shared" ref="AI18:AI81" si="9">MIN(B18:AF18)</f>
        <v>8.1</v>
      </c>
      <c r="AK18" s="19"/>
      <c r="AL18" s="135" t="s">
        <v>254</v>
      </c>
      <c r="AM18" s="134">
        <f t="shared" ref="AM18:AR18" si="10">B76</f>
        <v>238.88</v>
      </c>
      <c r="AN18" s="134">
        <f t="shared" si="10"/>
        <v>238.88</v>
      </c>
      <c r="AO18" s="134">
        <f t="shared" si="10"/>
        <v>238.88</v>
      </c>
      <c r="AP18" s="134">
        <f t="shared" si="10"/>
        <v>253.88000000000002</v>
      </c>
      <c r="AQ18" s="134">
        <f t="shared" si="10"/>
        <v>255.88000000000002</v>
      </c>
      <c r="AR18" s="134">
        <f t="shared" si="10"/>
        <v>238.38000000000002</v>
      </c>
      <c r="AS18" s="134">
        <f>I76</f>
        <v>278.08000000000004</v>
      </c>
      <c r="AT18" s="134">
        <f>K76</f>
        <v>226.48000000000002</v>
      </c>
      <c r="AU18" s="134">
        <f t="shared" ref="AU18:BD18" si="11">M76</f>
        <v>284.77999999999997</v>
      </c>
      <c r="AV18" s="134">
        <f t="shared" si="11"/>
        <v>246.07999999999998</v>
      </c>
      <c r="AW18" s="134">
        <f t="shared" si="11"/>
        <v>249.74</v>
      </c>
      <c r="AX18" s="134">
        <f t="shared" si="11"/>
        <v>282.27999999999997</v>
      </c>
      <c r="AY18" s="134">
        <f t="shared" si="11"/>
        <v>286.67999999999995</v>
      </c>
      <c r="AZ18" s="134">
        <f t="shared" si="11"/>
        <v>269.58</v>
      </c>
      <c r="BA18" s="134">
        <f t="shared" si="11"/>
        <v>276.97999999999996</v>
      </c>
      <c r="BB18" s="134">
        <f t="shared" si="11"/>
        <v>269.47999999999996</v>
      </c>
      <c r="BC18" s="134">
        <f t="shared" si="11"/>
        <v>239.77999999999997</v>
      </c>
      <c r="BD18" s="134">
        <f t="shared" si="11"/>
        <v>206.98000000000002</v>
      </c>
      <c r="BE18" s="133">
        <f>X76</f>
        <v>234.27999999999997</v>
      </c>
      <c r="BF18" s="133">
        <f>Z76</f>
        <v>329.17999999999995</v>
      </c>
      <c r="BG18" s="133">
        <f>AB76</f>
        <v>272.08</v>
      </c>
      <c r="BH18" s="133">
        <f>AD76</f>
        <v>261.77999999999997</v>
      </c>
      <c r="BI18" s="133">
        <f>AE76</f>
        <v>261.77999999999997</v>
      </c>
      <c r="BJ18" s="133">
        <f>AF76</f>
        <v>272.18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25">
      <c r="A19" s="89" t="s">
        <v>253</v>
      </c>
      <c r="B19" s="102">
        <v>14.3</v>
      </c>
      <c r="C19" s="102">
        <v>14.3</v>
      </c>
      <c r="D19" s="102">
        <v>14.3</v>
      </c>
      <c r="E19" s="102">
        <v>14.3</v>
      </c>
      <c r="F19" s="102">
        <v>14.3</v>
      </c>
      <c r="G19" s="102">
        <v>14.3</v>
      </c>
      <c r="H19" s="102">
        <v>14.3</v>
      </c>
      <c r="I19" s="102">
        <v>14.3</v>
      </c>
      <c r="J19" s="102">
        <v>14.3</v>
      </c>
      <c r="K19" s="102">
        <v>14.3</v>
      </c>
      <c r="L19" s="102">
        <v>14.3</v>
      </c>
      <c r="M19" s="102">
        <v>14.3</v>
      </c>
      <c r="N19" s="102">
        <v>14.3</v>
      </c>
      <c r="O19" s="102">
        <v>14.3</v>
      </c>
      <c r="P19" s="102">
        <v>14.3</v>
      </c>
      <c r="Q19" s="102">
        <v>17.600000000000001</v>
      </c>
      <c r="R19" s="102">
        <v>17.600000000000001</v>
      </c>
      <c r="S19" s="102">
        <v>17.600000000000001</v>
      </c>
      <c r="T19" s="102">
        <v>17.600000000000001</v>
      </c>
      <c r="U19" s="102">
        <v>17.600000000000001</v>
      </c>
      <c r="V19" s="102">
        <v>17.600000000000001</v>
      </c>
      <c r="W19" s="102">
        <v>17.600000000000001</v>
      </c>
      <c r="X19" s="102">
        <v>17.600000000000001</v>
      </c>
      <c r="Y19" s="102">
        <v>17.600000000000001</v>
      </c>
      <c r="Z19" s="102">
        <v>17.600000000000001</v>
      </c>
      <c r="AA19" s="102">
        <v>17.600000000000001</v>
      </c>
      <c r="AB19" s="102">
        <v>17.600000000000001</v>
      </c>
      <c r="AC19" s="102">
        <v>17.600000000000001</v>
      </c>
      <c r="AD19" s="102">
        <v>17.600000000000001</v>
      </c>
      <c r="AE19" s="102">
        <v>17.600000000000001</v>
      </c>
      <c r="AF19" s="102">
        <v>17.600000000000001</v>
      </c>
      <c r="AG19" s="130">
        <v>38.46</v>
      </c>
      <c r="AH19" s="12">
        <f t="shared" si="8"/>
        <v>17.600000000000001</v>
      </c>
      <c r="AI19" s="11">
        <f t="shared" si="9"/>
        <v>14.3</v>
      </c>
      <c r="AK19" s="19"/>
      <c r="AL19" s="135" t="s">
        <v>252</v>
      </c>
      <c r="AM19" s="134">
        <f t="shared" ref="AM19:AR19" si="12">B92</f>
        <v>273</v>
      </c>
      <c r="AN19" s="134">
        <f t="shared" si="12"/>
        <v>300</v>
      </c>
      <c r="AO19" s="134">
        <f t="shared" si="12"/>
        <v>300</v>
      </c>
      <c r="AP19" s="134">
        <f t="shared" si="12"/>
        <v>228.2</v>
      </c>
      <c r="AQ19" s="134">
        <f t="shared" si="12"/>
        <v>224.5</v>
      </c>
      <c r="AR19" s="134">
        <f t="shared" si="12"/>
        <v>270.2</v>
      </c>
      <c r="AS19" s="134">
        <f>I92</f>
        <v>352.4</v>
      </c>
      <c r="AT19" s="134">
        <f>K92</f>
        <v>804.4</v>
      </c>
      <c r="AU19" s="134">
        <f t="shared" ref="AU19:BD19" si="13">M92</f>
        <v>841</v>
      </c>
      <c r="AV19" s="134">
        <f t="shared" si="13"/>
        <v>835</v>
      </c>
      <c r="AW19" s="134">
        <f t="shared" si="13"/>
        <v>793</v>
      </c>
      <c r="AX19" s="134">
        <f t="shared" si="13"/>
        <v>887</v>
      </c>
      <c r="AY19" s="134">
        <f t="shared" si="13"/>
        <v>849.2</v>
      </c>
      <c r="AZ19" s="134">
        <f t="shared" si="13"/>
        <v>784.6</v>
      </c>
      <c r="BA19" s="134">
        <f t="shared" si="13"/>
        <v>864.69999999999993</v>
      </c>
      <c r="BB19" s="134">
        <f t="shared" si="13"/>
        <v>890.9</v>
      </c>
      <c r="BC19" s="134">
        <f t="shared" si="13"/>
        <v>857.60000000000014</v>
      </c>
      <c r="BD19" s="134">
        <f t="shared" si="13"/>
        <v>908.50000000000011</v>
      </c>
      <c r="BE19" s="133">
        <f>X92</f>
        <v>702.6</v>
      </c>
      <c r="BF19" s="133">
        <f>Z92</f>
        <v>463.5</v>
      </c>
      <c r="BG19" s="133">
        <f>AB92</f>
        <v>381.6</v>
      </c>
      <c r="BH19" s="133">
        <f>AD92</f>
        <v>388</v>
      </c>
      <c r="BI19" s="133">
        <f>AE92</f>
        <v>293.3</v>
      </c>
      <c r="BJ19" s="133">
        <f>AF92</f>
        <v>223.39999999999998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25">
      <c r="A20" s="89" t="s">
        <v>251</v>
      </c>
      <c r="B20" s="102">
        <v>11.4</v>
      </c>
      <c r="C20" s="102">
        <v>11.4</v>
      </c>
      <c r="D20" s="102">
        <v>11.4</v>
      </c>
      <c r="E20" s="102">
        <v>11.4</v>
      </c>
      <c r="F20" s="102">
        <v>11.4</v>
      </c>
      <c r="G20" s="102">
        <v>11.4</v>
      </c>
      <c r="H20" s="102">
        <v>11.4</v>
      </c>
      <c r="I20" s="102">
        <v>11.4</v>
      </c>
      <c r="J20" s="102">
        <v>11.4</v>
      </c>
      <c r="K20" s="102">
        <v>11.4</v>
      </c>
      <c r="L20" s="102">
        <v>11.4</v>
      </c>
      <c r="M20" s="102">
        <v>11.4</v>
      </c>
      <c r="N20" s="102">
        <v>11.4</v>
      </c>
      <c r="O20" s="102">
        <v>11.4</v>
      </c>
      <c r="P20" s="102">
        <v>11.4</v>
      </c>
      <c r="Q20" s="102">
        <v>11.5</v>
      </c>
      <c r="R20" s="102">
        <v>11.5</v>
      </c>
      <c r="S20" s="102">
        <v>11.5</v>
      </c>
      <c r="T20" s="102">
        <v>11.5</v>
      </c>
      <c r="U20" s="102">
        <v>11.5</v>
      </c>
      <c r="V20" s="102">
        <v>11.5</v>
      </c>
      <c r="W20" s="102">
        <v>11.5</v>
      </c>
      <c r="X20" s="102">
        <v>11.5</v>
      </c>
      <c r="Y20" s="102">
        <v>11.5</v>
      </c>
      <c r="Z20" s="102">
        <v>11.5</v>
      </c>
      <c r="AA20" s="102">
        <v>11.5</v>
      </c>
      <c r="AB20" s="102">
        <v>11.5</v>
      </c>
      <c r="AC20" s="102">
        <v>11.5</v>
      </c>
      <c r="AD20" s="102">
        <v>11.5</v>
      </c>
      <c r="AE20" s="102">
        <v>11.5</v>
      </c>
      <c r="AF20" s="102">
        <v>11.5</v>
      </c>
      <c r="AG20" s="130">
        <v>38.46</v>
      </c>
      <c r="AH20" s="12">
        <f t="shared" si="8"/>
        <v>11.5</v>
      </c>
      <c r="AI20" s="11">
        <f t="shared" si="9"/>
        <v>11.4</v>
      </c>
      <c r="AK20" s="19"/>
      <c r="AL20" s="135" t="s">
        <v>250</v>
      </c>
      <c r="AM20" s="134">
        <f t="shared" ref="AM20:AR20" si="14">B80</f>
        <v>98.23</v>
      </c>
      <c r="AN20" s="134">
        <f t="shared" si="14"/>
        <v>98.23</v>
      </c>
      <c r="AO20" s="134">
        <f t="shared" si="14"/>
        <v>98.23</v>
      </c>
      <c r="AP20" s="134">
        <f t="shared" si="14"/>
        <v>98.23</v>
      </c>
      <c r="AQ20" s="134">
        <f t="shared" si="14"/>
        <v>98.23</v>
      </c>
      <c r="AR20" s="134">
        <f t="shared" si="14"/>
        <v>98.23</v>
      </c>
      <c r="AS20" s="134">
        <f>I80</f>
        <v>98.23</v>
      </c>
      <c r="AT20" s="134">
        <f>K80</f>
        <v>98.23</v>
      </c>
      <c r="AU20" s="134">
        <f t="shared" ref="AU20:BD20" si="15">M80</f>
        <v>80</v>
      </c>
      <c r="AV20" s="134">
        <f t="shared" si="15"/>
        <v>98</v>
      </c>
      <c r="AW20" s="134">
        <f t="shared" si="15"/>
        <v>98</v>
      </c>
      <c r="AX20" s="134">
        <f t="shared" si="15"/>
        <v>98</v>
      </c>
      <c r="AY20" s="134">
        <f t="shared" si="15"/>
        <v>98</v>
      </c>
      <c r="AZ20" s="134">
        <f t="shared" si="15"/>
        <v>98</v>
      </c>
      <c r="BA20" s="134">
        <f t="shared" si="15"/>
        <v>98</v>
      </c>
      <c r="BB20" s="134">
        <f t="shared" si="15"/>
        <v>98.5</v>
      </c>
      <c r="BC20" s="134">
        <f t="shared" si="15"/>
        <v>88</v>
      </c>
      <c r="BD20" s="134">
        <f t="shared" si="15"/>
        <v>81</v>
      </c>
      <c r="BE20" s="133">
        <f>X80</f>
        <v>53.4</v>
      </c>
      <c r="BF20" s="133">
        <f>Z80</f>
        <v>97.5</v>
      </c>
      <c r="BG20" s="133">
        <f>AB80</f>
        <v>97.5</v>
      </c>
      <c r="BH20" s="133">
        <f>AD80</f>
        <v>97.5</v>
      </c>
      <c r="BI20" s="133">
        <f>AE80</f>
        <v>97.5</v>
      </c>
      <c r="BJ20" s="133">
        <f>AF80</f>
        <v>97.5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25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>
        <v>11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>
        <v>11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11</v>
      </c>
      <c r="AG21" s="130">
        <v>36</v>
      </c>
      <c r="AH21" s="12">
        <f t="shared" si="8"/>
        <v>11</v>
      </c>
      <c r="AI21" s="11">
        <f t="shared" si="9"/>
        <v>11</v>
      </c>
      <c r="AK21" s="19"/>
      <c r="AL21" s="135" t="s">
        <v>248</v>
      </c>
      <c r="AM21" s="134">
        <f t="shared" ref="AM21:AR21" si="16">B98</f>
        <v>280</v>
      </c>
      <c r="AN21" s="134">
        <f t="shared" si="16"/>
        <v>250</v>
      </c>
      <c r="AO21" s="134">
        <f t="shared" si="16"/>
        <v>250</v>
      </c>
      <c r="AP21" s="134">
        <f t="shared" si="16"/>
        <v>250</v>
      </c>
      <c r="AQ21" s="134">
        <f t="shared" si="16"/>
        <v>250</v>
      </c>
      <c r="AR21" s="134">
        <f t="shared" si="16"/>
        <v>250</v>
      </c>
      <c r="AS21" s="134">
        <f>I98</f>
        <v>250</v>
      </c>
      <c r="AT21" s="134">
        <f>K98</f>
        <v>0</v>
      </c>
      <c r="AU21" s="134">
        <f t="shared" ref="AU21:BD21" si="17">M98</f>
        <v>20</v>
      </c>
      <c r="AV21" s="134">
        <f t="shared" si="17"/>
        <v>20</v>
      </c>
      <c r="AW21" s="134">
        <f t="shared" si="17"/>
        <v>20</v>
      </c>
      <c r="AX21" s="134">
        <f t="shared" si="17"/>
        <v>20</v>
      </c>
      <c r="AY21" s="134">
        <f t="shared" si="17"/>
        <v>20</v>
      </c>
      <c r="AZ21" s="134">
        <f t="shared" si="17"/>
        <v>20</v>
      </c>
      <c r="BA21" s="134">
        <f t="shared" si="17"/>
        <v>10</v>
      </c>
      <c r="BB21" s="134">
        <f t="shared" si="17"/>
        <v>10</v>
      </c>
      <c r="BC21" s="134">
        <f t="shared" si="17"/>
        <v>10</v>
      </c>
      <c r="BD21" s="134">
        <f t="shared" si="17"/>
        <v>10</v>
      </c>
      <c r="BE21" s="133">
        <f>X98</f>
        <v>11</v>
      </c>
      <c r="BF21" s="133">
        <f>Z98</f>
        <v>300</v>
      </c>
      <c r="BG21" s="133">
        <f>AB98</f>
        <v>300</v>
      </c>
      <c r="BH21" s="133">
        <f>AD98</f>
        <v>300</v>
      </c>
      <c r="BI21" s="133">
        <f>AE98</f>
        <v>300</v>
      </c>
      <c r="BJ21" s="133">
        <f>AF98</f>
        <v>300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25">
      <c r="A22" s="89" t="s">
        <v>247</v>
      </c>
      <c r="B22" s="102">
        <v>8.1</v>
      </c>
      <c r="C22" s="102">
        <v>8.1</v>
      </c>
      <c r="D22" s="102">
        <v>8.1</v>
      </c>
      <c r="E22" s="102">
        <v>8.1</v>
      </c>
      <c r="F22" s="102">
        <v>8.1</v>
      </c>
      <c r="G22" s="102">
        <v>8.1</v>
      </c>
      <c r="H22" s="102">
        <v>8.1</v>
      </c>
      <c r="I22" s="102">
        <v>8.1</v>
      </c>
      <c r="J22" s="102">
        <v>8.1</v>
      </c>
      <c r="K22" s="102">
        <v>8.1</v>
      </c>
      <c r="L22" s="102">
        <v>8.1</v>
      </c>
      <c r="M22" s="102">
        <v>8.1</v>
      </c>
      <c r="N22" s="102">
        <v>8.1</v>
      </c>
      <c r="O22" s="102">
        <v>8.1</v>
      </c>
      <c r="P22" s="102">
        <v>8.1</v>
      </c>
      <c r="Q22" s="102">
        <v>8.5</v>
      </c>
      <c r="R22" s="102">
        <v>8.5</v>
      </c>
      <c r="S22" s="102">
        <v>8.5</v>
      </c>
      <c r="T22" s="102">
        <v>8.5</v>
      </c>
      <c r="U22" s="102">
        <v>8.5</v>
      </c>
      <c r="V22" s="102">
        <v>8.5</v>
      </c>
      <c r="W22" s="102">
        <v>8.5</v>
      </c>
      <c r="X22" s="102">
        <v>8.5</v>
      </c>
      <c r="Y22" s="102">
        <v>8.5</v>
      </c>
      <c r="Z22" s="102">
        <v>8.5</v>
      </c>
      <c r="AA22" s="102">
        <v>8.5</v>
      </c>
      <c r="AB22" s="102">
        <v>8.5</v>
      </c>
      <c r="AC22" s="102">
        <v>8.5</v>
      </c>
      <c r="AD22" s="102">
        <v>8.5</v>
      </c>
      <c r="AE22" s="102">
        <v>8.5</v>
      </c>
      <c r="AF22" s="102">
        <v>8.5</v>
      </c>
      <c r="AG22" s="88">
        <v>30</v>
      </c>
      <c r="AH22" s="12">
        <f t="shared" si="8"/>
        <v>8.5</v>
      </c>
      <c r="AI22" s="11">
        <f t="shared" si="9"/>
        <v>8.1</v>
      </c>
      <c r="AK22" s="19"/>
      <c r="AL22" s="132" t="s">
        <v>246</v>
      </c>
      <c r="AM22" s="131">
        <f t="shared" ref="AM22:BJ22" si="18">SUM(AM16:AM21)</f>
        <v>1561.46</v>
      </c>
      <c r="AN22" s="131">
        <f t="shared" si="18"/>
        <v>1488.46</v>
      </c>
      <c r="AO22" s="131">
        <f t="shared" si="18"/>
        <v>1488.46</v>
      </c>
      <c r="AP22" s="131">
        <f t="shared" si="18"/>
        <v>1431.6599999999999</v>
      </c>
      <c r="AQ22" s="131">
        <f t="shared" si="18"/>
        <v>1429.96</v>
      </c>
      <c r="AR22" s="131">
        <f t="shared" si="18"/>
        <v>1458.1599999999999</v>
      </c>
      <c r="AS22" s="131">
        <f t="shared" si="18"/>
        <v>1580.06</v>
      </c>
      <c r="AT22" s="131">
        <f t="shared" si="18"/>
        <v>1630.46</v>
      </c>
      <c r="AU22" s="131">
        <f t="shared" si="18"/>
        <v>1727.1299999999999</v>
      </c>
      <c r="AV22" s="131">
        <f t="shared" si="18"/>
        <v>1700.4299999999998</v>
      </c>
      <c r="AW22" s="131">
        <f t="shared" si="18"/>
        <v>1662.09</v>
      </c>
      <c r="AX22" s="131">
        <f t="shared" si="18"/>
        <v>1788.6299999999999</v>
      </c>
      <c r="AY22" s="131">
        <f t="shared" si="18"/>
        <v>1770.9299999999998</v>
      </c>
      <c r="AZ22" s="131">
        <f t="shared" si="18"/>
        <v>1689.23</v>
      </c>
      <c r="BA22" s="131">
        <f t="shared" si="18"/>
        <v>1770.6299999999997</v>
      </c>
      <c r="BB22" s="131">
        <f t="shared" si="18"/>
        <v>1789.73</v>
      </c>
      <c r="BC22" s="131">
        <f t="shared" si="18"/>
        <v>1716.23</v>
      </c>
      <c r="BD22" s="131">
        <f t="shared" si="18"/>
        <v>1727.33</v>
      </c>
      <c r="BE22" s="131">
        <f t="shared" si="18"/>
        <v>1537.73</v>
      </c>
      <c r="BF22" s="131">
        <f t="shared" si="18"/>
        <v>2011.0299999999997</v>
      </c>
      <c r="BG22" s="131">
        <f t="shared" si="18"/>
        <v>1856.0299999999997</v>
      </c>
      <c r="BH22" s="131">
        <f t="shared" si="18"/>
        <v>1813.1299999999999</v>
      </c>
      <c r="BI22" s="131">
        <f t="shared" si="18"/>
        <v>1721.1299999999999</v>
      </c>
      <c r="BJ22" s="131">
        <f t="shared" si="18"/>
        <v>1620.0300000000002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25">
      <c r="A23" s="89" t="s">
        <v>245</v>
      </c>
      <c r="B23" s="102">
        <v>6.2</v>
      </c>
      <c r="C23" s="102">
        <v>6.2</v>
      </c>
      <c r="D23" s="102">
        <v>6.2</v>
      </c>
      <c r="E23" s="102">
        <v>6.2</v>
      </c>
      <c r="F23" s="102">
        <v>6.2</v>
      </c>
      <c r="G23" s="102">
        <v>6.2</v>
      </c>
      <c r="H23" s="102">
        <v>6.2</v>
      </c>
      <c r="I23" s="102">
        <v>6.2</v>
      </c>
      <c r="J23" s="102">
        <v>6.2</v>
      </c>
      <c r="K23" s="102">
        <v>6.2</v>
      </c>
      <c r="L23" s="102">
        <v>6.2</v>
      </c>
      <c r="M23" s="102">
        <v>6.2</v>
      </c>
      <c r="N23" s="102">
        <v>6.2</v>
      </c>
      <c r="O23" s="102">
        <v>6.2</v>
      </c>
      <c r="P23" s="102">
        <v>6.2</v>
      </c>
      <c r="Q23" s="102">
        <v>6.5</v>
      </c>
      <c r="R23" s="102">
        <v>6.5</v>
      </c>
      <c r="S23" s="102">
        <v>6.5</v>
      </c>
      <c r="T23" s="102">
        <v>6.5</v>
      </c>
      <c r="U23" s="102">
        <v>6.5</v>
      </c>
      <c r="V23" s="102">
        <v>6.5</v>
      </c>
      <c r="W23" s="102">
        <v>6.5</v>
      </c>
      <c r="X23" s="102">
        <v>6.5</v>
      </c>
      <c r="Y23" s="102">
        <v>6.5</v>
      </c>
      <c r="Z23" s="102">
        <v>6.5</v>
      </c>
      <c r="AA23" s="102">
        <v>6.5</v>
      </c>
      <c r="AB23" s="102">
        <v>6.5</v>
      </c>
      <c r="AC23" s="102">
        <v>6.5</v>
      </c>
      <c r="AD23" s="102">
        <v>6.5</v>
      </c>
      <c r="AE23" s="102">
        <v>6.5</v>
      </c>
      <c r="AF23" s="102">
        <v>6.5</v>
      </c>
      <c r="AG23" s="130">
        <v>24.2</v>
      </c>
      <c r="AH23" s="12">
        <f t="shared" si="8"/>
        <v>6.5</v>
      </c>
      <c r="AI23" s="11">
        <f t="shared" si="9"/>
        <v>6.2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25">
      <c r="A24" s="89" t="s">
        <v>244</v>
      </c>
      <c r="B24" s="102">
        <v>6.8</v>
      </c>
      <c r="C24" s="102">
        <v>6.8</v>
      </c>
      <c r="D24" s="102">
        <v>6.8</v>
      </c>
      <c r="E24" s="102">
        <v>6.8</v>
      </c>
      <c r="F24" s="102">
        <v>6.8</v>
      </c>
      <c r="G24" s="102">
        <v>6.8</v>
      </c>
      <c r="H24" s="102">
        <v>6.8</v>
      </c>
      <c r="I24" s="102">
        <v>6.8</v>
      </c>
      <c r="J24" s="102">
        <v>6.8</v>
      </c>
      <c r="K24" s="102">
        <v>6.8</v>
      </c>
      <c r="L24" s="102">
        <v>6.8</v>
      </c>
      <c r="M24" s="102">
        <v>6.8</v>
      </c>
      <c r="N24" s="102">
        <v>6.8</v>
      </c>
      <c r="O24" s="102">
        <v>6.8</v>
      </c>
      <c r="P24" s="102">
        <v>6.8</v>
      </c>
      <c r="Q24" s="102">
        <v>6.1</v>
      </c>
      <c r="R24" s="102">
        <v>6.1</v>
      </c>
      <c r="S24" s="102">
        <v>6.1</v>
      </c>
      <c r="T24" s="102">
        <v>6.1</v>
      </c>
      <c r="U24" s="102">
        <v>6.1</v>
      </c>
      <c r="V24" s="102">
        <v>6.1</v>
      </c>
      <c r="W24" s="102">
        <v>6.1</v>
      </c>
      <c r="X24" s="102">
        <v>6.1</v>
      </c>
      <c r="Y24" s="102">
        <v>6.1</v>
      </c>
      <c r="Z24" s="102">
        <v>6.1</v>
      </c>
      <c r="AA24" s="102">
        <v>6.1</v>
      </c>
      <c r="AB24" s="102">
        <v>6.1</v>
      </c>
      <c r="AC24" s="102">
        <v>6.1</v>
      </c>
      <c r="AD24" s="102">
        <v>6.1</v>
      </c>
      <c r="AE24" s="102">
        <v>6.1</v>
      </c>
      <c r="AF24" s="102">
        <v>6.1</v>
      </c>
      <c r="AG24" s="130">
        <v>28</v>
      </c>
      <c r="AH24" s="12">
        <f t="shared" si="8"/>
        <v>6.8</v>
      </c>
      <c r="AI24" s="11">
        <f t="shared" si="9"/>
        <v>6.1</v>
      </c>
      <c r="AK24" s="19"/>
      <c r="AL24" s="132" t="s">
        <v>243</v>
      </c>
      <c r="AM24" s="131">
        <f t="shared" ref="AM24:BJ24" si="21">AM22+AM23</f>
        <v>1561.46</v>
      </c>
      <c r="AN24" s="131">
        <f t="shared" si="21"/>
        <v>1488.46</v>
      </c>
      <c r="AO24" s="131">
        <f t="shared" si="21"/>
        <v>1488.46</v>
      </c>
      <c r="AP24" s="131">
        <f t="shared" si="21"/>
        <v>1431.6599999999999</v>
      </c>
      <c r="AQ24" s="131">
        <f t="shared" si="21"/>
        <v>1429.96</v>
      </c>
      <c r="AR24" s="131">
        <f t="shared" si="21"/>
        <v>1458.1599999999999</v>
      </c>
      <c r="AS24" s="131">
        <f t="shared" si="21"/>
        <v>1580.06</v>
      </c>
      <c r="AT24" s="131">
        <f t="shared" si="21"/>
        <v>1630.46</v>
      </c>
      <c r="AU24" s="131">
        <f t="shared" si="21"/>
        <v>1727.1299999999999</v>
      </c>
      <c r="AV24" s="131">
        <f t="shared" si="21"/>
        <v>1700.4299999999998</v>
      </c>
      <c r="AW24" s="131">
        <f t="shared" si="21"/>
        <v>1662.09</v>
      </c>
      <c r="AX24" s="131">
        <f t="shared" si="21"/>
        <v>1788.6299999999999</v>
      </c>
      <c r="AY24" s="131">
        <f t="shared" si="21"/>
        <v>1770.9299999999998</v>
      </c>
      <c r="AZ24" s="131">
        <f t="shared" si="21"/>
        <v>1689.23</v>
      </c>
      <c r="BA24" s="131">
        <f t="shared" si="21"/>
        <v>1770.6299999999997</v>
      </c>
      <c r="BB24" s="131">
        <f t="shared" si="21"/>
        <v>1789.73</v>
      </c>
      <c r="BC24" s="131">
        <f t="shared" si="21"/>
        <v>1716.23</v>
      </c>
      <c r="BD24" s="131">
        <f t="shared" si="21"/>
        <v>1727.33</v>
      </c>
      <c r="BE24" s="131">
        <f t="shared" si="21"/>
        <v>1537.73</v>
      </c>
      <c r="BF24" s="131">
        <f t="shared" si="21"/>
        <v>2011.0299999999997</v>
      </c>
      <c r="BG24" s="131">
        <f t="shared" si="21"/>
        <v>1856.0299999999997</v>
      </c>
      <c r="BH24" s="131">
        <f t="shared" si="21"/>
        <v>1813.1299999999999</v>
      </c>
      <c r="BI24" s="131">
        <f t="shared" si="21"/>
        <v>1721.1299999999999</v>
      </c>
      <c r="BJ24" s="131">
        <f t="shared" si="21"/>
        <v>1620.0300000000002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25">
      <c r="A25" s="89" t="s">
        <v>242</v>
      </c>
      <c r="B25" s="102">
        <v>6.5</v>
      </c>
      <c r="C25" s="102">
        <v>6.5</v>
      </c>
      <c r="D25" s="102">
        <v>6.5</v>
      </c>
      <c r="E25" s="102">
        <v>6.5</v>
      </c>
      <c r="F25" s="102">
        <v>6.5</v>
      </c>
      <c r="G25" s="102">
        <v>6.5</v>
      </c>
      <c r="H25" s="102">
        <v>6.5</v>
      </c>
      <c r="I25" s="102">
        <v>6.5</v>
      </c>
      <c r="J25" s="102">
        <v>6.5</v>
      </c>
      <c r="K25" s="102">
        <v>6.5</v>
      </c>
      <c r="L25" s="102">
        <v>6.5</v>
      </c>
      <c r="M25" s="102">
        <v>6.5</v>
      </c>
      <c r="N25" s="102">
        <v>6.5</v>
      </c>
      <c r="O25" s="102">
        <v>6.5</v>
      </c>
      <c r="P25" s="102">
        <v>6.5</v>
      </c>
      <c r="Q25" s="102">
        <v>6.9</v>
      </c>
      <c r="R25" s="102">
        <v>6.9</v>
      </c>
      <c r="S25" s="102">
        <v>6.9</v>
      </c>
      <c r="T25" s="102">
        <v>6.9</v>
      </c>
      <c r="U25" s="102">
        <v>6.9</v>
      </c>
      <c r="V25" s="102">
        <v>6.9</v>
      </c>
      <c r="W25" s="102">
        <v>6.9</v>
      </c>
      <c r="X25" s="102">
        <v>6.9</v>
      </c>
      <c r="Y25" s="102">
        <v>6.9</v>
      </c>
      <c r="Z25" s="102">
        <v>6.9</v>
      </c>
      <c r="AA25" s="102">
        <v>6.9</v>
      </c>
      <c r="AB25" s="102">
        <v>6.9</v>
      </c>
      <c r="AC25" s="102">
        <v>6.9</v>
      </c>
      <c r="AD25" s="102">
        <v>6.9</v>
      </c>
      <c r="AE25" s="102">
        <v>6.9</v>
      </c>
      <c r="AF25" s="102">
        <v>6.9</v>
      </c>
      <c r="AG25" s="88">
        <v>30</v>
      </c>
      <c r="AH25" s="12">
        <f t="shared" si="8"/>
        <v>6.9</v>
      </c>
      <c r="AI25" s="11">
        <f t="shared" si="9"/>
        <v>6.5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25">
      <c r="A26" s="89" t="s">
        <v>241</v>
      </c>
      <c r="B26" s="102">
        <v>10.199999999999999</v>
      </c>
      <c r="C26" s="102">
        <v>10.199999999999999</v>
      </c>
      <c r="D26" s="102">
        <v>10.199999999999999</v>
      </c>
      <c r="E26" s="102">
        <v>10.199999999999999</v>
      </c>
      <c r="F26" s="102">
        <v>10.199999999999999</v>
      </c>
      <c r="G26" s="102">
        <v>10.199999999999999</v>
      </c>
      <c r="H26" s="102">
        <v>10.199999999999999</v>
      </c>
      <c r="I26" s="102">
        <v>10.199999999999999</v>
      </c>
      <c r="J26" s="102">
        <v>10.199999999999999</v>
      </c>
      <c r="K26" s="102">
        <v>10.199999999999999</v>
      </c>
      <c r="L26" s="102">
        <v>10.199999999999999</v>
      </c>
      <c r="M26" s="102">
        <v>10.199999999999999</v>
      </c>
      <c r="N26" s="102">
        <v>10.199999999999999</v>
      </c>
      <c r="O26" s="102">
        <v>10.199999999999999</v>
      </c>
      <c r="P26" s="102">
        <v>10.199999999999999</v>
      </c>
      <c r="Q26" s="102">
        <v>10.1</v>
      </c>
      <c r="R26" s="102">
        <v>10.1</v>
      </c>
      <c r="S26" s="102">
        <v>10.1</v>
      </c>
      <c r="T26" s="102">
        <v>10.1</v>
      </c>
      <c r="U26" s="102">
        <v>10.1</v>
      </c>
      <c r="V26" s="102">
        <v>10.1</v>
      </c>
      <c r="W26" s="102">
        <v>10.1</v>
      </c>
      <c r="X26" s="102">
        <v>10.1</v>
      </c>
      <c r="Y26" s="102">
        <v>10.1</v>
      </c>
      <c r="Z26" s="102">
        <v>10.1</v>
      </c>
      <c r="AA26" s="102">
        <v>10.1</v>
      </c>
      <c r="AB26" s="102">
        <v>10.1</v>
      </c>
      <c r="AC26" s="102">
        <v>10.1</v>
      </c>
      <c r="AD26" s="102">
        <v>10.1</v>
      </c>
      <c r="AE26" s="102">
        <v>10.1</v>
      </c>
      <c r="AF26" s="102">
        <v>10.1</v>
      </c>
      <c r="AG26" s="130">
        <v>25</v>
      </c>
      <c r="AH26" s="12">
        <f t="shared" si="8"/>
        <v>10.199999999999999</v>
      </c>
      <c r="AI26" s="11">
        <f t="shared" si="9"/>
        <v>10.1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25">
      <c r="A27" s="89" t="s">
        <v>240</v>
      </c>
      <c r="B27" s="102">
        <v>8.1999999999999993</v>
      </c>
      <c r="C27" s="102">
        <v>8.1999999999999993</v>
      </c>
      <c r="D27" s="102">
        <v>8.1999999999999993</v>
      </c>
      <c r="E27" s="102">
        <v>8.1999999999999993</v>
      </c>
      <c r="F27" s="102">
        <v>8.1999999999999993</v>
      </c>
      <c r="G27" s="102">
        <v>8.1999999999999993</v>
      </c>
      <c r="H27" s="102">
        <v>8.1999999999999993</v>
      </c>
      <c r="I27" s="102">
        <v>8.1999999999999993</v>
      </c>
      <c r="J27" s="102">
        <v>8.1999999999999993</v>
      </c>
      <c r="K27" s="102">
        <v>8.1999999999999993</v>
      </c>
      <c r="L27" s="102">
        <v>8.1999999999999993</v>
      </c>
      <c r="M27" s="102">
        <v>8.1999999999999993</v>
      </c>
      <c r="N27" s="102">
        <v>8.1999999999999993</v>
      </c>
      <c r="O27" s="102">
        <v>8.1999999999999993</v>
      </c>
      <c r="P27" s="102">
        <v>8.1999999999999993</v>
      </c>
      <c r="Q27" s="102">
        <v>8.1999999999999993</v>
      </c>
      <c r="R27" s="102">
        <v>8.1999999999999993</v>
      </c>
      <c r="S27" s="102">
        <v>8.1999999999999993</v>
      </c>
      <c r="T27" s="102">
        <v>8.1999999999999993</v>
      </c>
      <c r="U27" s="102">
        <v>8.1999999999999993</v>
      </c>
      <c r="V27" s="102">
        <v>8.1999999999999993</v>
      </c>
      <c r="W27" s="102">
        <v>8.1999999999999993</v>
      </c>
      <c r="X27" s="102">
        <v>8.1999999999999993</v>
      </c>
      <c r="Y27" s="102">
        <v>8.1999999999999993</v>
      </c>
      <c r="Z27" s="102">
        <v>8.1999999999999993</v>
      </c>
      <c r="AA27" s="102">
        <v>8.1999999999999993</v>
      </c>
      <c r="AB27" s="102">
        <v>8.1999999999999993</v>
      </c>
      <c r="AC27" s="102">
        <v>8.1999999999999993</v>
      </c>
      <c r="AD27" s="102">
        <v>8.1999999999999993</v>
      </c>
      <c r="AE27" s="102">
        <v>8.1999999999999993</v>
      </c>
      <c r="AF27" s="102">
        <v>8.1999999999999993</v>
      </c>
      <c r="AG27" s="130">
        <v>25</v>
      </c>
      <c r="AH27" s="12">
        <f t="shared" si="8"/>
        <v>8.1999999999999993</v>
      </c>
      <c r="AI27" s="11">
        <f t="shared" si="9"/>
        <v>8.1999999999999993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25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25">
      <c r="A29" s="89" t="s">
        <v>238</v>
      </c>
      <c r="B29" s="102">
        <v>8.6</v>
      </c>
      <c r="C29" s="102">
        <v>8.6</v>
      </c>
      <c r="D29" s="102">
        <v>8.6</v>
      </c>
      <c r="E29" s="102">
        <v>8.6</v>
      </c>
      <c r="F29" s="102">
        <v>8.6</v>
      </c>
      <c r="G29" s="102">
        <v>8.6</v>
      </c>
      <c r="H29" s="102">
        <v>8.6</v>
      </c>
      <c r="I29" s="102">
        <v>8.6</v>
      </c>
      <c r="J29" s="102">
        <v>8.6</v>
      </c>
      <c r="K29" s="102">
        <v>8.6</v>
      </c>
      <c r="L29" s="102">
        <v>8.6</v>
      </c>
      <c r="M29" s="102">
        <v>8.6</v>
      </c>
      <c r="N29" s="102">
        <v>8.6</v>
      </c>
      <c r="O29" s="102">
        <v>8.6</v>
      </c>
      <c r="P29" s="102">
        <v>8.6</v>
      </c>
      <c r="Q29" s="102">
        <v>8.6</v>
      </c>
      <c r="R29" s="102">
        <v>8.6</v>
      </c>
      <c r="S29" s="102">
        <v>8.6</v>
      </c>
      <c r="T29" s="102">
        <v>8.6</v>
      </c>
      <c r="U29" s="102">
        <v>8.6</v>
      </c>
      <c r="V29" s="102">
        <v>8.6</v>
      </c>
      <c r="W29" s="102">
        <v>8.6</v>
      </c>
      <c r="X29" s="102">
        <v>8.6</v>
      </c>
      <c r="Y29" s="102">
        <v>8.6</v>
      </c>
      <c r="Z29" s="102">
        <v>8.6</v>
      </c>
      <c r="AA29" s="102">
        <v>8.6</v>
      </c>
      <c r="AB29" s="102">
        <v>8.6</v>
      </c>
      <c r="AC29" s="102">
        <v>8.6</v>
      </c>
      <c r="AD29" s="102">
        <v>8.6</v>
      </c>
      <c r="AE29" s="102">
        <v>8.6</v>
      </c>
      <c r="AF29" s="102">
        <v>8.6</v>
      </c>
      <c r="AG29" s="130">
        <v>25</v>
      </c>
      <c r="AH29" s="12">
        <f t="shared" si="8"/>
        <v>8.6</v>
      </c>
      <c r="AI29" s="11">
        <f t="shared" si="9"/>
        <v>8.6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25">
      <c r="A30" s="89" t="s">
        <v>237</v>
      </c>
      <c r="B30" s="102">
        <v>5.3</v>
      </c>
      <c r="C30" s="102">
        <v>5.3</v>
      </c>
      <c r="D30" s="102">
        <v>5.3</v>
      </c>
      <c r="E30" s="102">
        <v>5.3</v>
      </c>
      <c r="F30" s="102">
        <v>5.3</v>
      </c>
      <c r="G30" s="102">
        <v>5.3</v>
      </c>
      <c r="H30" s="102">
        <v>5.3</v>
      </c>
      <c r="I30" s="102">
        <v>5.3</v>
      </c>
      <c r="J30" s="102">
        <v>5.3</v>
      </c>
      <c r="K30" s="102">
        <v>5.3</v>
      </c>
      <c r="L30" s="102">
        <v>5.3</v>
      </c>
      <c r="M30" s="102">
        <v>5.3</v>
      </c>
      <c r="N30" s="102">
        <v>5.3</v>
      </c>
      <c r="O30" s="102">
        <v>5.3</v>
      </c>
      <c r="P30" s="102">
        <v>5.3</v>
      </c>
      <c r="Q30" s="102">
        <v>5.3</v>
      </c>
      <c r="R30" s="102">
        <v>5.3</v>
      </c>
      <c r="S30" s="102">
        <v>5.3</v>
      </c>
      <c r="T30" s="102">
        <v>5.3</v>
      </c>
      <c r="U30" s="102">
        <v>5.3</v>
      </c>
      <c r="V30" s="102">
        <v>5.3</v>
      </c>
      <c r="W30" s="102">
        <v>5.3</v>
      </c>
      <c r="X30" s="102">
        <v>5.3</v>
      </c>
      <c r="Y30" s="102">
        <v>5.3</v>
      </c>
      <c r="Z30" s="102">
        <v>5.3</v>
      </c>
      <c r="AA30" s="102">
        <v>5.3</v>
      </c>
      <c r="AB30" s="102">
        <v>5.3</v>
      </c>
      <c r="AC30" s="102">
        <v>5.3</v>
      </c>
      <c r="AD30" s="102">
        <v>5.3</v>
      </c>
      <c r="AE30" s="102">
        <v>5.3</v>
      </c>
      <c r="AF30" s="102">
        <v>5.3</v>
      </c>
      <c r="AG30" s="130">
        <v>23.5</v>
      </c>
      <c r="AH30" s="12">
        <f t="shared" si="8"/>
        <v>5.3</v>
      </c>
      <c r="AI30" s="11">
        <f t="shared" si="9"/>
        <v>5.3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25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25">
      <c r="A32" s="89" t="s">
        <v>235</v>
      </c>
      <c r="B32" s="102">
        <v>2.7</v>
      </c>
      <c r="C32" s="102">
        <v>2.7</v>
      </c>
      <c r="D32" s="102">
        <v>2.7</v>
      </c>
      <c r="E32" s="102">
        <v>2.7</v>
      </c>
      <c r="F32" s="102">
        <v>2.7</v>
      </c>
      <c r="G32" s="102">
        <v>2.7</v>
      </c>
      <c r="H32" s="102">
        <v>2.7</v>
      </c>
      <c r="I32" s="102">
        <v>2.7</v>
      </c>
      <c r="J32" s="102">
        <v>2.7</v>
      </c>
      <c r="K32" s="102">
        <v>2.7</v>
      </c>
      <c r="L32" s="102">
        <v>2.7</v>
      </c>
      <c r="M32" s="102">
        <v>2.7</v>
      </c>
      <c r="N32" s="102">
        <v>2.7</v>
      </c>
      <c r="O32" s="102">
        <v>2.7</v>
      </c>
      <c r="P32" s="102">
        <v>2.7</v>
      </c>
      <c r="Q32" s="102">
        <v>2.7</v>
      </c>
      <c r="R32" s="102">
        <v>2.7</v>
      </c>
      <c r="S32" s="102">
        <v>2.7</v>
      </c>
      <c r="T32" s="102">
        <v>2.7</v>
      </c>
      <c r="U32" s="102">
        <v>2.7</v>
      </c>
      <c r="V32" s="102">
        <v>2.7</v>
      </c>
      <c r="W32" s="102">
        <v>2.7</v>
      </c>
      <c r="X32" s="102">
        <v>2.7</v>
      </c>
      <c r="Y32" s="102">
        <v>2.7</v>
      </c>
      <c r="Z32" s="102">
        <v>2.7</v>
      </c>
      <c r="AA32" s="102">
        <v>2.7</v>
      </c>
      <c r="AB32" s="102">
        <v>2.7</v>
      </c>
      <c r="AC32" s="102">
        <v>2.7</v>
      </c>
      <c r="AD32" s="102">
        <v>2.7</v>
      </c>
      <c r="AE32" s="102">
        <v>2.7</v>
      </c>
      <c r="AF32" s="102">
        <v>2.7</v>
      </c>
      <c r="AG32" s="130">
        <v>22.1</v>
      </c>
      <c r="AH32" s="12">
        <f t="shared" si="8"/>
        <v>2.7</v>
      </c>
      <c r="AI32" s="11">
        <f t="shared" si="9"/>
        <v>2.7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25">
      <c r="A33" s="89" t="s">
        <v>234</v>
      </c>
      <c r="B33" s="102">
        <v>3.7</v>
      </c>
      <c r="C33" s="102">
        <v>3.7</v>
      </c>
      <c r="D33" s="102">
        <v>3.7</v>
      </c>
      <c r="E33" s="102">
        <v>3.7</v>
      </c>
      <c r="F33" s="102">
        <v>3.7</v>
      </c>
      <c r="G33" s="102">
        <v>3.7</v>
      </c>
      <c r="H33" s="102">
        <v>3.7</v>
      </c>
      <c r="I33" s="102">
        <v>3.7</v>
      </c>
      <c r="J33" s="102">
        <v>3.7</v>
      </c>
      <c r="K33" s="102">
        <v>3.7</v>
      </c>
      <c r="L33" s="102">
        <v>3.7</v>
      </c>
      <c r="M33" s="102">
        <v>3.7</v>
      </c>
      <c r="N33" s="102">
        <v>3.7</v>
      </c>
      <c r="O33" s="102">
        <v>3.7</v>
      </c>
      <c r="P33" s="102">
        <v>3.7</v>
      </c>
      <c r="Q33" s="102">
        <v>3.7</v>
      </c>
      <c r="R33" s="102">
        <v>3.7</v>
      </c>
      <c r="S33" s="102">
        <v>3.7</v>
      </c>
      <c r="T33" s="102">
        <v>3.7</v>
      </c>
      <c r="U33" s="102">
        <v>3.7</v>
      </c>
      <c r="V33" s="102">
        <v>3.7</v>
      </c>
      <c r="W33" s="102">
        <v>3.7</v>
      </c>
      <c r="X33" s="102">
        <v>3.7</v>
      </c>
      <c r="Y33" s="102">
        <v>3.7</v>
      </c>
      <c r="Z33" s="102">
        <v>3.7</v>
      </c>
      <c r="AA33" s="102">
        <v>3.7</v>
      </c>
      <c r="AB33" s="102">
        <v>3.7</v>
      </c>
      <c r="AC33" s="102">
        <v>3.7</v>
      </c>
      <c r="AD33" s="102">
        <v>3.7</v>
      </c>
      <c r="AE33" s="102">
        <v>3.7</v>
      </c>
      <c r="AF33" s="102">
        <v>3.7</v>
      </c>
      <c r="AG33" s="130">
        <v>22</v>
      </c>
      <c r="AH33" s="12">
        <f t="shared" si="8"/>
        <v>3.7</v>
      </c>
      <c r="AI33" s="11">
        <f t="shared" si="9"/>
        <v>3.7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25">
      <c r="A34" s="89" t="s">
        <v>233</v>
      </c>
      <c r="B34" s="102">
        <v>4.4000000000000004</v>
      </c>
      <c r="C34" s="102">
        <v>4.4000000000000004</v>
      </c>
      <c r="D34" s="102">
        <v>4.4000000000000004</v>
      </c>
      <c r="E34" s="102">
        <v>4.4000000000000004</v>
      </c>
      <c r="F34" s="102">
        <v>4.4000000000000004</v>
      </c>
      <c r="G34" s="102">
        <v>4.4000000000000004</v>
      </c>
      <c r="H34" s="102">
        <v>4.4000000000000004</v>
      </c>
      <c r="I34" s="102">
        <v>4.4000000000000004</v>
      </c>
      <c r="J34" s="102">
        <v>4.4000000000000004</v>
      </c>
      <c r="K34" s="102">
        <v>4.4000000000000004</v>
      </c>
      <c r="L34" s="102">
        <v>4.4000000000000004</v>
      </c>
      <c r="M34" s="102">
        <v>4.4000000000000004</v>
      </c>
      <c r="N34" s="102">
        <v>4.4000000000000004</v>
      </c>
      <c r="O34" s="102">
        <v>4.4000000000000004</v>
      </c>
      <c r="P34" s="102">
        <v>4.4000000000000004</v>
      </c>
      <c r="Q34" s="102">
        <v>4.4000000000000004</v>
      </c>
      <c r="R34" s="102">
        <v>4.4000000000000004</v>
      </c>
      <c r="S34" s="102">
        <v>4.4000000000000004</v>
      </c>
      <c r="T34" s="102">
        <v>4.4000000000000004</v>
      </c>
      <c r="U34" s="102">
        <v>4.4000000000000004</v>
      </c>
      <c r="V34" s="102">
        <v>4.4000000000000004</v>
      </c>
      <c r="W34" s="102">
        <v>4.4000000000000004</v>
      </c>
      <c r="X34" s="102">
        <v>4.4000000000000004</v>
      </c>
      <c r="Y34" s="102">
        <v>4.4000000000000004</v>
      </c>
      <c r="Z34" s="102">
        <v>4.4000000000000004</v>
      </c>
      <c r="AA34" s="102">
        <v>4.4000000000000004</v>
      </c>
      <c r="AB34" s="102">
        <v>4.4000000000000004</v>
      </c>
      <c r="AC34" s="102">
        <v>4.4000000000000004</v>
      </c>
      <c r="AD34" s="102">
        <v>4.4000000000000004</v>
      </c>
      <c r="AE34" s="102">
        <v>4.4000000000000004</v>
      </c>
      <c r="AF34" s="102">
        <v>4.4000000000000004</v>
      </c>
      <c r="AG34" s="130">
        <v>22</v>
      </c>
      <c r="AH34" s="12">
        <f t="shared" si="8"/>
        <v>4.4000000000000004</v>
      </c>
      <c r="AI34" s="11">
        <f t="shared" si="9"/>
        <v>4.4000000000000004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25">
      <c r="A35" s="89" t="s">
        <v>232</v>
      </c>
      <c r="B35" s="102">
        <v>9.1</v>
      </c>
      <c r="C35" s="102">
        <v>9.1</v>
      </c>
      <c r="D35" s="102">
        <v>9.1</v>
      </c>
      <c r="E35" s="102">
        <v>9.1</v>
      </c>
      <c r="F35" s="102">
        <v>9.1</v>
      </c>
      <c r="G35" s="102">
        <v>9.1</v>
      </c>
      <c r="H35" s="102">
        <v>9.1</v>
      </c>
      <c r="I35" s="102">
        <v>9.1</v>
      </c>
      <c r="J35" s="102">
        <v>9.1</v>
      </c>
      <c r="K35" s="102">
        <v>9.1</v>
      </c>
      <c r="L35" s="102">
        <v>9.1</v>
      </c>
      <c r="M35" s="102">
        <v>9.1</v>
      </c>
      <c r="N35" s="102">
        <v>9.1</v>
      </c>
      <c r="O35" s="102">
        <v>9.1</v>
      </c>
      <c r="P35" s="102">
        <v>9.1</v>
      </c>
      <c r="Q35" s="102">
        <v>9.1</v>
      </c>
      <c r="R35" s="102">
        <v>9.1</v>
      </c>
      <c r="S35" s="102">
        <v>9.1</v>
      </c>
      <c r="T35" s="102">
        <v>9.1</v>
      </c>
      <c r="U35" s="102">
        <v>9.1</v>
      </c>
      <c r="V35" s="102">
        <v>9.1</v>
      </c>
      <c r="W35" s="102">
        <v>9.1</v>
      </c>
      <c r="X35" s="102">
        <v>9.1</v>
      </c>
      <c r="Y35" s="102">
        <v>9.1</v>
      </c>
      <c r="Z35" s="102">
        <v>9.1</v>
      </c>
      <c r="AA35" s="102">
        <v>9.1</v>
      </c>
      <c r="AB35" s="102">
        <v>9.1</v>
      </c>
      <c r="AC35" s="102">
        <v>9.1</v>
      </c>
      <c r="AD35" s="102">
        <v>9.1</v>
      </c>
      <c r="AE35" s="102">
        <v>9.1</v>
      </c>
      <c r="AF35" s="102">
        <v>9.1</v>
      </c>
      <c r="AG35" s="130">
        <v>20</v>
      </c>
      <c r="AH35" s="12">
        <f t="shared" si="8"/>
        <v>9.1</v>
      </c>
      <c r="AI35" s="11">
        <f t="shared" si="9"/>
        <v>9.1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25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25">
      <c r="A37" s="89" t="s">
        <v>230</v>
      </c>
      <c r="B37" s="102">
        <v>5.8</v>
      </c>
      <c r="C37" s="102">
        <v>5.8</v>
      </c>
      <c r="D37" s="102">
        <v>5.8</v>
      </c>
      <c r="E37" s="102">
        <v>5.8</v>
      </c>
      <c r="F37" s="102">
        <v>5.8</v>
      </c>
      <c r="G37" s="102">
        <v>5.8</v>
      </c>
      <c r="H37" s="102">
        <v>5.8</v>
      </c>
      <c r="I37" s="102">
        <v>5.8</v>
      </c>
      <c r="J37" s="102">
        <v>5.8</v>
      </c>
      <c r="K37" s="102">
        <v>5.8</v>
      </c>
      <c r="L37" s="102">
        <v>5.8</v>
      </c>
      <c r="M37" s="102">
        <v>5.8</v>
      </c>
      <c r="N37" s="102">
        <v>5.8</v>
      </c>
      <c r="O37" s="102">
        <v>5.8</v>
      </c>
      <c r="P37" s="102">
        <v>5.8</v>
      </c>
      <c r="Q37" s="102">
        <v>5.8</v>
      </c>
      <c r="R37" s="102">
        <v>5.8</v>
      </c>
      <c r="S37" s="102">
        <v>5.8</v>
      </c>
      <c r="T37" s="102">
        <v>5.8</v>
      </c>
      <c r="U37" s="102">
        <v>5.8</v>
      </c>
      <c r="V37" s="102">
        <v>5.8</v>
      </c>
      <c r="W37" s="102">
        <v>5.8</v>
      </c>
      <c r="X37" s="102">
        <v>5.8</v>
      </c>
      <c r="Y37" s="102">
        <v>5.8</v>
      </c>
      <c r="Z37" s="102">
        <v>5.8</v>
      </c>
      <c r="AA37" s="102">
        <v>5.8</v>
      </c>
      <c r="AB37" s="102">
        <v>5.8</v>
      </c>
      <c r="AC37" s="102">
        <v>5.8</v>
      </c>
      <c r="AD37" s="102">
        <v>5.8</v>
      </c>
      <c r="AE37" s="102">
        <v>5.8</v>
      </c>
      <c r="AF37" s="102">
        <v>5.8</v>
      </c>
      <c r="AG37" s="130">
        <v>18</v>
      </c>
      <c r="AH37" s="12">
        <f t="shared" si="8"/>
        <v>5.8</v>
      </c>
      <c r="AI37" s="11">
        <f t="shared" si="9"/>
        <v>5.8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25">
      <c r="A38" s="89" t="s">
        <v>229</v>
      </c>
      <c r="B38" s="102">
        <v>5.05</v>
      </c>
      <c r="C38" s="102">
        <v>5.05</v>
      </c>
      <c r="D38" s="102">
        <v>5.05</v>
      </c>
      <c r="E38" s="102">
        <v>5.05</v>
      </c>
      <c r="F38" s="102">
        <v>5.05</v>
      </c>
      <c r="G38" s="102">
        <v>5.05</v>
      </c>
      <c r="H38" s="102">
        <v>5.05</v>
      </c>
      <c r="I38" s="102">
        <v>5.05</v>
      </c>
      <c r="J38" s="102">
        <v>5.05</v>
      </c>
      <c r="K38" s="102">
        <v>5.05</v>
      </c>
      <c r="L38" s="102">
        <v>5.05</v>
      </c>
      <c r="M38" s="102">
        <v>5.05</v>
      </c>
      <c r="N38" s="102">
        <v>5.05</v>
      </c>
      <c r="O38" s="102">
        <v>5.05</v>
      </c>
      <c r="P38" s="102">
        <v>5.05</v>
      </c>
      <c r="Q38" s="102">
        <v>5.05</v>
      </c>
      <c r="R38" s="102">
        <v>5.05</v>
      </c>
      <c r="S38" s="102">
        <v>5.05</v>
      </c>
      <c r="T38" s="102">
        <v>5.05</v>
      </c>
      <c r="U38" s="102">
        <v>5.05</v>
      </c>
      <c r="V38" s="102">
        <v>5.05</v>
      </c>
      <c r="W38" s="102">
        <v>5.05</v>
      </c>
      <c r="X38" s="102">
        <v>5.05</v>
      </c>
      <c r="Y38" s="102">
        <v>5.05</v>
      </c>
      <c r="Z38" s="102">
        <v>5.05</v>
      </c>
      <c r="AA38" s="102">
        <v>5.05</v>
      </c>
      <c r="AB38" s="102">
        <v>5.05</v>
      </c>
      <c r="AC38" s="102">
        <v>5.05</v>
      </c>
      <c r="AD38" s="102">
        <v>5.05</v>
      </c>
      <c r="AE38" s="102">
        <v>5.05</v>
      </c>
      <c r="AF38" s="102">
        <v>5.05</v>
      </c>
      <c r="AG38" s="130">
        <v>14.9</v>
      </c>
      <c r="AH38" s="12">
        <f t="shared" si="8"/>
        <v>5.05</v>
      </c>
      <c r="AI38" s="11">
        <f t="shared" si="9"/>
        <v>5.05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25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25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25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25">
      <c r="A42" s="89" t="s">
        <v>225</v>
      </c>
      <c r="B42" s="102">
        <v>5.2</v>
      </c>
      <c r="C42" s="102">
        <v>5.2</v>
      </c>
      <c r="D42" s="102">
        <v>5.2</v>
      </c>
      <c r="E42" s="102">
        <v>5.2</v>
      </c>
      <c r="F42" s="102">
        <v>5.2</v>
      </c>
      <c r="G42" s="102">
        <v>5.2</v>
      </c>
      <c r="H42" s="102">
        <v>5.2</v>
      </c>
      <c r="I42" s="102">
        <v>5.2</v>
      </c>
      <c r="J42" s="102">
        <v>5.2</v>
      </c>
      <c r="K42" s="102">
        <v>5.2</v>
      </c>
      <c r="L42" s="102">
        <v>5.2</v>
      </c>
      <c r="M42" s="102">
        <v>5.2</v>
      </c>
      <c r="N42" s="102">
        <v>5.2</v>
      </c>
      <c r="O42" s="102">
        <v>5.2</v>
      </c>
      <c r="P42" s="102">
        <v>5.2</v>
      </c>
      <c r="Q42" s="102">
        <v>5.2</v>
      </c>
      <c r="R42" s="102">
        <v>5.2</v>
      </c>
      <c r="S42" s="102">
        <v>5.2</v>
      </c>
      <c r="T42" s="102">
        <v>5.2</v>
      </c>
      <c r="U42" s="102">
        <v>5.2</v>
      </c>
      <c r="V42" s="102">
        <v>5.2</v>
      </c>
      <c r="W42" s="102">
        <v>5.2</v>
      </c>
      <c r="X42" s="102">
        <v>5.2</v>
      </c>
      <c r="Y42" s="102">
        <v>5.2</v>
      </c>
      <c r="Z42" s="102">
        <v>5.2</v>
      </c>
      <c r="AA42" s="102">
        <v>5.2</v>
      </c>
      <c r="AB42" s="102">
        <v>5.2</v>
      </c>
      <c r="AC42" s="102">
        <v>5.2</v>
      </c>
      <c r="AD42" s="102">
        <v>5.2</v>
      </c>
      <c r="AE42" s="102">
        <v>5.2</v>
      </c>
      <c r="AF42" s="102">
        <v>5.2</v>
      </c>
      <c r="AG42" s="130">
        <v>13.6</v>
      </c>
      <c r="AH42" s="12">
        <f t="shared" si="8"/>
        <v>5.2</v>
      </c>
      <c r="AI42" s="11">
        <f t="shared" si="9"/>
        <v>5.2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25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25">
      <c r="A44" s="89" t="s">
        <v>223</v>
      </c>
      <c r="B44" s="102">
        <v>3.3</v>
      </c>
      <c r="C44" s="102">
        <v>3.3</v>
      </c>
      <c r="D44" s="102">
        <v>3.3</v>
      </c>
      <c r="E44" s="102">
        <v>3.3</v>
      </c>
      <c r="F44" s="102">
        <v>3.3</v>
      </c>
      <c r="G44" s="102">
        <v>3.3</v>
      </c>
      <c r="H44" s="102">
        <v>3.3</v>
      </c>
      <c r="I44" s="102">
        <v>3.3</v>
      </c>
      <c r="J44" s="102">
        <v>3.3</v>
      </c>
      <c r="K44" s="102">
        <v>3.3</v>
      </c>
      <c r="L44" s="102">
        <v>3.3</v>
      </c>
      <c r="M44" s="102">
        <v>3.3</v>
      </c>
      <c r="N44" s="102">
        <v>3.3</v>
      </c>
      <c r="O44" s="102">
        <v>3.3</v>
      </c>
      <c r="P44" s="102">
        <v>3.3</v>
      </c>
      <c r="Q44" s="102">
        <v>3.3</v>
      </c>
      <c r="R44" s="102">
        <v>3.3</v>
      </c>
      <c r="S44" s="102">
        <v>3.3</v>
      </c>
      <c r="T44" s="102">
        <v>3.3</v>
      </c>
      <c r="U44" s="102">
        <v>3.3</v>
      </c>
      <c r="V44" s="102">
        <v>3.3</v>
      </c>
      <c r="W44" s="102">
        <v>3.3</v>
      </c>
      <c r="X44" s="102">
        <v>3.3</v>
      </c>
      <c r="Y44" s="102">
        <v>3.3</v>
      </c>
      <c r="Z44" s="102">
        <v>3.3</v>
      </c>
      <c r="AA44" s="102">
        <v>3.3</v>
      </c>
      <c r="AB44" s="102">
        <v>3.3</v>
      </c>
      <c r="AC44" s="102">
        <v>3.3</v>
      </c>
      <c r="AD44" s="102">
        <v>3.3</v>
      </c>
      <c r="AE44" s="102">
        <v>3.3</v>
      </c>
      <c r="AF44" s="102">
        <v>3.3</v>
      </c>
      <c r="AG44" s="130">
        <v>12</v>
      </c>
      <c r="AH44" s="12">
        <f t="shared" si="8"/>
        <v>3.3</v>
      </c>
      <c r="AI44" s="11">
        <f t="shared" si="9"/>
        <v>3.3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25">
      <c r="A45" s="89" t="s">
        <v>222</v>
      </c>
      <c r="B45" s="102">
        <v>3.5</v>
      </c>
      <c r="C45" s="102">
        <v>3.5</v>
      </c>
      <c r="D45" s="102">
        <v>3.5</v>
      </c>
      <c r="E45" s="102">
        <v>3.5</v>
      </c>
      <c r="F45" s="102">
        <v>3.5</v>
      </c>
      <c r="G45" s="102">
        <v>3.5</v>
      </c>
      <c r="H45" s="102">
        <v>3.5</v>
      </c>
      <c r="I45" s="102">
        <v>3.5</v>
      </c>
      <c r="J45" s="102">
        <v>3.5</v>
      </c>
      <c r="K45" s="102">
        <v>3.5</v>
      </c>
      <c r="L45" s="102">
        <v>3.5</v>
      </c>
      <c r="M45" s="102">
        <v>3.5</v>
      </c>
      <c r="N45" s="102">
        <v>3.5</v>
      </c>
      <c r="O45" s="102">
        <v>3.5</v>
      </c>
      <c r="P45" s="102">
        <v>3.5</v>
      </c>
      <c r="Q45" s="102">
        <v>3.5</v>
      </c>
      <c r="R45" s="102">
        <v>3.5</v>
      </c>
      <c r="S45" s="102">
        <v>3.5</v>
      </c>
      <c r="T45" s="102">
        <v>3.5</v>
      </c>
      <c r="U45" s="102">
        <v>3.5</v>
      </c>
      <c r="V45" s="102">
        <v>3.5</v>
      </c>
      <c r="W45" s="102">
        <v>3.5</v>
      </c>
      <c r="X45" s="102">
        <v>3.5</v>
      </c>
      <c r="Y45" s="102">
        <v>3.5</v>
      </c>
      <c r="Z45" s="102">
        <v>3.5</v>
      </c>
      <c r="AA45" s="102">
        <v>3.5</v>
      </c>
      <c r="AB45" s="102">
        <v>3.5</v>
      </c>
      <c r="AC45" s="102">
        <v>3.5</v>
      </c>
      <c r="AD45" s="102">
        <v>3.5</v>
      </c>
      <c r="AE45" s="102">
        <v>3.5</v>
      </c>
      <c r="AF45" s="102">
        <v>3.5</v>
      </c>
      <c r="AG45" s="130">
        <v>12</v>
      </c>
      <c r="AH45" s="12">
        <f t="shared" si="8"/>
        <v>3.5</v>
      </c>
      <c r="AI45" s="11">
        <f t="shared" si="9"/>
        <v>3.5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25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25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25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25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25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25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25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25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25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25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25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.75" thickBot="1" x14ac:dyDescent="0.3">
      <c r="A57" s="124" t="s">
        <v>210</v>
      </c>
      <c r="B57" s="122">
        <v>23</v>
      </c>
      <c r="C57" s="122">
        <v>23</v>
      </c>
      <c r="D57" s="122">
        <v>23</v>
      </c>
      <c r="E57" s="122">
        <v>30</v>
      </c>
      <c r="F57" s="122">
        <v>31.8</v>
      </c>
      <c r="G57" s="122">
        <v>30</v>
      </c>
      <c r="H57" s="122">
        <v>30</v>
      </c>
      <c r="I57" s="122">
        <v>26</v>
      </c>
      <c r="J57" s="122">
        <v>26</v>
      </c>
      <c r="K57" s="122">
        <v>26</v>
      </c>
      <c r="L57" s="122">
        <v>26</v>
      </c>
      <c r="M57" s="122">
        <v>26</v>
      </c>
      <c r="N57" s="122">
        <v>26</v>
      </c>
      <c r="O57" s="122">
        <v>26</v>
      </c>
      <c r="P57" s="122">
        <v>26</v>
      </c>
      <c r="Q57" s="122">
        <v>26</v>
      </c>
      <c r="R57" s="122">
        <v>26</v>
      </c>
      <c r="S57" s="123">
        <f>11.5+16.1</f>
        <v>27.6</v>
      </c>
      <c r="T57" s="123">
        <f>10.1+15.2</f>
        <v>25.299999999999997</v>
      </c>
      <c r="U57" s="123">
        <f>8.3+13.7</f>
        <v>22</v>
      </c>
      <c r="V57" s="123">
        <v>24.6</v>
      </c>
      <c r="W57" s="123">
        <v>23.5</v>
      </c>
      <c r="X57" s="123">
        <v>29.4</v>
      </c>
      <c r="Y57" s="123">
        <v>20.100000000000001</v>
      </c>
      <c r="Z57" s="122">
        <v>20.100000000000001</v>
      </c>
      <c r="AA57" s="122">
        <v>15</v>
      </c>
      <c r="AB57" s="122">
        <v>23.3</v>
      </c>
      <c r="AC57" s="122">
        <v>23.3</v>
      </c>
      <c r="AD57" s="122">
        <v>23.3</v>
      </c>
      <c r="AE57" s="122">
        <v>23.3</v>
      </c>
      <c r="AF57" s="122">
        <v>23.3</v>
      </c>
      <c r="AG57" s="86">
        <v>240</v>
      </c>
      <c r="AH57" s="12">
        <f t="shared" si="8"/>
        <v>31.8</v>
      </c>
      <c r="AI57" s="11">
        <f t="shared" si="9"/>
        <v>15</v>
      </c>
      <c r="AK57" s="19"/>
    </row>
    <row r="58" spans="1:88" ht="15.75" thickBot="1" x14ac:dyDescent="0.3">
      <c r="A58" s="121" t="s">
        <v>209</v>
      </c>
      <c r="B58" s="76">
        <f t="shared" ref="B58:C58" si="22">SUM(B11:B56)</f>
        <v>461.74999999999994</v>
      </c>
      <c r="C58" s="76">
        <f t="shared" si="22"/>
        <v>461.74999999999994</v>
      </c>
      <c r="D58" s="76">
        <f t="shared" ref="D58" si="23">SUM(D11:D56)</f>
        <v>461.74999999999994</v>
      </c>
      <c r="E58" s="76">
        <f t="shared" ref="E58:AF58" si="24">SUM(E11:E56)</f>
        <v>461.74999999999994</v>
      </c>
      <c r="F58" s="76">
        <f t="shared" si="24"/>
        <v>461.74999999999994</v>
      </c>
      <c r="G58" s="76">
        <f t="shared" si="24"/>
        <v>461.74999999999994</v>
      </c>
      <c r="H58" s="76">
        <f t="shared" si="24"/>
        <v>461.74999999999994</v>
      </c>
      <c r="I58" s="76">
        <f t="shared" si="24"/>
        <v>461.74999999999994</v>
      </c>
      <c r="J58" s="76">
        <f t="shared" si="24"/>
        <v>461.74999999999994</v>
      </c>
      <c r="K58" s="76">
        <f t="shared" si="24"/>
        <v>461.74999999999994</v>
      </c>
      <c r="L58" s="76">
        <f t="shared" si="24"/>
        <v>461.74999999999994</v>
      </c>
      <c r="M58" s="76">
        <f t="shared" si="24"/>
        <v>461.74999999999994</v>
      </c>
      <c r="N58" s="76">
        <f t="shared" si="24"/>
        <v>461.74999999999994</v>
      </c>
      <c r="O58" s="76">
        <f t="shared" ref="O58:P58" si="25">SUM(O11:O56)</f>
        <v>461.74999999999994</v>
      </c>
      <c r="P58" s="76">
        <f t="shared" si="25"/>
        <v>461.74999999999994</v>
      </c>
      <c r="Q58" s="76">
        <f t="shared" si="24"/>
        <v>483.34999999999997</v>
      </c>
      <c r="R58" s="76">
        <f t="shared" si="24"/>
        <v>483.34999999999997</v>
      </c>
      <c r="S58" s="76">
        <f t="shared" si="24"/>
        <v>483.34999999999997</v>
      </c>
      <c r="T58" s="76">
        <f t="shared" si="24"/>
        <v>483.34999999999997</v>
      </c>
      <c r="U58" s="76">
        <f t="shared" si="24"/>
        <v>483.34999999999997</v>
      </c>
      <c r="V58" s="76">
        <f t="shared" ref="V58:W58" si="26">SUM(V11:V56)</f>
        <v>483.34999999999997</v>
      </c>
      <c r="W58" s="76">
        <f t="shared" si="26"/>
        <v>483.34999999999997</v>
      </c>
      <c r="X58" s="76">
        <f t="shared" ref="X58:Z58" si="27">SUM(X11:X56)</f>
        <v>483.34999999999997</v>
      </c>
      <c r="Y58" s="76">
        <f t="shared" si="27"/>
        <v>483.34999999999997</v>
      </c>
      <c r="Z58" s="76">
        <f t="shared" si="27"/>
        <v>483.34999999999997</v>
      </c>
      <c r="AA58" s="76">
        <f t="shared" ref="AA58" si="28">SUM(AA11:AA56)</f>
        <v>483.34999999999997</v>
      </c>
      <c r="AB58" s="76">
        <f t="shared" si="24"/>
        <v>483.34999999999997</v>
      </c>
      <c r="AC58" s="76">
        <f t="shared" si="24"/>
        <v>483.34999999999997</v>
      </c>
      <c r="AD58" s="76">
        <f t="shared" si="24"/>
        <v>483.34999999999997</v>
      </c>
      <c r="AE58" s="76">
        <f t="shared" si="24"/>
        <v>486.05</v>
      </c>
      <c r="AF58" s="76">
        <f t="shared" si="24"/>
        <v>486.05</v>
      </c>
      <c r="AG58" s="93">
        <f>SUM(AG14:AG56)</f>
        <v>1042.4000000000001</v>
      </c>
      <c r="AH58" s="12">
        <f t="shared" si="8"/>
        <v>486.05</v>
      </c>
      <c r="AI58" s="11">
        <f t="shared" si="9"/>
        <v>461.74999999999994</v>
      </c>
      <c r="AK58" s="19"/>
    </row>
    <row r="59" spans="1:88" x14ac:dyDescent="0.25">
      <c r="A59" s="120" t="s">
        <v>208</v>
      </c>
      <c r="B59" s="102">
        <v>170</v>
      </c>
      <c r="C59" s="102">
        <v>100</v>
      </c>
      <c r="D59" s="102">
        <v>100</v>
      </c>
      <c r="E59" s="102">
        <v>100</v>
      </c>
      <c r="F59" s="102">
        <v>100</v>
      </c>
      <c r="G59" s="102">
        <v>100</v>
      </c>
      <c r="H59" s="102">
        <v>100</v>
      </c>
      <c r="I59" s="102">
        <v>100</v>
      </c>
      <c r="J59" s="102">
        <v>100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19">
        <v>0</v>
      </c>
      <c r="X59" s="119">
        <v>15.6</v>
      </c>
      <c r="Y59" s="119">
        <v>304.89999999999998</v>
      </c>
      <c r="Z59" s="102">
        <v>300</v>
      </c>
      <c r="AA59" s="102">
        <v>350</v>
      </c>
      <c r="AB59" s="102">
        <v>280</v>
      </c>
      <c r="AC59" s="102">
        <v>280</v>
      </c>
      <c r="AD59" s="102">
        <v>241</v>
      </c>
      <c r="AE59" s="102">
        <v>241</v>
      </c>
      <c r="AF59" s="102">
        <v>200</v>
      </c>
      <c r="AG59" s="88">
        <v>456</v>
      </c>
      <c r="AH59" s="12">
        <f t="shared" si="8"/>
        <v>350</v>
      </c>
      <c r="AI59" s="11">
        <f t="shared" si="9"/>
        <v>0</v>
      </c>
      <c r="AK59" s="19"/>
    </row>
    <row r="60" spans="1:88" x14ac:dyDescent="0.25">
      <c r="A60" s="118" t="s">
        <v>207</v>
      </c>
      <c r="B60" s="70">
        <v>19.8</v>
      </c>
      <c r="C60" s="70">
        <v>19.8</v>
      </c>
      <c r="D60" s="70">
        <v>19.8</v>
      </c>
      <c r="E60" s="70">
        <v>19.8</v>
      </c>
      <c r="F60" s="70">
        <v>19.8</v>
      </c>
      <c r="G60" s="70">
        <v>19.8</v>
      </c>
      <c r="H60" s="70">
        <v>19.8</v>
      </c>
      <c r="I60" s="70">
        <v>19.8</v>
      </c>
      <c r="J60" s="70">
        <v>19.8</v>
      </c>
      <c r="K60" s="70">
        <v>19.8</v>
      </c>
      <c r="L60" s="70">
        <v>19.8</v>
      </c>
      <c r="M60" s="70">
        <v>19.8</v>
      </c>
      <c r="N60" s="70">
        <v>19.8</v>
      </c>
      <c r="O60" s="70">
        <v>19.8</v>
      </c>
      <c r="P60" s="70">
        <v>19.8</v>
      </c>
      <c r="Q60" s="70">
        <v>20.2</v>
      </c>
      <c r="R60" s="70">
        <v>20.2</v>
      </c>
      <c r="S60" s="70">
        <v>19.600000000000001</v>
      </c>
      <c r="T60" s="70">
        <v>19.5</v>
      </c>
      <c r="U60" s="70">
        <v>19.5</v>
      </c>
      <c r="V60" s="70">
        <v>19.5</v>
      </c>
      <c r="W60" s="70">
        <v>19.5</v>
      </c>
      <c r="X60" s="70">
        <v>19.5</v>
      </c>
      <c r="Y60" s="70">
        <v>19.5</v>
      </c>
      <c r="Z60" s="70">
        <v>19.5</v>
      </c>
      <c r="AA60" s="70">
        <v>19.5</v>
      </c>
      <c r="AB60" s="70">
        <v>19.5</v>
      </c>
      <c r="AC60" s="70">
        <v>19.5</v>
      </c>
      <c r="AD60" s="70">
        <v>19.5</v>
      </c>
      <c r="AE60" s="70">
        <v>19.5</v>
      </c>
      <c r="AF60" s="70">
        <v>18.899999999999999</v>
      </c>
      <c r="AG60" s="86">
        <v>60</v>
      </c>
      <c r="AH60" s="12">
        <f t="shared" si="8"/>
        <v>20.2</v>
      </c>
      <c r="AI60" s="11">
        <f t="shared" si="9"/>
        <v>18.899999999999999</v>
      </c>
      <c r="AK60" s="19"/>
    </row>
    <row r="61" spans="1:88" ht="15.75" thickBot="1" x14ac:dyDescent="0.3">
      <c r="A61" s="117" t="s">
        <v>206</v>
      </c>
      <c r="B61" s="110">
        <v>19.8</v>
      </c>
      <c r="C61" s="110">
        <v>19.8</v>
      </c>
      <c r="D61" s="110">
        <v>19.8</v>
      </c>
      <c r="E61" s="110">
        <v>19.8</v>
      </c>
      <c r="F61" s="110">
        <v>19.8</v>
      </c>
      <c r="G61" s="110">
        <v>19.8</v>
      </c>
      <c r="H61" s="110">
        <v>19.8</v>
      </c>
      <c r="I61" s="110">
        <v>19.8</v>
      </c>
      <c r="J61" s="110">
        <v>19.8</v>
      </c>
      <c r="K61" s="110">
        <v>19.8</v>
      </c>
      <c r="L61" s="110">
        <v>19.8</v>
      </c>
      <c r="M61" s="110">
        <v>19.8</v>
      </c>
      <c r="N61" s="110">
        <v>19.8</v>
      </c>
      <c r="O61" s="110">
        <v>19.8</v>
      </c>
      <c r="P61" s="110">
        <v>19.8</v>
      </c>
      <c r="Q61" s="110">
        <v>13.5</v>
      </c>
      <c r="R61" s="110">
        <v>13.5</v>
      </c>
      <c r="S61" s="110">
        <v>18</v>
      </c>
      <c r="T61" s="110">
        <v>18</v>
      </c>
      <c r="U61" s="110">
        <v>18</v>
      </c>
      <c r="V61" s="110">
        <v>18</v>
      </c>
      <c r="W61" s="110">
        <v>18</v>
      </c>
      <c r="X61" s="110">
        <v>18</v>
      </c>
      <c r="Y61" s="110">
        <v>18</v>
      </c>
      <c r="Z61" s="110">
        <v>18</v>
      </c>
      <c r="AA61" s="110">
        <v>18</v>
      </c>
      <c r="AB61" s="110">
        <v>22</v>
      </c>
      <c r="AC61" s="110">
        <v>22</v>
      </c>
      <c r="AD61" s="110">
        <v>22</v>
      </c>
      <c r="AE61" s="110">
        <v>22</v>
      </c>
      <c r="AF61" s="110">
        <v>22</v>
      </c>
      <c r="AG61" s="109">
        <v>22.1</v>
      </c>
      <c r="AH61" s="12">
        <f t="shared" si="8"/>
        <v>22</v>
      </c>
      <c r="AI61" s="11">
        <f t="shared" si="9"/>
        <v>13.5</v>
      </c>
      <c r="AK61" s="19"/>
    </row>
    <row r="62" spans="1:88" ht="15.75" thickBot="1" x14ac:dyDescent="0.3">
      <c r="A62" s="116" t="s">
        <v>205</v>
      </c>
      <c r="B62" s="76">
        <f t="shared" ref="B62:C62" si="29">SUM(B59:B61)</f>
        <v>209.60000000000002</v>
      </c>
      <c r="C62" s="76">
        <f t="shared" si="29"/>
        <v>139.6</v>
      </c>
      <c r="D62" s="76">
        <f t="shared" ref="D62" si="30">SUM(D59:D61)</f>
        <v>139.6</v>
      </c>
      <c r="E62" s="76">
        <f t="shared" ref="E62:AG62" si="31">SUM(E59:E61)</f>
        <v>139.6</v>
      </c>
      <c r="F62" s="76">
        <f t="shared" si="31"/>
        <v>139.6</v>
      </c>
      <c r="G62" s="76">
        <f t="shared" si="31"/>
        <v>139.6</v>
      </c>
      <c r="H62" s="76">
        <f t="shared" si="31"/>
        <v>139.6</v>
      </c>
      <c r="I62" s="76">
        <f t="shared" si="31"/>
        <v>139.6</v>
      </c>
      <c r="J62" s="76">
        <f t="shared" si="31"/>
        <v>139.6</v>
      </c>
      <c r="K62" s="76">
        <f t="shared" si="31"/>
        <v>39.6</v>
      </c>
      <c r="L62" s="76">
        <f t="shared" si="31"/>
        <v>39.6</v>
      </c>
      <c r="M62" s="76">
        <f t="shared" si="31"/>
        <v>39.6</v>
      </c>
      <c r="N62" s="76">
        <f t="shared" si="31"/>
        <v>39.6</v>
      </c>
      <c r="O62" s="76">
        <f t="shared" ref="O62:P62" si="32">SUM(O59:O61)</f>
        <v>39.6</v>
      </c>
      <c r="P62" s="76">
        <f t="shared" si="32"/>
        <v>39.6</v>
      </c>
      <c r="Q62" s="76">
        <f t="shared" si="31"/>
        <v>33.700000000000003</v>
      </c>
      <c r="R62" s="76">
        <f t="shared" si="31"/>
        <v>33.700000000000003</v>
      </c>
      <c r="S62" s="76">
        <f t="shared" si="31"/>
        <v>37.6</v>
      </c>
      <c r="T62" s="76">
        <f t="shared" si="31"/>
        <v>37.5</v>
      </c>
      <c r="U62" s="76">
        <f t="shared" si="31"/>
        <v>37.5</v>
      </c>
      <c r="V62" s="76">
        <f t="shared" ref="V62:W62" si="33">SUM(V59:V61)</f>
        <v>37.5</v>
      </c>
      <c r="W62" s="76">
        <f t="shared" si="33"/>
        <v>37.5</v>
      </c>
      <c r="X62" s="76">
        <f t="shared" ref="X62:Z62" si="34">SUM(X59:X61)</f>
        <v>53.1</v>
      </c>
      <c r="Y62" s="76">
        <f t="shared" si="34"/>
        <v>342.4</v>
      </c>
      <c r="Z62" s="76">
        <f t="shared" si="34"/>
        <v>337.5</v>
      </c>
      <c r="AA62" s="76">
        <f t="shared" ref="AA62" si="35">SUM(AA59:AA61)</f>
        <v>387.5</v>
      </c>
      <c r="AB62" s="76">
        <f t="shared" si="31"/>
        <v>321.5</v>
      </c>
      <c r="AC62" s="76">
        <f t="shared" si="31"/>
        <v>321.5</v>
      </c>
      <c r="AD62" s="76">
        <f t="shared" si="31"/>
        <v>282.5</v>
      </c>
      <c r="AE62" s="76">
        <f t="shared" si="31"/>
        <v>282.5</v>
      </c>
      <c r="AF62" s="76">
        <f t="shared" si="31"/>
        <v>240.9</v>
      </c>
      <c r="AG62" s="93">
        <f t="shared" si="31"/>
        <v>538.1</v>
      </c>
      <c r="AH62" s="12">
        <f t="shared" si="8"/>
        <v>387.5</v>
      </c>
      <c r="AI62" s="11">
        <f t="shared" si="9"/>
        <v>33.700000000000003</v>
      </c>
      <c r="AK62" s="19"/>
    </row>
    <row r="63" spans="1:88" x14ac:dyDescent="0.25">
      <c r="A63" s="89" t="s">
        <v>204</v>
      </c>
      <c r="B63" s="102">
        <v>45</v>
      </c>
      <c r="C63" s="102">
        <v>45</v>
      </c>
      <c r="D63" s="102">
        <v>45</v>
      </c>
      <c r="E63" s="102">
        <v>61</v>
      </c>
      <c r="F63" s="102">
        <v>61</v>
      </c>
      <c r="G63" s="102">
        <v>61</v>
      </c>
      <c r="H63" s="102">
        <v>61</v>
      </c>
      <c r="I63" s="102">
        <v>91.5</v>
      </c>
      <c r="J63" s="102">
        <v>91.5</v>
      </c>
      <c r="K63" s="102">
        <v>60.5</v>
      </c>
      <c r="L63" s="102">
        <v>70</v>
      </c>
      <c r="M63" s="102">
        <v>70</v>
      </c>
      <c r="N63" s="102">
        <v>70</v>
      </c>
      <c r="O63" s="102">
        <v>70</v>
      </c>
      <c r="P63" s="102">
        <v>70</v>
      </c>
      <c r="Q63" s="102">
        <v>81.3</v>
      </c>
      <c r="R63" s="102">
        <v>65.599999999999994</v>
      </c>
      <c r="S63" s="102">
        <v>66.2</v>
      </c>
      <c r="T63" s="102">
        <v>61.4</v>
      </c>
      <c r="U63" s="102">
        <v>60.9</v>
      </c>
      <c r="V63" s="102">
        <v>61.2</v>
      </c>
      <c r="W63" s="102">
        <v>61.2</v>
      </c>
      <c r="X63" s="102">
        <v>61.2</v>
      </c>
      <c r="Y63" s="102">
        <v>97.3</v>
      </c>
      <c r="Z63" s="102">
        <v>97.3</v>
      </c>
      <c r="AA63" s="102">
        <v>97.3</v>
      </c>
      <c r="AB63" s="102">
        <v>71.3</v>
      </c>
      <c r="AC63" s="102">
        <v>61</v>
      </c>
      <c r="AD63" s="102">
        <v>61</v>
      </c>
      <c r="AE63" s="102">
        <v>61</v>
      </c>
      <c r="AF63" s="102">
        <v>61</v>
      </c>
      <c r="AG63" s="88">
        <v>144</v>
      </c>
      <c r="AH63" s="12">
        <f t="shared" si="8"/>
        <v>97.3</v>
      </c>
      <c r="AI63" s="11">
        <f t="shared" si="9"/>
        <v>45</v>
      </c>
      <c r="AK63" s="19"/>
    </row>
    <row r="64" spans="1:88" x14ac:dyDescent="0.25">
      <c r="A64" s="87" t="s">
        <v>203</v>
      </c>
      <c r="B64" s="70">
        <v>35</v>
      </c>
      <c r="C64" s="70">
        <v>35</v>
      </c>
      <c r="D64" s="70">
        <v>35</v>
      </c>
      <c r="E64" s="70">
        <v>48.9</v>
      </c>
      <c r="F64" s="70">
        <v>48.9</v>
      </c>
      <c r="G64" s="70">
        <v>34</v>
      </c>
      <c r="H64" s="70">
        <v>34</v>
      </c>
      <c r="I64" s="70">
        <v>34</v>
      </c>
      <c r="J64" s="70">
        <v>34</v>
      </c>
      <c r="K64" s="70">
        <v>24</v>
      </c>
      <c r="L64" s="70">
        <v>55</v>
      </c>
      <c r="M64" s="70">
        <v>55</v>
      </c>
      <c r="N64" s="70">
        <v>35</v>
      </c>
      <c r="O64" s="70">
        <v>35</v>
      </c>
      <c r="P64" s="70">
        <v>46</v>
      </c>
      <c r="Q64" s="70">
        <v>45.9</v>
      </c>
      <c r="R64" s="70">
        <v>45</v>
      </c>
      <c r="S64" s="70">
        <v>54.2</v>
      </c>
      <c r="T64" s="70">
        <v>45.5</v>
      </c>
      <c r="U64" s="70">
        <v>24.9</v>
      </c>
      <c r="V64" s="70">
        <v>25</v>
      </c>
      <c r="W64" s="70">
        <v>25</v>
      </c>
      <c r="X64" s="70">
        <v>25.3</v>
      </c>
      <c r="Y64" s="70">
        <v>24.4</v>
      </c>
      <c r="Z64" s="102">
        <v>50.4</v>
      </c>
      <c r="AA64" s="102">
        <v>50.4</v>
      </c>
      <c r="AB64" s="102">
        <v>45.6</v>
      </c>
      <c r="AC64" s="102">
        <v>45.6</v>
      </c>
      <c r="AD64" s="102">
        <v>45.6</v>
      </c>
      <c r="AE64" s="102">
        <v>45.6</v>
      </c>
      <c r="AF64" s="102">
        <v>48.6</v>
      </c>
      <c r="AG64" s="86">
        <v>70</v>
      </c>
      <c r="AH64" s="12">
        <f t="shared" si="8"/>
        <v>55</v>
      </c>
      <c r="AI64" s="11">
        <f t="shared" si="9"/>
        <v>24</v>
      </c>
      <c r="AK64" s="19"/>
    </row>
    <row r="65" spans="1:75" x14ac:dyDescent="0.25">
      <c r="A65" s="87" t="s">
        <v>202</v>
      </c>
      <c r="B65" s="70">
        <v>65</v>
      </c>
      <c r="C65" s="70">
        <v>65</v>
      </c>
      <c r="D65" s="70">
        <v>65</v>
      </c>
      <c r="E65" s="70">
        <v>34</v>
      </c>
      <c r="F65" s="70">
        <v>34</v>
      </c>
      <c r="G65" s="70">
        <v>34</v>
      </c>
      <c r="H65" s="70">
        <v>34</v>
      </c>
      <c r="I65" s="70">
        <v>45</v>
      </c>
      <c r="J65" s="70">
        <v>45</v>
      </c>
      <c r="K65" s="70">
        <v>32.6</v>
      </c>
      <c r="L65" s="70">
        <v>45.6</v>
      </c>
      <c r="M65" s="70">
        <v>45.6</v>
      </c>
      <c r="N65" s="70">
        <v>32</v>
      </c>
      <c r="O65" s="70">
        <v>32</v>
      </c>
      <c r="P65" s="70">
        <v>40</v>
      </c>
      <c r="Q65" s="70">
        <v>34.6</v>
      </c>
      <c r="R65" s="70">
        <v>34.5</v>
      </c>
      <c r="S65" s="70">
        <v>35.1</v>
      </c>
      <c r="T65" s="70">
        <v>41.1</v>
      </c>
      <c r="U65" s="70">
        <v>38.799999999999997</v>
      </c>
      <c r="V65" s="70">
        <v>16</v>
      </c>
      <c r="W65" s="70">
        <v>16</v>
      </c>
      <c r="X65" s="70">
        <v>40.299999999999997</v>
      </c>
      <c r="Y65" s="70">
        <v>54.5</v>
      </c>
      <c r="Z65" s="102">
        <v>64.5</v>
      </c>
      <c r="AA65" s="102">
        <v>67.900000000000006</v>
      </c>
      <c r="AB65" s="102">
        <v>53.2</v>
      </c>
      <c r="AC65" s="102">
        <v>53.2</v>
      </c>
      <c r="AD65" s="102">
        <v>53.2</v>
      </c>
      <c r="AE65" s="102">
        <v>53.2</v>
      </c>
      <c r="AF65" s="102">
        <v>53.2</v>
      </c>
      <c r="AG65" s="86">
        <v>69</v>
      </c>
      <c r="AH65" s="12">
        <f t="shared" si="8"/>
        <v>67.900000000000006</v>
      </c>
      <c r="AI65" s="11">
        <f t="shared" si="9"/>
        <v>16</v>
      </c>
      <c r="AK65" s="19"/>
    </row>
    <row r="66" spans="1:75" x14ac:dyDescent="0.25">
      <c r="A66" s="87" t="s">
        <v>201</v>
      </c>
      <c r="B66" s="70">
        <v>44</v>
      </c>
      <c r="C66" s="70">
        <v>44</v>
      </c>
      <c r="D66" s="70">
        <v>44</v>
      </c>
      <c r="E66" s="70">
        <v>58</v>
      </c>
      <c r="F66" s="70">
        <v>60</v>
      </c>
      <c r="G66" s="70">
        <v>57.4</v>
      </c>
      <c r="H66" s="70">
        <v>57.4</v>
      </c>
      <c r="I66" s="70">
        <v>57.4</v>
      </c>
      <c r="J66" s="70">
        <v>57.4</v>
      </c>
      <c r="K66" s="70">
        <v>57.4</v>
      </c>
      <c r="L66" s="70">
        <v>57.4</v>
      </c>
      <c r="M66" s="70">
        <v>57.4</v>
      </c>
      <c r="N66" s="70">
        <v>57.4</v>
      </c>
      <c r="O66" s="70">
        <v>57.4</v>
      </c>
      <c r="P66" s="70">
        <v>57.4</v>
      </c>
      <c r="Q66" s="70">
        <v>51.4</v>
      </c>
      <c r="R66" s="70">
        <v>51</v>
      </c>
      <c r="S66" s="70">
        <v>48.1</v>
      </c>
      <c r="T66" s="70">
        <v>48.1</v>
      </c>
      <c r="U66" s="70">
        <v>45.9</v>
      </c>
      <c r="V66" s="70">
        <v>50.2</v>
      </c>
      <c r="W66" s="70">
        <v>50.2</v>
      </c>
      <c r="X66" s="70">
        <v>50.2</v>
      </c>
      <c r="Y66" s="70">
        <v>50.2</v>
      </c>
      <c r="Z66" s="102">
        <v>47.8</v>
      </c>
      <c r="AA66" s="102">
        <v>47.8</v>
      </c>
      <c r="AB66" s="102">
        <v>49</v>
      </c>
      <c r="AC66" s="102">
        <v>49</v>
      </c>
      <c r="AD66" s="102">
        <v>49</v>
      </c>
      <c r="AE66" s="102">
        <v>49</v>
      </c>
      <c r="AF66" s="102">
        <v>56.4</v>
      </c>
      <c r="AG66" s="86">
        <v>60</v>
      </c>
      <c r="AH66" s="12">
        <f t="shared" si="8"/>
        <v>60</v>
      </c>
      <c r="AI66" s="11">
        <f t="shared" si="9"/>
        <v>44</v>
      </c>
      <c r="AK66" s="19"/>
    </row>
    <row r="67" spans="1:75" x14ac:dyDescent="0.25">
      <c r="A67" s="87" t="s">
        <v>200</v>
      </c>
      <c r="B67" s="102">
        <v>10</v>
      </c>
      <c r="C67" s="102">
        <v>10</v>
      </c>
      <c r="D67" s="102">
        <v>10</v>
      </c>
      <c r="E67" s="102">
        <v>10</v>
      </c>
      <c r="F67" s="102">
        <v>10</v>
      </c>
      <c r="G67" s="102">
        <v>10</v>
      </c>
      <c r="H67" s="102">
        <v>10</v>
      </c>
      <c r="I67" s="102">
        <v>10</v>
      </c>
      <c r="J67" s="102">
        <v>10</v>
      </c>
      <c r="K67" s="102">
        <v>10</v>
      </c>
      <c r="L67" s="102">
        <v>10</v>
      </c>
      <c r="M67" s="102">
        <v>10</v>
      </c>
      <c r="N67" s="102">
        <v>0</v>
      </c>
      <c r="O67" s="102">
        <v>0</v>
      </c>
      <c r="P67" s="102">
        <v>10</v>
      </c>
      <c r="Q67" s="70">
        <v>14.7</v>
      </c>
      <c r="R67" s="70">
        <v>14.7</v>
      </c>
      <c r="S67" s="70">
        <v>14.6</v>
      </c>
      <c r="T67" s="70">
        <v>14.6</v>
      </c>
      <c r="U67" s="70">
        <v>10.5</v>
      </c>
      <c r="V67" s="70">
        <v>10.5</v>
      </c>
      <c r="W67" s="70">
        <v>10.5</v>
      </c>
      <c r="X67" s="70">
        <v>14.3</v>
      </c>
      <c r="Y67" s="70">
        <v>22.9</v>
      </c>
      <c r="Z67" s="102">
        <v>26.4</v>
      </c>
      <c r="AA67" s="102">
        <v>26.4</v>
      </c>
      <c r="AB67" s="102">
        <v>10.199999999999999</v>
      </c>
      <c r="AC67" s="102">
        <v>10.199999999999999</v>
      </c>
      <c r="AD67" s="102">
        <v>10.199999999999999</v>
      </c>
      <c r="AE67" s="102">
        <v>10.199999999999999</v>
      </c>
      <c r="AF67" s="102">
        <v>10.199999999999999</v>
      </c>
      <c r="AG67" s="86">
        <v>30</v>
      </c>
      <c r="AH67" s="12">
        <f t="shared" si="8"/>
        <v>26.4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25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0.3</v>
      </c>
      <c r="J68" s="102">
        <v>0.3</v>
      </c>
      <c r="K68" s="102">
        <v>2.1</v>
      </c>
      <c r="L68" s="102">
        <v>4</v>
      </c>
      <c r="M68" s="102">
        <v>4</v>
      </c>
      <c r="N68" s="102">
        <v>8.9</v>
      </c>
      <c r="O68" s="102">
        <v>12.56</v>
      </c>
      <c r="P68" s="102">
        <v>16.100000000000001</v>
      </c>
      <c r="Q68" s="70">
        <v>16</v>
      </c>
      <c r="R68" s="70">
        <v>16</v>
      </c>
      <c r="S68" s="70">
        <v>16</v>
      </c>
      <c r="T68" s="70">
        <v>16</v>
      </c>
      <c r="U68" s="70">
        <v>16</v>
      </c>
      <c r="V68" s="70">
        <v>1.3</v>
      </c>
      <c r="W68" s="70">
        <v>0.8</v>
      </c>
      <c r="X68" s="70">
        <v>0.2</v>
      </c>
      <c r="Y68" s="70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16.100000000000001</v>
      </c>
      <c r="AI68" s="11">
        <f t="shared" si="9"/>
        <v>0</v>
      </c>
      <c r="AK68" s="19"/>
      <c r="AY68" s="1" t="s">
        <v>198</v>
      </c>
      <c r="AZ68" s="78">
        <f>ROUND(C81,0)</f>
        <v>48</v>
      </c>
      <c r="BA68" s="83">
        <f t="shared" ref="BA68:BD72" si="36">D81</f>
        <v>48</v>
      </c>
      <c r="BB68" s="83">
        <f t="shared" si="36"/>
        <v>53.2</v>
      </c>
      <c r="BC68" s="83">
        <f t="shared" si="36"/>
        <v>50</v>
      </c>
      <c r="BD68" s="83">
        <f t="shared" si="36"/>
        <v>38.5</v>
      </c>
      <c r="BE68" s="78">
        <f>I81</f>
        <v>42</v>
      </c>
      <c r="BF68" s="78">
        <f>K81</f>
        <v>42</v>
      </c>
      <c r="BG68" s="78">
        <f t="shared" ref="BG68:BP72" si="37">M81</f>
        <v>55</v>
      </c>
      <c r="BH68" s="78">
        <f t="shared" si="37"/>
        <v>55</v>
      </c>
      <c r="BI68" s="78">
        <f t="shared" si="37"/>
        <v>0</v>
      </c>
      <c r="BJ68" s="78">
        <f t="shared" si="37"/>
        <v>67</v>
      </c>
      <c r="BK68" s="78">
        <f t="shared" si="37"/>
        <v>72.7</v>
      </c>
      <c r="BL68" s="78">
        <f t="shared" si="37"/>
        <v>67.599999999999994</v>
      </c>
      <c r="BM68" s="78">
        <f t="shared" si="37"/>
        <v>75.900000000000006</v>
      </c>
      <c r="BN68" s="78">
        <f t="shared" si="37"/>
        <v>67.5</v>
      </c>
      <c r="BO68" s="78">
        <f t="shared" si="37"/>
        <v>41.6</v>
      </c>
      <c r="BP68" s="78">
        <f t="shared" si="37"/>
        <v>94</v>
      </c>
      <c r="BQ68" s="78">
        <f>X81</f>
        <v>70.2</v>
      </c>
      <c r="BR68" s="78">
        <f>Z81</f>
        <v>66.599999999999994</v>
      </c>
      <c r="BS68" s="83">
        <f>AB81</f>
        <v>67.599999999999994</v>
      </c>
      <c r="BT68" s="83">
        <f t="shared" ref="BT68:BV72" si="38">AD81</f>
        <v>61.8</v>
      </c>
      <c r="BU68" s="83">
        <f t="shared" si="38"/>
        <v>57.2</v>
      </c>
      <c r="BV68" s="83">
        <f t="shared" si="38"/>
        <v>44.2</v>
      </c>
      <c r="BW68" s="83">
        <f>B81</f>
        <v>56</v>
      </c>
    </row>
    <row r="69" spans="1:75" x14ac:dyDescent="0.25">
      <c r="A69" s="87" t="s">
        <v>197</v>
      </c>
      <c r="B69" s="70">
        <v>14</v>
      </c>
      <c r="C69" s="70">
        <v>14</v>
      </c>
      <c r="D69" s="70">
        <v>14</v>
      </c>
      <c r="E69" s="70">
        <v>14</v>
      </c>
      <c r="F69" s="70">
        <v>14</v>
      </c>
      <c r="G69" s="70">
        <v>14</v>
      </c>
      <c r="H69" s="70">
        <v>14</v>
      </c>
      <c r="I69" s="70">
        <v>14</v>
      </c>
      <c r="J69" s="70">
        <v>14</v>
      </c>
      <c r="K69" s="70">
        <v>14</v>
      </c>
      <c r="L69" s="70">
        <v>15.7</v>
      </c>
      <c r="M69" s="70">
        <v>15.7</v>
      </c>
      <c r="N69" s="70">
        <v>15.7</v>
      </c>
      <c r="O69" s="70">
        <v>15.7</v>
      </c>
      <c r="P69" s="70">
        <v>15.7</v>
      </c>
      <c r="Q69" s="70">
        <v>15.7</v>
      </c>
      <c r="R69" s="70">
        <v>15.7</v>
      </c>
      <c r="S69" s="70">
        <v>15.7</v>
      </c>
      <c r="T69" s="70">
        <v>15.7</v>
      </c>
      <c r="U69" s="70">
        <v>15.7</v>
      </c>
      <c r="V69" s="70">
        <v>15.7</v>
      </c>
      <c r="W69" s="70">
        <v>15.7</v>
      </c>
      <c r="X69" s="70">
        <v>15.7</v>
      </c>
      <c r="Y69" s="70">
        <v>15.7</v>
      </c>
      <c r="Z69" s="70">
        <v>15.7</v>
      </c>
      <c r="AA69" s="70">
        <v>15.7</v>
      </c>
      <c r="AB69" s="70">
        <v>15.7</v>
      </c>
      <c r="AC69" s="70">
        <v>15.7</v>
      </c>
      <c r="AD69" s="70">
        <v>15.7</v>
      </c>
      <c r="AE69" s="70">
        <v>15.7</v>
      </c>
      <c r="AF69" s="70">
        <v>15.7</v>
      </c>
      <c r="AG69" s="86">
        <v>24</v>
      </c>
      <c r="AH69" s="12">
        <f t="shared" si="8"/>
        <v>15.7</v>
      </c>
      <c r="AI69" s="11">
        <f t="shared" si="9"/>
        <v>14</v>
      </c>
      <c r="AK69" s="19"/>
      <c r="AY69" s="1" t="s">
        <v>196</v>
      </c>
      <c r="AZ69" s="78">
        <f>ROUND(C82,0)</f>
        <v>0</v>
      </c>
      <c r="BA69" s="83">
        <f t="shared" si="36"/>
        <v>0</v>
      </c>
      <c r="BB69" s="83">
        <f t="shared" si="36"/>
        <v>0</v>
      </c>
      <c r="BC69" s="83">
        <f t="shared" si="36"/>
        <v>0</v>
      </c>
      <c r="BD69" s="83">
        <f t="shared" si="36"/>
        <v>0</v>
      </c>
      <c r="BE69" s="78">
        <f>I82</f>
        <v>0</v>
      </c>
      <c r="BF69" s="78">
        <f>K82</f>
        <v>96</v>
      </c>
      <c r="BG69" s="78">
        <f t="shared" si="37"/>
        <v>94</v>
      </c>
      <c r="BH69" s="78">
        <f t="shared" si="37"/>
        <v>94</v>
      </c>
      <c r="BI69" s="78">
        <f t="shared" si="37"/>
        <v>110</v>
      </c>
      <c r="BJ69" s="78">
        <f t="shared" si="37"/>
        <v>120</v>
      </c>
      <c r="BK69" s="78">
        <f t="shared" si="37"/>
        <v>104.3</v>
      </c>
      <c r="BL69" s="78">
        <f t="shared" si="37"/>
        <v>108</v>
      </c>
      <c r="BM69" s="78">
        <f t="shared" si="37"/>
        <v>112.6</v>
      </c>
      <c r="BN69" s="78">
        <f t="shared" si="37"/>
        <v>121</v>
      </c>
      <c r="BO69" s="78">
        <f t="shared" si="37"/>
        <v>122.6</v>
      </c>
      <c r="BP69" s="78">
        <f t="shared" si="37"/>
        <v>112.5</v>
      </c>
      <c r="BQ69" s="78">
        <f>X82</f>
        <v>117.8</v>
      </c>
      <c r="BR69" s="78">
        <f>Z82</f>
        <v>115.8</v>
      </c>
      <c r="BS69" s="83">
        <f>AB82</f>
        <v>0</v>
      </c>
      <c r="BT69" s="83">
        <f t="shared" si="38"/>
        <v>0</v>
      </c>
      <c r="BU69" s="83">
        <f t="shared" si="38"/>
        <v>0</v>
      </c>
      <c r="BV69" s="83">
        <f t="shared" si="38"/>
        <v>0</v>
      </c>
      <c r="BW69" s="83">
        <f>B82</f>
        <v>0</v>
      </c>
    </row>
    <row r="70" spans="1:75" x14ac:dyDescent="0.25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200</v>
      </c>
      <c r="BA70" s="83">
        <f t="shared" si="36"/>
        <v>200</v>
      </c>
      <c r="BB70" s="83">
        <f t="shared" si="36"/>
        <v>126</v>
      </c>
      <c r="BC70" s="83">
        <f t="shared" si="36"/>
        <v>126</v>
      </c>
      <c r="BD70" s="83">
        <f t="shared" si="36"/>
        <v>182.3</v>
      </c>
      <c r="BE70" s="78">
        <f>I83</f>
        <v>264</v>
      </c>
      <c r="BF70" s="78">
        <f>K83</f>
        <v>450</v>
      </c>
      <c r="BG70" s="78">
        <f t="shared" si="37"/>
        <v>474</v>
      </c>
      <c r="BH70" s="78">
        <f t="shared" si="37"/>
        <v>465</v>
      </c>
      <c r="BI70" s="78">
        <f t="shared" si="37"/>
        <v>452</v>
      </c>
      <c r="BJ70" s="78">
        <f t="shared" si="37"/>
        <v>463</v>
      </c>
      <c r="BK70" s="78">
        <f t="shared" si="37"/>
        <v>455.7</v>
      </c>
      <c r="BL70" s="78">
        <f t="shared" si="37"/>
        <v>442</v>
      </c>
      <c r="BM70" s="78">
        <f t="shared" si="37"/>
        <v>460</v>
      </c>
      <c r="BN70" s="78">
        <f t="shared" si="37"/>
        <v>481</v>
      </c>
      <c r="BO70" s="78">
        <f t="shared" si="37"/>
        <v>465</v>
      </c>
      <c r="BP70" s="78">
        <f t="shared" si="37"/>
        <v>483.1</v>
      </c>
      <c r="BQ70" s="78">
        <f>X83</f>
        <v>354.1</v>
      </c>
      <c r="BR70" s="78">
        <f>Z83</f>
        <v>238.6</v>
      </c>
      <c r="BS70" s="83">
        <f>AB83</f>
        <v>274</v>
      </c>
      <c r="BT70" s="83">
        <f t="shared" si="38"/>
        <v>285</v>
      </c>
      <c r="BU70" s="83">
        <f t="shared" si="38"/>
        <v>196</v>
      </c>
      <c r="BV70" s="83">
        <f t="shared" si="38"/>
        <v>139</v>
      </c>
      <c r="BW70" s="83">
        <f>B83</f>
        <v>165</v>
      </c>
    </row>
    <row r="71" spans="1:75" s="115" customFormat="1" x14ac:dyDescent="0.25">
      <c r="A71" s="87" t="s">
        <v>193</v>
      </c>
      <c r="B71" s="70">
        <v>10.14</v>
      </c>
      <c r="C71" s="70">
        <v>10.14</v>
      </c>
      <c r="D71" s="70">
        <v>10.14</v>
      </c>
      <c r="E71" s="70">
        <v>10.14</v>
      </c>
      <c r="F71" s="70">
        <v>10.14</v>
      </c>
      <c r="G71" s="70">
        <v>10.14</v>
      </c>
      <c r="H71" s="70">
        <v>10.14</v>
      </c>
      <c r="I71" s="70">
        <v>10.14</v>
      </c>
      <c r="J71" s="70">
        <v>10.14</v>
      </c>
      <c r="K71" s="70">
        <v>10.14</v>
      </c>
      <c r="L71" s="70">
        <v>10.14</v>
      </c>
      <c r="M71" s="70">
        <v>10.14</v>
      </c>
      <c r="N71" s="70">
        <v>10.14</v>
      </c>
      <c r="O71" s="70">
        <v>10.14</v>
      </c>
      <c r="P71" s="70">
        <v>10.14</v>
      </c>
      <c r="Q71" s="70">
        <v>10.14</v>
      </c>
      <c r="R71" s="70">
        <v>10.14</v>
      </c>
      <c r="S71" s="70">
        <v>10.14</v>
      </c>
      <c r="T71" s="70">
        <v>10.14</v>
      </c>
      <c r="U71" s="70">
        <v>10.14</v>
      </c>
      <c r="V71" s="70">
        <v>10.14</v>
      </c>
      <c r="W71" s="70">
        <v>10.14</v>
      </c>
      <c r="X71" s="70">
        <v>10.14</v>
      </c>
      <c r="Y71" s="70">
        <v>10.14</v>
      </c>
      <c r="Z71" s="70">
        <v>10.14</v>
      </c>
      <c r="AA71" s="70">
        <v>10.14</v>
      </c>
      <c r="AB71" s="70">
        <v>10.14</v>
      </c>
      <c r="AC71" s="70">
        <v>10.14</v>
      </c>
      <c r="AD71" s="70">
        <v>10.14</v>
      </c>
      <c r="AE71" s="70">
        <v>10.14</v>
      </c>
      <c r="AF71" s="70">
        <v>10.14</v>
      </c>
      <c r="AG71" s="86">
        <v>14.1</v>
      </c>
      <c r="AH71" s="12">
        <f t="shared" si="8"/>
        <v>10.14</v>
      </c>
      <c r="AI71" s="11">
        <f t="shared" si="9"/>
        <v>10.14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36"/>
        <v>0</v>
      </c>
      <c r="BB71" s="83">
        <f t="shared" si="36"/>
        <v>0</v>
      </c>
      <c r="BC71" s="83">
        <f t="shared" si="36"/>
        <v>0</v>
      </c>
      <c r="BD71" s="83">
        <f t="shared" si="36"/>
        <v>0</v>
      </c>
      <c r="BE71" s="78">
        <f>I84</f>
        <v>0</v>
      </c>
      <c r="BF71" s="78">
        <f>K84</f>
        <v>50</v>
      </c>
      <c r="BG71" s="78">
        <f t="shared" si="37"/>
        <v>50</v>
      </c>
      <c r="BH71" s="78">
        <f t="shared" si="37"/>
        <v>50</v>
      </c>
      <c r="BI71" s="78">
        <f t="shared" si="37"/>
        <v>50</v>
      </c>
      <c r="BJ71" s="78">
        <f t="shared" si="37"/>
        <v>50</v>
      </c>
      <c r="BK71" s="78">
        <f t="shared" si="37"/>
        <v>43.6</v>
      </c>
      <c r="BL71" s="78">
        <f t="shared" si="37"/>
        <v>0</v>
      </c>
      <c r="BM71" s="78">
        <f t="shared" si="37"/>
        <v>20.100000000000001</v>
      </c>
      <c r="BN71" s="78">
        <f t="shared" si="37"/>
        <v>37.299999999999997</v>
      </c>
      <c r="BO71" s="78">
        <f t="shared" si="37"/>
        <v>35.200000000000003</v>
      </c>
      <c r="BP71" s="78">
        <f t="shared" si="37"/>
        <v>48</v>
      </c>
      <c r="BQ71" s="78">
        <f>X84</f>
        <v>46.8</v>
      </c>
      <c r="BR71" s="78">
        <f>Z84</f>
        <v>0</v>
      </c>
      <c r="BS71" s="83">
        <f>AB84</f>
        <v>0</v>
      </c>
      <c r="BT71" s="83">
        <f t="shared" si="38"/>
        <v>0</v>
      </c>
      <c r="BU71" s="83">
        <f t="shared" si="38"/>
        <v>0</v>
      </c>
      <c r="BV71" s="83">
        <f t="shared" si="38"/>
        <v>0</v>
      </c>
      <c r="BW71" s="83">
        <f>B84</f>
        <v>0</v>
      </c>
    </row>
    <row r="72" spans="1:75" x14ac:dyDescent="0.25">
      <c r="A72" s="111" t="s">
        <v>191</v>
      </c>
      <c r="B72" s="70">
        <v>5.8</v>
      </c>
      <c r="C72" s="70">
        <v>5.8</v>
      </c>
      <c r="D72" s="70">
        <v>5.8</v>
      </c>
      <c r="E72" s="70">
        <v>7.9</v>
      </c>
      <c r="F72" s="70">
        <v>7.9</v>
      </c>
      <c r="G72" s="70">
        <v>7.9</v>
      </c>
      <c r="H72" s="70">
        <v>7.9</v>
      </c>
      <c r="I72" s="70">
        <v>5.8</v>
      </c>
      <c r="J72" s="70">
        <v>5.8</v>
      </c>
      <c r="K72" s="70">
        <v>5.8</v>
      </c>
      <c r="L72" s="70">
        <v>7</v>
      </c>
      <c r="M72" s="70">
        <v>7</v>
      </c>
      <c r="N72" s="70">
        <v>7</v>
      </c>
      <c r="O72" s="70">
        <v>7</v>
      </c>
      <c r="P72" s="70">
        <v>7</v>
      </c>
      <c r="Q72" s="70">
        <v>7</v>
      </c>
      <c r="R72" s="70">
        <v>7</v>
      </c>
      <c r="S72" s="70">
        <v>7</v>
      </c>
      <c r="T72" s="70">
        <v>7</v>
      </c>
      <c r="U72" s="70">
        <v>7</v>
      </c>
      <c r="V72" s="70">
        <v>7</v>
      </c>
      <c r="W72" s="70">
        <v>7</v>
      </c>
      <c r="X72" s="70">
        <v>7</v>
      </c>
      <c r="Y72" s="70">
        <v>7</v>
      </c>
      <c r="Z72" s="70">
        <v>7</v>
      </c>
      <c r="AA72" s="70">
        <v>7</v>
      </c>
      <c r="AB72" s="70">
        <v>7</v>
      </c>
      <c r="AC72" s="70">
        <v>7</v>
      </c>
      <c r="AD72" s="70">
        <v>7</v>
      </c>
      <c r="AE72" s="70">
        <v>7</v>
      </c>
      <c r="AF72" s="70">
        <v>7</v>
      </c>
      <c r="AG72" s="86">
        <v>14</v>
      </c>
      <c r="AH72" s="12">
        <f t="shared" si="8"/>
        <v>7.9</v>
      </c>
      <c r="AI72" s="11">
        <f t="shared" si="9"/>
        <v>5.8</v>
      </c>
      <c r="AK72" s="19"/>
      <c r="AY72" s="1" t="s">
        <v>190</v>
      </c>
      <c r="AZ72" s="78">
        <f>ROUND(C85,0)</f>
        <v>0</v>
      </c>
      <c r="BA72" s="83">
        <f t="shared" si="36"/>
        <v>0</v>
      </c>
      <c r="BB72" s="83">
        <f t="shared" si="36"/>
        <v>0</v>
      </c>
      <c r="BC72" s="83">
        <f t="shared" si="36"/>
        <v>0</v>
      </c>
      <c r="BD72" s="83">
        <f t="shared" si="36"/>
        <v>0</v>
      </c>
      <c r="BE72" s="78">
        <f>I85</f>
        <v>0</v>
      </c>
      <c r="BF72" s="78">
        <f>K85</f>
        <v>120</v>
      </c>
      <c r="BG72" s="78">
        <f t="shared" si="37"/>
        <v>114</v>
      </c>
      <c r="BH72" s="78">
        <f t="shared" si="37"/>
        <v>120</v>
      </c>
      <c r="BI72" s="78">
        <f t="shared" si="37"/>
        <v>129</v>
      </c>
      <c r="BJ72" s="78">
        <f t="shared" si="37"/>
        <v>135</v>
      </c>
      <c r="BK72" s="78">
        <f t="shared" si="37"/>
        <v>120.9</v>
      </c>
      <c r="BL72" s="78">
        <f t="shared" si="37"/>
        <v>115</v>
      </c>
      <c r="BM72" s="78">
        <f t="shared" si="37"/>
        <v>140.69999999999999</v>
      </c>
      <c r="BN72" s="78">
        <f t="shared" si="37"/>
        <v>132.9</v>
      </c>
      <c r="BO72" s="78">
        <f t="shared" si="37"/>
        <v>137.69999999999999</v>
      </c>
      <c r="BP72" s="78">
        <f t="shared" si="37"/>
        <v>119.2</v>
      </c>
      <c r="BQ72" s="78">
        <f>X85</f>
        <v>66.7</v>
      </c>
      <c r="BR72" s="78">
        <f>Z85</f>
        <v>0</v>
      </c>
      <c r="BS72" s="83">
        <f>AB85</f>
        <v>0</v>
      </c>
      <c r="BT72" s="83">
        <f t="shared" si="38"/>
        <v>0</v>
      </c>
      <c r="BU72" s="83">
        <f t="shared" si="38"/>
        <v>0</v>
      </c>
      <c r="BV72" s="83">
        <f t="shared" si="38"/>
        <v>0</v>
      </c>
      <c r="BW72" s="83">
        <f>B85</f>
        <v>0</v>
      </c>
    </row>
    <row r="73" spans="1:75" x14ac:dyDescent="0.25">
      <c r="A73" s="87" t="s">
        <v>189</v>
      </c>
      <c r="B73" s="70">
        <v>4.4000000000000004</v>
      </c>
      <c r="C73" s="70">
        <v>4.4000000000000004</v>
      </c>
      <c r="D73" s="70">
        <v>4.4000000000000004</v>
      </c>
      <c r="E73" s="70">
        <v>4.4000000000000004</v>
      </c>
      <c r="F73" s="70">
        <v>4.4000000000000004</v>
      </c>
      <c r="G73" s="70">
        <v>4.4000000000000004</v>
      </c>
      <c r="H73" s="70">
        <v>4.4000000000000004</v>
      </c>
      <c r="I73" s="70">
        <v>4.4000000000000004</v>
      </c>
      <c r="J73" s="70">
        <v>4.4000000000000004</v>
      </c>
      <c r="K73" s="70">
        <v>4.4000000000000004</v>
      </c>
      <c r="L73" s="70">
        <v>4.4000000000000004</v>
      </c>
      <c r="M73" s="70">
        <v>4.4000000000000004</v>
      </c>
      <c r="N73" s="70">
        <v>4.4000000000000004</v>
      </c>
      <c r="O73" s="70">
        <v>4.4000000000000004</v>
      </c>
      <c r="P73" s="70">
        <v>4.4000000000000004</v>
      </c>
      <c r="Q73" s="70">
        <v>4.4000000000000004</v>
      </c>
      <c r="R73" s="70">
        <v>4.4000000000000004</v>
      </c>
      <c r="S73" s="70">
        <v>4.4000000000000004</v>
      </c>
      <c r="T73" s="70">
        <v>4.4000000000000004</v>
      </c>
      <c r="U73" s="70">
        <v>4.4000000000000004</v>
      </c>
      <c r="V73" s="70">
        <v>4.4000000000000004</v>
      </c>
      <c r="W73" s="70">
        <v>4.4000000000000004</v>
      </c>
      <c r="X73" s="70">
        <v>4.4000000000000004</v>
      </c>
      <c r="Y73" s="70">
        <v>4.4000000000000004</v>
      </c>
      <c r="Z73" s="70">
        <v>4.4000000000000004</v>
      </c>
      <c r="AA73" s="70">
        <v>4.4000000000000004</v>
      </c>
      <c r="AB73" s="70">
        <v>4.4000000000000004</v>
      </c>
      <c r="AC73" s="70">
        <v>4.4000000000000004</v>
      </c>
      <c r="AD73" s="70">
        <v>4.4000000000000004</v>
      </c>
      <c r="AE73" s="70">
        <v>4.4000000000000004</v>
      </c>
      <c r="AF73" s="70">
        <v>4.4000000000000004</v>
      </c>
      <c r="AG73" s="86">
        <v>10.050000000000001</v>
      </c>
      <c r="AH73" s="12">
        <f t="shared" si="8"/>
        <v>4.4000000000000004</v>
      </c>
      <c r="AI73" s="11">
        <f t="shared" si="9"/>
        <v>4.4000000000000004</v>
      </c>
      <c r="AK73" s="19"/>
      <c r="AY73" s="1" t="s">
        <v>188</v>
      </c>
      <c r="AZ73" s="78">
        <f>ROUND(C91,0)</f>
        <v>52</v>
      </c>
      <c r="BA73" s="78">
        <f>D91</f>
        <v>52</v>
      </c>
      <c r="BB73" s="78">
        <f>E91</f>
        <v>49</v>
      </c>
      <c r="BC73" s="78">
        <f>F91</f>
        <v>48.5</v>
      </c>
      <c r="BD73" s="78">
        <f>G91</f>
        <v>49.4</v>
      </c>
      <c r="BE73" s="78">
        <f>I91</f>
        <v>46.4</v>
      </c>
      <c r="BF73" s="78">
        <f>K91</f>
        <v>46.4</v>
      </c>
      <c r="BG73" s="78">
        <f t="shared" ref="BG73:BP73" si="39">M91</f>
        <v>54</v>
      </c>
      <c r="BH73" s="78">
        <f t="shared" si="39"/>
        <v>51</v>
      </c>
      <c r="BI73" s="78">
        <f t="shared" si="39"/>
        <v>52</v>
      </c>
      <c r="BJ73" s="78">
        <f t="shared" si="39"/>
        <v>52</v>
      </c>
      <c r="BK73" s="78">
        <f t="shared" si="39"/>
        <v>52</v>
      </c>
      <c r="BL73" s="78">
        <f t="shared" si="39"/>
        <v>52</v>
      </c>
      <c r="BM73" s="78">
        <f t="shared" si="39"/>
        <v>55.4</v>
      </c>
      <c r="BN73" s="78">
        <f t="shared" si="39"/>
        <v>51.2</v>
      </c>
      <c r="BO73" s="78">
        <f t="shared" si="39"/>
        <v>55.5</v>
      </c>
      <c r="BP73" s="78">
        <f t="shared" si="39"/>
        <v>51.7</v>
      </c>
      <c r="BQ73" s="78">
        <f>X91</f>
        <v>47</v>
      </c>
      <c r="BR73" s="78">
        <f>Z91</f>
        <v>42.5</v>
      </c>
      <c r="BS73" s="78">
        <f>AB91</f>
        <v>40</v>
      </c>
      <c r="BT73" s="78">
        <f>AD91</f>
        <v>41.2</v>
      </c>
      <c r="BU73" s="78">
        <f>AE91</f>
        <v>40.1</v>
      </c>
      <c r="BV73" s="78">
        <f>AF91</f>
        <v>40.200000000000003</v>
      </c>
      <c r="BW73" s="78">
        <f>B91</f>
        <v>52</v>
      </c>
    </row>
    <row r="74" spans="1:75" x14ac:dyDescent="0.25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.75" thickBot="1" x14ac:dyDescent="0.3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3.54</v>
      </c>
      <c r="Z75" s="113">
        <v>3.54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3.54</v>
      </c>
      <c r="AK75" s="19"/>
      <c r="AZ75" s="78">
        <f t="shared" ref="AZ75:BW80" si="40">VALUE(AZ68)</f>
        <v>48</v>
      </c>
      <c r="BA75" s="78">
        <f t="shared" si="40"/>
        <v>48</v>
      </c>
      <c r="BB75" s="78">
        <f t="shared" si="40"/>
        <v>53.2</v>
      </c>
      <c r="BC75" s="78">
        <f t="shared" si="40"/>
        <v>50</v>
      </c>
      <c r="BD75" s="78">
        <f t="shared" si="40"/>
        <v>38.5</v>
      </c>
      <c r="BE75" s="78">
        <f t="shared" si="40"/>
        <v>42</v>
      </c>
      <c r="BF75" s="78">
        <f t="shared" si="40"/>
        <v>42</v>
      </c>
      <c r="BG75" s="78">
        <f t="shared" si="40"/>
        <v>55</v>
      </c>
      <c r="BH75" s="78">
        <f t="shared" si="40"/>
        <v>55</v>
      </c>
      <c r="BI75" s="78">
        <f t="shared" si="40"/>
        <v>0</v>
      </c>
      <c r="BJ75" s="78">
        <f t="shared" si="40"/>
        <v>67</v>
      </c>
      <c r="BK75" s="78">
        <f t="shared" si="40"/>
        <v>72.7</v>
      </c>
      <c r="BL75" s="78">
        <f t="shared" si="40"/>
        <v>67.599999999999994</v>
      </c>
      <c r="BM75" s="78">
        <f t="shared" si="40"/>
        <v>75.900000000000006</v>
      </c>
      <c r="BN75" s="78">
        <f t="shared" si="40"/>
        <v>67.5</v>
      </c>
      <c r="BO75" s="78">
        <f t="shared" si="40"/>
        <v>41.6</v>
      </c>
      <c r="BP75" s="78">
        <f t="shared" si="40"/>
        <v>94</v>
      </c>
      <c r="BQ75" s="78">
        <f t="shared" si="40"/>
        <v>70.2</v>
      </c>
      <c r="BR75" s="78">
        <f t="shared" si="40"/>
        <v>66.599999999999994</v>
      </c>
      <c r="BS75" s="78">
        <f t="shared" si="40"/>
        <v>67.599999999999994</v>
      </c>
      <c r="BT75" s="78">
        <f t="shared" si="40"/>
        <v>61.8</v>
      </c>
      <c r="BU75" s="78">
        <f t="shared" si="40"/>
        <v>57.2</v>
      </c>
      <c r="BV75" s="78">
        <f t="shared" si="40"/>
        <v>44.2</v>
      </c>
      <c r="BW75" s="78">
        <f t="shared" si="40"/>
        <v>56</v>
      </c>
    </row>
    <row r="76" spans="1:75" ht="15.75" thickBot="1" x14ac:dyDescent="0.3">
      <c r="A76" s="77" t="s">
        <v>186</v>
      </c>
      <c r="B76" s="76">
        <f t="shared" ref="B76:C76" si="41">SUM(B63:B75)</f>
        <v>238.88</v>
      </c>
      <c r="C76" s="76">
        <f t="shared" si="41"/>
        <v>238.88</v>
      </c>
      <c r="D76" s="76">
        <f t="shared" ref="D76" si="42">SUM(D63:D75)</f>
        <v>238.88</v>
      </c>
      <c r="E76" s="76">
        <f t="shared" ref="E76:AG76" si="43">SUM(E63:E75)</f>
        <v>253.88000000000002</v>
      </c>
      <c r="F76" s="76">
        <f t="shared" si="43"/>
        <v>255.88000000000002</v>
      </c>
      <c r="G76" s="76">
        <f t="shared" si="43"/>
        <v>238.38000000000002</v>
      </c>
      <c r="H76" s="76">
        <f t="shared" si="43"/>
        <v>238.38000000000002</v>
      </c>
      <c r="I76" s="76">
        <f t="shared" si="43"/>
        <v>278.08000000000004</v>
      </c>
      <c r="J76" s="76">
        <f t="shared" si="43"/>
        <v>278.08000000000004</v>
      </c>
      <c r="K76" s="76">
        <f t="shared" si="43"/>
        <v>226.48000000000002</v>
      </c>
      <c r="L76" s="76">
        <f t="shared" si="43"/>
        <v>284.77999999999997</v>
      </c>
      <c r="M76" s="76">
        <f t="shared" si="43"/>
        <v>284.77999999999997</v>
      </c>
      <c r="N76" s="76">
        <f t="shared" si="43"/>
        <v>246.07999999999998</v>
      </c>
      <c r="O76" s="76">
        <f t="shared" si="43"/>
        <v>249.74</v>
      </c>
      <c r="P76" s="76">
        <f t="shared" si="43"/>
        <v>282.27999999999997</v>
      </c>
      <c r="Q76" s="76">
        <f t="shared" si="43"/>
        <v>286.67999999999995</v>
      </c>
      <c r="R76" s="76">
        <f t="shared" si="43"/>
        <v>269.58</v>
      </c>
      <c r="S76" s="76">
        <f t="shared" si="43"/>
        <v>276.97999999999996</v>
      </c>
      <c r="T76" s="76">
        <f t="shared" si="43"/>
        <v>269.47999999999996</v>
      </c>
      <c r="U76" s="76">
        <f t="shared" si="43"/>
        <v>239.77999999999997</v>
      </c>
      <c r="V76" s="76">
        <f t="shared" ref="V76:W76" si="44">SUM(V63:V75)</f>
        <v>206.98000000000002</v>
      </c>
      <c r="W76" s="76">
        <f t="shared" si="44"/>
        <v>206.48000000000002</v>
      </c>
      <c r="X76" s="76">
        <f t="shared" ref="X76:Z76" si="45">SUM(X63:X75)</f>
        <v>234.27999999999997</v>
      </c>
      <c r="Y76" s="76">
        <f t="shared" si="45"/>
        <v>292.08</v>
      </c>
      <c r="Z76" s="76">
        <f t="shared" si="45"/>
        <v>329.17999999999995</v>
      </c>
      <c r="AA76" s="76">
        <f t="shared" ref="AA76" si="46">SUM(AA63:AA75)</f>
        <v>332.57999999999993</v>
      </c>
      <c r="AB76" s="76">
        <f t="shared" si="43"/>
        <v>272.08</v>
      </c>
      <c r="AC76" s="76">
        <f t="shared" si="43"/>
        <v>261.77999999999997</v>
      </c>
      <c r="AD76" s="76">
        <f t="shared" si="43"/>
        <v>261.77999999999997</v>
      </c>
      <c r="AE76" s="76">
        <f t="shared" si="43"/>
        <v>261.77999999999997</v>
      </c>
      <c r="AF76" s="76">
        <f t="shared" si="43"/>
        <v>272.18</v>
      </c>
      <c r="AG76" s="93">
        <f t="shared" si="43"/>
        <v>489.91</v>
      </c>
      <c r="AH76" s="12">
        <f t="shared" si="8"/>
        <v>332.57999999999993</v>
      </c>
      <c r="AI76" s="11">
        <f t="shared" si="9"/>
        <v>206.48000000000002</v>
      </c>
      <c r="AK76" s="19"/>
      <c r="AZ76" s="78">
        <f t="shared" si="40"/>
        <v>0</v>
      </c>
      <c r="BA76" s="78">
        <f t="shared" si="40"/>
        <v>0</v>
      </c>
      <c r="BB76" s="78">
        <f t="shared" si="40"/>
        <v>0</v>
      </c>
      <c r="BC76" s="78">
        <f t="shared" si="40"/>
        <v>0</v>
      </c>
      <c r="BD76" s="78">
        <f t="shared" si="40"/>
        <v>0</v>
      </c>
      <c r="BE76" s="78">
        <f t="shared" si="40"/>
        <v>0</v>
      </c>
      <c r="BF76" s="78">
        <f t="shared" si="40"/>
        <v>96</v>
      </c>
      <c r="BG76" s="78">
        <f t="shared" si="40"/>
        <v>94</v>
      </c>
      <c r="BH76" s="78">
        <f t="shared" si="40"/>
        <v>94</v>
      </c>
      <c r="BI76" s="78">
        <f t="shared" si="40"/>
        <v>110</v>
      </c>
      <c r="BJ76" s="78">
        <f t="shared" si="40"/>
        <v>120</v>
      </c>
      <c r="BK76" s="78">
        <f t="shared" si="40"/>
        <v>104.3</v>
      </c>
      <c r="BL76" s="78">
        <f t="shared" si="40"/>
        <v>108</v>
      </c>
      <c r="BM76" s="78">
        <f t="shared" si="40"/>
        <v>112.6</v>
      </c>
      <c r="BN76" s="78">
        <f t="shared" si="40"/>
        <v>121</v>
      </c>
      <c r="BO76" s="78">
        <f t="shared" si="40"/>
        <v>122.6</v>
      </c>
      <c r="BP76" s="78">
        <f t="shared" si="40"/>
        <v>112.5</v>
      </c>
      <c r="BQ76" s="78">
        <f t="shared" si="40"/>
        <v>117.8</v>
      </c>
      <c r="BR76" s="78">
        <f t="shared" si="40"/>
        <v>115.8</v>
      </c>
      <c r="BS76" s="78">
        <f t="shared" si="40"/>
        <v>0</v>
      </c>
      <c r="BT76" s="78">
        <f t="shared" si="40"/>
        <v>0</v>
      </c>
      <c r="BU76" s="78">
        <f t="shared" si="40"/>
        <v>0</v>
      </c>
      <c r="BV76" s="78">
        <f t="shared" si="40"/>
        <v>0</v>
      </c>
      <c r="BW76" s="78">
        <f t="shared" si="40"/>
        <v>0</v>
      </c>
    </row>
    <row r="77" spans="1:75" x14ac:dyDescent="0.25">
      <c r="A77" s="89" t="s">
        <v>185</v>
      </c>
      <c r="B77" s="102">
        <v>60</v>
      </c>
      <c r="C77" s="102">
        <v>60</v>
      </c>
      <c r="D77" s="102">
        <v>60</v>
      </c>
      <c r="E77" s="102">
        <v>60</v>
      </c>
      <c r="F77" s="102">
        <v>60</v>
      </c>
      <c r="G77" s="102">
        <v>60</v>
      </c>
      <c r="H77" s="102">
        <v>60</v>
      </c>
      <c r="I77" s="102">
        <v>60</v>
      </c>
      <c r="J77" s="102">
        <v>60</v>
      </c>
      <c r="K77" s="102">
        <v>60</v>
      </c>
      <c r="L77" s="102">
        <v>60</v>
      </c>
      <c r="M77" s="102">
        <v>50</v>
      </c>
      <c r="N77" s="102">
        <v>60</v>
      </c>
      <c r="O77" s="102">
        <v>60</v>
      </c>
      <c r="P77" s="102">
        <v>60</v>
      </c>
      <c r="Q77" s="102">
        <v>60</v>
      </c>
      <c r="R77" s="102">
        <v>60</v>
      </c>
      <c r="S77" s="102">
        <v>60</v>
      </c>
      <c r="T77" s="102">
        <v>60</v>
      </c>
      <c r="U77" s="102">
        <v>50.1</v>
      </c>
      <c r="V77" s="102">
        <v>53.6</v>
      </c>
      <c r="W77" s="102">
        <v>34.9</v>
      </c>
      <c r="X77" s="102">
        <v>33.6</v>
      </c>
      <c r="Y77" s="102">
        <v>59.4</v>
      </c>
      <c r="Z77" s="102">
        <v>59.3</v>
      </c>
      <c r="AA77" s="102">
        <v>59.3</v>
      </c>
      <c r="AB77" s="102">
        <v>59.3</v>
      </c>
      <c r="AC77" s="102">
        <v>59.3</v>
      </c>
      <c r="AD77" s="102">
        <v>59.3</v>
      </c>
      <c r="AE77" s="102">
        <v>59.3</v>
      </c>
      <c r="AF77" s="102">
        <v>59.3</v>
      </c>
      <c r="AG77" s="88">
        <v>60</v>
      </c>
      <c r="AH77" s="12">
        <f t="shared" si="8"/>
        <v>60</v>
      </c>
      <c r="AI77" s="11">
        <f t="shared" si="9"/>
        <v>33.6</v>
      </c>
      <c r="AK77" s="19"/>
      <c r="AZ77" s="78">
        <f t="shared" si="40"/>
        <v>200</v>
      </c>
      <c r="BA77" s="78">
        <f t="shared" si="40"/>
        <v>200</v>
      </c>
      <c r="BB77" s="78">
        <f t="shared" si="40"/>
        <v>126</v>
      </c>
      <c r="BC77" s="78">
        <f t="shared" si="40"/>
        <v>126</v>
      </c>
      <c r="BD77" s="78">
        <f t="shared" si="40"/>
        <v>182.3</v>
      </c>
      <c r="BE77" s="78">
        <f t="shared" si="40"/>
        <v>264</v>
      </c>
      <c r="BF77" s="78">
        <f t="shared" si="40"/>
        <v>450</v>
      </c>
      <c r="BG77" s="78">
        <f t="shared" si="40"/>
        <v>474</v>
      </c>
      <c r="BH77" s="78">
        <f t="shared" si="40"/>
        <v>465</v>
      </c>
      <c r="BI77" s="78">
        <f t="shared" si="40"/>
        <v>452</v>
      </c>
      <c r="BJ77" s="78">
        <f t="shared" si="40"/>
        <v>463</v>
      </c>
      <c r="BK77" s="78">
        <f t="shared" si="40"/>
        <v>455.7</v>
      </c>
      <c r="BL77" s="78">
        <f t="shared" si="40"/>
        <v>442</v>
      </c>
      <c r="BM77" s="78">
        <f t="shared" si="40"/>
        <v>460</v>
      </c>
      <c r="BN77" s="78">
        <f t="shared" si="40"/>
        <v>481</v>
      </c>
      <c r="BO77" s="78">
        <f t="shared" si="40"/>
        <v>465</v>
      </c>
      <c r="BP77" s="78">
        <f t="shared" si="40"/>
        <v>483.1</v>
      </c>
      <c r="BQ77" s="78">
        <f t="shared" si="40"/>
        <v>354.1</v>
      </c>
      <c r="BR77" s="78">
        <f t="shared" si="40"/>
        <v>238.6</v>
      </c>
      <c r="BS77" s="78">
        <f t="shared" si="40"/>
        <v>274</v>
      </c>
      <c r="BT77" s="78">
        <f t="shared" si="40"/>
        <v>285</v>
      </c>
      <c r="BU77" s="78">
        <f t="shared" si="40"/>
        <v>196</v>
      </c>
      <c r="BV77" s="78">
        <f t="shared" si="40"/>
        <v>139</v>
      </c>
      <c r="BW77" s="78">
        <f t="shared" si="40"/>
        <v>165</v>
      </c>
    </row>
    <row r="78" spans="1:75" x14ac:dyDescent="0.25">
      <c r="A78" s="87" t="s">
        <v>184</v>
      </c>
      <c r="B78" s="70">
        <v>28</v>
      </c>
      <c r="C78" s="70">
        <v>28</v>
      </c>
      <c r="D78" s="70">
        <v>28</v>
      </c>
      <c r="E78" s="70">
        <v>28</v>
      </c>
      <c r="F78" s="70">
        <v>28</v>
      </c>
      <c r="G78" s="70">
        <v>28</v>
      </c>
      <c r="H78" s="70">
        <v>28</v>
      </c>
      <c r="I78" s="70">
        <v>28</v>
      </c>
      <c r="J78" s="70">
        <v>28</v>
      </c>
      <c r="K78" s="70">
        <v>28</v>
      </c>
      <c r="L78" s="70">
        <v>28</v>
      </c>
      <c r="M78" s="70">
        <v>22</v>
      </c>
      <c r="N78" s="70">
        <v>28</v>
      </c>
      <c r="O78" s="70">
        <v>28</v>
      </c>
      <c r="P78" s="70">
        <v>28</v>
      </c>
      <c r="Q78" s="70">
        <v>28</v>
      </c>
      <c r="R78" s="70">
        <v>28</v>
      </c>
      <c r="S78" s="70">
        <v>28</v>
      </c>
      <c r="T78" s="70">
        <v>28.2</v>
      </c>
      <c r="U78" s="70">
        <v>27.8</v>
      </c>
      <c r="V78" s="70">
        <v>20.100000000000001</v>
      </c>
      <c r="W78" s="70">
        <v>13.7</v>
      </c>
      <c r="X78" s="70">
        <v>14.5</v>
      </c>
      <c r="Y78" s="70">
        <v>28</v>
      </c>
      <c r="Z78" s="70">
        <v>28</v>
      </c>
      <c r="AA78" s="70">
        <v>28</v>
      </c>
      <c r="AB78" s="70">
        <v>28</v>
      </c>
      <c r="AC78" s="70">
        <v>28</v>
      </c>
      <c r="AD78" s="70">
        <v>28</v>
      </c>
      <c r="AE78" s="70">
        <v>28</v>
      </c>
      <c r="AF78" s="70">
        <v>28</v>
      </c>
      <c r="AG78" s="86">
        <v>32</v>
      </c>
      <c r="AH78" s="12">
        <f t="shared" si="8"/>
        <v>28.2</v>
      </c>
      <c r="AI78" s="11">
        <f t="shared" si="9"/>
        <v>13.7</v>
      </c>
      <c r="AK78" s="19"/>
      <c r="AZ78" s="78">
        <f t="shared" si="40"/>
        <v>0</v>
      </c>
      <c r="BA78" s="78">
        <f t="shared" si="40"/>
        <v>0</v>
      </c>
      <c r="BB78" s="78">
        <f t="shared" si="40"/>
        <v>0</v>
      </c>
      <c r="BC78" s="78">
        <f t="shared" si="40"/>
        <v>0</v>
      </c>
      <c r="BD78" s="78">
        <f t="shared" si="40"/>
        <v>0</v>
      </c>
      <c r="BE78" s="78">
        <f t="shared" si="40"/>
        <v>0</v>
      </c>
      <c r="BF78" s="78">
        <f t="shared" si="40"/>
        <v>50</v>
      </c>
      <c r="BG78" s="78">
        <f t="shared" si="40"/>
        <v>50</v>
      </c>
      <c r="BH78" s="78">
        <f t="shared" si="40"/>
        <v>50</v>
      </c>
      <c r="BI78" s="78">
        <f t="shared" si="40"/>
        <v>50</v>
      </c>
      <c r="BJ78" s="78">
        <f t="shared" si="40"/>
        <v>50</v>
      </c>
      <c r="BK78" s="78">
        <f t="shared" si="40"/>
        <v>43.6</v>
      </c>
      <c r="BL78" s="78">
        <f t="shared" si="40"/>
        <v>0</v>
      </c>
      <c r="BM78" s="78">
        <f t="shared" si="40"/>
        <v>20.100000000000001</v>
      </c>
      <c r="BN78" s="78">
        <f t="shared" si="40"/>
        <v>37.299999999999997</v>
      </c>
      <c r="BO78" s="78">
        <f t="shared" si="40"/>
        <v>35.200000000000003</v>
      </c>
      <c r="BP78" s="78">
        <f t="shared" si="40"/>
        <v>48</v>
      </c>
      <c r="BQ78" s="78">
        <f t="shared" si="40"/>
        <v>46.8</v>
      </c>
      <c r="BR78" s="78">
        <f t="shared" si="40"/>
        <v>0</v>
      </c>
      <c r="BS78" s="78">
        <f t="shared" si="40"/>
        <v>0</v>
      </c>
      <c r="BT78" s="78">
        <f t="shared" si="40"/>
        <v>0</v>
      </c>
      <c r="BU78" s="78">
        <f t="shared" si="40"/>
        <v>0</v>
      </c>
      <c r="BV78" s="78">
        <f t="shared" si="40"/>
        <v>0</v>
      </c>
      <c r="BW78" s="78">
        <f t="shared" si="40"/>
        <v>0</v>
      </c>
    </row>
    <row r="79" spans="1:75" ht="15.75" thickBot="1" x14ac:dyDescent="0.3">
      <c r="A79" s="111" t="s">
        <v>183</v>
      </c>
      <c r="B79" s="110">
        <v>10.23</v>
      </c>
      <c r="C79" s="110">
        <v>10.23</v>
      </c>
      <c r="D79" s="110">
        <v>10.23</v>
      </c>
      <c r="E79" s="110">
        <v>10.23</v>
      </c>
      <c r="F79" s="110">
        <v>10.23</v>
      </c>
      <c r="G79" s="110">
        <v>10.23</v>
      </c>
      <c r="H79" s="110">
        <v>10.23</v>
      </c>
      <c r="I79" s="110">
        <v>10.23</v>
      </c>
      <c r="J79" s="110">
        <v>10.23</v>
      </c>
      <c r="K79" s="110">
        <v>10.23</v>
      </c>
      <c r="L79" s="110">
        <v>10.23</v>
      </c>
      <c r="M79" s="110">
        <v>8</v>
      </c>
      <c r="N79" s="110">
        <v>10</v>
      </c>
      <c r="O79" s="110">
        <v>10</v>
      </c>
      <c r="P79" s="110">
        <v>10</v>
      </c>
      <c r="Q79" s="110">
        <v>10</v>
      </c>
      <c r="R79" s="110">
        <v>10</v>
      </c>
      <c r="S79" s="110">
        <v>10</v>
      </c>
      <c r="T79" s="110">
        <v>10.3</v>
      </c>
      <c r="U79" s="110">
        <v>10.1</v>
      </c>
      <c r="V79" s="110">
        <v>7.3</v>
      </c>
      <c r="W79" s="110">
        <v>5</v>
      </c>
      <c r="X79" s="110">
        <v>5.3</v>
      </c>
      <c r="Y79" s="110">
        <v>10.199999999999999</v>
      </c>
      <c r="Z79" s="110">
        <v>10.199999999999999</v>
      </c>
      <c r="AA79" s="110">
        <v>10.199999999999999</v>
      </c>
      <c r="AB79" s="110">
        <v>10.199999999999999</v>
      </c>
      <c r="AC79" s="110">
        <v>10.199999999999999</v>
      </c>
      <c r="AD79" s="110">
        <v>10.199999999999999</v>
      </c>
      <c r="AE79" s="110">
        <v>10.199999999999999</v>
      </c>
      <c r="AF79" s="110">
        <v>10.199999999999999</v>
      </c>
      <c r="AG79" s="109">
        <v>14</v>
      </c>
      <c r="AH79" s="12">
        <f t="shared" si="8"/>
        <v>10.3</v>
      </c>
      <c r="AI79" s="11">
        <f t="shared" si="9"/>
        <v>5</v>
      </c>
      <c r="AK79" s="19"/>
      <c r="AZ79" s="78">
        <f t="shared" si="40"/>
        <v>0</v>
      </c>
      <c r="BA79" s="78">
        <f t="shared" si="40"/>
        <v>0</v>
      </c>
      <c r="BB79" s="78">
        <f t="shared" si="40"/>
        <v>0</v>
      </c>
      <c r="BC79" s="78">
        <f t="shared" si="40"/>
        <v>0</v>
      </c>
      <c r="BD79" s="78">
        <f t="shared" si="40"/>
        <v>0</v>
      </c>
      <c r="BE79" s="78">
        <f t="shared" si="40"/>
        <v>0</v>
      </c>
      <c r="BF79" s="78">
        <f t="shared" si="40"/>
        <v>120</v>
      </c>
      <c r="BG79" s="78">
        <f t="shared" si="40"/>
        <v>114</v>
      </c>
      <c r="BH79" s="78">
        <f t="shared" si="40"/>
        <v>120</v>
      </c>
      <c r="BI79" s="78">
        <f t="shared" si="40"/>
        <v>129</v>
      </c>
      <c r="BJ79" s="78">
        <f t="shared" si="40"/>
        <v>135</v>
      </c>
      <c r="BK79" s="78">
        <f t="shared" si="40"/>
        <v>120.9</v>
      </c>
      <c r="BL79" s="78">
        <f t="shared" si="40"/>
        <v>115</v>
      </c>
      <c r="BM79" s="78">
        <f t="shared" si="40"/>
        <v>140.69999999999999</v>
      </c>
      <c r="BN79" s="78">
        <f t="shared" si="40"/>
        <v>132.9</v>
      </c>
      <c r="BO79" s="78">
        <f t="shared" si="40"/>
        <v>137.69999999999999</v>
      </c>
      <c r="BP79" s="78">
        <f t="shared" si="40"/>
        <v>119.2</v>
      </c>
      <c r="BQ79" s="78">
        <f t="shared" si="40"/>
        <v>66.7</v>
      </c>
      <c r="BR79" s="78">
        <f t="shared" si="40"/>
        <v>0</v>
      </c>
      <c r="BS79" s="78">
        <f t="shared" si="40"/>
        <v>0</v>
      </c>
      <c r="BT79" s="78">
        <f t="shared" si="40"/>
        <v>0</v>
      </c>
      <c r="BU79" s="78">
        <f t="shared" si="40"/>
        <v>0</v>
      </c>
      <c r="BV79" s="78">
        <f t="shared" si="40"/>
        <v>0</v>
      </c>
      <c r="BW79" s="78">
        <f t="shared" si="40"/>
        <v>0</v>
      </c>
    </row>
    <row r="80" spans="1:75" ht="15.75" thickBot="1" x14ac:dyDescent="0.3">
      <c r="A80" s="77" t="s">
        <v>182</v>
      </c>
      <c r="B80" s="76">
        <f t="shared" ref="B80:C80" si="47">B77+B78+B79</f>
        <v>98.23</v>
      </c>
      <c r="C80" s="76">
        <f t="shared" si="47"/>
        <v>98.23</v>
      </c>
      <c r="D80" s="76">
        <f t="shared" ref="D80" si="48">D77+D78+D79</f>
        <v>98.23</v>
      </c>
      <c r="E80" s="76">
        <f t="shared" ref="E80:AF80" si="49">E77+E78+E79</f>
        <v>98.23</v>
      </c>
      <c r="F80" s="76">
        <f t="shared" si="49"/>
        <v>98.23</v>
      </c>
      <c r="G80" s="76">
        <f t="shared" si="49"/>
        <v>98.23</v>
      </c>
      <c r="H80" s="76">
        <f t="shared" si="49"/>
        <v>98.23</v>
      </c>
      <c r="I80" s="76">
        <f t="shared" si="49"/>
        <v>98.23</v>
      </c>
      <c r="J80" s="76">
        <f t="shared" si="49"/>
        <v>98.23</v>
      </c>
      <c r="K80" s="76">
        <f t="shared" si="49"/>
        <v>98.23</v>
      </c>
      <c r="L80" s="76">
        <f t="shared" si="49"/>
        <v>98.23</v>
      </c>
      <c r="M80" s="76">
        <f t="shared" si="49"/>
        <v>80</v>
      </c>
      <c r="N80" s="76">
        <f t="shared" si="49"/>
        <v>98</v>
      </c>
      <c r="O80" s="76">
        <f t="shared" si="49"/>
        <v>98</v>
      </c>
      <c r="P80" s="76">
        <f t="shared" si="49"/>
        <v>98</v>
      </c>
      <c r="Q80" s="76">
        <f t="shared" si="49"/>
        <v>98</v>
      </c>
      <c r="R80" s="76">
        <f t="shared" si="49"/>
        <v>98</v>
      </c>
      <c r="S80" s="76">
        <f t="shared" si="49"/>
        <v>98</v>
      </c>
      <c r="T80" s="76">
        <f t="shared" si="49"/>
        <v>98.5</v>
      </c>
      <c r="U80" s="76">
        <f t="shared" si="49"/>
        <v>88</v>
      </c>
      <c r="V80" s="76">
        <f t="shared" ref="V80:W80" si="50">V77+V78+V79</f>
        <v>81</v>
      </c>
      <c r="W80" s="76">
        <f t="shared" si="50"/>
        <v>53.599999999999994</v>
      </c>
      <c r="X80" s="76">
        <f t="shared" ref="X80:Z80" si="51">X77+X78+X79</f>
        <v>53.4</v>
      </c>
      <c r="Y80" s="76">
        <f t="shared" si="51"/>
        <v>97.600000000000009</v>
      </c>
      <c r="Z80" s="76">
        <f t="shared" si="51"/>
        <v>97.5</v>
      </c>
      <c r="AA80" s="76">
        <f t="shared" ref="AA80" si="52">AA77+AA78+AA79</f>
        <v>97.5</v>
      </c>
      <c r="AB80" s="76">
        <f t="shared" si="49"/>
        <v>97.5</v>
      </c>
      <c r="AC80" s="76">
        <f t="shared" si="49"/>
        <v>97.5</v>
      </c>
      <c r="AD80" s="76">
        <f t="shared" si="49"/>
        <v>97.5</v>
      </c>
      <c r="AE80" s="76">
        <f t="shared" si="49"/>
        <v>97.5</v>
      </c>
      <c r="AF80" s="76">
        <f t="shared" si="49"/>
        <v>97.5</v>
      </c>
      <c r="AG80" s="93">
        <f>SUM(AG77:AG79)</f>
        <v>106</v>
      </c>
      <c r="AH80" s="12">
        <f t="shared" si="8"/>
        <v>98.5</v>
      </c>
      <c r="AI80" s="11">
        <f t="shared" si="9"/>
        <v>53.4</v>
      </c>
      <c r="AK80" s="19"/>
      <c r="AZ80" s="78">
        <f t="shared" si="40"/>
        <v>52</v>
      </c>
      <c r="BA80" s="78">
        <f t="shared" si="40"/>
        <v>52</v>
      </c>
      <c r="BB80" s="78">
        <f t="shared" si="40"/>
        <v>49</v>
      </c>
      <c r="BC80" s="78">
        <f t="shared" si="40"/>
        <v>48.5</v>
      </c>
      <c r="BD80" s="78">
        <f t="shared" si="40"/>
        <v>49.4</v>
      </c>
      <c r="BE80" s="78">
        <f t="shared" si="40"/>
        <v>46.4</v>
      </c>
      <c r="BF80" s="78">
        <f t="shared" si="40"/>
        <v>46.4</v>
      </c>
      <c r="BG80" s="78">
        <f t="shared" si="40"/>
        <v>54</v>
      </c>
      <c r="BH80" s="78">
        <f t="shared" si="40"/>
        <v>51</v>
      </c>
      <c r="BI80" s="78">
        <f t="shared" si="40"/>
        <v>52</v>
      </c>
      <c r="BJ80" s="78">
        <f t="shared" si="40"/>
        <v>52</v>
      </c>
      <c r="BK80" s="78">
        <f t="shared" si="40"/>
        <v>52</v>
      </c>
      <c r="BL80" s="78">
        <f t="shared" si="40"/>
        <v>52</v>
      </c>
      <c r="BM80" s="78">
        <f t="shared" si="40"/>
        <v>55.4</v>
      </c>
      <c r="BN80" s="78">
        <f t="shared" si="40"/>
        <v>51.2</v>
      </c>
      <c r="BO80" s="78">
        <f t="shared" si="40"/>
        <v>55.5</v>
      </c>
      <c r="BP80" s="78">
        <f t="shared" si="40"/>
        <v>51.7</v>
      </c>
      <c r="BQ80" s="78">
        <f t="shared" si="40"/>
        <v>47</v>
      </c>
      <c r="BR80" s="78">
        <f t="shared" si="40"/>
        <v>42.5</v>
      </c>
      <c r="BS80" s="78">
        <f t="shared" si="40"/>
        <v>40</v>
      </c>
      <c r="BT80" s="78">
        <f t="shared" si="40"/>
        <v>41.2</v>
      </c>
      <c r="BU80" s="78">
        <f t="shared" si="40"/>
        <v>40.1</v>
      </c>
      <c r="BV80" s="78">
        <f t="shared" si="40"/>
        <v>40.200000000000003</v>
      </c>
      <c r="BW80" s="78">
        <f t="shared" si="40"/>
        <v>52</v>
      </c>
    </row>
    <row r="81" spans="1:64" x14ac:dyDescent="0.25">
      <c r="A81" s="89" t="s">
        <v>157</v>
      </c>
      <c r="B81" s="102">
        <v>56</v>
      </c>
      <c r="C81" s="102">
        <v>48</v>
      </c>
      <c r="D81" s="102">
        <v>48</v>
      </c>
      <c r="E81" s="102">
        <v>53.2</v>
      </c>
      <c r="F81" s="102">
        <v>50</v>
      </c>
      <c r="G81" s="102">
        <v>38.5</v>
      </c>
      <c r="H81" s="102">
        <v>38.1</v>
      </c>
      <c r="I81" s="102">
        <v>42</v>
      </c>
      <c r="J81" s="102">
        <v>42</v>
      </c>
      <c r="K81" s="102">
        <v>42</v>
      </c>
      <c r="L81" s="102">
        <v>61.7</v>
      </c>
      <c r="M81" s="102">
        <v>55</v>
      </c>
      <c r="N81" s="102">
        <v>55</v>
      </c>
      <c r="O81" s="102">
        <v>0</v>
      </c>
      <c r="P81" s="102">
        <v>67</v>
      </c>
      <c r="Q81" s="102">
        <v>72.7</v>
      </c>
      <c r="R81" s="102">
        <v>67.599999999999994</v>
      </c>
      <c r="S81" s="102">
        <v>75.900000000000006</v>
      </c>
      <c r="T81" s="102">
        <v>67.5</v>
      </c>
      <c r="U81" s="102">
        <v>41.6</v>
      </c>
      <c r="V81" s="102">
        <v>94</v>
      </c>
      <c r="W81" s="102">
        <v>66.599999999999994</v>
      </c>
      <c r="X81" s="102">
        <v>70.2</v>
      </c>
      <c r="Y81" s="102">
        <v>68.5</v>
      </c>
      <c r="Z81" s="102">
        <v>66.599999999999994</v>
      </c>
      <c r="AA81" s="102">
        <v>53</v>
      </c>
      <c r="AB81" s="102">
        <v>67.599999999999994</v>
      </c>
      <c r="AC81" s="102">
        <v>67.599999999999994</v>
      </c>
      <c r="AD81" s="102">
        <v>61.8</v>
      </c>
      <c r="AE81" s="102">
        <v>57.2</v>
      </c>
      <c r="AF81" s="102">
        <v>44.2</v>
      </c>
      <c r="AG81" s="88"/>
      <c r="AH81" s="12">
        <f t="shared" si="8"/>
        <v>94</v>
      </c>
      <c r="AI81" s="11">
        <f t="shared" si="9"/>
        <v>0</v>
      </c>
      <c r="AK81" s="19"/>
      <c r="AY81" s="78"/>
    </row>
    <row r="82" spans="1:64" x14ac:dyDescent="0.25">
      <c r="A82" s="87" t="s">
        <v>160</v>
      </c>
      <c r="B82" s="70">
        <v>0</v>
      </c>
      <c r="C82" s="70">
        <v>0</v>
      </c>
      <c r="D82" s="70">
        <v>0</v>
      </c>
      <c r="E82" s="70">
        <v>0</v>
      </c>
      <c r="F82" s="70">
        <v>0</v>
      </c>
      <c r="G82" s="70">
        <v>0</v>
      </c>
      <c r="H82" s="70">
        <v>0</v>
      </c>
      <c r="I82" s="70">
        <v>0</v>
      </c>
      <c r="J82" s="70">
        <v>0</v>
      </c>
      <c r="K82" s="70">
        <v>96</v>
      </c>
      <c r="L82" s="70">
        <v>87</v>
      </c>
      <c r="M82" s="70">
        <v>94</v>
      </c>
      <c r="N82" s="70">
        <v>94</v>
      </c>
      <c r="O82" s="70">
        <v>110</v>
      </c>
      <c r="P82" s="70">
        <v>120</v>
      </c>
      <c r="Q82" s="70">
        <v>104.3</v>
      </c>
      <c r="R82" s="70">
        <v>108</v>
      </c>
      <c r="S82" s="70">
        <v>112.6</v>
      </c>
      <c r="T82" s="70">
        <v>121</v>
      </c>
      <c r="U82" s="70">
        <v>122.6</v>
      </c>
      <c r="V82" s="70">
        <v>112.5</v>
      </c>
      <c r="W82" s="70">
        <v>104.7</v>
      </c>
      <c r="X82" s="70">
        <v>117.8</v>
      </c>
      <c r="Y82" s="70">
        <v>126.2</v>
      </c>
      <c r="Z82" s="70">
        <v>115.8</v>
      </c>
      <c r="AA82" s="70">
        <v>0</v>
      </c>
      <c r="AB82" s="70">
        <v>0</v>
      </c>
      <c r="AC82" s="70">
        <v>0</v>
      </c>
      <c r="AD82" s="70">
        <v>0</v>
      </c>
      <c r="AE82" s="70">
        <v>0</v>
      </c>
      <c r="AF82" s="70">
        <v>0</v>
      </c>
      <c r="AG82" s="86"/>
      <c r="AH82" s="12">
        <f t="shared" ref="AH82:AH125" si="53">MAX(B82:AF82)</f>
        <v>126.2</v>
      </c>
      <c r="AI82" s="11">
        <f t="shared" ref="AI82:AI125" si="54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25">
      <c r="A83" s="87" t="s">
        <v>181</v>
      </c>
      <c r="B83" s="70">
        <v>165</v>
      </c>
      <c r="C83" s="70">
        <v>200</v>
      </c>
      <c r="D83" s="70">
        <v>200</v>
      </c>
      <c r="E83" s="70">
        <v>126</v>
      </c>
      <c r="F83" s="70">
        <v>126</v>
      </c>
      <c r="G83" s="70">
        <v>182.3</v>
      </c>
      <c r="H83" s="70">
        <v>221.5</v>
      </c>
      <c r="I83" s="70">
        <v>264</v>
      </c>
      <c r="J83" s="70">
        <v>264</v>
      </c>
      <c r="K83" s="70">
        <v>450</v>
      </c>
      <c r="L83" s="70">
        <v>444</v>
      </c>
      <c r="M83" s="70">
        <v>474</v>
      </c>
      <c r="N83" s="70">
        <v>465</v>
      </c>
      <c r="O83" s="70">
        <v>452</v>
      </c>
      <c r="P83" s="70">
        <v>463</v>
      </c>
      <c r="Q83" s="70">
        <v>455.7</v>
      </c>
      <c r="R83" s="70">
        <v>442</v>
      </c>
      <c r="S83" s="70">
        <v>460</v>
      </c>
      <c r="T83" s="70">
        <v>481</v>
      </c>
      <c r="U83" s="70">
        <v>465</v>
      </c>
      <c r="V83" s="70">
        <v>483.1</v>
      </c>
      <c r="W83" s="70">
        <v>461.6</v>
      </c>
      <c r="X83" s="70">
        <v>354.1</v>
      </c>
      <c r="Y83" s="70">
        <v>111.7</v>
      </c>
      <c r="Z83" s="70">
        <v>238.6</v>
      </c>
      <c r="AA83" s="70">
        <v>259.10000000000002</v>
      </c>
      <c r="AB83" s="70">
        <v>274</v>
      </c>
      <c r="AC83" s="70">
        <v>260</v>
      </c>
      <c r="AD83" s="70">
        <v>285</v>
      </c>
      <c r="AE83" s="70">
        <v>196</v>
      </c>
      <c r="AF83" s="70">
        <v>139</v>
      </c>
      <c r="AG83" s="96"/>
      <c r="AH83" s="12">
        <f t="shared" si="53"/>
        <v>483.1</v>
      </c>
      <c r="AI83" s="11">
        <f t="shared" si="54"/>
        <v>111.7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25">
      <c r="A84" s="87" t="s">
        <v>161</v>
      </c>
      <c r="B84" s="70">
        <v>0</v>
      </c>
      <c r="C84" s="70">
        <v>0</v>
      </c>
      <c r="D84" s="70">
        <v>0</v>
      </c>
      <c r="E84" s="70">
        <v>0</v>
      </c>
      <c r="F84" s="85">
        <v>0</v>
      </c>
      <c r="G84" s="85">
        <v>0</v>
      </c>
      <c r="H84" s="85">
        <v>0</v>
      </c>
      <c r="I84" s="85">
        <v>0</v>
      </c>
      <c r="J84" s="85">
        <v>50</v>
      </c>
      <c r="K84" s="85">
        <v>50</v>
      </c>
      <c r="L84" s="85">
        <v>50</v>
      </c>
      <c r="M84" s="85">
        <v>50</v>
      </c>
      <c r="N84" s="85">
        <v>50</v>
      </c>
      <c r="O84" s="85">
        <v>50</v>
      </c>
      <c r="P84" s="85">
        <v>50</v>
      </c>
      <c r="Q84" s="85">
        <v>43.6</v>
      </c>
      <c r="R84" s="85">
        <v>0</v>
      </c>
      <c r="S84" s="85">
        <v>20.100000000000001</v>
      </c>
      <c r="T84" s="85">
        <v>37.299999999999997</v>
      </c>
      <c r="U84" s="85">
        <v>35.200000000000003</v>
      </c>
      <c r="V84" s="85">
        <v>48</v>
      </c>
      <c r="W84" s="85">
        <v>47.8</v>
      </c>
      <c r="X84" s="85">
        <v>46.8</v>
      </c>
      <c r="Y84" s="85">
        <v>0</v>
      </c>
      <c r="Z84" s="85">
        <v>0</v>
      </c>
      <c r="AA84" s="85">
        <v>0</v>
      </c>
      <c r="AB84" s="85">
        <v>0</v>
      </c>
      <c r="AC84" s="85">
        <v>0</v>
      </c>
      <c r="AD84" s="85">
        <v>0</v>
      </c>
      <c r="AE84" s="85">
        <v>0</v>
      </c>
      <c r="AF84" s="85">
        <v>0</v>
      </c>
      <c r="AG84" s="96"/>
      <c r="AH84" s="12">
        <f t="shared" si="53"/>
        <v>50</v>
      </c>
      <c r="AI84" s="11">
        <f t="shared" si="54"/>
        <v>0</v>
      </c>
      <c r="AK84" s="19"/>
      <c r="AY84" s="78"/>
      <c r="BF84" s="83"/>
      <c r="BG84" s="78">
        <f t="array" ref="BG84:BL107">TRANSPOSE(AZ68:BW73)</f>
        <v>48</v>
      </c>
      <c r="BH84" s="78">
        <v>0</v>
      </c>
      <c r="BI84" s="78">
        <v>200</v>
      </c>
      <c r="BJ84" s="78">
        <v>0</v>
      </c>
      <c r="BK84" s="78">
        <v>0</v>
      </c>
      <c r="BL84" s="78">
        <v>52</v>
      </c>
    </row>
    <row r="85" spans="1:64" x14ac:dyDescent="0.25">
      <c r="A85" s="87" t="s">
        <v>180</v>
      </c>
      <c r="B85" s="102">
        <v>0</v>
      </c>
      <c r="C85" s="102">
        <v>0</v>
      </c>
      <c r="D85" s="102">
        <v>0</v>
      </c>
      <c r="E85" s="102">
        <v>0</v>
      </c>
      <c r="F85" s="102">
        <v>0</v>
      </c>
      <c r="G85" s="102">
        <v>0</v>
      </c>
      <c r="H85" s="102">
        <v>0</v>
      </c>
      <c r="I85" s="102">
        <v>0</v>
      </c>
      <c r="J85" s="102">
        <v>120</v>
      </c>
      <c r="K85" s="102">
        <v>120</v>
      </c>
      <c r="L85" s="102">
        <v>120</v>
      </c>
      <c r="M85" s="102">
        <v>114</v>
      </c>
      <c r="N85" s="102">
        <v>120</v>
      </c>
      <c r="O85" s="102">
        <v>129</v>
      </c>
      <c r="P85" s="102">
        <v>135</v>
      </c>
      <c r="Q85" s="102">
        <v>120.9</v>
      </c>
      <c r="R85" s="102">
        <v>115</v>
      </c>
      <c r="S85" s="102">
        <v>140.69999999999999</v>
      </c>
      <c r="T85" s="102">
        <v>132.9</v>
      </c>
      <c r="U85" s="102">
        <v>137.69999999999999</v>
      </c>
      <c r="V85" s="102">
        <v>119.2</v>
      </c>
      <c r="W85" s="102">
        <v>122.5</v>
      </c>
      <c r="X85" s="102">
        <v>66.7</v>
      </c>
      <c r="Y85" s="102">
        <v>0</v>
      </c>
      <c r="Z85" s="102">
        <v>0</v>
      </c>
      <c r="AA85" s="102">
        <v>0</v>
      </c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53"/>
        <v>140.69999999999999</v>
      </c>
      <c r="AI85" s="11">
        <f t="shared" si="54"/>
        <v>0</v>
      </c>
      <c r="AK85" s="19"/>
      <c r="AY85" s="78"/>
      <c r="BF85" s="83"/>
      <c r="BG85" s="78">
        <v>48</v>
      </c>
      <c r="BH85" s="78">
        <v>0</v>
      </c>
      <c r="BI85" s="78">
        <v>200</v>
      </c>
      <c r="BJ85" s="78">
        <v>0</v>
      </c>
      <c r="BK85" s="78">
        <v>0</v>
      </c>
      <c r="BL85" s="78">
        <v>52</v>
      </c>
    </row>
    <row r="86" spans="1:64" x14ac:dyDescent="0.25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53"/>
        <v>0</v>
      </c>
      <c r="AI86" s="11">
        <f t="shared" si="54"/>
        <v>0</v>
      </c>
      <c r="AK86" s="19"/>
      <c r="AY86" s="78"/>
      <c r="BF86" s="83"/>
      <c r="BG86" s="78">
        <v>53.2</v>
      </c>
      <c r="BH86" s="78">
        <v>0</v>
      </c>
      <c r="BI86" s="78">
        <v>126</v>
      </c>
      <c r="BJ86" s="78">
        <v>0</v>
      </c>
      <c r="BK86" s="78">
        <v>0</v>
      </c>
      <c r="BL86" s="78">
        <v>49</v>
      </c>
    </row>
    <row r="87" spans="1:64" ht="15.75" thickBot="1" x14ac:dyDescent="0.3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53"/>
        <v>0</v>
      </c>
      <c r="AI87" s="11">
        <f t="shared" si="54"/>
        <v>0</v>
      </c>
      <c r="AK87" s="19"/>
      <c r="AL87" s="108" t="s">
        <v>177</v>
      </c>
      <c r="AM87" s="108"/>
      <c r="AY87" s="78"/>
      <c r="BF87" s="78"/>
      <c r="BG87" s="78">
        <v>50</v>
      </c>
      <c r="BH87" s="78">
        <v>0</v>
      </c>
      <c r="BI87" s="78">
        <v>126</v>
      </c>
      <c r="BJ87" s="78">
        <v>0</v>
      </c>
      <c r="BK87" s="78">
        <v>0</v>
      </c>
      <c r="BL87" s="78">
        <v>48.5</v>
      </c>
    </row>
    <row r="88" spans="1:64" x14ac:dyDescent="0.25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53"/>
        <v>0</v>
      </c>
      <c r="AI88" s="11">
        <f t="shared" si="54"/>
        <v>0</v>
      </c>
      <c r="AK88" s="107"/>
      <c r="AL88" s="106"/>
      <c r="AM88" s="106"/>
      <c r="AN88" s="105"/>
      <c r="AY88" s="78"/>
      <c r="BF88" s="78"/>
      <c r="BG88" s="78">
        <v>38.5</v>
      </c>
      <c r="BH88" s="78">
        <v>0</v>
      </c>
      <c r="BI88" s="78">
        <v>182.3</v>
      </c>
      <c r="BJ88" s="78">
        <v>0</v>
      </c>
      <c r="BK88" s="78">
        <v>0</v>
      </c>
      <c r="BL88" s="78">
        <v>49.4</v>
      </c>
    </row>
    <row r="89" spans="1:64" x14ac:dyDescent="0.25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53"/>
        <v>0</v>
      </c>
      <c r="AI89" s="11">
        <f t="shared" si="54"/>
        <v>0</v>
      </c>
      <c r="AK89" s="104" t="s">
        <v>174</v>
      </c>
      <c r="AL89" s="70"/>
      <c r="AM89" s="85"/>
      <c r="AN89" s="103"/>
      <c r="AY89" s="78"/>
      <c r="BF89" s="78"/>
      <c r="BG89" s="78">
        <v>42</v>
      </c>
      <c r="BH89" s="78">
        <v>0</v>
      </c>
      <c r="BI89" s="78">
        <v>264</v>
      </c>
      <c r="BJ89" s="78">
        <v>0</v>
      </c>
      <c r="BK89" s="78">
        <v>0</v>
      </c>
      <c r="BL89" s="78">
        <v>46.4</v>
      </c>
    </row>
    <row r="90" spans="1:64" x14ac:dyDescent="0.25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53"/>
        <v>0</v>
      </c>
      <c r="AI90" s="11">
        <f t="shared" si="54"/>
        <v>0</v>
      </c>
      <c r="AK90" s="104" t="s">
        <v>172</v>
      </c>
      <c r="AL90" s="85"/>
      <c r="AM90" s="85"/>
      <c r="AN90" s="103"/>
      <c r="AY90" s="78"/>
      <c r="BF90" s="78"/>
      <c r="BG90" s="78">
        <v>42</v>
      </c>
      <c r="BH90" s="78">
        <v>96</v>
      </c>
      <c r="BI90" s="78">
        <v>450</v>
      </c>
      <c r="BJ90" s="78">
        <v>50</v>
      </c>
      <c r="BK90" s="78">
        <v>120</v>
      </c>
      <c r="BL90" s="78">
        <v>46.4</v>
      </c>
    </row>
    <row r="91" spans="1:64" ht="15.75" thickBot="1" x14ac:dyDescent="0.3">
      <c r="A91" s="82" t="s">
        <v>171</v>
      </c>
      <c r="B91" s="97">
        <v>52</v>
      </c>
      <c r="C91" s="97">
        <v>52</v>
      </c>
      <c r="D91" s="97">
        <v>52</v>
      </c>
      <c r="E91" s="97">
        <v>49</v>
      </c>
      <c r="F91" s="97">
        <v>48.5</v>
      </c>
      <c r="G91" s="97">
        <v>49.4</v>
      </c>
      <c r="H91" s="97">
        <v>46.4</v>
      </c>
      <c r="I91" s="97">
        <v>46.4</v>
      </c>
      <c r="J91" s="97">
        <v>46.4</v>
      </c>
      <c r="K91" s="97">
        <v>46.4</v>
      </c>
      <c r="L91" s="97">
        <v>50</v>
      </c>
      <c r="M91" s="97">
        <v>54</v>
      </c>
      <c r="N91" s="97">
        <v>51</v>
      </c>
      <c r="O91" s="97">
        <v>52</v>
      </c>
      <c r="P91" s="97">
        <v>52</v>
      </c>
      <c r="Q91" s="97">
        <v>52</v>
      </c>
      <c r="R91" s="97">
        <v>52</v>
      </c>
      <c r="S91" s="97">
        <v>55.4</v>
      </c>
      <c r="T91" s="97">
        <v>51.2</v>
      </c>
      <c r="U91" s="97">
        <v>55.5</v>
      </c>
      <c r="V91" s="97">
        <v>51.7</v>
      </c>
      <c r="W91" s="97">
        <v>47</v>
      </c>
      <c r="X91" s="97">
        <v>47</v>
      </c>
      <c r="Y91" s="97">
        <v>40</v>
      </c>
      <c r="Z91" s="97">
        <v>42.5</v>
      </c>
      <c r="AA91" s="97">
        <v>42.6</v>
      </c>
      <c r="AB91" s="97">
        <v>40</v>
      </c>
      <c r="AC91" s="97">
        <v>40</v>
      </c>
      <c r="AD91" s="97">
        <v>41.2</v>
      </c>
      <c r="AE91" s="97">
        <v>40.1</v>
      </c>
      <c r="AF91" s="97">
        <v>40.200000000000003</v>
      </c>
      <c r="AG91" s="80"/>
      <c r="AH91" s="12">
        <f t="shared" si="53"/>
        <v>55.5</v>
      </c>
      <c r="AI91" s="11">
        <f t="shared" si="54"/>
        <v>40</v>
      </c>
      <c r="AK91" s="98"/>
      <c r="AL91" s="102"/>
      <c r="AM91" s="102"/>
      <c r="AN91" s="101"/>
      <c r="AY91" s="78"/>
      <c r="BF91" s="78"/>
      <c r="BG91" s="78">
        <v>55</v>
      </c>
      <c r="BH91" s="78">
        <v>94</v>
      </c>
      <c r="BI91" s="78">
        <v>474</v>
      </c>
      <c r="BJ91" s="78">
        <v>50</v>
      </c>
      <c r="BK91" s="78">
        <v>114</v>
      </c>
      <c r="BL91" s="78">
        <v>54</v>
      </c>
    </row>
    <row r="92" spans="1:64" ht="15.75" thickBot="1" x14ac:dyDescent="0.3">
      <c r="A92" s="77" t="s">
        <v>170</v>
      </c>
      <c r="B92" s="76">
        <f t="shared" ref="B92:C92" si="55">SUMIF(B81:B91,"&gt;0")</f>
        <v>273</v>
      </c>
      <c r="C92" s="76">
        <f t="shared" si="55"/>
        <v>300</v>
      </c>
      <c r="D92" s="76">
        <f t="shared" ref="D92:AF92" si="56">SUMIF(D81:D91,"&gt;0")</f>
        <v>300</v>
      </c>
      <c r="E92" s="76">
        <f t="shared" si="56"/>
        <v>228.2</v>
      </c>
      <c r="F92" s="76">
        <f t="shared" si="56"/>
        <v>224.5</v>
      </c>
      <c r="G92" s="76">
        <f t="shared" si="56"/>
        <v>270.2</v>
      </c>
      <c r="H92" s="76">
        <f t="shared" si="56"/>
        <v>306</v>
      </c>
      <c r="I92" s="76">
        <f t="shared" si="56"/>
        <v>352.4</v>
      </c>
      <c r="J92" s="76">
        <f t="shared" si="56"/>
        <v>522.4</v>
      </c>
      <c r="K92" s="76">
        <f t="shared" si="56"/>
        <v>804.4</v>
      </c>
      <c r="L92" s="76">
        <f t="shared" si="56"/>
        <v>812.7</v>
      </c>
      <c r="M92" s="76">
        <f t="shared" si="56"/>
        <v>841</v>
      </c>
      <c r="N92" s="76">
        <f t="shared" si="56"/>
        <v>835</v>
      </c>
      <c r="O92" s="76">
        <f t="shared" si="56"/>
        <v>793</v>
      </c>
      <c r="P92" s="76">
        <f t="shared" si="56"/>
        <v>887</v>
      </c>
      <c r="Q92" s="76">
        <f t="shared" si="56"/>
        <v>849.2</v>
      </c>
      <c r="R92" s="76">
        <f t="shared" si="56"/>
        <v>784.6</v>
      </c>
      <c r="S92" s="76">
        <f t="shared" si="56"/>
        <v>864.69999999999993</v>
      </c>
      <c r="T92" s="76">
        <f t="shared" si="56"/>
        <v>890.9</v>
      </c>
      <c r="U92" s="76">
        <f t="shared" si="56"/>
        <v>857.60000000000014</v>
      </c>
      <c r="V92" s="76">
        <f t="shared" ref="V92:W92" si="57">SUMIF(V81:V91,"&gt;0")</f>
        <v>908.50000000000011</v>
      </c>
      <c r="W92" s="76">
        <f t="shared" si="57"/>
        <v>850.2</v>
      </c>
      <c r="X92" s="76">
        <f t="shared" ref="X92:Z92" si="58">SUMIF(X81:X91,"&gt;0")</f>
        <v>702.6</v>
      </c>
      <c r="Y92" s="76">
        <f t="shared" si="58"/>
        <v>346.4</v>
      </c>
      <c r="Z92" s="76">
        <f t="shared" si="58"/>
        <v>463.5</v>
      </c>
      <c r="AA92" s="76">
        <f t="shared" ref="AA92" si="59">SUMIF(AA81:AA91,"&gt;0")</f>
        <v>354.70000000000005</v>
      </c>
      <c r="AB92" s="76">
        <f t="shared" si="56"/>
        <v>381.6</v>
      </c>
      <c r="AC92" s="76">
        <f t="shared" si="56"/>
        <v>367.6</v>
      </c>
      <c r="AD92" s="76">
        <f t="shared" si="56"/>
        <v>388</v>
      </c>
      <c r="AE92" s="76">
        <f t="shared" si="56"/>
        <v>293.3</v>
      </c>
      <c r="AF92" s="76">
        <f t="shared" si="56"/>
        <v>223.39999999999998</v>
      </c>
      <c r="AG92" s="75">
        <f>SUM(AG81:AG91)</f>
        <v>0</v>
      </c>
      <c r="AH92" s="12">
        <f t="shared" si="53"/>
        <v>908.50000000000011</v>
      </c>
      <c r="AI92" s="11">
        <f t="shared" si="54"/>
        <v>223.39999999999998</v>
      </c>
      <c r="AK92" s="98"/>
      <c r="AL92" s="97"/>
      <c r="AM92" s="100"/>
      <c r="AN92" s="220"/>
      <c r="AY92" s="78"/>
      <c r="BF92" s="78"/>
      <c r="BG92" s="78">
        <v>55</v>
      </c>
      <c r="BH92" s="78">
        <v>94</v>
      </c>
      <c r="BI92" s="78">
        <v>465</v>
      </c>
      <c r="BJ92" s="78">
        <v>50</v>
      </c>
      <c r="BK92" s="78">
        <v>120</v>
      </c>
      <c r="BL92" s="78">
        <v>51</v>
      </c>
    </row>
    <row r="93" spans="1:64" x14ac:dyDescent="0.25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53"/>
        <v>0</v>
      </c>
      <c r="AI93" s="11">
        <f t="shared" si="54"/>
        <v>0</v>
      </c>
      <c r="AK93" s="98"/>
      <c r="AL93" s="97"/>
      <c r="AM93" s="97"/>
      <c r="AN93" s="221"/>
      <c r="BF93" s="78"/>
      <c r="BG93" s="78">
        <v>0</v>
      </c>
      <c r="BH93" s="78">
        <v>110</v>
      </c>
      <c r="BI93" s="78">
        <v>452</v>
      </c>
      <c r="BJ93" s="78">
        <v>50</v>
      </c>
      <c r="BK93" s="78">
        <v>129</v>
      </c>
      <c r="BL93" s="78">
        <v>52</v>
      </c>
    </row>
    <row r="94" spans="1:64" ht="15.75" thickBot="1" x14ac:dyDescent="0.3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53"/>
        <v>0</v>
      </c>
      <c r="AI94" s="11">
        <f t="shared" si="54"/>
        <v>0</v>
      </c>
      <c r="AK94" s="95"/>
      <c r="AL94" s="67"/>
      <c r="AM94" s="67"/>
      <c r="AN94" s="94"/>
      <c r="BF94" s="78"/>
      <c r="BG94" s="78">
        <v>67</v>
      </c>
      <c r="BH94" s="78">
        <v>120</v>
      </c>
      <c r="BI94" s="78">
        <v>463</v>
      </c>
      <c r="BJ94" s="78">
        <v>50</v>
      </c>
      <c r="BK94" s="78">
        <v>135</v>
      </c>
      <c r="BL94" s="78">
        <v>52</v>
      </c>
    </row>
    <row r="95" spans="1:64" ht="15.75" thickBot="1" x14ac:dyDescent="0.3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53"/>
        <v>0</v>
      </c>
      <c r="AI95" s="11">
        <f t="shared" si="54"/>
        <v>0</v>
      </c>
      <c r="BF95" s="78"/>
      <c r="BG95" s="78">
        <v>72.7</v>
      </c>
      <c r="BH95" s="78">
        <v>104.3</v>
      </c>
      <c r="BI95" s="78">
        <v>455.7</v>
      </c>
      <c r="BJ95" s="78">
        <v>43.6</v>
      </c>
      <c r="BK95" s="78">
        <v>120.9</v>
      </c>
      <c r="BL95" s="78">
        <v>52</v>
      </c>
    </row>
    <row r="96" spans="1:64" ht="15.75" thickBot="1" x14ac:dyDescent="0.3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53"/>
        <v>0</v>
      </c>
      <c r="AI96" s="11">
        <f t="shared" si="54"/>
        <v>0</v>
      </c>
      <c r="BF96" s="78"/>
      <c r="BG96" s="78">
        <v>67.599999999999994</v>
      </c>
      <c r="BH96" s="78">
        <v>108</v>
      </c>
      <c r="BI96" s="78">
        <v>442</v>
      </c>
      <c r="BJ96" s="78">
        <v>0</v>
      </c>
      <c r="BK96" s="78">
        <v>115</v>
      </c>
      <c r="BL96" s="78">
        <v>52</v>
      </c>
    </row>
    <row r="97" spans="1:64" ht="15.75" thickBot="1" x14ac:dyDescent="0.3">
      <c r="A97" s="77" t="s">
        <v>165</v>
      </c>
      <c r="B97" s="90">
        <f t="shared" ref="B97:C97" si="60">B58+B62+B80+B76+B92+B96</f>
        <v>1281.46</v>
      </c>
      <c r="C97" s="90">
        <f t="shared" si="60"/>
        <v>1238.46</v>
      </c>
      <c r="D97" s="90">
        <f t="shared" ref="D97:AG97" si="61">D58+D62+D80+D76+D92+D96</f>
        <v>1238.46</v>
      </c>
      <c r="E97" s="90">
        <f t="shared" si="61"/>
        <v>1181.6599999999999</v>
      </c>
      <c r="F97" s="90">
        <f t="shared" si="61"/>
        <v>1179.96</v>
      </c>
      <c r="G97" s="90">
        <f t="shared" si="61"/>
        <v>1208.1599999999999</v>
      </c>
      <c r="H97" s="90">
        <f t="shared" si="61"/>
        <v>1243.96</v>
      </c>
      <c r="I97" s="90">
        <f t="shared" si="61"/>
        <v>1330.06</v>
      </c>
      <c r="J97" s="90">
        <f t="shared" si="61"/>
        <v>1500.06</v>
      </c>
      <c r="K97" s="90">
        <f t="shared" si="61"/>
        <v>1630.46</v>
      </c>
      <c r="L97" s="90">
        <f t="shared" si="61"/>
        <v>1697.06</v>
      </c>
      <c r="M97" s="90">
        <f t="shared" si="61"/>
        <v>1707.1299999999999</v>
      </c>
      <c r="N97" s="90">
        <f t="shared" si="61"/>
        <v>1680.4299999999998</v>
      </c>
      <c r="O97" s="90">
        <f t="shared" si="61"/>
        <v>1642.09</v>
      </c>
      <c r="P97" s="90">
        <f t="shared" si="61"/>
        <v>1768.6299999999999</v>
      </c>
      <c r="Q97" s="90">
        <f t="shared" si="61"/>
        <v>1750.9299999999998</v>
      </c>
      <c r="R97" s="90">
        <f t="shared" si="61"/>
        <v>1669.23</v>
      </c>
      <c r="S97" s="90">
        <f t="shared" si="61"/>
        <v>1760.6299999999997</v>
      </c>
      <c r="T97" s="90">
        <f t="shared" si="61"/>
        <v>1779.73</v>
      </c>
      <c r="U97" s="90">
        <f t="shared" si="61"/>
        <v>1706.23</v>
      </c>
      <c r="V97" s="90">
        <f t="shared" ref="V97:W97" si="62">V58+V62+V80+V76+V92+V96</f>
        <v>1717.33</v>
      </c>
      <c r="W97" s="90">
        <f t="shared" si="62"/>
        <v>1631.13</v>
      </c>
      <c r="X97" s="90">
        <f t="shared" ref="X97:Z97" si="63">X58+X62+X80+X76+X92+X96</f>
        <v>1526.73</v>
      </c>
      <c r="Y97" s="90">
        <f t="shared" si="63"/>
        <v>1561.83</v>
      </c>
      <c r="Z97" s="90">
        <f t="shared" si="63"/>
        <v>1711.0299999999997</v>
      </c>
      <c r="AA97" s="90">
        <f t="shared" ref="AA97" si="64">AA58+AA62+AA80+AA76+AA92+AA96</f>
        <v>1655.6299999999999</v>
      </c>
      <c r="AB97" s="90">
        <f t="shared" si="61"/>
        <v>1556.0299999999997</v>
      </c>
      <c r="AC97" s="90">
        <f t="shared" si="61"/>
        <v>1531.73</v>
      </c>
      <c r="AD97" s="90">
        <f t="shared" si="61"/>
        <v>1513.1299999999999</v>
      </c>
      <c r="AE97" s="90">
        <f t="shared" si="61"/>
        <v>1421.1299999999999</v>
      </c>
      <c r="AF97" s="90">
        <f t="shared" si="61"/>
        <v>1320.0300000000002</v>
      </c>
      <c r="AG97" s="93">
        <f t="shared" si="61"/>
        <v>2231.81</v>
      </c>
      <c r="AH97" s="12">
        <f t="shared" si="53"/>
        <v>1779.73</v>
      </c>
      <c r="AI97" s="11">
        <f t="shared" si="54"/>
        <v>1179.96</v>
      </c>
      <c r="BF97" s="78"/>
      <c r="BG97" s="78">
        <v>75.900000000000006</v>
      </c>
      <c r="BH97" s="78">
        <v>112.6</v>
      </c>
      <c r="BI97" s="78">
        <v>460</v>
      </c>
      <c r="BJ97" s="78">
        <v>20.100000000000001</v>
      </c>
      <c r="BK97" s="78">
        <v>140.69999999999999</v>
      </c>
      <c r="BL97" s="78">
        <v>55.4</v>
      </c>
    </row>
    <row r="98" spans="1:64" ht="15.75" thickBot="1" x14ac:dyDescent="0.3">
      <c r="A98" s="92" t="s">
        <v>164</v>
      </c>
      <c r="B98" s="91">
        <v>280</v>
      </c>
      <c r="C98" s="91">
        <v>250</v>
      </c>
      <c r="D98" s="91">
        <v>250</v>
      </c>
      <c r="E98" s="91">
        <v>250</v>
      </c>
      <c r="F98" s="91">
        <v>250</v>
      </c>
      <c r="G98" s="91">
        <v>250</v>
      </c>
      <c r="H98" s="91">
        <v>250</v>
      </c>
      <c r="I98" s="91">
        <v>250</v>
      </c>
      <c r="J98" s="91"/>
      <c r="K98" s="91"/>
      <c r="L98" s="91"/>
      <c r="M98" s="91">
        <v>20</v>
      </c>
      <c r="N98" s="91">
        <v>20</v>
      </c>
      <c r="O98" s="91">
        <v>20</v>
      </c>
      <c r="P98" s="91">
        <v>20</v>
      </c>
      <c r="Q98" s="91">
        <v>20</v>
      </c>
      <c r="R98" s="91">
        <v>20</v>
      </c>
      <c r="S98" s="91">
        <v>10</v>
      </c>
      <c r="T98" s="91">
        <v>10</v>
      </c>
      <c r="U98" s="91">
        <v>10</v>
      </c>
      <c r="V98" s="91">
        <v>10</v>
      </c>
      <c r="W98" s="91">
        <v>10</v>
      </c>
      <c r="X98" s="91">
        <v>11</v>
      </c>
      <c r="Y98" s="91">
        <v>12</v>
      </c>
      <c r="Z98" s="91">
        <v>300</v>
      </c>
      <c r="AA98" s="91">
        <v>300</v>
      </c>
      <c r="AB98" s="91">
        <v>300</v>
      </c>
      <c r="AC98" s="91">
        <v>300</v>
      </c>
      <c r="AD98" s="91">
        <v>300</v>
      </c>
      <c r="AE98" s="91">
        <v>300</v>
      </c>
      <c r="AF98" s="91">
        <v>300</v>
      </c>
      <c r="AG98" s="75"/>
      <c r="AH98" s="12">
        <f t="shared" si="53"/>
        <v>300</v>
      </c>
      <c r="AI98" s="11">
        <f t="shared" si="54"/>
        <v>10</v>
      </c>
      <c r="BF98" s="78"/>
      <c r="BG98" s="78">
        <v>67.5</v>
      </c>
      <c r="BH98" s="78">
        <v>121</v>
      </c>
      <c r="BI98" s="78">
        <v>481</v>
      </c>
      <c r="BJ98" s="78">
        <v>37.299999999999997</v>
      </c>
      <c r="BK98" s="78">
        <v>132.9</v>
      </c>
      <c r="BL98" s="78">
        <v>51.2</v>
      </c>
    </row>
    <row r="99" spans="1:64" ht="15.75" thickBot="1" x14ac:dyDescent="0.3">
      <c r="A99" s="77" t="s">
        <v>163</v>
      </c>
      <c r="B99" s="90">
        <f t="shared" ref="B99:C99" si="65">B97+B98</f>
        <v>1561.46</v>
      </c>
      <c r="C99" s="90">
        <f t="shared" si="65"/>
        <v>1488.46</v>
      </c>
      <c r="D99" s="90">
        <f t="shared" ref="D99:AF99" si="66">D97+D98</f>
        <v>1488.46</v>
      </c>
      <c r="E99" s="90">
        <f t="shared" si="66"/>
        <v>1431.6599999999999</v>
      </c>
      <c r="F99" s="90">
        <f t="shared" si="66"/>
        <v>1429.96</v>
      </c>
      <c r="G99" s="90">
        <f t="shared" si="66"/>
        <v>1458.1599999999999</v>
      </c>
      <c r="H99" s="90">
        <f t="shared" si="66"/>
        <v>1493.96</v>
      </c>
      <c r="I99" s="90">
        <f t="shared" si="66"/>
        <v>1580.06</v>
      </c>
      <c r="J99" s="90">
        <f t="shared" si="66"/>
        <v>1500.06</v>
      </c>
      <c r="K99" s="90">
        <f t="shared" si="66"/>
        <v>1630.46</v>
      </c>
      <c r="L99" s="90">
        <f t="shared" si="66"/>
        <v>1697.06</v>
      </c>
      <c r="M99" s="90">
        <f t="shared" si="66"/>
        <v>1727.1299999999999</v>
      </c>
      <c r="N99" s="90">
        <f t="shared" si="66"/>
        <v>1700.4299999999998</v>
      </c>
      <c r="O99" s="90">
        <f t="shared" si="66"/>
        <v>1662.09</v>
      </c>
      <c r="P99" s="90">
        <f t="shared" si="66"/>
        <v>1788.6299999999999</v>
      </c>
      <c r="Q99" s="90">
        <f t="shared" si="66"/>
        <v>1770.9299999999998</v>
      </c>
      <c r="R99" s="90">
        <f t="shared" si="66"/>
        <v>1689.23</v>
      </c>
      <c r="S99" s="90">
        <f t="shared" si="66"/>
        <v>1770.6299999999997</v>
      </c>
      <c r="T99" s="90">
        <f t="shared" si="66"/>
        <v>1789.73</v>
      </c>
      <c r="U99" s="90">
        <f t="shared" si="66"/>
        <v>1716.23</v>
      </c>
      <c r="V99" s="90">
        <f t="shared" ref="V99:W99" si="67">V97+V98</f>
        <v>1727.33</v>
      </c>
      <c r="W99" s="90">
        <f t="shared" si="67"/>
        <v>1641.13</v>
      </c>
      <c r="X99" s="90">
        <f t="shared" ref="X99:Z99" si="68">X97+X98</f>
        <v>1537.73</v>
      </c>
      <c r="Y99" s="90">
        <f t="shared" si="68"/>
        <v>1573.83</v>
      </c>
      <c r="Z99" s="90">
        <f t="shared" si="68"/>
        <v>2011.0299999999997</v>
      </c>
      <c r="AA99" s="90">
        <f t="shared" ref="AA99" si="69">AA97+AA98</f>
        <v>1955.6299999999999</v>
      </c>
      <c r="AB99" s="90">
        <f t="shared" si="66"/>
        <v>1856.0299999999997</v>
      </c>
      <c r="AC99" s="90">
        <f t="shared" si="66"/>
        <v>1831.73</v>
      </c>
      <c r="AD99" s="90">
        <f t="shared" si="66"/>
        <v>1813.1299999999999</v>
      </c>
      <c r="AE99" s="90">
        <f t="shared" si="66"/>
        <v>1721.1299999999999</v>
      </c>
      <c r="AF99" s="90">
        <f t="shared" si="66"/>
        <v>1620.0300000000002</v>
      </c>
      <c r="AG99" s="75">
        <f>AG96+AG92+AG80+AG76+AG58+AG98</f>
        <v>1693.71</v>
      </c>
      <c r="AH99" s="12">
        <f t="shared" si="53"/>
        <v>2011.0299999999997</v>
      </c>
      <c r="AI99" s="11">
        <f t="shared" si="54"/>
        <v>1429.96</v>
      </c>
      <c r="BF99" s="78"/>
      <c r="BG99" s="78">
        <v>41.6</v>
      </c>
      <c r="BH99" s="78">
        <v>122.6</v>
      </c>
      <c r="BI99" s="78">
        <v>465</v>
      </c>
      <c r="BJ99" s="78">
        <v>35.200000000000003</v>
      </c>
      <c r="BK99" s="78">
        <v>137.69999999999999</v>
      </c>
      <c r="BL99" s="78">
        <v>55.5</v>
      </c>
    </row>
    <row r="100" spans="1:64" ht="15.75" thickBot="1" x14ac:dyDescent="0.3">
      <c r="A100" s="77" t="s">
        <v>162</v>
      </c>
      <c r="B100" s="90">
        <f t="shared" ref="B100:C100" si="70">B99-(B107)</f>
        <v>1561.46</v>
      </c>
      <c r="C100" s="90">
        <f t="shared" si="70"/>
        <v>1488.46</v>
      </c>
      <c r="D100" s="90">
        <f t="shared" ref="D100:AF100" si="71">D99-(D107)</f>
        <v>1488.46</v>
      </c>
      <c r="E100" s="90">
        <f t="shared" si="71"/>
        <v>1431.6599999999999</v>
      </c>
      <c r="F100" s="90">
        <f t="shared" si="71"/>
        <v>1429.96</v>
      </c>
      <c r="G100" s="90">
        <f t="shared" si="71"/>
        <v>1458.1599999999999</v>
      </c>
      <c r="H100" s="90">
        <f t="shared" si="71"/>
        <v>1493.96</v>
      </c>
      <c r="I100" s="90">
        <f t="shared" si="71"/>
        <v>1580.06</v>
      </c>
      <c r="J100" s="90">
        <f t="shared" si="71"/>
        <v>1500.06</v>
      </c>
      <c r="K100" s="90">
        <f t="shared" si="71"/>
        <v>1630.46</v>
      </c>
      <c r="L100" s="90">
        <f t="shared" si="71"/>
        <v>1697.06</v>
      </c>
      <c r="M100" s="90">
        <f t="shared" si="71"/>
        <v>1727.1299999999999</v>
      </c>
      <c r="N100" s="90">
        <f t="shared" si="71"/>
        <v>1700.4299999999998</v>
      </c>
      <c r="O100" s="90">
        <f t="shared" si="71"/>
        <v>1662.09</v>
      </c>
      <c r="P100" s="90">
        <f t="shared" si="71"/>
        <v>1788.6299999999999</v>
      </c>
      <c r="Q100" s="90">
        <f t="shared" si="71"/>
        <v>1770.9299999999998</v>
      </c>
      <c r="R100" s="90">
        <f t="shared" si="71"/>
        <v>1689.23</v>
      </c>
      <c r="S100" s="90">
        <f t="shared" si="71"/>
        <v>1770.6299999999997</v>
      </c>
      <c r="T100" s="90">
        <f t="shared" si="71"/>
        <v>1789.73</v>
      </c>
      <c r="U100" s="90">
        <f t="shared" si="71"/>
        <v>1716.23</v>
      </c>
      <c r="V100" s="90">
        <f t="shared" ref="V100:W100" si="72">V99-(V107)</f>
        <v>1727.33</v>
      </c>
      <c r="W100" s="90">
        <f t="shared" si="72"/>
        <v>1641.13</v>
      </c>
      <c r="X100" s="90">
        <f t="shared" ref="X100:Z100" si="73">X99-(X107)</f>
        <v>1537.73</v>
      </c>
      <c r="Y100" s="90">
        <f t="shared" si="73"/>
        <v>1572.83</v>
      </c>
      <c r="Z100" s="90">
        <f t="shared" si="73"/>
        <v>2011.0299999999997</v>
      </c>
      <c r="AA100" s="90">
        <f t="shared" ref="AA100" si="74">AA99-(AA107)</f>
        <v>1955.6299999999999</v>
      </c>
      <c r="AB100" s="90">
        <f t="shared" si="71"/>
        <v>1856.0299999999997</v>
      </c>
      <c r="AC100" s="90">
        <f t="shared" si="71"/>
        <v>1831.73</v>
      </c>
      <c r="AD100" s="90">
        <f t="shared" si="71"/>
        <v>1813.1299999999999</v>
      </c>
      <c r="AE100" s="90">
        <f t="shared" si="71"/>
        <v>1721.1299999999999</v>
      </c>
      <c r="AF100" s="90">
        <f t="shared" si="71"/>
        <v>1620.0300000000002</v>
      </c>
      <c r="AG100" s="75"/>
      <c r="AH100" s="12">
        <f t="shared" si="53"/>
        <v>2011.0299999999997</v>
      </c>
      <c r="AI100" s="11">
        <f t="shared" si="54"/>
        <v>1429.96</v>
      </c>
      <c r="BF100" s="78"/>
      <c r="BG100" s="78">
        <v>94</v>
      </c>
      <c r="BH100" s="78">
        <v>112.5</v>
      </c>
      <c r="BI100" s="78">
        <v>483.1</v>
      </c>
      <c r="BJ100" s="78">
        <v>48</v>
      </c>
      <c r="BK100" s="78">
        <v>119.2</v>
      </c>
      <c r="BL100" s="78">
        <v>51.7</v>
      </c>
    </row>
    <row r="101" spans="1:64" x14ac:dyDescent="0.25">
      <c r="A101" s="89" t="s">
        <v>161</v>
      </c>
      <c r="B101" s="85">
        <f t="shared" ref="B101:C101" si="75">IF(B84&lt;0,B84*-1,0)</f>
        <v>0</v>
      </c>
      <c r="C101" s="85">
        <f t="shared" si="75"/>
        <v>0</v>
      </c>
      <c r="D101" s="85">
        <f t="shared" ref="D101:AF101" si="76">IF(D84&lt;0,D84*-1,0)</f>
        <v>0</v>
      </c>
      <c r="E101" s="85">
        <f t="shared" si="76"/>
        <v>0</v>
      </c>
      <c r="F101" s="85">
        <f t="shared" si="76"/>
        <v>0</v>
      </c>
      <c r="G101" s="85">
        <f t="shared" si="76"/>
        <v>0</v>
      </c>
      <c r="H101" s="85">
        <f t="shared" si="76"/>
        <v>0</v>
      </c>
      <c r="I101" s="85">
        <f t="shared" si="76"/>
        <v>0</v>
      </c>
      <c r="J101" s="85">
        <f t="shared" si="76"/>
        <v>0</v>
      </c>
      <c r="K101" s="85">
        <f t="shared" si="76"/>
        <v>0</v>
      </c>
      <c r="L101" s="85">
        <f t="shared" si="76"/>
        <v>0</v>
      </c>
      <c r="M101" s="85">
        <f t="shared" si="76"/>
        <v>0</v>
      </c>
      <c r="N101" s="85">
        <f t="shared" si="76"/>
        <v>0</v>
      </c>
      <c r="O101" s="85">
        <f t="shared" si="76"/>
        <v>0</v>
      </c>
      <c r="P101" s="85">
        <f t="shared" si="76"/>
        <v>0</v>
      </c>
      <c r="Q101" s="85">
        <f t="shared" si="76"/>
        <v>0</v>
      </c>
      <c r="R101" s="85">
        <f t="shared" si="76"/>
        <v>0</v>
      </c>
      <c r="S101" s="85">
        <f t="shared" si="76"/>
        <v>0</v>
      </c>
      <c r="T101" s="85">
        <f t="shared" si="76"/>
        <v>0</v>
      </c>
      <c r="U101" s="85">
        <f t="shared" si="76"/>
        <v>0</v>
      </c>
      <c r="V101" s="85">
        <f t="shared" ref="V101:W101" si="77">IF(V84&lt;0,V84*-1,0)</f>
        <v>0</v>
      </c>
      <c r="W101" s="85">
        <f t="shared" si="77"/>
        <v>0</v>
      </c>
      <c r="X101" s="85">
        <f t="shared" ref="X101:Z101" si="78">IF(X84&lt;0,X84*-1,0)</f>
        <v>0</v>
      </c>
      <c r="Y101" s="85">
        <f t="shared" si="78"/>
        <v>0</v>
      </c>
      <c r="Z101" s="85">
        <f t="shared" si="78"/>
        <v>0</v>
      </c>
      <c r="AA101" s="85">
        <f t="shared" ref="AA101" si="79">IF(AA84&lt;0,AA84*-1,0)</f>
        <v>0</v>
      </c>
      <c r="AB101" s="85">
        <f t="shared" si="76"/>
        <v>0</v>
      </c>
      <c r="AC101" s="85">
        <f t="shared" si="76"/>
        <v>0</v>
      </c>
      <c r="AD101" s="85">
        <f t="shared" si="76"/>
        <v>0</v>
      </c>
      <c r="AE101" s="85">
        <f t="shared" si="76"/>
        <v>0</v>
      </c>
      <c r="AF101" s="85">
        <f t="shared" si="76"/>
        <v>0</v>
      </c>
      <c r="AG101" s="88"/>
      <c r="AH101" s="12">
        <f t="shared" si="53"/>
        <v>0</v>
      </c>
      <c r="AI101" s="11">
        <f t="shared" si="54"/>
        <v>0</v>
      </c>
      <c r="BF101" s="83"/>
      <c r="BG101" s="78">
        <v>70.2</v>
      </c>
      <c r="BH101" s="78">
        <v>117.8</v>
      </c>
      <c r="BI101" s="78">
        <v>354.1</v>
      </c>
      <c r="BJ101" s="78">
        <v>46.8</v>
      </c>
      <c r="BK101" s="78">
        <v>66.7</v>
      </c>
      <c r="BL101" s="78">
        <v>47</v>
      </c>
    </row>
    <row r="102" spans="1:64" x14ac:dyDescent="0.25">
      <c r="A102" s="87" t="s">
        <v>160</v>
      </c>
      <c r="B102" s="85">
        <f t="shared" ref="B102:C102" si="80">IF(B82&lt;0,B82*-1,0)</f>
        <v>0</v>
      </c>
      <c r="C102" s="85">
        <f t="shared" si="80"/>
        <v>0</v>
      </c>
      <c r="D102" s="85">
        <f t="shared" ref="D102:AF102" si="81">IF(D82&lt;0,D82*-1,0)</f>
        <v>0</v>
      </c>
      <c r="E102" s="85">
        <f t="shared" si="81"/>
        <v>0</v>
      </c>
      <c r="F102" s="85">
        <f t="shared" si="81"/>
        <v>0</v>
      </c>
      <c r="G102" s="85">
        <f t="shared" si="81"/>
        <v>0</v>
      </c>
      <c r="H102" s="85">
        <f t="shared" si="81"/>
        <v>0</v>
      </c>
      <c r="I102" s="85">
        <f t="shared" si="81"/>
        <v>0</v>
      </c>
      <c r="J102" s="85">
        <f t="shared" si="81"/>
        <v>0</v>
      </c>
      <c r="K102" s="85">
        <f t="shared" si="81"/>
        <v>0</v>
      </c>
      <c r="L102" s="85">
        <f t="shared" si="81"/>
        <v>0</v>
      </c>
      <c r="M102" s="85">
        <f t="shared" si="81"/>
        <v>0</v>
      </c>
      <c r="N102" s="85">
        <f t="shared" si="81"/>
        <v>0</v>
      </c>
      <c r="O102" s="85">
        <f t="shared" si="81"/>
        <v>0</v>
      </c>
      <c r="P102" s="85">
        <f t="shared" si="81"/>
        <v>0</v>
      </c>
      <c r="Q102" s="85">
        <f t="shared" si="81"/>
        <v>0</v>
      </c>
      <c r="R102" s="85">
        <f t="shared" si="81"/>
        <v>0</v>
      </c>
      <c r="S102" s="85">
        <f t="shared" si="81"/>
        <v>0</v>
      </c>
      <c r="T102" s="85">
        <f t="shared" si="81"/>
        <v>0</v>
      </c>
      <c r="U102" s="85">
        <f t="shared" si="81"/>
        <v>0</v>
      </c>
      <c r="V102" s="85">
        <f t="shared" ref="V102:W102" si="82">IF(V82&lt;0,V82*-1,0)</f>
        <v>0</v>
      </c>
      <c r="W102" s="85">
        <f t="shared" si="82"/>
        <v>0</v>
      </c>
      <c r="X102" s="85">
        <f t="shared" ref="X102:Z102" si="83">IF(X82&lt;0,X82*-1,0)</f>
        <v>0</v>
      </c>
      <c r="Y102" s="85">
        <f t="shared" si="83"/>
        <v>0</v>
      </c>
      <c r="Z102" s="85">
        <f t="shared" si="83"/>
        <v>0</v>
      </c>
      <c r="AA102" s="85">
        <f t="shared" ref="AA102" si="84">IF(AA82&lt;0,AA82*-1,0)</f>
        <v>0</v>
      </c>
      <c r="AB102" s="85">
        <f t="shared" si="81"/>
        <v>0</v>
      </c>
      <c r="AC102" s="85">
        <f t="shared" si="81"/>
        <v>0</v>
      </c>
      <c r="AD102" s="85">
        <f t="shared" si="81"/>
        <v>0</v>
      </c>
      <c r="AE102" s="85">
        <f t="shared" si="81"/>
        <v>0</v>
      </c>
      <c r="AF102" s="85">
        <f t="shared" si="81"/>
        <v>0</v>
      </c>
      <c r="AG102" s="86"/>
      <c r="AH102" s="12">
        <f t="shared" si="53"/>
        <v>0</v>
      </c>
      <c r="AI102" s="11">
        <f t="shared" si="54"/>
        <v>0</v>
      </c>
      <c r="BF102" s="83"/>
      <c r="BG102" s="78">
        <v>66.599999999999994</v>
      </c>
      <c r="BH102" s="78">
        <v>115.8</v>
      </c>
      <c r="BI102" s="78">
        <v>238.6</v>
      </c>
      <c r="BJ102" s="78">
        <v>0</v>
      </c>
      <c r="BK102" s="78">
        <v>0</v>
      </c>
      <c r="BL102" s="78">
        <v>42.5</v>
      </c>
    </row>
    <row r="103" spans="1:64" x14ac:dyDescent="0.25">
      <c r="A103" s="82" t="s">
        <v>159</v>
      </c>
      <c r="B103" s="85">
        <f t="shared" ref="B103:C103" si="85">IF(B85&lt;0,B85*-1,0)</f>
        <v>0</v>
      </c>
      <c r="C103" s="85">
        <f t="shared" si="85"/>
        <v>0</v>
      </c>
      <c r="D103" s="85">
        <f t="shared" ref="D103:AF103" si="86">IF(D85&lt;0,D85*-1,0)</f>
        <v>0</v>
      </c>
      <c r="E103" s="85">
        <f t="shared" si="86"/>
        <v>0</v>
      </c>
      <c r="F103" s="85">
        <f t="shared" si="86"/>
        <v>0</v>
      </c>
      <c r="G103" s="85">
        <f t="shared" si="86"/>
        <v>0</v>
      </c>
      <c r="H103" s="85">
        <f t="shared" si="86"/>
        <v>0</v>
      </c>
      <c r="I103" s="85">
        <f t="shared" si="86"/>
        <v>0</v>
      </c>
      <c r="J103" s="85">
        <f t="shared" si="86"/>
        <v>0</v>
      </c>
      <c r="K103" s="85">
        <f t="shared" si="86"/>
        <v>0</v>
      </c>
      <c r="L103" s="85">
        <f t="shared" si="86"/>
        <v>0</v>
      </c>
      <c r="M103" s="85">
        <f t="shared" si="86"/>
        <v>0</v>
      </c>
      <c r="N103" s="85">
        <f t="shared" si="86"/>
        <v>0</v>
      </c>
      <c r="O103" s="85">
        <f t="shared" si="86"/>
        <v>0</v>
      </c>
      <c r="P103" s="85">
        <f t="shared" si="86"/>
        <v>0</v>
      </c>
      <c r="Q103" s="85">
        <f t="shared" si="86"/>
        <v>0</v>
      </c>
      <c r="R103" s="85">
        <f t="shared" si="86"/>
        <v>0</v>
      </c>
      <c r="S103" s="85">
        <f t="shared" si="86"/>
        <v>0</v>
      </c>
      <c r="T103" s="85">
        <f t="shared" si="86"/>
        <v>0</v>
      </c>
      <c r="U103" s="85">
        <f t="shared" si="86"/>
        <v>0</v>
      </c>
      <c r="V103" s="85">
        <f t="shared" ref="V103:W103" si="87">IF(V85&lt;0,V85*-1,0)</f>
        <v>0</v>
      </c>
      <c r="W103" s="85">
        <f t="shared" si="87"/>
        <v>0</v>
      </c>
      <c r="X103" s="85">
        <f t="shared" ref="X103:Z103" si="88">IF(X85&lt;0,X85*-1,0)</f>
        <v>0</v>
      </c>
      <c r="Y103" s="85">
        <f t="shared" si="88"/>
        <v>0</v>
      </c>
      <c r="Z103" s="85">
        <f t="shared" si="88"/>
        <v>0</v>
      </c>
      <c r="AA103" s="85">
        <f t="shared" ref="AA103" si="89">IF(AA85&lt;0,AA85*-1,0)</f>
        <v>0</v>
      </c>
      <c r="AB103" s="85">
        <f t="shared" si="86"/>
        <v>0</v>
      </c>
      <c r="AC103" s="85">
        <f t="shared" si="86"/>
        <v>0</v>
      </c>
      <c r="AD103" s="85">
        <f t="shared" si="86"/>
        <v>0</v>
      </c>
      <c r="AE103" s="85">
        <f t="shared" si="86"/>
        <v>0</v>
      </c>
      <c r="AF103" s="85">
        <f t="shared" si="86"/>
        <v>0</v>
      </c>
      <c r="AG103" s="84"/>
      <c r="AH103" s="12">
        <f t="shared" si="53"/>
        <v>0</v>
      </c>
      <c r="AI103" s="11">
        <f t="shared" si="54"/>
        <v>0</v>
      </c>
      <c r="BF103" s="83"/>
      <c r="BG103" s="78">
        <v>67.599999999999994</v>
      </c>
      <c r="BH103" s="78">
        <v>0</v>
      </c>
      <c r="BI103" s="78">
        <v>274</v>
      </c>
      <c r="BJ103" s="78">
        <v>0</v>
      </c>
      <c r="BK103" s="78">
        <v>0</v>
      </c>
      <c r="BL103" s="78">
        <v>40</v>
      </c>
    </row>
    <row r="104" spans="1:64" x14ac:dyDescent="0.25">
      <c r="A104" s="82" t="s">
        <v>158</v>
      </c>
      <c r="B104" s="85">
        <f t="shared" ref="B104:C104" si="90">IF(B83&lt;0,B83*-1,0)</f>
        <v>0</v>
      </c>
      <c r="C104" s="85">
        <f t="shared" si="90"/>
        <v>0</v>
      </c>
      <c r="D104" s="85">
        <f t="shared" ref="D104:AF104" si="91">IF(D83&lt;0,D83*-1,0)</f>
        <v>0</v>
      </c>
      <c r="E104" s="85">
        <f t="shared" si="91"/>
        <v>0</v>
      </c>
      <c r="F104" s="85">
        <f t="shared" si="91"/>
        <v>0</v>
      </c>
      <c r="G104" s="85">
        <f t="shared" si="91"/>
        <v>0</v>
      </c>
      <c r="H104" s="85">
        <f t="shared" si="91"/>
        <v>0</v>
      </c>
      <c r="I104" s="85">
        <f t="shared" si="91"/>
        <v>0</v>
      </c>
      <c r="J104" s="85">
        <f t="shared" si="91"/>
        <v>0</v>
      </c>
      <c r="K104" s="85">
        <f t="shared" si="91"/>
        <v>0</v>
      </c>
      <c r="L104" s="85">
        <f t="shared" si="91"/>
        <v>0</v>
      </c>
      <c r="M104" s="85">
        <f t="shared" si="91"/>
        <v>0</v>
      </c>
      <c r="N104" s="85">
        <f t="shared" si="91"/>
        <v>0</v>
      </c>
      <c r="O104" s="85">
        <f t="shared" si="91"/>
        <v>0</v>
      </c>
      <c r="P104" s="85">
        <f t="shared" si="91"/>
        <v>0</v>
      </c>
      <c r="Q104" s="85">
        <f t="shared" si="91"/>
        <v>0</v>
      </c>
      <c r="R104" s="85">
        <f t="shared" si="91"/>
        <v>0</v>
      </c>
      <c r="S104" s="85">
        <f t="shared" si="91"/>
        <v>0</v>
      </c>
      <c r="T104" s="85">
        <f t="shared" si="91"/>
        <v>0</v>
      </c>
      <c r="U104" s="85">
        <f t="shared" si="91"/>
        <v>0</v>
      </c>
      <c r="V104" s="85">
        <f t="shared" ref="V104:W104" si="92">IF(V83&lt;0,V83*-1,0)</f>
        <v>0</v>
      </c>
      <c r="W104" s="85">
        <f t="shared" si="92"/>
        <v>0</v>
      </c>
      <c r="X104" s="85">
        <f t="shared" ref="X104:Z104" si="93">IF(X83&lt;0,X83*-1,0)</f>
        <v>0</v>
      </c>
      <c r="Y104" s="85">
        <f t="shared" si="93"/>
        <v>0</v>
      </c>
      <c r="Z104" s="85">
        <f t="shared" si="93"/>
        <v>0</v>
      </c>
      <c r="AA104" s="85">
        <f t="shared" ref="AA104" si="94">IF(AA83&lt;0,AA83*-1,0)</f>
        <v>0</v>
      </c>
      <c r="AB104" s="85">
        <f t="shared" si="91"/>
        <v>0</v>
      </c>
      <c r="AC104" s="85">
        <f t="shared" si="91"/>
        <v>0</v>
      </c>
      <c r="AD104" s="85">
        <f t="shared" si="91"/>
        <v>0</v>
      </c>
      <c r="AE104" s="85">
        <f t="shared" si="91"/>
        <v>0</v>
      </c>
      <c r="AF104" s="85">
        <f t="shared" si="91"/>
        <v>0</v>
      </c>
      <c r="AG104" s="84"/>
      <c r="AH104" s="12">
        <f t="shared" si="53"/>
        <v>0</v>
      </c>
      <c r="AI104" s="11">
        <f t="shared" si="54"/>
        <v>0</v>
      </c>
      <c r="BF104" s="83"/>
      <c r="BG104" s="78">
        <v>61.8</v>
      </c>
      <c r="BH104" s="78">
        <v>0</v>
      </c>
      <c r="BI104" s="78">
        <v>285</v>
      </c>
      <c r="BJ104" s="78">
        <v>0</v>
      </c>
      <c r="BK104" s="78">
        <v>0</v>
      </c>
      <c r="BL104" s="78">
        <v>41.2</v>
      </c>
    </row>
    <row r="105" spans="1:64" x14ac:dyDescent="0.25">
      <c r="A105" s="82" t="s">
        <v>157</v>
      </c>
      <c r="B105" s="85">
        <f t="shared" ref="B105:C105" si="95">IF(B81&lt;0,B81*-1,0)</f>
        <v>0</v>
      </c>
      <c r="C105" s="85">
        <f t="shared" si="95"/>
        <v>0</v>
      </c>
      <c r="D105" s="85">
        <f t="shared" ref="D105:AF105" si="96">IF(D81&lt;0,D81*-1,0)</f>
        <v>0</v>
      </c>
      <c r="E105" s="85">
        <f t="shared" si="96"/>
        <v>0</v>
      </c>
      <c r="F105" s="85">
        <f t="shared" si="96"/>
        <v>0</v>
      </c>
      <c r="G105" s="85">
        <f t="shared" si="96"/>
        <v>0</v>
      </c>
      <c r="H105" s="85">
        <f t="shared" si="96"/>
        <v>0</v>
      </c>
      <c r="I105" s="85">
        <f t="shared" si="96"/>
        <v>0</v>
      </c>
      <c r="J105" s="85">
        <f t="shared" si="96"/>
        <v>0</v>
      </c>
      <c r="K105" s="85">
        <f t="shared" si="96"/>
        <v>0</v>
      </c>
      <c r="L105" s="85">
        <f t="shared" si="96"/>
        <v>0</v>
      </c>
      <c r="M105" s="85">
        <f t="shared" si="96"/>
        <v>0</v>
      </c>
      <c r="N105" s="85">
        <f t="shared" si="96"/>
        <v>0</v>
      </c>
      <c r="O105" s="85">
        <f t="shared" si="96"/>
        <v>0</v>
      </c>
      <c r="P105" s="85">
        <f t="shared" si="96"/>
        <v>0</v>
      </c>
      <c r="Q105" s="85">
        <f t="shared" si="96"/>
        <v>0</v>
      </c>
      <c r="R105" s="85">
        <f t="shared" si="96"/>
        <v>0</v>
      </c>
      <c r="S105" s="85">
        <f t="shared" si="96"/>
        <v>0</v>
      </c>
      <c r="T105" s="85">
        <f t="shared" si="96"/>
        <v>0</v>
      </c>
      <c r="U105" s="85">
        <f t="shared" si="96"/>
        <v>0</v>
      </c>
      <c r="V105" s="85">
        <f t="shared" ref="V105:W105" si="97">IF(V81&lt;0,V81*-1,0)</f>
        <v>0</v>
      </c>
      <c r="W105" s="85">
        <f t="shared" si="97"/>
        <v>0</v>
      </c>
      <c r="X105" s="85">
        <f t="shared" ref="X105:Z105" si="98">IF(X81&lt;0,X81*-1,0)</f>
        <v>0</v>
      </c>
      <c r="Y105" s="85">
        <f t="shared" si="98"/>
        <v>0</v>
      </c>
      <c r="Z105" s="85">
        <f t="shared" si="98"/>
        <v>0</v>
      </c>
      <c r="AA105" s="85">
        <f t="shared" ref="AA105" si="99">IF(AA81&lt;0,AA81*-1,0)</f>
        <v>0</v>
      </c>
      <c r="AB105" s="85">
        <f t="shared" si="96"/>
        <v>0</v>
      </c>
      <c r="AC105" s="85">
        <f t="shared" si="96"/>
        <v>0</v>
      </c>
      <c r="AD105" s="85">
        <f t="shared" si="96"/>
        <v>0</v>
      </c>
      <c r="AE105" s="85">
        <f t="shared" si="96"/>
        <v>0</v>
      </c>
      <c r="AF105" s="85">
        <f t="shared" si="96"/>
        <v>0</v>
      </c>
      <c r="AG105" s="84"/>
      <c r="AH105" s="12">
        <f t="shared" si="53"/>
        <v>0</v>
      </c>
      <c r="AI105" s="11">
        <f t="shared" si="54"/>
        <v>0</v>
      </c>
      <c r="BF105" s="83"/>
      <c r="BG105" s="78">
        <v>57.2</v>
      </c>
      <c r="BH105" s="78">
        <v>0</v>
      </c>
      <c r="BI105" s="78">
        <v>196</v>
      </c>
      <c r="BJ105" s="78">
        <v>0</v>
      </c>
      <c r="BK105" s="78">
        <v>0</v>
      </c>
      <c r="BL105" s="78">
        <v>40.1</v>
      </c>
    </row>
    <row r="106" spans="1:64" ht="15.75" thickBot="1" x14ac:dyDescent="0.3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1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53"/>
        <v>1</v>
      </c>
      <c r="AI106" s="11">
        <f t="shared" si="54"/>
        <v>0</v>
      </c>
      <c r="BG106" s="78">
        <v>44.2</v>
      </c>
      <c r="BH106" s="78">
        <v>0</v>
      </c>
      <c r="BI106" s="78">
        <v>139</v>
      </c>
      <c r="BJ106" s="78">
        <v>0</v>
      </c>
      <c r="BK106" s="78">
        <v>0</v>
      </c>
      <c r="BL106" s="78">
        <v>40.200000000000003</v>
      </c>
    </row>
    <row r="107" spans="1:64" ht="15.75" thickBot="1" x14ac:dyDescent="0.3">
      <c r="A107" s="79" t="s">
        <v>155</v>
      </c>
      <c r="B107" s="76">
        <v>0</v>
      </c>
      <c r="C107" s="76">
        <v>0</v>
      </c>
      <c r="D107" s="76">
        <f t="shared" ref="D107:AF107" si="100">SUM(D101:D106)</f>
        <v>0</v>
      </c>
      <c r="E107" s="76">
        <f t="shared" si="100"/>
        <v>0</v>
      </c>
      <c r="F107" s="76">
        <f t="shared" si="100"/>
        <v>0</v>
      </c>
      <c r="G107" s="76">
        <f t="shared" si="100"/>
        <v>0</v>
      </c>
      <c r="H107" s="76">
        <f t="shared" si="100"/>
        <v>0</v>
      </c>
      <c r="I107" s="76">
        <f t="shared" si="100"/>
        <v>0</v>
      </c>
      <c r="J107" s="76">
        <f t="shared" si="100"/>
        <v>0</v>
      </c>
      <c r="K107" s="76">
        <f t="shared" si="100"/>
        <v>0</v>
      </c>
      <c r="L107" s="76">
        <f t="shared" si="100"/>
        <v>0</v>
      </c>
      <c r="M107" s="76">
        <f t="shared" si="100"/>
        <v>0</v>
      </c>
      <c r="N107" s="76">
        <f t="shared" si="100"/>
        <v>0</v>
      </c>
      <c r="O107" s="76">
        <f t="shared" si="100"/>
        <v>0</v>
      </c>
      <c r="P107" s="76">
        <f t="shared" si="100"/>
        <v>0</v>
      </c>
      <c r="Q107" s="76">
        <f t="shared" si="100"/>
        <v>0</v>
      </c>
      <c r="R107" s="76">
        <f t="shared" si="100"/>
        <v>0</v>
      </c>
      <c r="S107" s="76">
        <f t="shared" si="100"/>
        <v>0</v>
      </c>
      <c r="T107" s="76">
        <f t="shared" si="100"/>
        <v>0</v>
      </c>
      <c r="U107" s="76">
        <f t="shared" si="100"/>
        <v>0</v>
      </c>
      <c r="V107" s="76">
        <f t="shared" ref="V107:W107" si="101">SUM(V101:V106)</f>
        <v>0</v>
      </c>
      <c r="W107" s="76">
        <f t="shared" si="101"/>
        <v>0</v>
      </c>
      <c r="X107" s="76">
        <f t="shared" ref="X107:Z107" si="102">SUM(X101:X106)</f>
        <v>0</v>
      </c>
      <c r="Y107" s="76">
        <f t="shared" si="102"/>
        <v>1</v>
      </c>
      <c r="Z107" s="76">
        <f t="shared" si="102"/>
        <v>0</v>
      </c>
      <c r="AA107" s="76">
        <f t="shared" ref="AA107" si="103">SUM(AA101:AA106)</f>
        <v>0</v>
      </c>
      <c r="AB107" s="76">
        <f t="shared" si="100"/>
        <v>0</v>
      </c>
      <c r="AC107" s="76">
        <f t="shared" si="100"/>
        <v>0</v>
      </c>
      <c r="AD107" s="76">
        <f t="shared" si="100"/>
        <v>0</v>
      </c>
      <c r="AE107" s="76">
        <f t="shared" si="100"/>
        <v>0</v>
      </c>
      <c r="AF107" s="76">
        <f t="shared" si="100"/>
        <v>0</v>
      </c>
      <c r="AG107" s="75"/>
      <c r="AH107" s="12">
        <f t="shared" si="53"/>
        <v>1</v>
      </c>
      <c r="AI107" s="11">
        <f t="shared" si="54"/>
        <v>0</v>
      </c>
      <c r="AK107" s="19"/>
      <c r="BG107" s="78">
        <v>56</v>
      </c>
      <c r="BH107" s="78">
        <v>0</v>
      </c>
      <c r="BI107" s="78">
        <v>165</v>
      </c>
      <c r="BJ107" s="78">
        <v>0</v>
      </c>
      <c r="BK107" s="78">
        <v>0</v>
      </c>
      <c r="BL107" s="78">
        <v>52</v>
      </c>
    </row>
    <row r="108" spans="1:64" ht="15.75" thickBot="1" x14ac:dyDescent="0.3">
      <c r="A108" s="77" t="s">
        <v>154</v>
      </c>
      <c r="B108" s="76">
        <f t="shared" ref="B108:C108" si="104">B92-B107</f>
        <v>273</v>
      </c>
      <c r="C108" s="76">
        <f t="shared" si="104"/>
        <v>300</v>
      </c>
      <c r="D108" s="76">
        <f t="shared" ref="D108:AF108" si="105">D92-D107</f>
        <v>300</v>
      </c>
      <c r="E108" s="76">
        <f t="shared" si="105"/>
        <v>228.2</v>
      </c>
      <c r="F108" s="76">
        <f t="shared" si="105"/>
        <v>224.5</v>
      </c>
      <c r="G108" s="76">
        <f t="shared" si="105"/>
        <v>270.2</v>
      </c>
      <c r="H108" s="76">
        <f t="shared" si="105"/>
        <v>306</v>
      </c>
      <c r="I108" s="76">
        <f t="shared" si="105"/>
        <v>352.4</v>
      </c>
      <c r="J108" s="76">
        <f t="shared" si="105"/>
        <v>522.4</v>
      </c>
      <c r="K108" s="76">
        <f t="shared" si="105"/>
        <v>804.4</v>
      </c>
      <c r="L108" s="76">
        <f t="shared" si="105"/>
        <v>812.7</v>
      </c>
      <c r="M108" s="76">
        <f t="shared" si="105"/>
        <v>841</v>
      </c>
      <c r="N108" s="76">
        <f t="shared" si="105"/>
        <v>835</v>
      </c>
      <c r="O108" s="76">
        <f t="shared" si="105"/>
        <v>793</v>
      </c>
      <c r="P108" s="76">
        <f t="shared" si="105"/>
        <v>887</v>
      </c>
      <c r="Q108" s="76">
        <f t="shared" si="105"/>
        <v>849.2</v>
      </c>
      <c r="R108" s="76">
        <f t="shared" si="105"/>
        <v>784.6</v>
      </c>
      <c r="S108" s="76">
        <f t="shared" si="105"/>
        <v>864.69999999999993</v>
      </c>
      <c r="T108" s="76">
        <f t="shared" si="105"/>
        <v>890.9</v>
      </c>
      <c r="U108" s="76">
        <f t="shared" si="105"/>
        <v>857.60000000000014</v>
      </c>
      <c r="V108" s="76">
        <f t="shared" ref="V108:W108" si="106">V92-V107</f>
        <v>908.50000000000011</v>
      </c>
      <c r="W108" s="76">
        <f t="shared" si="106"/>
        <v>850.2</v>
      </c>
      <c r="X108" s="76">
        <f t="shared" ref="X108:Z108" si="107">X92-X107</f>
        <v>702.6</v>
      </c>
      <c r="Y108" s="76">
        <f t="shared" si="107"/>
        <v>345.4</v>
      </c>
      <c r="Z108" s="76">
        <f t="shared" si="107"/>
        <v>463.5</v>
      </c>
      <c r="AA108" s="76">
        <f t="shared" ref="AA108" si="108">AA92-AA107</f>
        <v>354.70000000000005</v>
      </c>
      <c r="AB108" s="76">
        <f t="shared" si="105"/>
        <v>381.6</v>
      </c>
      <c r="AC108" s="76">
        <f t="shared" si="105"/>
        <v>367.6</v>
      </c>
      <c r="AD108" s="76">
        <f t="shared" si="105"/>
        <v>388</v>
      </c>
      <c r="AE108" s="76">
        <f t="shared" si="105"/>
        <v>293.3</v>
      </c>
      <c r="AF108" s="76">
        <f t="shared" si="105"/>
        <v>223.39999999999998</v>
      </c>
      <c r="AG108" s="75"/>
      <c r="AH108" s="12">
        <f t="shared" si="53"/>
        <v>908.50000000000011</v>
      </c>
      <c r="AI108" s="11">
        <f t="shared" si="54"/>
        <v>223.39999999999998</v>
      </c>
    </row>
    <row r="109" spans="1:64" x14ac:dyDescent="0.25">
      <c r="A109" s="25" t="s">
        <v>153</v>
      </c>
      <c r="B109" s="74">
        <v>49.95</v>
      </c>
      <c r="C109" s="74">
        <v>49.98</v>
      </c>
      <c r="D109" s="74">
        <v>50</v>
      </c>
      <c r="E109" s="74">
        <v>49.99</v>
      </c>
      <c r="F109" s="74">
        <v>49.982999999999997</v>
      </c>
      <c r="G109" s="74">
        <v>49.985999999999997</v>
      </c>
      <c r="H109" s="74">
        <v>49.957000000000001</v>
      </c>
      <c r="I109" s="74">
        <v>50.012999999999998</v>
      </c>
      <c r="J109" s="74"/>
      <c r="K109" s="74">
        <v>50.052</v>
      </c>
      <c r="L109" s="74">
        <v>50.051000000000002</v>
      </c>
      <c r="M109" s="74">
        <v>49.978999999999999</v>
      </c>
      <c r="N109" s="74">
        <v>49.978999999999999</v>
      </c>
      <c r="O109" s="74">
        <v>49.978999999999999</v>
      </c>
      <c r="P109" s="74">
        <v>49.975000000000001</v>
      </c>
      <c r="Q109" s="74">
        <v>49.994</v>
      </c>
      <c r="R109" s="74">
        <v>50.06</v>
      </c>
      <c r="S109" s="74">
        <v>50.067</v>
      </c>
      <c r="T109" s="74">
        <v>50.05</v>
      </c>
      <c r="U109" s="74">
        <v>50.036999999999999</v>
      </c>
      <c r="V109" s="74">
        <v>50.01</v>
      </c>
      <c r="W109" s="74">
        <v>49.99</v>
      </c>
      <c r="X109" s="74">
        <v>49.97</v>
      </c>
      <c r="Y109" s="74">
        <v>50</v>
      </c>
      <c r="Z109" s="74">
        <v>50.03</v>
      </c>
      <c r="AA109" s="74">
        <v>50.03</v>
      </c>
      <c r="AB109" s="74">
        <v>50.110999999999997</v>
      </c>
      <c r="AC109" s="74">
        <v>50.110999999999997</v>
      </c>
      <c r="AD109" s="74">
        <v>50.067</v>
      </c>
      <c r="AE109" s="74">
        <v>50.030999999999999</v>
      </c>
      <c r="AF109" s="74">
        <v>49.85</v>
      </c>
      <c r="AG109" s="73"/>
      <c r="AH109" s="12">
        <f t="shared" si="53"/>
        <v>50.110999999999997</v>
      </c>
      <c r="AI109" s="11">
        <f t="shared" si="54"/>
        <v>49.85</v>
      </c>
    </row>
    <row r="110" spans="1:64" x14ac:dyDescent="0.25">
      <c r="A110" s="22" t="s">
        <v>152</v>
      </c>
      <c r="B110" s="70">
        <v>128</v>
      </c>
      <c r="C110" s="70">
        <v>129</v>
      </c>
      <c r="D110" s="70">
        <v>130</v>
      </c>
      <c r="E110" s="70">
        <v>130</v>
      </c>
      <c r="F110" s="70">
        <v>130.19999999999999</v>
      </c>
      <c r="G110" s="70">
        <v>129.6</v>
      </c>
      <c r="H110" s="70">
        <v>128.5</v>
      </c>
      <c r="I110" s="70">
        <v>126.5</v>
      </c>
      <c r="J110" s="70"/>
      <c r="K110" s="70">
        <v>127.3</v>
      </c>
      <c r="L110" s="70">
        <v>127.6</v>
      </c>
      <c r="M110" s="70">
        <v>126.6</v>
      </c>
      <c r="N110" s="70">
        <v>126.6</v>
      </c>
      <c r="O110" s="70">
        <v>126.6</v>
      </c>
      <c r="P110" s="70">
        <v>124.4</v>
      </c>
      <c r="Q110" s="70">
        <v>125.8</v>
      </c>
      <c r="R110" s="70">
        <v>126.6</v>
      </c>
      <c r="S110" s="70">
        <v>125.7</v>
      </c>
      <c r="T110" s="70">
        <v>125.8</v>
      </c>
      <c r="U110" s="70">
        <v>127.5</v>
      </c>
      <c r="V110" s="70">
        <v>127.5</v>
      </c>
      <c r="W110" s="70">
        <v>128.80000000000001</v>
      </c>
      <c r="X110" s="70">
        <v>130.9</v>
      </c>
      <c r="Y110" s="70">
        <v>130.9</v>
      </c>
      <c r="Z110" s="70">
        <v>130.9</v>
      </c>
      <c r="AA110" s="70">
        <v>128.9</v>
      </c>
      <c r="AB110" s="70">
        <v>129.80000000000001</v>
      </c>
      <c r="AC110" s="70">
        <v>129.80000000000001</v>
      </c>
      <c r="AD110" s="70">
        <v>130</v>
      </c>
      <c r="AE110" s="70">
        <v>130.9</v>
      </c>
      <c r="AF110" s="70">
        <v>130.19999999999999</v>
      </c>
      <c r="AG110" s="69"/>
      <c r="AH110" s="12">
        <f t="shared" si="53"/>
        <v>130.9</v>
      </c>
      <c r="AI110" s="11">
        <f t="shared" si="54"/>
        <v>124.4</v>
      </c>
    </row>
    <row r="111" spans="1:64" x14ac:dyDescent="0.25">
      <c r="A111" s="22" t="s">
        <v>151</v>
      </c>
      <c r="B111" s="70">
        <v>132</v>
      </c>
      <c r="C111" s="70">
        <v>134</v>
      </c>
      <c r="D111" s="70">
        <v>134</v>
      </c>
      <c r="E111" s="70">
        <v>134.4</v>
      </c>
      <c r="F111" s="70">
        <v>134.5</v>
      </c>
      <c r="G111" s="70">
        <v>133.9</v>
      </c>
      <c r="H111" s="70">
        <v>133.1</v>
      </c>
      <c r="I111" s="70">
        <v>131.1</v>
      </c>
      <c r="J111" s="70"/>
      <c r="K111" s="70">
        <v>130.5</v>
      </c>
      <c r="L111" s="70">
        <v>130.30000000000001</v>
      </c>
      <c r="M111" s="70">
        <v>129.5</v>
      </c>
      <c r="N111" s="70">
        <v>129.5</v>
      </c>
      <c r="O111" s="70">
        <v>129.5</v>
      </c>
      <c r="P111" s="70">
        <v>127.9</v>
      </c>
      <c r="Q111" s="70">
        <v>129.5</v>
      </c>
      <c r="R111" s="70">
        <v>129</v>
      </c>
      <c r="S111" s="70">
        <v>129.1</v>
      </c>
      <c r="T111" s="70">
        <v>128.80000000000001</v>
      </c>
      <c r="U111" s="70">
        <v>130.4</v>
      </c>
      <c r="V111" s="70">
        <v>130.4</v>
      </c>
      <c r="W111" s="70">
        <v>131.80000000000001</v>
      </c>
      <c r="X111" s="70">
        <v>133.19999999999999</v>
      </c>
      <c r="Y111" s="70">
        <v>133.19999999999999</v>
      </c>
      <c r="Z111" s="70">
        <v>133.19999999999999</v>
      </c>
      <c r="AA111" s="70">
        <v>131.6</v>
      </c>
      <c r="AB111" s="70">
        <v>132.69999999999999</v>
      </c>
      <c r="AC111" s="70">
        <v>132.69999999999999</v>
      </c>
      <c r="AD111" s="70">
        <v>133.1</v>
      </c>
      <c r="AE111" s="70">
        <v>134.30000000000001</v>
      </c>
      <c r="AF111" s="70">
        <v>133.6</v>
      </c>
      <c r="AG111" s="69"/>
      <c r="AH111" s="12">
        <f t="shared" si="53"/>
        <v>134.5</v>
      </c>
      <c r="AI111" s="11">
        <f t="shared" si="54"/>
        <v>127.9</v>
      </c>
    </row>
    <row r="112" spans="1:64" x14ac:dyDescent="0.25">
      <c r="A112" s="22" t="s">
        <v>150</v>
      </c>
      <c r="B112" s="70">
        <v>131.69999999999999</v>
      </c>
      <c r="C112" s="70">
        <v>130</v>
      </c>
      <c r="D112" s="70">
        <v>131</v>
      </c>
      <c r="E112" s="70">
        <v>132.30000000000001</v>
      </c>
      <c r="F112" s="70">
        <v>130.30000000000001</v>
      </c>
      <c r="G112" s="70">
        <v>129.4</v>
      </c>
      <c r="H112" s="70">
        <v>128.4</v>
      </c>
      <c r="I112" s="70">
        <v>128.80000000000001</v>
      </c>
      <c r="J112" s="70"/>
      <c r="K112" s="70">
        <v>128.4</v>
      </c>
      <c r="L112" s="70">
        <v>128.30000000000001</v>
      </c>
      <c r="M112" s="70">
        <v>125.7</v>
      </c>
      <c r="N112" s="70">
        <v>125.7</v>
      </c>
      <c r="O112" s="70">
        <v>125.7</v>
      </c>
      <c r="P112" s="70">
        <v>126</v>
      </c>
      <c r="Q112" s="70">
        <v>128.9</v>
      </c>
      <c r="R112" s="70">
        <v>126</v>
      </c>
      <c r="S112" s="70">
        <v>127.2</v>
      </c>
      <c r="T112" s="70">
        <v>126.7</v>
      </c>
      <c r="U112" s="70">
        <v>124.7</v>
      </c>
      <c r="V112" s="70">
        <v>124.7</v>
      </c>
      <c r="W112" s="70">
        <v>129.69999999999999</v>
      </c>
      <c r="X112" s="70">
        <v>127.1</v>
      </c>
      <c r="Y112" s="70">
        <v>127.1</v>
      </c>
      <c r="Z112" s="70">
        <v>127.1</v>
      </c>
      <c r="AA112" s="70">
        <v>130.9</v>
      </c>
      <c r="AB112" s="70">
        <v>132.30000000000001</v>
      </c>
      <c r="AC112" s="70">
        <v>132.30000000000001</v>
      </c>
      <c r="AD112" s="70">
        <v>129.5</v>
      </c>
      <c r="AE112" s="70">
        <v>130.9</v>
      </c>
      <c r="AF112" s="70">
        <v>130.4</v>
      </c>
      <c r="AG112" s="69"/>
      <c r="AH112" s="12">
        <f t="shared" si="53"/>
        <v>132.30000000000001</v>
      </c>
      <c r="AI112" s="11">
        <f t="shared" si="54"/>
        <v>124.7</v>
      </c>
    </row>
    <row r="113" spans="1:35" x14ac:dyDescent="0.25">
      <c r="A113" s="72" t="s">
        <v>149</v>
      </c>
      <c r="B113" s="70">
        <v>130.5</v>
      </c>
      <c r="C113" s="70">
        <v>130</v>
      </c>
      <c r="D113" s="70">
        <v>131</v>
      </c>
      <c r="E113" s="70">
        <v>132.69999999999999</v>
      </c>
      <c r="F113" s="70">
        <v>130.9</v>
      </c>
      <c r="G113" s="70">
        <v>129.1</v>
      </c>
      <c r="H113" s="70">
        <v>127.9</v>
      </c>
      <c r="I113" s="70">
        <v>129.4</v>
      </c>
      <c r="J113" s="70"/>
      <c r="K113" s="70">
        <v>125.4</v>
      </c>
      <c r="L113" s="70">
        <v>127</v>
      </c>
      <c r="M113" s="70">
        <v>122.6</v>
      </c>
      <c r="N113" s="70">
        <v>122.6</v>
      </c>
      <c r="O113" s="70">
        <v>122.6</v>
      </c>
      <c r="P113" s="70">
        <v>125.2</v>
      </c>
      <c r="Q113" s="70">
        <v>125.5</v>
      </c>
      <c r="R113" s="70">
        <v>123.2</v>
      </c>
      <c r="S113" s="70">
        <v>123.2</v>
      </c>
      <c r="T113" s="70">
        <v>126.1</v>
      </c>
      <c r="U113" s="70">
        <v>122.7</v>
      </c>
      <c r="V113" s="70">
        <v>122.7</v>
      </c>
      <c r="W113" s="70">
        <v>127.6</v>
      </c>
      <c r="X113" s="70">
        <v>124.4</v>
      </c>
      <c r="Y113" s="70">
        <v>124.4</v>
      </c>
      <c r="Z113" s="70">
        <v>124.4</v>
      </c>
      <c r="AA113" s="70">
        <v>128.9</v>
      </c>
      <c r="AB113" s="70">
        <v>132.19999999999999</v>
      </c>
      <c r="AC113" s="70">
        <v>132.19999999999999</v>
      </c>
      <c r="AD113" s="70">
        <v>127.9</v>
      </c>
      <c r="AE113" s="70">
        <v>130.4</v>
      </c>
      <c r="AF113" s="70">
        <v>128.9</v>
      </c>
      <c r="AG113" s="69"/>
      <c r="AH113" s="12">
        <f t="shared" si="53"/>
        <v>132.69999999999999</v>
      </c>
      <c r="AI113" s="11">
        <f t="shared" si="54"/>
        <v>122.6</v>
      </c>
    </row>
    <row r="114" spans="1:35" x14ac:dyDescent="0.25">
      <c r="A114" s="72" t="s">
        <v>148</v>
      </c>
      <c r="B114" s="56">
        <v>135</v>
      </c>
      <c r="C114" s="56">
        <v>136</v>
      </c>
      <c r="D114" s="56">
        <v>136</v>
      </c>
      <c r="E114" s="56">
        <v>137</v>
      </c>
      <c r="F114" s="56">
        <v>136.30000000000001</v>
      </c>
      <c r="G114" s="56">
        <v>135.6</v>
      </c>
      <c r="H114" s="56">
        <v>134.6</v>
      </c>
      <c r="I114" s="56">
        <v>133.9</v>
      </c>
      <c r="J114" s="56"/>
      <c r="K114" s="56">
        <v>130</v>
      </c>
      <c r="L114" s="56">
        <v>131.19999999999999</v>
      </c>
      <c r="M114" s="56">
        <v>131.4</v>
      </c>
      <c r="N114" s="56">
        <v>131.4</v>
      </c>
      <c r="O114" s="56">
        <v>131.4</v>
      </c>
      <c r="P114" s="56">
        <v>130</v>
      </c>
      <c r="Q114" s="56">
        <v>136.1</v>
      </c>
      <c r="R114" s="56">
        <v>128.5</v>
      </c>
      <c r="S114" s="56">
        <v>131.80000000000001</v>
      </c>
      <c r="T114" s="56">
        <v>132.9</v>
      </c>
      <c r="U114" s="56">
        <v>136</v>
      </c>
      <c r="V114" s="56">
        <v>136</v>
      </c>
      <c r="W114" s="56">
        <v>137.36000000000001</v>
      </c>
      <c r="X114" s="56">
        <v>136.6</v>
      </c>
      <c r="Y114" s="56">
        <v>136.6</v>
      </c>
      <c r="Z114" s="56">
        <v>136.6</v>
      </c>
      <c r="AA114" s="56">
        <v>133.80000000000001</v>
      </c>
      <c r="AB114" s="56">
        <v>135.19999999999999</v>
      </c>
      <c r="AC114" s="56">
        <v>135.19999999999999</v>
      </c>
      <c r="AD114" s="56">
        <v>134.9</v>
      </c>
      <c r="AE114" s="56">
        <v>135.80000000000001</v>
      </c>
      <c r="AF114" s="56">
        <v>135.80000000000001</v>
      </c>
      <c r="AG114" s="71"/>
      <c r="AH114" s="12">
        <f t="shared" si="53"/>
        <v>137.36000000000001</v>
      </c>
      <c r="AI114" s="11">
        <f t="shared" si="54"/>
        <v>128.5</v>
      </c>
    </row>
    <row r="115" spans="1:35" x14ac:dyDescent="0.25">
      <c r="A115" s="22" t="s">
        <v>147</v>
      </c>
      <c r="B115" s="70">
        <v>133</v>
      </c>
      <c r="C115" s="70">
        <v>135</v>
      </c>
      <c r="D115" s="70">
        <v>134</v>
      </c>
      <c r="E115" s="70">
        <v>130</v>
      </c>
      <c r="F115" s="70">
        <v>131.19999999999999</v>
      </c>
      <c r="G115" s="70">
        <v>131.9</v>
      </c>
      <c r="H115" s="70">
        <v>130.4</v>
      </c>
      <c r="I115" s="70">
        <v>128.30000000000001</v>
      </c>
      <c r="J115" s="70"/>
      <c r="K115" s="70">
        <v>131.22999999999999</v>
      </c>
      <c r="L115" s="70">
        <v>128.19999999999999</v>
      </c>
      <c r="M115" s="70">
        <v>124.9</v>
      </c>
      <c r="N115" s="70">
        <v>124.9</v>
      </c>
      <c r="O115" s="70">
        <v>124.9</v>
      </c>
      <c r="P115" s="70">
        <v>129.80000000000001</v>
      </c>
      <c r="Q115" s="70">
        <v>128.30000000000001</v>
      </c>
      <c r="R115" s="70">
        <v>131</v>
      </c>
      <c r="S115" s="70">
        <v>130.4</v>
      </c>
      <c r="T115" s="70">
        <v>132.19999999999999</v>
      </c>
      <c r="U115" s="70">
        <v>125.5</v>
      </c>
      <c r="V115" s="70">
        <v>125.5</v>
      </c>
      <c r="W115" s="70">
        <v>129.1</v>
      </c>
      <c r="X115" s="70">
        <v>126.8</v>
      </c>
      <c r="Y115" s="70">
        <v>126.8</v>
      </c>
      <c r="Z115" s="70">
        <v>126.8</v>
      </c>
      <c r="AA115" s="70">
        <v>129.6</v>
      </c>
      <c r="AB115" s="70">
        <v>126.2</v>
      </c>
      <c r="AC115" s="70">
        <v>126.2</v>
      </c>
      <c r="AD115" s="70">
        <v>124.9</v>
      </c>
      <c r="AE115" s="70">
        <v>126.7</v>
      </c>
      <c r="AF115" s="70">
        <v>125.1</v>
      </c>
      <c r="AG115" s="69"/>
      <c r="AH115" s="12">
        <f t="shared" si="53"/>
        <v>135</v>
      </c>
      <c r="AI115" s="11">
        <f t="shared" si="54"/>
        <v>124.9</v>
      </c>
    </row>
    <row r="116" spans="1:35" ht="15.75" thickBot="1" x14ac:dyDescent="0.3">
      <c r="A116" s="22" t="s">
        <v>146</v>
      </c>
      <c r="B116" s="67">
        <v>66.3</v>
      </c>
      <c r="C116" s="67">
        <v>67</v>
      </c>
      <c r="D116" s="67">
        <v>67</v>
      </c>
      <c r="E116" s="67">
        <v>67.400000000000006</v>
      </c>
      <c r="F116" s="67">
        <v>67.400000000000006</v>
      </c>
      <c r="G116" s="67">
        <v>67.099999999999994</v>
      </c>
      <c r="H116" s="67">
        <v>66.7</v>
      </c>
      <c r="I116" s="67">
        <v>66</v>
      </c>
      <c r="J116" s="67"/>
      <c r="K116" s="67">
        <v>65.5</v>
      </c>
      <c r="L116" s="67">
        <v>65.400000000000006</v>
      </c>
      <c r="M116" s="67">
        <v>65.400000000000006</v>
      </c>
      <c r="N116" s="67">
        <v>65.400000000000006</v>
      </c>
      <c r="O116" s="67">
        <v>65.400000000000006</v>
      </c>
      <c r="P116" s="67">
        <v>64</v>
      </c>
      <c r="Q116" s="67">
        <v>64.7</v>
      </c>
      <c r="R116" s="67">
        <v>64.5</v>
      </c>
      <c r="S116" s="67">
        <v>64.7</v>
      </c>
      <c r="T116" s="67">
        <v>64.3</v>
      </c>
      <c r="U116" s="67">
        <v>64.900000000000006</v>
      </c>
      <c r="V116" s="67">
        <v>64.900000000000006</v>
      </c>
      <c r="W116" s="67">
        <v>65.599999999999994</v>
      </c>
      <c r="X116" s="67">
        <v>66.5</v>
      </c>
      <c r="Y116" s="67">
        <v>66.5</v>
      </c>
      <c r="Z116" s="67">
        <v>66.5</v>
      </c>
      <c r="AA116" s="67">
        <v>65.8</v>
      </c>
      <c r="AB116" s="67">
        <v>66.5</v>
      </c>
      <c r="AC116" s="67">
        <v>66.5</v>
      </c>
      <c r="AD116" s="67">
        <v>67</v>
      </c>
      <c r="AE116" s="67">
        <v>67.3</v>
      </c>
      <c r="AF116" s="67">
        <v>66.7</v>
      </c>
      <c r="AG116" s="66"/>
      <c r="AH116" s="12">
        <f t="shared" si="53"/>
        <v>67.400000000000006</v>
      </c>
      <c r="AI116" s="11">
        <f t="shared" si="54"/>
        <v>64</v>
      </c>
    </row>
    <row r="117" spans="1:35" ht="15.75" thickBot="1" x14ac:dyDescent="0.3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53"/>
        <v>0</v>
      </c>
      <c r="AI117" s="11">
        <f t="shared" si="54"/>
        <v>0</v>
      </c>
    </row>
    <row r="118" spans="1:35" ht="15.75" thickBot="1" x14ac:dyDescent="0.3">
      <c r="A118" s="65" t="s">
        <v>144</v>
      </c>
      <c r="B118" s="64">
        <f t="shared" ref="B118:C118" si="109">SUM(B22,B28,B31:B32,B66,B68:B69,B71,B73,B119:B123,B155,B161,B167,B176,B178,B190,B197,B200:B201,B208,B210,B212,B216:B218,B220:B222,B227,B233:B234,B236:B238,B246,B251)</f>
        <v>87.28</v>
      </c>
      <c r="C118" s="64">
        <f t="shared" si="109"/>
        <v>77.78</v>
      </c>
      <c r="D118" s="64">
        <f t="shared" ref="D118:O118" si="110">SUM(D22,D28,D31:D32,D66,D68:D69,D71,D73,D119:D123,D155,D161,D167,D176,D178,D190,D197,D200:D201,D208,D210,D212,D216:D218,D220:D222,D227,D233:D234,D236:D238,D246,D251)</f>
        <v>71.28</v>
      </c>
      <c r="E118" s="64">
        <f t="shared" si="110"/>
        <v>119.98</v>
      </c>
      <c r="F118" s="64">
        <f t="shared" si="110"/>
        <v>124.88000000000001</v>
      </c>
      <c r="G118" s="64">
        <f t="shared" si="110"/>
        <v>150.67999999999998</v>
      </c>
      <c r="H118" s="64">
        <f t="shared" si="110"/>
        <v>167.08</v>
      </c>
      <c r="I118" s="64">
        <f t="shared" si="110"/>
        <v>223.78</v>
      </c>
      <c r="J118" s="64">
        <f t="shared" si="110"/>
        <v>110.98</v>
      </c>
      <c r="K118" s="64">
        <f t="shared" si="110"/>
        <v>298.38</v>
      </c>
      <c r="L118" s="64">
        <f t="shared" si="110"/>
        <v>308.38</v>
      </c>
      <c r="M118" s="64">
        <f t="shared" si="110"/>
        <v>312.28000000000003</v>
      </c>
      <c r="N118" s="64">
        <f t="shared" si="110"/>
        <v>317.18</v>
      </c>
      <c r="O118" s="64">
        <f t="shared" si="110"/>
        <v>320.83999999999997</v>
      </c>
      <c r="P118" s="64">
        <v>42</v>
      </c>
      <c r="Q118" s="64">
        <f t="shared" ref="Q118:U118" si="111">SUM(Q22,Q28,Q31:Q32,Q66,Q68:Q69,Q71,Q73,Q119:Q123,Q155,Q161,Q167,Q176,Q178,Q190,Q197,Q200:Q201,Q208,Q210,Q212,Q216:Q218,Q220:Q222,Q227,Q233:Q234,Q236:Q238,Q246,Q251)</f>
        <v>310.38</v>
      </c>
      <c r="R118" s="64">
        <f t="shared" si="111"/>
        <v>296.58</v>
      </c>
      <c r="S118" s="64">
        <f t="shared" si="111"/>
        <v>295.58</v>
      </c>
      <c r="T118" s="64">
        <f t="shared" si="111"/>
        <v>306.08</v>
      </c>
      <c r="U118" s="64">
        <f t="shared" si="111"/>
        <v>316.18</v>
      </c>
      <c r="V118" s="64">
        <f t="shared" ref="V118:W118" si="112">SUM(V22,V28,V31:V32,V66,V68:V69,V71,V73,V119:V123,V155,V161,V167,V176,V178,V190,V197,V200:V201,V208,V210,V212,V216:V218,V220:V222,V227,V233:V234,V236:V238,V246,V251)</f>
        <v>309.18</v>
      </c>
      <c r="W118" s="64">
        <f t="shared" si="112"/>
        <v>304.28000000000003</v>
      </c>
      <c r="X118" s="64">
        <f t="shared" ref="X118:Z118" si="113">SUM(X22,X28,X31:X32,X66,X68:X69,X71,X73,X119:X123,X155,X161,X167,X176,X178,X190,X197,X200:X201,X208,X210,X212,X216:X218,X220:X222,X227,X233:X234,X236:X238,X246,X251)</f>
        <v>302.58</v>
      </c>
      <c r="Y118" s="64">
        <f t="shared" si="113"/>
        <v>331.58</v>
      </c>
      <c r="Z118" s="64">
        <f t="shared" si="113"/>
        <v>365.18</v>
      </c>
      <c r="AA118" s="64">
        <f t="shared" ref="AA118" si="114">SUM(AA22,AA28,AA31:AA32,AA66,AA68:AA69,AA71,AA73,AA119:AA123,AA155,AA161,AA167,AA176,AA178,AA190,AA197,AA200:AA201,AA208,AA210,AA212,AA216:AA218,AA220:AA222,AA227,AA233:AA234,AA236:AA238,AA246,AA251)</f>
        <v>363.28000000000003</v>
      </c>
      <c r="AB118" s="64">
        <f t="shared" ref="AB118:AF118" si="115">SUM(AB22,AB28,AB31:AB32,AB66,AB68:AB69,AB71,AB73,AB119:AB123,AB155,AB161,AB167,AB176,AB178,AB190,AB197,AB200:AB201,AB208,AB210,AB212,AB216:AB218,AB220:AB222,AB227,AB233:AB234,AB236:AB238,AB246,AB251)</f>
        <v>305.58</v>
      </c>
      <c r="AC118" s="64">
        <f t="shared" si="115"/>
        <v>305.58</v>
      </c>
      <c r="AD118" s="64">
        <f t="shared" si="115"/>
        <v>243.48</v>
      </c>
      <c r="AE118" s="64">
        <f t="shared" si="115"/>
        <v>197.48000000000002</v>
      </c>
      <c r="AF118" s="64">
        <f t="shared" si="115"/>
        <v>154.47999999999999</v>
      </c>
      <c r="AG118" s="63"/>
      <c r="AH118" s="12">
        <f t="shared" si="53"/>
        <v>365.18</v>
      </c>
      <c r="AI118" s="11">
        <f t="shared" si="54"/>
        <v>42</v>
      </c>
    </row>
    <row r="119" spans="1:35" x14ac:dyDescent="0.25">
      <c r="A119" s="59" t="s">
        <v>143</v>
      </c>
      <c r="B119" s="62">
        <v>21</v>
      </c>
      <c r="C119" s="62">
        <v>23</v>
      </c>
      <c r="D119" s="62">
        <v>30</v>
      </c>
      <c r="E119" s="62">
        <v>38</v>
      </c>
      <c r="F119" s="62">
        <v>30</v>
      </c>
      <c r="G119" s="62">
        <v>19.2</v>
      </c>
      <c r="H119" s="62">
        <v>18.399999999999999</v>
      </c>
      <c r="I119" s="62">
        <v>21.7</v>
      </c>
      <c r="J119" s="62"/>
      <c r="K119" s="62">
        <v>-12.2</v>
      </c>
      <c r="L119" s="62">
        <v>2.5</v>
      </c>
      <c r="M119" s="62">
        <v>6</v>
      </c>
      <c r="N119" s="62">
        <v>6</v>
      </c>
      <c r="O119" s="62">
        <v>6</v>
      </c>
      <c r="P119" s="62">
        <v>10.5</v>
      </c>
      <c r="Q119" s="62">
        <v>12.9</v>
      </c>
      <c r="R119" s="62">
        <v>14.7</v>
      </c>
      <c r="S119" s="62">
        <v>11.9</v>
      </c>
      <c r="T119" s="62">
        <v>10.7</v>
      </c>
      <c r="U119" s="62">
        <v>6.4</v>
      </c>
      <c r="V119" s="62">
        <v>2.7</v>
      </c>
      <c r="W119" s="62">
        <v>4.4000000000000004</v>
      </c>
      <c r="X119" s="62">
        <v>10.1</v>
      </c>
      <c r="Y119" s="62">
        <v>9.3000000000000007</v>
      </c>
      <c r="Z119" s="62">
        <v>15</v>
      </c>
      <c r="AA119" s="62">
        <v>15.9</v>
      </c>
      <c r="AB119" s="62">
        <v>10</v>
      </c>
      <c r="AC119" s="62">
        <v>10</v>
      </c>
      <c r="AD119" s="62">
        <v>11</v>
      </c>
      <c r="AE119" s="62">
        <v>13.2</v>
      </c>
      <c r="AF119" s="62">
        <v>15.6</v>
      </c>
      <c r="AG119" s="55">
        <v>75</v>
      </c>
      <c r="AH119" s="12">
        <f t="shared" si="53"/>
        <v>38</v>
      </c>
      <c r="AI119" s="11">
        <f t="shared" si="54"/>
        <v>-12.2</v>
      </c>
    </row>
    <row r="120" spans="1:35" x14ac:dyDescent="0.25">
      <c r="A120" s="57" t="s">
        <v>142</v>
      </c>
      <c r="B120" s="61">
        <v>36</v>
      </c>
      <c r="C120" s="61">
        <v>36</v>
      </c>
      <c r="D120" s="61">
        <v>48</v>
      </c>
      <c r="E120" s="61">
        <v>60</v>
      </c>
      <c r="F120" s="61">
        <v>48.9</v>
      </c>
      <c r="G120" s="61">
        <v>30.7</v>
      </c>
      <c r="H120" s="61">
        <v>31.2</v>
      </c>
      <c r="I120" s="61">
        <v>28</v>
      </c>
      <c r="J120" s="61"/>
      <c r="K120" s="61">
        <v>-22.4</v>
      </c>
      <c r="L120" s="61">
        <v>3.5</v>
      </c>
      <c r="M120" s="61">
        <v>4.9000000000000004</v>
      </c>
      <c r="N120" s="61">
        <v>4.9000000000000004</v>
      </c>
      <c r="O120" s="61">
        <v>4.9000000000000004</v>
      </c>
      <c r="P120" s="61">
        <v>8.9</v>
      </c>
      <c r="Q120" s="61">
        <v>11.4</v>
      </c>
      <c r="R120" s="61">
        <v>16.5</v>
      </c>
      <c r="S120" s="61">
        <v>12.9</v>
      </c>
      <c r="T120" s="61">
        <v>8.6999999999999993</v>
      </c>
      <c r="U120" s="61">
        <v>3.9</v>
      </c>
      <c r="V120" s="61">
        <v>-0.6</v>
      </c>
      <c r="W120" s="61">
        <v>3.3</v>
      </c>
      <c r="X120" s="61">
        <v>15.2</v>
      </c>
      <c r="Y120" s="61">
        <v>16.899999999999999</v>
      </c>
      <c r="Z120" s="61">
        <v>24.6</v>
      </c>
      <c r="AA120" s="61">
        <v>26.7</v>
      </c>
      <c r="AB120" s="61">
        <v>19</v>
      </c>
      <c r="AC120" s="61">
        <v>19</v>
      </c>
      <c r="AD120" s="61">
        <v>21.5</v>
      </c>
      <c r="AE120" s="61">
        <v>25</v>
      </c>
      <c r="AF120" s="61">
        <v>30</v>
      </c>
      <c r="AG120" s="55">
        <v>240</v>
      </c>
      <c r="AH120" s="12">
        <f t="shared" si="53"/>
        <v>60</v>
      </c>
      <c r="AI120" s="11">
        <f t="shared" si="54"/>
        <v>-22.4</v>
      </c>
    </row>
    <row r="121" spans="1:35" x14ac:dyDescent="0.25">
      <c r="A121" s="57" t="s">
        <v>141</v>
      </c>
      <c r="B121" s="61">
        <v>-110</v>
      </c>
      <c r="C121" s="61">
        <v>-112</v>
      </c>
      <c r="D121" s="61">
        <v>-130</v>
      </c>
      <c r="E121" s="61">
        <v>-113</v>
      </c>
      <c r="F121" s="61">
        <v>-98</v>
      </c>
      <c r="G121" s="61">
        <v>-63</v>
      </c>
      <c r="H121" s="61">
        <v>-56</v>
      </c>
      <c r="I121" s="61">
        <v>-32</v>
      </c>
      <c r="J121" s="61"/>
      <c r="K121" s="61">
        <v>67</v>
      </c>
      <c r="L121" s="61">
        <v>32</v>
      </c>
      <c r="M121" s="61">
        <v>35</v>
      </c>
      <c r="N121" s="61">
        <v>35</v>
      </c>
      <c r="O121" s="61">
        <v>35</v>
      </c>
      <c r="P121" s="61">
        <f>18+12</f>
        <v>30</v>
      </c>
      <c r="Q121" s="61">
        <v>32.6</v>
      </c>
      <c r="R121" s="61">
        <v>17</v>
      </c>
      <c r="S121" s="61">
        <f>16.9+9.4</f>
        <v>26.299999999999997</v>
      </c>
      <c r="T121" s="61">
        <f>22.4+15.7</f>
        <v>38.099999999999994</v>
      </c>
      <c r="U121" s="61">
        <f>15.5+9.7</f>
        <v>25.2</v>
      </c>
      <c r="V121" s="61">
        <v>27</v>
      </c>
      <c r="W121" s="61">
        <v>19.2</v>
      </c>
      <c r="X121" s="61">
        <v>18</v>
      </c>
      <c r="Y121" s="61">
        <v>13</v>
      </c>
      <c r="Z121" s="61">
        <v>11</v>
      </c>
      <c r="AA121" s="61">
        <v>7.6</v>
      </c>
      <c r="AB121" s="61">
        <v>4</v>
      </c>
      <c r="AC121" s="61">
        <v>4</v>
      </c>
      <c r="AD121" s="61">
        <v>-15</v>
      </c>
      <c r="AE121" s="61">
        <v>-32</v>
      </c>
      <c r="AF121" s="61">
        <v>-54</v>
      </c>
      <c r="AG121" s="55">
        <v>240</v>
      </c>
      <c r="AH121" s="12">
        <f t="shared" si="53"/>
        <v>67</v>
      </c>
      <c r="AI121" s="11">
        <f t="shared" si="54"/>
        <v>-130</v>
      </c>
    </row>
    <row r="122" spans="1:35" ht="15.75" thickBot="1" x14ac:dyDescent="0.3">
      <c r="A122" s="57" t="s">
        <v>140</v>
      </c>
      <c r="B122" s="61">
        <v>25</v>
      </c>
      <c r="C122" s="61">
        <v>24</v>
      </c>
      <c r="D122" s="61">
        <v>21</v>
      </c>
      <c r="E122" s="61">
        <v>20</v>
      </c>
      <c r="F122" s="61">
        <v>22</v>
      </c>
      <c r="G122" s="61">
        <v>25</v>
      </c>
      <c r="H122" s="61">
        <v>23.4</v>
      </c>
      <c r="I122" s="61">
        <v>26</v>
      </c>
      <c r="J122" s="61"/>
      <c r="K122" s="61">
        <v>34.200000000000003</v>
      </c>
      <c r="L122" s="61">
        <v>29</v>
      </c>
      <c r="M122" s="61">
        <v>28</v>
      </c>
      <c r="N122" s="61">
        <v>28</v>
      </c>
      <c r="O122" s="61">
        <v>28</v>
      </c>
      <c r="P122" s="61">
        <v>29.6</v>
      </c>
      <c r="Q122" s="61">
        <v>29.1</v>
      </c>
      <c r="R122" s="61">
        <v>31</v>
      </c>
      <c r="S122" s="61">
        <v>31.9</v>
      </c>
      <c r="T122" s="61">
        <v>30.5</v>
      </c>
      <c r="U122" s="61">
        <v>16.2</v>
      </c>
      <c r="V122" s="61">
        <v>22.4</v>
      </c>
      <c r="W122" s="61">
        <v>18</v>
      </c>
      <c r="X122" s="61">
        <v>27.2</v>
      </c>
      <c r="Y122" s="61">
        <v>39.1</v>
      </c>
      <c r="Z122" s="61">
        <v>40.299999999999997</v>
      </c>
      <c r="AA122" s="61">
        <v>40</v>
      </c>
      <c r="AB122" s="61">
        <v>38.200000000000003</v>
      </c>
      <c r="AC122" s="61">
        <v>38.200000000000003</v>
      </c>
      <c r="AD122" s="61">
        <v>34.6</v>
      </c>
      <c r="AE122" s="61">
        <v>31.5</v>
      </c>
      <c r="AF122" s="61">
        <v>28</v>
      </c>
      <c r="AG122" s="55">
        <v>60</v>
      </c>
      <c r="AH122" s="12">
        <f t="shared" si="53"/>
        <v>40.299999999999997</v>
      </c>
      <c r="AI122" s="11">
        <f t="shared" si="54"/>
        <v>16.2</v>
      </c>
    </row>
    <row r="123" spans="1:35" x14ac:dyDescent="0.25">
      <c r="A123" s="59" t="s">
        <v>139</v>
      </c>
      <c r="B123" s="58">
        <v>18</v>
      </c>
      <c r="C123" s="58">
        <v>9.5</v>
      </c>
      <c r="D123" s="58">
        <v>5</v>
      </c>
      <c r="E123" s="58">
        <v>3.7</v>
      </c>
      <c r="F123" s="58">
        <v>8.6999999999999993</v>
      </c>
      <c r="G123" s="58">
        <v>28.1</v>
      </c>
      <c r="H123" s="58">
        <v>39.4</v>
      </c>
      <c r="I123" s="58">
        <v>69.099999999999994</v>
      </c>
      <c r="J123" s="58"/>
      <c r="K123" s="58">
        <v>119</v>
      </c>
      <c r="L123" s="58">
        <v>125</v>
      </c>
      <c r="M123" s="58">
        <v>122</v>
      </c>
      <c r="N123" s="58">
        <v>122</v>
      </c>
      <c r="O123" s="58">
        <v>122</v>
      </c>
      <c r="P123" s="58">
        <v>106</v>
      </c>
      <c r="Q123" s="58">
        <v>101.6</v>
      </c>
      <c r="R123" s="58">
        <v>95</v>
      </c>
      <c r="S123" s="58">
        <v>93.1</v>
      </c>
      <c r="T123" s="58">
        <v>98.6</v>
      </c>
      <c r="U123" s="58">
        <v>147.19999999999999</v>
      </c>
      <c r="V123" s="58">
        <v>150.80000000000001</v>
      </c>
      <c r="W123" s="58">
        <v>153</v>
      </c>
      <c r="X123" s="58">
        <v>126.3</v>
      </c>
      <c r="Y123" s="58">
        <v>147.69999999999999</v>
      </c>
      <c r="Z123" s="58">
        <v>171.1</v>
      </c>
      <c r="AA123" s="58">
        <v>169.9</v>
      </c>
      <c r="AB123" s="58">
        <v>130</v>
      </c>
      <c r="AC123" s="58">
        <v>130</v>
      </c>
      <c r="AD123" s="58">
        <v>87</v>
      </c>
      <c r="AE123" s="58">
        <v>55.4</v>
      </c>
      <c r="AF123" s="58">
        <v>23.1</v>
      </c>
      <c r="AG123" s="60">
        <v>120</v>
      </c>
      <c r="AH123" s="12">
        <f t="shared" si="53"/>
        <v>171.1</v>
      </c>
      <c r="AI123" s="11">
        <f t="shared" si="54"/>
        <v>3.7</v>
      </c>
    </row>
    <row r="124" spans="1:35" x14ac:dyDescent="0.25">
      <c r="A124" s="57" t="s">
        <v>138</v>
      </c>
      <c r="B124" s="58">
        <v>30</v>
      </c>
      <c r="C124" s="58">
        <v>26</v>
      </c>
      <c r="D124" s="58">
        <v>23</v>
      </c>
      <c r="E124" s="58">
        <v>23</v>
      </c>
      <c r="F124" s="58">
        <v>25.3</v>
      </c>
      <c r="G124" s="58">
        <v>35</v>
      </c>
      <c r="H124" s="58">
        <v>41</v>
      </c>
      <c r="I124" s="58">
        <v>56</v>
      </c>
      <c r="J124" s="58"/>
      <c r="K124" s="58">
        <v>80</v>
      </c>
      <c r="L124" s="58">
        <v>82.6</v>
      </c>
      <c r="M124" s="58">
        <v>81</v>
      </c>
      <c r="N124" s="58">
        <v>81</v>
      </c>
      <c r="O124" s="58">
        <v>81</v>
      </c>
      <c r="P124" s="58">
        <v>73</v>
      </c>
      <c r="Q124" s="58">
        <v>70.8</v>
      </c>
      <c r="R124" s="58">
        <v>70</v>
      </c>
      <c r="S124" s="58">
        <v>66.7</v>
      </c>
      <c r="T124" s="58">
        <v>69.3</v>
      </c>
      <c r="U124" s="58">
        <v>91.9</v>
      </c>
      <c r="V124" s="58">
        <v>88.1</v>
      </c>
      <c r="W124" s="58">
        <v>89</v>
      </c>
      <c r="X124" s="58">
        <v>77</v>
      </c>
      <c r="Y124" s="58">
        <v>86.2</v>
      </c>
      <c r="Z124" s="58">
        <v>97.9</v>
      </c>
      <c r="AA124" s="58">
        <v>96.6</v>
      </c>
      <c r="AB124" s="58">
        <v>86.1</v>
      </c>
      <c r="AC124" s="58">
        <v>86.1</v>
      </c>
      <c r="AD124" s="58">
        <v>66</v>
      </c>
      <c r="AE124" s="58">
        <v>50.6</v>
      </c>
      <c r="AF124" s="58">
        <v>34.5</v>
      </c>
      <c r="AG124" s="60"/>
      <c r="AH124" s="12">
        <f t="shared" si="53"/>
        <v>97.9</v>
      </c>
      <c r="AI124" s="11">
        <f t="shared" si="54"/>
        <v>23</v>
      </c>
    </row>
    <row r="125" spans="1:35" x14ac:dyDescent="0.25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/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53"/>
        <v>0</v>
      </c>
      <c r="AI125" s="11">
        <f t="shared" si="54"/>
        <v>0</v>
      </c>
    </row>
    <row r="126" spans="1:35" ht="15.75" thickBot="1" x14ac:dyDescent="0.3">
      <c r="A126" s="57" t="s">
        <v>136</v>
      </c>
      <c r="B126" s="58">
        <v>45</v>
      </c>
      <c r="C126" s="58">
        <v>40</v>
      </c>
      <c r="D126" s="58">
        <v>26</v>
      </c>
      <c r="E126" s="58">
        <v>11</v>
      </c>
      <c r="F126" s="58">
        <v>16</v>
      </c>
      <c r="G126" s="58">
        <v>39</v>
      </c>
      <c r="H126" s="58">
        <v>53.1</v>
      </c>
      <c r="I126" s="58">
        <v>87.1</v>
      </c>
      <c r="J126" s="58"/>
      <c r="K126" s="58">
        <v>86</v>
      </c>
      <c r="L126" s="58">
        <v>84</v>
      </c>
      <c r="M126" s="58">
        <v>83.2</v>
      </c>
      <c r="N126" s="58">
        <v>83.2</v>
      </c>
      <c r="O126" s="58">
        <v>83.2</v>
      </c>
      <c r="P126" s="58">
        <v>102</v>
      </c>
      <c r="Q126" s="58">
        <v>94.9</v>
      </c>
      <c r="R126" s="58">
        <v>86</v>
      </c>
      <c r="S126" s="58">
        <v>93.2</v>
      </c>
      <c r="T126" s="58">
        <v>103.5</v>
      </c>
      <c r="U126" s="58">
        <v>98.6</v>
      </c>
      <c r="V126" s="58">
        <v>82.5</v>
      </c>
      <c r="W126" s="58">
        <v>79.099999999999994</v>
      </c>
      <c r="X126" s="58">
        <v>70.2</v>
      </c>
      <c r="Y126" s="58">
        <v>72.599999999999994</v>
      </c>
      <c r="Z126" s="58">
        <v>87.3</v>
      </c>
      <c r="AA126" s="58">
        <v>77.599999999999994</v>
      </c>
      <c r="AB126" s="58">
        <v>87</v>
      </c>
      <c r="AC126" s="58">
        <v>87</v>
      </c>
      <c r="AD126" s="58">
        <v>59</v>
      </c>
      <c r="AE126" s="58">
        <v>56.2</v>
      </c>
      <c r="AF126" s="58">
        <v>45</v>
      </c>
      <c r="AG126" s="55"/>
      <c r="AH126" s="12">
        <f>MAX(B126:AF126)</f>
        <v>103.5</v>
      </c>
      <c r="AI126" s="11">
        <f>MIN(B126:AF126)</f>
        <v>11</v>
      </c>
    </row>
    <row r="127" spans="1:35" x14ac:dyDescent="0.25">
      <c r="A127" s="59" t="s">
        <v>135</v>
      </c>
      <c r="B127" s="58">
        <v>-100</v>
      </c>
      <c r="C127" s="58">
        <v>-70</v>
      </c>
      <c r="D127" s="58">
        <v>-65</v>
      </c>
      <c r="E127" s="58">
        <v>-73</v>
      </c>
      <c r="F127" s="58">
        <v>-69.400000000000006</v>
      </c>
      <c r="G127" s="58">
        <v>-60</v>
      </c>
      <c r="H127" s="58">
        <v>-54.1</v>
      </c>
      <c r="I127" s="58">
        <v>-65.2</v>
      </c>
      <c r="J127" s="58"/>
      <c r="K127" s="58">
        <v>36</v>
      </c>
      <c r="L127" s="58">
        <v>38</v>
      </c>
      <c r="M127" s="58">
        <v>88</v>
      </c>
      <c r="N127" s="58">
        <v>88</v>
      </c>
      <c r="O127" s="58">
        <v>88</v>
      </c>
      <c r="P127" s="58">
        <v>30</v>
      </c>
      <c r="Q127" s="58">
        <v>28.3</v>
      </c>
      <c r="R127" s="58">
        <v>25</v>
      </c>
      <c r="S127" s="58">
        <v>24.2</v>
      </c>
      <c r="T127" s="58">
        <v>25.3</v>
      </c>
      <c r="U127" s="58">
        <v>49.5</v>
      </c>
      <c r="V127" s="58">
        <v>49.9</v>
      </c>
      <c r="W127" s="58">
        <v>52</v>
      </c>
      <c r="X127" s="58">
        <v>12.7</v>
      </c>
      <c r="Y127" s="58">
        <v>-100</v>
      </c>
      <c r="Z127" s="58">
        <v>-83.9</v>
      </c>
      <c r="AA127" s="58">
        <v>-109.3</v>
      </c>
      <c r="AB127" s="58">
        <v>-101</v>
      </c>
      <c r="AC127" s="58">
        <v>-101</v>
      </c>
      <c r="AD127" s="58">
        <v>-99</v>
      </c>
      <c r="AE127" s="58">
        <v>-117</v>
      </c>
      <c r="AF127" s="58">
        <v>-114</v>
      </c>
      <c r="AG127" s="55"/>
      <c r="AH127" s="12">
        <f>MAX(B127:AF127)</f>
        <v>88</v>
      </c>
      <c r="AI127" s="11">
        <f>MIN(B127:AF127)</f>
        <v>-117</v>
      </c>
    </row>
    <row r="128" spans="1:35" x14ac:dyDescent="0.25">
      <c r="A128" s="57" t="s">
        <v>134</v>
      </c>
      <c r="B128" s="56">
        <v>-48</v>
      </c>
      <c r="C128" s="56">
        <v>-43</v>
      </c>
      <c r="D128" s="56">
        <v>-40</v>
      </c>
      <c r="E128" s="56">
        <v>-34.299999999999997</v>
      </c>
      <c r="F128" s="56">
        <v>-32.299999999999997</v>
      </c>
      <c r="G128" s="56">
        <v>-36</v>
      </c>
      <c r="H128" s="56">
        <v>-38.4</v>
      </c>
      <c r="I128" s="56">
        <v>-44.3</v>
      </c>
      <c r="J128" s="56"/>
      <c r="K128" s="56">
        <v>-60</v>
      </c>
      <c r="L128" s="56">
        <v>-51.4</v>
      </c>
      <c r="M128" s="56">
        <v>-53</v>
      </c>
      <c r="N128" s="56">
        <v>-53</v>
      </c>
      <c r="O128" s="56">
        <v>-53</v>
      </c>
      <c r="P128" s="56">
        <v>-54</v>
      </c>
      <c r="Q128" s="56">
        <v>-50.9</v>
      </c>
      <c r="R128" s="56">
        <v>-45</v>
      </c>
      <c r="S128" s="56">
        <v>-53</v>
      </c>
      <c r="T128" s="56">
        <v>-59.5</v>
      </c>
      <c r="U128" s="56">
        <v>-58.2</v>
      </c>
      <c r="V128" s="56">
        <v>-50.7</v>
      </c>
      <c r="W128" s="56">
        <v>-58</v>
      </c>
      <c r="X128" s="56"/>
      <c r="Y128" s="56"/>
      <c r="Z128" s="56"/>
      <c r="AA128" s="56"/>
      <c r="AB128" s="56"/>
      <c r="AC128" s="56"/>
      <c r="AD128" s="56">
        <v>-66</v>
      </c>
      <c r="AE128" s="56">
        <v>-62</v>
      </c>
      <c r="AF128" s="56">
        <v>-52.8</v>
      </c>
      <c r="AG128" s="55"/>
      <c r="AH128" s="12">
        <f>MAX(B128:AF128)</f>
        <v>-32.299999999999997</v>
      </c>
      <c r="AI128" s="11">
        <f>MIN(B128:AF128)</f>
        <v>-66</v>
      </c>
    </row>
    <row r="129" spans="1:37" x14ac:dyDescent="0.25">
      <c r="A129" s="57" t="s">
        <v>133</v>
      </c>
      <c r="B129" s="56">
        <v>100</v>
      </c>
      <c r="C129" s="56">
        <v>96</v>
      </c>
      <c r="D129" s="56">
        <v>93</v>
      </c>
      <c r="E129" s="56">
        <v>86.4</v>
      </c>
      <c r="F129" s="56">
        <v>79</v>
      </c>
      <c r="G129" s="56">
        <v>84</v>
      </c>
      <c r="H129" s="56">
        <v>83</v>
      </c>
      <c r="I129" s="56">
        <v>92.4</v>
      </c>
      <c r="J129" s="56"/>
      <c r="K129" s="56">
        <v>75</v>
      </c>
      <c r="L129" s="56">
        <v>86.2</v>
      </c>
      <c r="M129" s="56">
        <v>87.1</v>
      </c>
      <c r="N129" s="56">
        <v>87.1</v>
      </c>
      <c r="O129" s="56">
        <v>87.1</v>
      </c>
      <c r="P129" s="56">
        <v>86</v>
      </c>
      <c r="Q129" s="56">
        <v>81.2</v>
      </c>
      <c r="R129" s="56">
        <v>93</v>
      </c>
      <c r="S129" s="56">
        <v>86</v>
      </c>
      <c r="T129" s="56">
        <v>88.2</v>
      </c>
      <c r="U129" s="56">
        <v>77.400000000000006</v>
      </c>
      <c r="V129" s="56">
        <v>75.900000000000006</v>
      </c>
      <c r="W129" s="56">
        <v>72.2</v>
      </c>
      <c r="X129" s="56">
        <v>62</v>
      </c>
      <c r="Y129" s="56">
        <v>62.2</v>
      </c>
      <c r="Z129" s="56">
        <v>79</v>
      </c>
      <c r="AA129" s="56">
        <v>125.5</v>
      </c>
      <c r="AB129" s="56">
        <v>125.5</v>
      </c>
      <c r="AC129" s="56">
        <v>119.4</v>
      </c>
      <c r="AD129" s="56">
        <v>118</v>
      </c>
      <c r="AE129" s="56">
        <v>112</v>
      </c>
      <c r="AF129" s="56">
        <v>98.3</v>
      </c>
      <c r="AG129" s="55"/>
      <c r="AH129" s="12">
        <f>MAX(B129:AF129)</f>
        <v>125.5</v>
      </c>
      <c r="AI129" s="11">
        <f>MIN(B129:AF129)</f>
        <v>62</v>
      </c>
    </row>
    <row r="130" spans="1:37" ht="15.75" thickBot="1" x14ac:dyDescent="0.3">
      <c r="A130" s="57" t="s">
        <v>132</v>
      </c>
      <c r="B130" s="56">
        <v>108</v>
      </c>
      <c r="C130" s="56">
        <v>106</v>
      </c>
      <c r="D130" s="56">
        <v>102</v>
      </c>
      <c r="E130" s="56">
        <v>97</v>
      </c>
      <c r="F130" s="56">
        <v>89</v>
      </c>
      <c r="G130" s="56">
        <v>93</v>
      </c>
      <c r="H130" s="56">
        <v>93</v>
      </c>
      <c r="I130" s="56">
        <v>103</v>
      </c>
      <c r="J130" s="56"/>
      <c r="K130" s="56">
        <v>78</v>
      </c>
      <c r="L130" s="56">
        <v>85.3</v>
      </c>
      <c r="M130" s="56">
        <v>88</v>
      </c>
      <c r="N130" s="56">
        <v>88</v>
      </c>
      <c r="O130" s="56">
        <v>88</v>
      </c>
      <c r="P130" s="56">
        <v>84</v>
      </c>
      <c r="Q130" s="56">
        <v>84.8</v>
      </c>
      <c r="R130" s="56">
        <v>93</v>
      </c>
      <c r="S130" s="56">
        <v>88.8</v>
      </c>
      <c r="T130" s="56">
        <v>93</v>
      </c>
      <c r="U130" s="56">
        <v>80.099999999999994</v>
      </c>
      <c r="V130" s="56">
        <v>77.099999999999994</v>
      </c>
      <c r="W130" s="56">
        <v>74.3</v>
      </c>
      <c r="X130" s="56">
        <v>71</v>
      </c>
      <c r="Y130" s="56">
        <v>70.400000000000006</v>
      </c>
      <c r="Z130" s="56">
        <v>88.5</v>
      </c>
      <c r="AA130" s="56">
        <v>131.1</v>
      </c>
      <c r="AB130" s="56">
        <v>131.1</v>
      </c>
      <c r="AC130" s="56">
        <v>127.6</v>
      </c>
      <c r="AD130" s="56">
        <v>127</v>
      </c>
      <c r="AE130" s="56">
        <v>122</v>
      </c>
      <c r="AF130" s="56">
        <v>107</v>
      </c>
      <c r="AG130" s="55"/>
      <c r="AH130" s="12">
        <f>MAX(B130:AF130)</f>
        <v>131.1</v>
      </c>
      <c r="AI130" s="11">
        <f>MIN(B130:AF130)</f>
        <v>70.400000000000006</v>
      </c>
    </row>
    <row r="131" spans="1:37" x14ac:dyDescent="0.25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25">
      <c r="A132" s="47" t="s">
        <v>130</v>
      </c>
      <c r="B132" s="51">
        <v>1982.64</v>
      </c>
      <c r="C132" s="51">
        <v>1982.5</v>
      </c>
      <c r="D132" s="51">
        <v>1982.5</v>
      </c>
      <c r="E132" s="51">
        <v>1982.58</v>
      </c>
      <c r="F132" s="51">
        <v>1982.58</v>
      </c>
      <c r="G132" s="51">
        <v>1982.57</v>
      </c>
      <c r="H132" s="51"/>
      <c r="I132" s="51">
        <v>1982.55</v>
      </c>
      <c r="J132" s="51"/>
      <c r="K132" s="51">
        <v>1982.71</v>
      </c>
      <c r="L132" s="51"/>
      <c r="M132" s="51">
        <v>1983.17</v>
      </c>
      <c r="N132" s="51">
        <v>1983.4</v>
      </c>
      <c r="O132" s="51">
        <v>1983.72</v>
      </c>
      <c r="P132" s="51">
        <v>1984</v>
      </c>
      <c r="Q132" s="51">
        <v>1984.32</v>
      </c>
      <c r="R132" s="51">
        <v>1984.55</v>
      </c>
      <c r="S132" s="51">
        <v>1984.8</v>
      </c>
      <c r="T132" s="51">
        <v>1985.02</v>
      </c>
      <c r="U132" s="51">
        <v>1985.28</v>
      </c>
      <c r="V132" s="51">
        <v>1985.5</v>
      </c>
      <c r="W132" s="51"/>
      <c r="X132" s="51">
        <v>1985.75</v>
      </c>
      <c r="Y132" s="51"/>
      <c r="Z132" s="51">
        <v>1985.52</v>
      </c>
      <c r="AA132" s="51"/>
      <c r="AB132" s="51">
        <v>1984.9</v>
      </c>
      <c r="AC132" s="51"/>
      <c r="AD132" s="51">
        <v>1984.4</v>
      </c>
      <c r="AE132" s="51">
        <v>1984</v>
      </c>
      <c r="AF132" s="50">
        <v>1983.72</v>
      </c>
      <c r="AG132" s="44"/>
      <c r="AH132" s="12"/>
      <c r="AI132" s="11"/>
    </row>
    <row r="133" spans="1:37" x14ac:dyDescent="0.25">
      <c r="A133" s="47" t="s">
        <v>129</v>
      </c>
      <c r="B133" s="49">
        <v>519.34</v>
      </c>
      <c r="C133" s="49">
        <v>519.47</v>
      </c>
      <c r="D133" s="49">
        <v>519.61</v>
      </c>
      <c r="E133" s="49">
        <v>519.70000000000005</v>
      </c>
      <c r="F133" s="49">
        <v>519.71</v>
      </c>
      <c r="G133" s="49">
        <v>519.73</v>
      </c>
      <c r="H133" s="49"/>
      <c r="I133" s="49">
        <v>519.72</v>
      </c>
      <c r="J133" s="49"/>
      <c r="K133" s="49">
        <v>519.66999999999996</v>
      </c>
      <c r="L133" s="49"/>
      <c r="M133" s="49">
        <v>519.66</v>
      </c>
      <c r="N133" s="49">
        <v>519.72</v>
      </c>
      <c r="O133" s="49">
        <v>519.72</v>
      </c>
      <c r="P133" s="49">
        <v>519.55999999999995</v>
      </c>
      <c r="Q133" s="49">
        <v>519.52</v>
      </c>
      <c r="R133" s="49">
        <v>519.46</v>
      </c>
      <c r="S133" s="49">
        <v>519.46</v>
      </c>
      <c r="T133" s="49">
        <v>519.47299999999996</v>
      </c>
      <c r="U133" s="49">
        <v>519.53</v>
      </c>
      <c r="V133" s="49">
        <v>519.57000000000005</v>
      </c>
      <c r="W133" s="49"/>
      <c r="X133" s="49">
        <v>519.61</v>
      </c>
      <c r="Y133" s="49"/>
      <c r="Z133" s="49">
        <v>519.5</v>
      </c>
      <c r="AA133" s="49"/>
      <c r="AB133" s="49">
        <v>519.24</v>
      </c>
      <c r="AC133" s="49"/>
      <c r="AD133" s="49">
        <v>519.21</v>
      </c>
      <c r="AE133" s="49">
        <v>519.25</v>
      </c>
      <c r="AF133" s="48">
        <v>519.29</v>
      </c>
      <c r="AG133" s="44"/>
      <c r="AH133" s="12"/>
      <c r="AI133" s="11"/>
    </row>
    <row r="134" spans="1:37" x14ac:dyDescent="0.25">
      <c r="A134" s="47" t="s">
        <v>128</v>
      </c>
      <c r="B134" s="49">
        <v>622.61</v>
      </c>
      <c r="C134" s="49">
        <v>622.71</v>
      </c>
      <c r="D134" s="49">
        <v>622.79999999999995</v>
      </c>
      <c r="E134" s="49">
        <v>622.48</v>
      </c>
      <c r="F134" s="49">
        <v>622.27</v>
      </c>
      <c r="G134" s="49">
        <v>622.41</v>
      </c>
      <c r="H134" s="49"/>
      <c r="I134" s="49">
        <v>622.59</v>
      </c>
      <c r="J134" s="49"/>
      <c r="K134" s="49">
        <v>622.89</v>
      </c>
      <c r="L134" s="49"/>
      <c r="M134" s="49">
        <v>622.76</v>
      </c>
      <c r="N134" s="49">
        <v>622.91999999999996</v>
      </c>
      <c r="O134" s="49">
        <v>623.04999999999995</v>
      </c>
      <c r="P134" s="49">
        <v>623</v>
      </c>
      <c r="Q134" s="49">
        <v>622.91</v>
      </c>
      <c r="R134" s="49">
        <v>622.80999999999995</v>
      </c>
      <c r="S134" s="49">
        <v>622.5</v>
      </c>
      <c r="T134" s="49">
        <v>622.22</v>
      </c>
      <c r="U134" s="49">
        <v>622.29999999999995</v>
      </c>
      <c r="V134" s="49">
        <v>622.47</v>
      </c>
      <c r="W134" s="49"/>
      <c r="X134" s="49">
        <v>622.67999999999995</v>
      </c>
      <c r="Y134" s="49"/>
      <c r="Z134" s="49">
        <v>622.76</v>
      </c>
      <c r="AA134" s="49"/>
      <c r="AB134" s="49">
        <v>622.36</v>
      </c>
      <c r="AC134" s="49"/>
      <c r="AD134" s="49">
        <v>622.19000000000005</v>
      </c>
      <c r="AE134" s="49">
        <v>621.89</v>
      </c>
      <c r="AF134" s="48">
        <v>621.59</v>
      </c>
      <c r="AG134" s="44"/>
      <c r="AH134" s="12"/>
      <c r="AI134" s="11"/>
    </row>
    <row r="135" spans="1:37" x14ac:dyDescent="0.25">
      <c r="A135" s="47" t="s">
        <v>127</v>
      </c>
      <c r="B135" s="49">
        <v>334.94</v>
      </c>
      <c r="C135" s="49">
        <v>334.43</v>
      </c>
      <c r="D135" s="49">
        <v>334.35</v>
      </c>
      <c r="E135" s="49">
        <v>334.28</v>
      </c>
      <c r="F135" s="49">
        <v>334.36</v>
      </c>
      <c r="G135" s="49">
        <v>334.33</v>
      </c>
      <c r="H135" s="49"/>
      <c r="I135" s="49">
        <v>334.34</v>
      </c>
      <c r="J135" s="49"/>
      <c r="K135" s="49">
        <v>334.3</v>
      </c>
      <c r="L135" s="49"/>
      <c r="M135" s="49">
        <v>334.36</v>
      </c>
      <c r="N135" s="49">
        <v>334.21</v>
      </c>
      <c r="O135" s="49">
        <v>334.78</v>
      </c>
      <c r="P135" s="49">
        <v>334.82</v>
      </c>
      <c r="Q135" s="49">
        <v>334.81</v>
      </c>
      <c r="R135" s="49">
        <v>334.79</v>
      </c>
      <c r="S135" s="49">
        <v>334.87</v>
      </c>
      <c r="T135" s="49">
        <v>334.85</v>
      </c>
      <c r="U135" s="49">
        <v>334.84</v>
      </c>
      <c r="V135" s="49">
        <v>334.98</v>
      </c>
      <c r="W135" s="49"/>
      <c r="X135" s="49">
        <v>335.26</v>
      </c>
      <c r="Y135" s="49"/>
      <c r="Z135" s="49">
        <v>335.33</v>
      </c>
      <c r="AA135" s="49"/>
      <c r="AB135" s="49">
        <v>335.09</v>
      </c>
      <c r="AC135" s="49"/>
      <c r="AD135" s="49">
        <v>334.93</v>
      </c>
      <c r="AE135" s="49">
        <v>334.75</v>
      </c>
      <c r="AF135" s="48">
        <v>334.49</v>
      </c>
      <c r="AG135" s="44"/>
      <c r="AH135" s="12"/>
      <c r="AI135" s="11"/>
    </row>
    <row r="136" spans="1:37" x14ac:dyDescent="0.25">
      <c r="A136" s="47" t="s">
        <v>126</v>
      </c>
      <c r="B136" s="49">
        <v>882.5</v>
      </c>
      <c r="C136" s="49">
        <v>882.6</v>
      </c>
      <c r="D136" s="49">
        <v>882.9</v>
      </c>
      <c r="E136" s="49">
        <v>883.3</v>
      </c>
      <c r="F136" s="49">
        <v>883.6</v>
      </c>
      <c r="G136" s="49">
        <v>883.8</v>
      </c>
      <c r="H136" s="49"/>
      <c r="I136" s="49">
        <v>884</v>
      </c>
      <c r="J136" s="49"/>
      <c r="K136" s="49">
        <v>884.2</v>
      </c>
      <c r="L136" s="49"/>
      <c r="M136" s="49">
        <v>884.3</v>
      </c>
      <c r="N136" s="49">
        <v>884.9</v>
      </c>
      <c r="O136" s="49">
        <v>885.6</v>
      </c>
      <c r="P136" s="49">
        <v>885.8</v>
      </c>
      <c r="Q136" s="49">
        <v>885.6</v>
      </c>
      <c r="R136" s="49">
        <v>885.4</v>
      </c>
      <c r="S136" s="49">
        <v>885.2</v>
      </c>
      <c r="T136" s="49">
        <v>885</v>
      </c>
      <c r="U136" s="49">
        <v>884.8</v>
      </c>
      <c r="V136" s="49">
        <v>884.6</v>
      </c>
      <c r="W136" s="49"/>
      <c r="X136" s="49">
        <v>884.4</v>
      </c>
      <c r="Y136" s="49"/>
      <c r="Z136" s="49">
        <v>883.4</v>
      </c>
      <c r="AA136" s="49"/>
      <c r="AB136" s="49">
        <v>882</v>
      </c>
      <c r="AC136" s="49"/>
      <c r="AD136" s="49">
        <v>882</v>
      </c>
      <c r="AE136" s="49">
        <v>882</v>
      </c>
      <c r="AF136" s="48">
        <v>882.2</v>
      </c>
      <c r="AG136" s="44"/>
      <c r="AH136" s="12"/>
      <c r="AI136" s="11"/>
    </row>
    <row r="137" spans="1:37" ht="15.75" thickBot="1" x14ac:dyDescent="0.3">
      <c r="A137" s="47" t="s">
        <v>125</v>
      </c>
      <c r="B137" s="46">
        <v>1508.28</v>
      </c>
      <c r="C137" s="46"/>
      <c r="D137" s="46"/>
      <c r="E137" s="46"/>
      <c r="F137" s="46"/>
      <c r="G137" s="46"/>
      <c r="H137" s="46"/>
      <c r="I137" s="46"/>
      <c r="J137" s="46"/>
      <c r="K137" s="46">
        <v>1508.06</v>
      </c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.75" thickBot="1" x14ac:dyDescent="0.3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25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25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25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25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25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25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25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>
        <f>50*1%</f>
        <v>0.5</v>
      </c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25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25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25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25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25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25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25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25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25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25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25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25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25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25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25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25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25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25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25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25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25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25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25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25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25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25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25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25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25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25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25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25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25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25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25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25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25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25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25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25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25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25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25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25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25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25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25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25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25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25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25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25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25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25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25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25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25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25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25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25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25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25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25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25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25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25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25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25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25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25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25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25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25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25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25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25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25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25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25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25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25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25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25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25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25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25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25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25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25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25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25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25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25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25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25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25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25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.75" thickBot="1" x14ac:dyDescent="0.3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.75" thickBot="1" x14ac:dyDescent="0.3">
      <c r="A244" s="31" t="s">
        <v>17</v>
      </c>
      <c r="B244" s="30">
        <f t="shared" ref="B244:AG244" si="116">SUM(B139:B243)</f>
        <v>0</v>
      </c>
      <c r="C244" s="14">
        <f t="shared" si="116"/>
        <v>0</v>
      </c>
      <c r="D244" s="14">
        <f t="shared" si="116"/>
        <v>0</v>
      </c>
      <c r="E244" s="14">
        <f t="shared" si="116"/>
        <v>0</v>
      </c>
      <c r="F244" s="14">
        <f t="shared" si="116"/>
        <v>0</v>
      </c>
      <c r="G244" s="14">
        <f t="shared" si="116"/>
        <v>0</v>
      </c>
      <c r="H244" s="14">
        <f t="shared" si="116"/>
        <v>0</v>
      </c>
      <c r="I244" s="14">
        <f t="shared" si="116"/>
        <v>0</v>
      </c>
      <c r="J244" s="14">
        <f t="shared" si="116"/>
        <v>0</v>
      </c>
      <c r="K244" s="14">
        <f t="shared" si="116"/>
        <v>0</v>
      </c>
      <c r="L244" s="14">
        <f t="shared" si="116"/>
        <v>0</v>
      </c>
      <c r="M244" s="14">
        <f t="shared" si="116"/>
        <v>0</v>
      </c>
      <c r="N244" s="14">
        <f t="shared" si="116"/>
        <v>0</v>
      </c>
      <c r="O244" s="14">
        <f t="shared" si="116"/>
        <v>0</v>
      </c>
      <c r="P244" s="14">
        <f t="shared" si="116"/>
        <v>0</v>
      </c>
      <c r="Q244" s="14">
        <f t="shared" si="116"/>
        <v>0</v>
      </c>
      <c r="R244" s="14">
        <f t="shared" si="116"/>
        <v>0</v>
      </c>
      <c r="S244" s="14">
        <f t="shared" si="116"/>
        <v>0</v>
      </c>
      <c r="T244" s="14">
        <f t="shared" si="116"/>
        <v>0</v>
      </c>
      <c r="U244" s="14">
        <f t="shared" si="116"/>
        <v>0</v>
      </c>
      <c r="V244" s="14">
        <f t="shared" si="116"/>
        <v>0</v>
      </c>
      <c r="W244" s="14">
        <f t="shared" si="116"/>
        <v>0</v>
      </c>
      <c r="X244" s="14">
        <f t="shared" si="116"/>
        <v>0</v>
      </c>
      <c r="Y244" s="14">
        <f t="shared" si="116"/>
        <v>0</v>
      </c>
      <c r="Z244" s="14">
        <f t="shared" si="116"/>
        <v>0.5</v>
      </c>
      <c r="AA244" s="14">
        <f t="shared" si="116"/>
        <v>0</v>
      </c>
      <c r="AB244" s="14">
        <f t="shared" si="116"/>
        <v>0</v>
      </c>
      <c r="AC244" s="14">
        <f t="shared" si="116"/>
        <v>0</v>
      </c>
      <c r="AD244" s="14">
        <f t="shared" si="116"/>
        <v>0</v>
      </c>
      <c r="AE244" s="14">
        <f t="shared" si="116"/>
        <v>0</v>
      </c>
      <c r="AF244" s="29">
        <f t="shared" si="116"/>
        <v>0</v>
      </c>
      <c r="AG244" s="28">
        <f t="shared" si="116"/>
        <v>412.72299999999984</v>
      </c>
      <c r="AH244" s="12"/>
      <c r="AI244" s="11"/>
      <c r="AK244" s="19"/>
    </row>
    <row r="245" spans="1:37" ht="15.75" thickBot="1" x14ac:dyDescent="0.3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25">
      <c r="A246" s="25" t="s">
        <v>16</v>
      </c>
      <c r="B246" s="24">
        <f t="shared" ref="B246:B251" si="117">AF246</f>
        <v>0.3</v>
      </c>
      <c r="C246" s="24">
        <v>0.3</v>
      </c>
      <c r="D246" s="24">
        <f t="shared" ref="D246:AF251" si="118">C246</f>
        <v>0.3</v>
      </c>
      <c r="E246" s="24">
        <f t="shared" si="118"/>
        <v>0.3</v>
      </c>
      <c r="F246" s="24">
        <f t="shared" si="118"/>
        <v>0.3</v>
      </c>
      <c r="G246" s="24">
        <f t="shared" si="118"/>
        <v>0.3</v>
      </c>
      <c r="H246" s="24">
        <f t="shared" si="118"/>
        <v>0.3</v>
      </c>
      <c r="I246" s="24">
        <f t="shared" si="118"/>
        <v>0.3</v>
      </c>
      <c r="J246" s="24">
        <f t="shared" si="118"/>
        <v>0.3</v>
      </c>
      <c r="K246" s="24">
        <f t="shared" si="118"/>
        <v>0.3</v>
      </c>
      <c r="L246" s="24">
        <f t="shared" si="118"/>
        <v>0.3</v>
      </c>
      <c r="M246" s="24">
        <f t="shared" si="118"/>
        <v>0.3</v>
      </c>
      <c r="N246" s="24">
        <f t="shared" si="118"/>
        <v>0.3</v>
      </c>
      <c r="O246" s="24">
        <f t="shared" si="118"/>
        <v>0.3</v>
      </c>
      <c r="P246" s="24">
        <f t="shared" si="118"/>
        <v>0.3</v>
      </c>
      <c r="Q246" s="24">
        <f t="shared" si="118"/>
        <v>0.3</v>
      </c>
      <c r="R246" s="24">
        <f t="shared" si="118"/>
        <v>0.3</v>
      </c>
      <c r="S246" s="24">
        <f t="shared" si="118"/>
        <v>0.3</v>
      </c>
      <c r="T246" s="24">
        <f t="shared" si="118"/>
        <v>0.3</v>
      </c>
      <c r="U246" s="24">
        <f t="shared" si="118"/>
        <v>0.3</v>
      </c>
      <c r="V246" s="24">
        <f t="shared" si="118"/>
        <v>0.3</v>
      </c>
      <c r="W246" s="24">
        <f t="shared" si="118"/>
        <v>0.3</v>
      </c>
      <c r="X246" s="24">
        <f t="shared" si="118"/>
        <v>0.3</v>
      </c>
      <c r="Y246" s="24">
        <f t="shared" si="118"/>
        <v>0.3</v>
      </c>
      <c r="Z246" s="24">
        <f t="shared" si="118"/>
        <v>0.3</v>
      </c>
      <c r="AA246" s="24">
        <f t="shared" si="118"/>
        <v>0.3</v>
      </c>
      <c r="AB246" s="24">
        <f t="shared" si="118"/>
        <v>0.3</v>
      </c>
      <c r="AC246" s="24">
        <f t="shared" si="118"/>
        <v>0.3</v>
      </c>
      <c r="AD246" s="24">
        <f t="shared" si="118"/>
        <v>0.3</v>
      </c>
      <c r="AE246" s="24">
        <f t="shared" si="118"/>
        <v>0.3</v>
      </c>
      <c r="AF246" s="24">
        <f t="shared" si="118"/>
        <v>0.3</v>
      </c>
      <c r="AG246" s="23">
        <v>2.4</v>
      </c>
      <c r="AH246" s="12"/>
      <c r="AI246" s="11"/>
      <c r="AK246" s="19"/>
    </row>
    <row r="247" spans="1:37" x14ac:dyDescent="0.25">
      <c r="A247" s="22" t="s">
        <v>15</v>
      </c>
      <c r="B247" s="21">
        <f t="shared" si="117"/>
        <v>0.4</v>
      </c>
      <c r="C247" s="21">
        <v>0.4</v>
      </c>
      <c r="D247" s="21">
        <f t="shared" si="118"/>
        <v>0.4</v>
      </c>
      <c r="E247" s="21">
        <f t="shared" si="118"/>
        <v>0.4</v>
      </c>
      <c r="F247" s="21">
        <f t="shared" si="118"/>
        <v>0.4</v>
      </c>
      <c r="G247" s="21">
        <f t="shared" si="118"/>
        <v>0.4</v>
      </c>
      <c r="H247" s="21">
        <f t="shared" si="118"/>
        <v>0.4</v>
      </c>
      <c r="I247" s="21">
        <f t="shared" si="118"/>
        <v>0.4</v>
      </c>
      <c r="J247" s="21">
        <f t="shared" si="118"/>
        <v>0.4</v>
      </c>
      <c r="K247" s="21">
        <f t="shared" si="118"/>
        <v>0.4</v>
      </c>
      <c r="L247" s="21">
        <f t="shared" si="118"/>
        <v>0.4</v>
      </c>
      <c r="M247" s="21">
        <f t="shared" si="118"/>
        <v>0.4</v>
      </c>
      <c r="N247" s="21">
        <f t="shared" si="118"/>
        <v>0.4</v>
      </c>
      <c r="O247" s="21">
        <f t="shared" si="118"/>
        <v>0.4</v>
      </c>
      <c r="P247" s="21">
        <f t="shared" si="118"/>
        <v>0.4</v>
      </c>
      <c r="Q247" s="21">
        <f t="shared" si="118"/>
        <v>0.4</v>
      </c>
      <c r="R247" s="21">
        <f t="shared" si="118"/>
        <v>0.4</v>
      </c>
      <c r="S247" s="21">
        <f t="shared" si="118"/>
        <v>0.4</v>
      </c>
      <c r="T247" s="21">
        <f t="shared" si="118"/>
        <v>0.4</v>
      </c>
      <c r="U247" s="21">
        <f t="shared" si="118"/>
        <v>0.4</v>
      </c>
      <c r="V247" s="21">
        <f t="shared" si="118"/>
        <v>0.4</v>
      </c>
      <c r="W247" s="21">
        <f t="shared" si="118"/>
        <v>0.4</v>
      </c>
      <c r="X247" s="21">
        <f t="shared" si="118"/>
        <v>0.4</v>
      </c>
      <c r="Y247" s="21">
        <f t="shared" si="118"/>
        <v>0.4</v>
      </c>
      <c r="Z247" s="21">
        <f t="shared" si="118"/>
        <v>0.4</v>
      </c>
      <c r="AA247" s="21">
        <f t="shared" si="118"/>
        <v>0.4</v>
      </c>
      <c r="AB247" s="21">
        <f t="shared" si="118"/>
        <v>0.4</v>
      </c>
      <c r="AC247" s="21">
        <f t="shared" si="118"/>
        <v>0.4</v>
      </c>
      <c r="AD247" s="21">
        <f t="shared" si="118"/>
        <v>0.4</v>
      </c>
      <c r="AE247" s="21">
        <f t="shared" si="118"/>
        <v>0.4</v>
      </c>
      <c r="AF247" s="21">
        <f t="shared" si="118"/>
        <v>0.4</v>
      </c>
      <c r="AG247" s="20">
        <v>2</v>
      </c>
      <c r="AH247" s="12"/>
      <c r="AI247" s="11"/>
      <c r="AK247" s="19"/>
    </row>
    <row r="248" spans="1:37" x14ac:dyDescent="0.25">
      <c r="A248" s="22" t="s">
        <v>14</v>
      </c>
      <c r="B248" s="21">
        <f t="shared" si="117"/>
        <v>1.5</v>
      </c>
      <c r="C248" s="21">
        <v>1.5</v>
      </c>
      <c r="D248" s="21">
        <f t="shared" si="118"/>
        <v>1.5</v>
      </c>
      <c r="E248" s="21">
        <f t="shared" si="118"/>
        <v>1.5</v>
      </c>
      <c r="F248" s="21">
        <f t="shared" si="118"/>
        <v>1.5</v>
      </c>
      <c r="G248" s="21">
        <f t="shared" si="118"/>
        <v>1.5</v>
      </c>
      <c r="H248" s="21">
        <f t="shared" si="118"/>
        <v>1.5</v>
      </c>
      <c r="I248" s="21">
        <f t="shared" si="118"/>
        <v>1.5</v>
      </c>
      <c r="J248" s="21">
        <f t="shared" si="118"/>
        <v>1.5</v>
      </c>
      <c r="K248" s="21">
        <f t="shared" si="118"/>
        <v>1.5</v>
      </c>
      <c r="L248" s="21">
        <f t="shared" si="118"/>
        <v>1.5</v>
      </c>
      <c r="M248" s="21">
        <f t="shared" si="118"/>
        <v>1.5</v>
      </c>
      <c r="N248" s="21">
        <f t="shared" si="118"/>
        <v>1.5</v>
      </c>
      <c r="O248" s="21">
        <f t="shared" si="118"/>
        <v>1.5</v>
      </c>
      <c r="P248" s="21">
        <f t="shared" si="118"/>
        <v>1.5</v>
      </c>
      <c r="Q248" s="21">
        <f t="shared" si="118"/>
        <v>1.5</v>
      </c>
      <c r="R248" s="21">
        <f t="shared" si="118"/>
        <v>1.5</v>
      </c>
      <c r="S248" s="21">
        <f t="shared" si="118"/>
        <v>1.5</v>
      </c>
      <c r="T248" s="21">
        <f t="shared" si="118"/>
        <v>1.5</v>
      </c>
      <c r="U248" s="21">
        <f t="shared" si="118"/>
        <v>1.5</v>
      </c>
      <c r="V248" s="21">
        <f t="shared" si="118"/>
        <v>1.5</v>
      </c>
      <c r="W248" s="21">
        <f t="shared" si="118"/>
        <v>1.5</v>
      </c>
      <c r="X248" s="21">
        <f t="shared" si="118"/>
        <v>1.5</v>
      </c>
      <c r="Y248" s="21">
        <f t="shared" si="118"/>
        <v>1.5</v>
      </c>
      <c r="Z248" s="21">
        <f t="shared" si="118"/>
        <v>1.5</v>
      </c>
      <c r="AA248" s="21">
        <f t="shared" si="118"/>
        <v>1.5</v>
      </c>
      <c r="AB248" s="21">
        <f t="shared" si="118"/>
        <v>1.5</v>
      </c>
      <c r="AC248" s="21">
        <f t="shared" si="118"/>
        <v>1.5</v>
      </c>
      <c r="AD248" s="21">
        <f t="shared" si="118"/>
        <v>1.5</v>
      </c>
      <c r="AE248" s="21">
        <f t="shared" si="118"/>
        <v>1.5</v>
      </c>
      <c r="AF248" s="21">
        <f t="shared" si="118"/>
        <v>1.5</v>
      </c>
      <c r="AG248" s="20">
        <v>1.5</v>
      </c>
      <c r="AH248" s="12"/>
      <c r="AI248" s="11"/>
      <c r="AK248" s="19"/>
    </row>
    <row r="249" spans="1:37" x14ac:dyDescent="0.25">
      <c r="A249" s="22" t="s">
        <v>13</v>
      </c>
      <c r="B249" s="21">
        <f t="shared" si="117"/>
        <v>0.3</v>
      </c>
      <c r="C249" s="21">
        <v>0.3</v>
      </c>
      <c r="D249" s="21">
        <f t="shared" si="118"/>
        <v>0.3</v>
      </c>
      <c r="E249" s="21">
        <f t="shared" si="118"/>
        <v>0.3</v>
      </c>
      <c r="F249" s="21">
        <f t="shared" si="118"/>
        <v>0.3</v>
      </c>
      <c r="G249" s="21">
        <f t="shared" si="118"/>
        <v>0.3</v>
      </c>
      <c r="H249" s="21">
        <f t="shared" si="118"/>
        <v>0.3</v>
      </c>
      <c r="I249" s="21">
        <f t="shared" si="118"/>
        <v>0.3</v>
      </c>
      <c r="J249" s="21">
        <f t="shared" si="118"/>
        <v>0.3</v>
      </c>
      <c r="K249" s="21">
        <f t="shared" si="118"/>
        <v>0.3</v>
      </c>
      <c r="L249" s="21">
        <f t="shared" si="118"/>
        <v>0.3</v>
      </c>
      <c r="M249" s="21">
        <f t="shared" si="118"/>
        <v>0.3</v>
      </c>
      <c r="N249" s="21">
        <f t="shared" si="118"/>
        <v>0.3</v>
      </c>
      <c r="O249" s="21">
        <f t="shared" si="118"/>
        <v>0.3</v>
      </c>
      <c r="P249" s="21">
        <f t="shared" si="118"/>
        <v>0.3</v>
      </c>
      <c r="Q249" s="21">
        <f t="shared" si="118"/>
        <v>0.3</v>
      </c>
      <c r="R249" s="21">
        <f t="shared" si="118"/>
        <v>0.3</v>
      </c>
      <c r="S249" s="21">
        <f t="shared" si="118"/>
        <v>0.3</v>
      </c>
      <c r="T249" s="21">
        <f t="shared" si="118"/>
        <v>0.3</v>
      </c>
      <c r="U249" s="21">
        <f t="shared" si="118"/>
        <v>0.3</v>
      </c>
      <c r="V249" s="21">
        <f t="shared" si="118"/>
        <v>0.3</v>
      </c>
      <c r="W249" s="21">
        <f t="shared" si="118"/>
        <v>0.3</v>
      </c>
      <c r="X249" s="21">
        <f t="shared" si="118"/>
        <v>0.3</v>
      </c>
      <c r="Y249" s="21">
        <f t="shared" si="118"/>
        <v>0.3</v>
      </c>
      <c r="Z249" s="21">
        <f t="shared" si="118"/>
        <v>0.3</v>
      </c>
      <c r="AA249" s="21">
        <f t="shared" si="118"/>
        <v>0.3</v>
      </c>
      <c r="AB249" s="21">
        <f t="shared" si="118"/>
        <v>0.3</v>
      </c>
      <c r="AC249" s="21">
        <f t="shared" si="118"/>
        <v>0.3</v>
      </c>
      <c r="AD249" s="21">
        <f t="shared" si="118"/>
        <v>0.3</v>
      </c>
      <c r="AE249" s="21">
        <f t="shared" si="118"/>
        <v>0.3</v>
      </c>
      <c r="AF249" s="21">
        <f t="shared" si="118"/>
        <v>0.3</v>
      </c>
      <c r="AG249" s="20">
        <v>1</v>
      </c>
      <c r="AH249" s="12"/>
      <c r="AI249" s="11"/>
      <c r="AK249" s="19"/>
    </row>
    <row r="250" spans="1:37" x14ac:dyDescent="0.25">
      <c r="A250" s="22" t="s">
        <v>12</v>
      </c>
      <c r="B250" s="21">
        <f t="shared" si="117"/>
        <v>0.4</v>
      </c>
      <c r="C250" s="21">
        <v>0.4</v>
      </c>
      <c r="D250" s="21">
        <f t="shared" si="118"/>
        <v>0.4</v>
      </c>
      <c r="E250" s="21">
        <f t="shared" si="118"/>
        <v>0.4</v>
      </c>
      <c r="F250" s="21">
        <f t="shared" si="118"/>
        <v>0.4</v>
      </c>
      <c r="G250" s="21">
        <f t="shared" si="118"/>
        <v>0.4</v>
      </c>
      <c r="H250" s="21">
        <f t="shared" si="118"/>
        <v>0.4</v>
      </c>
      <c r="I250" s="21">
        <f t="shared" si="118"/>
        <v>0.4</v>
      </c>
      <c r="J250" s="21">
        <f t="shared" si="118"/>
        <v>0.4</v>
      </c>
      <c r="K250" s="21">
        <f t="shared" si="118"/>
        <v>0.4</v>
      </c>
      <c r="L250" s="21">
        <f t="shared" si="118"/>
        <v>0.4</v>
      </c>
      <c r="M250" s="21">
        <f t="shared" si="118"/>
        <v>0.4</v>
      </c>
      <c r="N250" s="21">
        <f t="shared" si="118"/>
        <v>0.4</v>
      </c>
      <c r="O250" s="21">
        <f t="shared" si="118"/>
        <v>0.4</v>
      </c>
      <c r="P250" s="21">
        <f t="shared" si="118"/>
        <v>0.4</v>
      </c>
      <c r="Q250" s="21">
        <f t="shared" si="118"/>
        <v>0.4</v>
      </c>
      <c r="R250" s="21">
        <f t="shared" si="118"/>
        <v>0.4</v>
      </c>
      <c r="S250" s="21">
        <f t="shared" si="118"/>
        <v>0.4</v>
      </c>
      <c r="T250" s="21">
        <f t="shared" si="118"/>
        <v>0.4</v>
      </c>
      <c r="U250" s="21">
        <f t="shared" si="118"/>
        <v>0.4</v>
      </c>
      <c r="V250" s="21">
        <f t="shared" si="118"/>
        <v>0.4</v>
      </c>
      <c r="W250" s="21">
        <f t="shared" si="118"/>
        <v>0.4</v>
      </c>
      <c r="X250" s="21">
        <f t="shared" si="118"/>
        <v>0.4</v>
      </c>
      <c r="Y250" s="21">
        <f t="shared" si="118"/>
        <v>0.4</v>
      </c>
      <c r="Z250" s="21">
        <f t="shared" si="118"/>
        <v>0.4</v>
      </c>
      <c r="AA250" s="21">
        <f t="shared" si="118"/>
        <v>0.4</v>
      </c>
      <c r="AB250" s="21">
        <f t="shared" si="118"/>
        <v>0.4</v>
      </c>
      <c r="AC250" s="21">
        <f t="shared" si="118"/>
        <v>0.4</v>
      </c>
      <c r="AD250" s="21">
        <f t="shared" si="118"/>
        <v>0.4</v>
      </c>
      <c r="AE250" s="21">
        <f t="shared" si="118"/>
        <v>0.4</v>
      </c>
      <c r="AF250" s="21">
        <f t="shared" si="118"/>
        <v>0.4</v>
      </c>
      <c r="AG250" s="20">
        <v>1</v>
      </c>
      <c r="AH250" s="12"/>
      <c r="AI250" s="11"/>
      <c r="AK250" s="19"/>
    </row>
    <row r="251" spans="1:37" ht="15.75" thickBot="1" x14ac:dyDescent="0.3">
      <c r="A251" s="18" t="s">
        <v>11</v>
      </c>
      <c r="B251" s="17">
        <f t="shared" si="117"/>
        <v>0.64</v>
      </c>
      <c r="C251" s="17">
        <v>0.64</v>
      </c>
      <c r="D251" s="17">
        <f t="shared" si="118"/>
        <v>0.64</v>
      </c>
      <c r="E251" s="17">
        <f t="shared" si="118"/>
        <v>0.64</v>
      </c>
      <c r="F251" s="17">
        <f t="shared" si="118"/>
        <v>0.64</v>
      </c>
      <c r="G251" s="17">
        <f t="shared" si="118"/>
        <v>0.64</v>
      </c>
      <c r="H251" s="17">
        <f t="shared" si="118"/>
        <v>0.64</v>
      </c>
      <c r="I251" s="17">
        <f t="shared" si="118"/>
        <v>0.64</v>
      </c>
      <c r="J251" s="17">
        <f t="shared" si="118"/>
        <v>0.64</v>
      </c>
      <c r="K251" s="17">
        <f t="shared" si="118"/>
        <v>0.64</v>
      </c>
      <c r="L251" s="17">
        <f t="shared" si="118"/>
        <v>0.64</v>
      </c>
      <c r="M251" s="17">
        <f t="shared" si="118"/>
        <v>0.64</v>
      </c>
      <c r="N251" s="17">
        <f t="shared" si="118"/>
        <v>0.64</v>
      </c>
      <c r="O251" s="17">
        <f t="shared" si="118"/>
        <v>0.64</v>
      </c>
      <c r="P251" s="17">
        <f t="shared" si="118"/>
        <v>0.64</v>
      </c>
      <c r="Q251" s="17">
        <f t="shared" si="118"/>
        <v>0.64</v>
      </c>
      <c r="R251" s="17">
        <f t="shared" si="118"/>
        <v>0.64</v>
      </c>
      <c r="S251" s="17">
        <f t="shared" si="118"/>
        <v>0.64</v>
      </c>
      <c r="T251" s="17">
        <f t="shared" si="118"/>
        <v>0.64</v>
      </c>
      <c r="U251" s="17">
        <f t="shared" si="118"/>
        <v>0.64</v>
      </c>
      <c r="V251" s="17">
        <f t="shared" si="118"/>
        <v>0.64</v>
      </c>
      <c r="W251" s="17">
        <f t="shared" si="118"/>
        <v>0.64</v>
      </c>
      <c r="X251" s="17">
        <f t="shared" si="118"/>
        <v>0.64</v>
      </c>
      <c r="Y251" s="17">
        <f t="shared" si="118"/>
        <v>0.64</v>
      </c>
      <c r="Z251" s="17">
        <f t="shared" si="118"/>
        <v>0.64</v>
      </c>
      <c r="AA251" s="17">
        <f t="shared" si="118"/>
        <v>0.64</v>
      </c>
      <c r="AB251" s="17">
        <f t="shared" si="118"/>
        <v>0.64</v>
      </c>
      <c r="AC251" s="17">
        <f t="shared" si="118"/>
        <v>0.64</v>
      </c>
      <c r="AD251" s="17">
        <f t="shared" si="118"/>
        <v>0.64</v>
      </c>
      <c r="AE251" s="17">
        <f t="shared" si="118"/>
        <v>0.64</v>
      </c>
      <c r="AF251" s="17">
        <f t="shared" si="118"/>
        <v>0.64</v>
      </c>
      <c r="AG251" s="16">
        <v>0.66</v>
      </c>
      <c r="AH251" s="12"/>
      <c r="AI251" s="11"/>
    </row>
    <row r="252" spans="1:37" ht="15.75" thickBot="1" x14ac:dyDescent="0.3">
      <c r="A252" s="15" t="s">
        <v>10</v>
      </c>
      <c r="B252" s="14">
        <f t="shared" ref="B252:AG252" si="119">SUM(B246:B251)</f>
        <v>3.54</v>
      </c>
      <c r="C252" s="14">
        <f t="shared" si="119"/>
        <v>3.54</v>
      </c>
      <c r="D252" s="14">
        <f t="shared" si="119"/>
        <v>3.54</v>
      </c>
      <c r="E252" s="14">
        <f t="shared" si="119"/>
        <v>3.54</v>
      </c>
      <c r="F252" s="14">
        <f t="shared" si="119"/>
        <v>3.54</v>
      </c>
      <c r="G252" s="14">
        <f t="shared" si="119"/>
        <v>3.54</v>
      </c>
      <c r="H252" s="14">
        <f t="shared" si="119"/>
        <v>3.54</v>
      </c>
      <c r="I252" s="14">
        <f t="shared" si="119"/>
        <v>3.54</v>
      </c>
      <c r="J252" s="14">
        <f t="shared" si="119"/>
        <v>3.54</v>
      </c>
      <c r="K252" s="14">
        <f t="shared" si="119"/>
        <v>3.54</v>
      </c>
      <c r="L252" s="14">
        <f t="shared" si="119"/>
        <v>3.54</v>
      </c>
      <c r="M252" s="14">
        <f t="shared" si="119"/>
        <v>3.54</v>
      </c>
      <c r="N252" s="14">
        <f t="shared" si="119"/>
        <v>3.54</v>
      </c>
      <c r="O252" s="14">
        <f t="shared" si="119"/>
        <v>3.54</v>
      </c>
      <c r="P252" s="14">
        <f t="shared" si="119"/>
        <v>3.54</v>
      </c>
      <c r="Q252" s="14">
        <f t="shared" si="119"/>
        <v>3.54</v>
      </c>
      <c r="R252" s="14">
        <f t="shared" si="119"/>
        <v>3.54</v>
      </c>
      <c r="S252" s="14">
        <f t="shared" si="119"/>
        <v>3.54</v>
      </c>
      <c r="T252" s="14">
        <f t="shared" si="119"/>
        <v>3.54</v>
      </c>
      <c r="U252" s="14">
        <f t="shared" si="119"/>
        <v>3.54</v>
      </c>
      <c r="V252" s="14">
        <f t="shared" si="119"/>
        <v>3.54</v>
      </c>
      <c r="W252" s="14">
        <f t="shared" si="119"/>
        <v>3.54</v>
      </c>
      <c r="X252" s="14">
        <f t="shared" si="119"/>
        <v>3.54</v>
      </c>
      <c r="Y252" s="14">
        <f t="shared" si="119"/>
        <v>3.54</v>
      </c>
      <c r="Z252" s="14">
        <f t="shared" si="119"/>
        <v>3.54</v>
      </c>
      <c r="AA252" s="14">
        <f t="shared" si="119"/>
        <v>3.54</v>
      </c>
      <c r="AB252" s="14">
        <f t="shared" si="119"/>
        <v>3.54</v>
      </c>
      <c r="AC252" s="14">
        <f t="shared" si="119"/>
        <v>3.54</v>
      </c>
      <c r="AD252" s="14">
        <f t="shared" si="119"/>
        <v>3.54</v>
      </c>
      <c r="AE252" s="14">
        <f t="shared" si="119"/>
        <v>3.54</v>
      </c>
      <c r="AF252" s="14">
        <f t="shared" si="119"/>
        <v>3.54</v>
      </c>
      <c r="AG252" s="13">
        <f t="shared" si="119"/>
        <v>8.56</v>
      </c>
      <c r="AH252" s="12"/>
      <c r="AI252" s="11"/>
    </row>
    <row r="253" spans="1:37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25">
      <c r="A256" s="9" t="s">
        <v>9</v>
      </c>
      <c r="B256" s="8">
        <f>MAX(G99:N99)</f>
        <v>1727.1299999999999</v>
      </c>
      <c r="C256" s="7">
        <f>INDEX(G9:N9,1,MATCH(MAX(G99:N99),G99:N99,0))</f>
        <v>0.33333333333333331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25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2080/10/14)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25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25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25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25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25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25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25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25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25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25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25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25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25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25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2512" priority="89">
      <formula>$AH11=0</formula>
    </cfRule>
  </conditionalFormatting>
  <conditionalFormatting sqref="A132:A253">
    <cfRule type="expression" dxfId="2511" priority="90">
      <formula>$AH132=0</formula>
    </cfRule>
  </conditionalFormatting>
  <conditionalFormatting sqref="B8">
    <cfRule type="expression" dxfId="2510" priority="147">
      <formula>C$9&gt;=20/24</formula>
    </cfRule>
    <cfRule type="expression" dxfId="2509" priority="144">
      <formula>AND(C$9&gt;=14/24,C$9&lt;20/24)</formula>
    </cfRule>
    <cfRule type="expression" dxfId="2508" priority="145">
      <formula>AND(C$9&gt;=8/24,C$9&lt;14/24)</formula>
    </cfRule>
    <cfRule type="expression" dxfId="2507" priority="146">
      <formula>C$9&lt;8/24</formula>
    </cfRule>
  </conditionalFormatting>
  <conditionalFormatting sqref="B11:P26 Q13:Q26 R13:R27 S13:Y52 B27:Q27 B28:R52 E59:P61 B59:D72 E63:K72 L63:P74 Q69:AF74 B73:K74 B77:AF99 B9:AF10 B101:AF117 B119:AF137 B244:AF244 B246:B252">
    <cfRule type="expression" dxfId="2506" priority="41">
      <formula>B$9&gt;=20/24</formula>
    </cfRule>
  </conditionalFormatting>
  <conditionalFormatting sqref="B53:Y57">
    <cfRule type="expression" dxfId="2505" priority="53">
      <formula>B$9&lt;8/24</formula>
    </cfRule>
  </conditionalFormatting>
  <conditionalFormatting sqref="B9:AF10 B11:P26 Q13:Q26 R13:R27 S13:Y52 B27:Q27 B28:R52 E59:P61 B59:D72 E63:K72 L63:P74 Q69:AF74 B73:K74 B77:AF99 B101:AF117 B119:AF137 B244:AF244 B246:B252">
    <cfRule type="expression" dxfId="2504" priority="42">
      <formula>AND(B$9&gt;=14/24,B$9&lt;20/24)</formula>
    </cfRule>
    <cfRule type="expression" dxfId="2503" priority="43">
      <formula>AND(B$9&gt;=8/24,B$9&lt;14/24)</formula>
    </cfRule>
    <cfRule type="expression" dxfId="2502" priority="44">
      <formula>B$9&lt;8/24</formula>
    </cfRule>
  </conditionalFormatting>
  <conditionalFormatting sqref="D246:AF252">
    <cfRule type="expression" dxfId="2501" priority="129">
      <formula>D$9&gt;=20/24</formula>
    </cfRule>
    <cfRule type="expression" dxfId="2500" priority="132">
      <formula>D$9&lt;8/24</formula>
    </cfRule>
    <cfRule type="expression" dxfId="2499" priority="131">
      <formula>AND(D$9&gt;=8/24,D$9&lt;14/24)</formula>
    </cfRule>
    <cfRule type="expression" dxfId="2498" priority="130">
      <formula>AND(D$9&gt;=14/24,D$9&lt;20/24)</formula>
    </cfRule>
  </conditionalFormatting>
  <conditionalFormatting sqref="E63:P68">
    <cfRule type="expression" dxfId="2497" priority="49">
      <formula>E$9&gt;=20/24</formula>
    </cfRule>
    <cfRule type="expression" dxfId="2496" priority="50">
      <formula>AND(E$9&gt;=14/24,E$9&lt;20/24)</formula>
    </cfRule>
    <cfRule type="expression" dxfId="2495" priority="51">
      <formula>AND(E$9&gt;=8/24,E$9&lt;14/24)</formula>
    </cfRule>
    <cfRule type="expression" dxfId="2494" priority="52">
      <formula>E$9&lt;8/24</formula>
    </cfRule>
  </conditionalFormatting>
  <conditionalFormatting sqref="E59:AF62">
    <cfRule type="expression" dxfId="2493" priority="67">
      <formula>E$9&gt;=20/24</formula>
    </cfRule>
    <cfRule type="expression" dxfId="2492" priority="68">
      <formula>AND(E$9&gt;=14/24,E$9&lt;20/24)</formula>
    </cfRule>
    <cfRule type="expression" dxfId="2491" priority="69">
      <formula>AND(E$9&gt;=8/24,E$9&lt;14/24)</formula>
    </cfRule>
    <cfRule type="expression" dxfId="2490" priority="70">
      <formula>E$9&lt;8/24</formula>
    </cfRule>
  </conditionalFormatting>
  <conditionalFormatting sqref="F63:P65">
    <cfRule type="expression" dxfId="2489" priority="81">
      <formula>F$9&gt;=20/24</formula>
    </cfRule>
    <cfRule type="expression" dxfId="2488" priority="84">
      <formula>F$9&lt;8/24</formula>
    </cfRule>
    <cfRule type="expression" dxfId="2487" priority="83">
      <formula>AND(F$9&gt;=8/24,F$9&lt;14/24)</formula>
    </cfRule>
    <cfRule type="expression" dxfId="2486" priority="82">
      <formula>AND(F$9&gt;=14/24,F$9&lt;20/24)</formula>
    </cfRule>
  </conditionalFormatting>
  <conditionalFormatting sqref="M8 S8 AB8">
    <cfRule type="expression" dxfId="2485" priority="138">
      <formula>N$9&lt;8/24</formula>
    </cfRule>
    <cfRule type="expression" dxfId="2484" priority="137">
      <formula>AND(N$9&gt;=8/24,N$9&lt;14/24)</formula>
    </cfRule>
    <cfRule type="expression" dxfId="2483" priority="136">
      <formula>AND(N$9&gt;=14/24,N$9&lt;20/24)</formula>
    </cfRule>
  </conditionalFormatting>
  <conditionalFormatting sqref="M63:Y67">
    <cfRule type="expression" dxfId="2482" priority="88">
      <formula>M$9&lt;8/24</formula>
    </cfRule>
    <cfRule type="expression" dxfId="2481" priority="86">
      <formula>AND(M$9&gt;=14/24,M$9&lt;20/24)</formula>
    </cfRule>
    <cfRule type="expression" dxfId="2480" priority="85">
      <formula>M$9&gt;=20/24</formula>
    </cfRule>
    <cfRule type="expression" dxfId="2479" priority="87">
      <formula>AND(M$9&gt;=8/24,M$9&lt;14/24)</formula>
    </cfRule>
  </conditionalFormatting>
  <conditionalFormatting sqref="M68:Y68">
    <cfRule type="expression" dxfId="2478" priority="80">
      <formula>M$9&lt;8/24</formula>
    </cfRule>
    <cfRule type="expression" dxfId="2477" priority="78">
      <formula>AND(M$9&gt;=14/24,M$9&lt;20/24)</formula>
    </cfRule>
    <cfRule type="expression" dxfId="2476" priority="79">
      <formula>AND(M$9&gt;=8/24,M$9&lt;14/24)</formula>
    </cfRule>
    <cfRule type="expression" dxfId="2475" priority="77">
      <formula>M$9&gt;=20/24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Q11:Y12 Z11:AF52">
    <cfRule type="expression" dxfId="2474" priority="61">
      <formula>AND(Q$9&gt;=8/24,Q$9&lt;14/24)</formula>
    </cfRule>
    <cfRule type="expression" dxfId="2473" priority="62">
      <formula>Q$9&lt;8/24</formula>
    </cfRule>
    <cfRule type="expression" dxfId="2472" priority="60">
      <formula>AND(Q$9&gt;=14/24,Q$9&lt;20/24)</formula>
    </cfRule>
    <cfRule type="expression" dxfId="2471" priority="58">
      <formula>Q11&gt;$AG11</formula>
    </cfRule>
    <cfRule type="expression" dxfId="2470" priority="59">
      <formula>Q$9&gt;=20/24</formula>
    </cfRule>
  </conditionalFormatting>
  <conditionalFormatting sqref="S8 AB8 M8">
    <cfRule type="expression" dxfId="2469" priority="135">
      <formula>N$9&gt;=20/24</formula>
    </cfRule>
  </conditionalFormatting>
  <conditionalFormatting sqref="S8">
    <cfRule type="expression" dxfId="2468" priority="123">
      <formula>AND(U$9&gt;=14/24,U$9&lt;20/24)</formula>
    </cfRule>
    <cfRule type="expression" dxfId="2467" priority="125">
      <formula>U$9&lt;8/24</formula>
    </cfRule>
    <cfRule type="expression" dxfId="2466" priority="124">
      <formula>AND(U$9&gt;=8/24,U$9&lt;14/24)</formula>
    </cfRule>
    <cfRule type="expression" dxfId="2465" priority="122">
      <formula>U$9&gt;=20/24</formula>
    </cfRule>
  </conditionalFormatting>
  <conditionalFormatting sqref="S13:Y56 O28:R57 E28:N62 B28:D72 B11:P26 Q13:Q26 R13:R27 B27:Q27 C32:P34 C37:P38 C42:P42 C44:P45 S57:U57 V57:Y80 AB58:AF61 O58:U62 Z58:AA80 AB62:AG62 E63:K72 L63:U74 AB63:AF80 B73:K74 B75:U80 AG80">
    <cfRule type="expression" dxfId="2464" priority="40">
      <formula>B11&gt;$AG11</formula>
    </cfRule>
  </conditionalFormatting>
  <conditionalFormatting sqref="S56:Y57">
    <cfRule type="expression" dxfId="2463" priority="48">
      <formula>AND(S$9&gt;=8/24,S$9&lt;14/24)</formula>
    </cfRule>
    <cfRule type="expression" dxfId="2462" priority="47">
      <formula>AND(S$9&gt;=14/24,S$9&lt;20/24)</formula>
    </cfRule>
    <cfRule type="expression" dxfId="2461" priority="46">
      <formula>S$9&gt;=20/24</formula>
    </cfRule>
  </conditionalFormatting>
  <conditionalFormatting sqref="T63:AF68">
    <cfRule type="expression" dxfId="2460" priority="74">
      <formula>T$9&lt;8/24</formula>
    </cfRule>
    <cfRule type="expression" dxfId="2459" priority="73">
      <formula>AND(T$9&gt;=8/24,T$9&lt;14/24)</formula>
    </cfRule>
    <cfRule type="expression" dxfId="2458" priority="72">
      <formula>AND(T$9&gt;=14/24,T$9&lt;20/24)</formula>
    </cfRule>
    <cfRule type="expression" dxfId="2457" priority="71">
      <formula>T$9&gt;=20/24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Z53:AF54 S53:Y55 B53:R57">
    <cfRule type="expression" dxfId="2456" priority="37">
      <formula>B$9&gt;=20/24</formula>
    </cfRule>
    <cfRule type="expression" dxfId="2455" priority="38">
      <formula>AND(B$9&gt;=14/24,B$9&lt;20/24)</formula>
    </cfRule>
    <cfRule type="expression" dxfId="2454" priority="39">
      <formula>AND(B$9&gt;=8/24,B$9&lt;14/24)</formula>
    </cfRule>
  </conditionalFormatting>
  <conditionalFormatting sqref="Z53:AF55">
    <cfRule type="expression" dxfId="2453" priority="76">
      <formula>Z53&gt;$AG53</formula>
    </cfRule>
  </conditionalFormatting>
  <conditionalFormatting sqref="Z53:AF57">
    <cfRule type="expression" dxfId="2452" priority="75">
      <formula>Z$9&lt;8/24</formula>
    </cfRule>
  </conditionalFormatting>
  <conditionalFormatting sqref="Z55:AF57">
    <cfRule type="expression" dxfId="2451" priority="66">
      <formula>AND(Z$9&gt;=8/24,Z$9&lt;14/24)</formula>
    </cfRule>
    <cfRule type="expression" dxfId="2450" priority="65">
      <formula>AND(Z$9&gt;=14/24,Z$9&lt;20/24)</formula>
    </cfRule>
    <cfRule type="expression" dxfId="2449" priority="64">
      <formula>Z$9&gt;=20/24</formula>
    </cfRule>
  </conditionalFormatting>
  <conditionalFormatting sqref="Z56:AF57">
    <cfRule type="expression" dxfId="2448" priority="63">
      <formula>Z56&gt;$AG56</formula>
    </cfRule>
  </conditionalFormatting>
  <conditionalFormatting sqref="AB8">
    <cfRule type="expression" dxfId="2447" priority="121">
      <formula>AD$9&lt;8/24</formula>
    </cfRule>
    <cfRule type="expression" dxfId="2446" priority="120">
      <formula>AND(AD$9&gt;=8/24,AD$9&lt;14/24)</formula>
    </cfRule>
    <cfRule type="expression" dxfId="2445" priority="119">
      <formula>AND(AD$9&gt;=14/24,AD$9&lt;20/24)</formula>
    </cfRule>
    <cfRule type="expression" dxfId="2444" priority="118">
      <formula>AD$9&gt;=20/24</formula>
    </cfRule>
  </conditionalFormatting>
  <conditionalFormatting sqref="AG58">
    <cfRule type="expression" dxfId="2443" priority="113">
      <formula>AG58&gt;$AG58</formula>
    </cfRule>
  </conditionalFormatting>
  <conditionalFormatting sqref="AG62">
    <cfRule type="expression" dxfId="2442" priority="98">
      <formula>AND(AG$9&gt;=8/24,AG$9&lt;14/24)</formula>
    </cfRule>
    <cfRule type="expression" dxfId="2441" priority="99">
      <formula>AG$9&lt;8/24</formula>
    </cfRule>
    <cfRule type="expression" dxfId="2440" priority="96">
      <formula>AG$9&gt;=20/24</formula>
    </cfRule>
    <cfRule type="expression" dxfId="2439" priority="97">
      <formula>AND(AG$9&gt;=14/24,AG$9&lt;20/24)</formula>
    </cfRule>
  </conditionalFormatting>
  <conditionalFormatting sqref="AG75:AG76">
    <cfRule type="expression" dxfId="2438" priority="91">
      <formula>AG75&gt;$AG75</formula>
    </cfRule>
  </conditionalFormatting>
  <conditionalFormatting sqref="AG80">
    <cfRule type="expression" dxfId="2437" priority="94">
      <formula>AND(AG$9&gt;=8/24,AG$9&lt;14/24)</formula>
    </cfRule>
    <cfRule type="expression" dxfId="2436" priority="92">
      <formula>AG$9&gt;=20/24</formula>
    </cfRule>
    <cfRule type="expression" dxfId="2435" priority="93">
      <formula>AND(AG$9&gt;=14/24,AG$9&lt;20/24)</formula>
    </cfRule>
    <cfRule type="expression" dxfId="2434" priority="95">
      <formula>AG$9&lt;8/24</formula>
    </cfRule>
  </conditionalFormatting>
  <conditionalFormatting sqref="AG97">
    <cfRule type="expression" dxfId="2433" priority="117">
      <formula>AG$9&lt;8/24</formula>
    </cfRule>
    <cfRule type="expression" dxfId="2432" priority="116">
      <formula>AND(AG$9&gt;=8/24,AG$9&lt;14/24)</formula>
    </cfRule>
    <cfRule type="expression" dxfId="2431" priority="115">
      <formula>AND(AG$9&gt;=14/24,AG$9&lt;20/24)</formula>
    </cfRule>
    <cfRule type="expression" dxfId="2430" priority="114">
      <formula>AG$9&gt;=20/24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429" priority="139">
      <formula>AJ$9&gt;=20/24</formula>
    </cfRule>
    <cfRule type="expression" dxfId="2428" priority="140">
      <formula>AND(AJ$9&gt;=14/24,AJ$9&lt;20/24)</formula>
    </cfRule>
    <cfRule type="expression" dxfId="2427" priority="141">
      <formula>AND(AJ$9&gt;=8/24,AJ$9&lt;14/24)</formula>
    </cfRule>
    <cfRule type="expression" dxfId="2426" priority="142">
      <formula>AJ$9&lt;8/24</formula>
    </cfRule>
  </conditionalFormatting>
  <conditionalFormatting sqref="AL88:AN88 AL94:AN94">
    <cfRule type="expression" dxfId="2425" priority="107">
      <formula>AND(AL$9&gt;=14/24,AL$9&lt;20/24)</formula>
    </cfRule>
    <cfRule type="expression" dxfId="2424" priority="106">
      <formula>AL$9&gt;=20/24</formula>
    </cfRule>
    <cfRule type="expression" dxfId="2423" priority="108">
      <formula>AND(AL$9&gt;=8/24,AL$9&lt;14/24)</formula>
    </cfRule>
    <cfRule type="expression" dxfId="2422" priority="109">
      <formula>AL$9&lt;8/24</formula>
    </cfRule>
  </conditionalFormatting>
  <conditionalFormatting sqref="AM15:AM21 AN16:AR21">
    <cfRule type="expression" dxfId="2421" priority="16">
      <formula>AX$9&lt;8/24</formula>
    </cfRule>
    <cfRule type="expression" dxfId="2420" priority="15">
      <formula>AND(AX$9&gt;=8/24,AX$9&lt;14/24)</formula>
    </cfRule>
    <cfRule type="expression" dxfId="2419" priority="14">
      <formula>AND(AX$9&gt;=14/24,AX$9&lt;20/24)</formula>
    </cfRule>
    <cfRule type="expression" dxfId="2418" priority="13">
      <formula>AX$9&gt;=20/24</formula>
    </cfRule>
  </conditionalFormatting>
  <conditionalFormatting sqref="AN89:AN92">
    <cfRule type="expression" dxfId="2417" priority="102">
      <formula>AN$9&gt;=20/24</formula>
    </cfRule>
    <cfRule type="expression" dxfId="2416" priority="103">
      <formula>AND(AN$9&gt;=14/24,AN$9&lt;20/24)</formula>
    </cfRule>
    <cfRule type="expression" dxfId="2415" priority="104">
      <formula>AND(AN$9&gt;=8/24,AN$9&lt;14/24)</formula>
    </cfRule>
    <cfRule type="expression" dxfId="2414" priority="105">
      <formula>AN$9&lt;8/24</formula>
    </cfRule>
  </conditionalFormatting>
  <conditionalFormatting sqref="AN15:AR15">
    <cfRule type="expression" dxfId="2413" priority="2">
      <formula>AND(U$9&gt;=14/24,U$9&lt;20/24)</formula>
    </cfRule>
    <cfRule type="expression" dxfId="2412" priority="3">
      <formula>AND(U$9&gt;=8/24,U$9&lt;14/24)</formula>
    </cfRule>
    <cfRule type="expression" dxfId="2411" priority="4">
      <formula>U$9&lt;8/24</formula>
    </cfRule>
    <cfRule type="expression" dxfId="2410" priority="1">
      <formula>U$9&gt;=20/24</formula>
    </cfRule>
  </conditionalFormatting>
  <conditionalFormatting sqref="AS15">
    <cfRule type="expression" dxfId="2409" priority="10">
      <formula>AND(AA$9&gt;=14/24,AA$9&lt;20/24)</formula>
    </cfRule>
    <cfRule type="expression" dxfId="2408" priority="11">
      <formula>AND(AA$9&gt;=8/24,AA$9&lt;14/24)</formula>
    </cfRule>
    <cfRule type="expression" dxfId="2407" priority="12">
      <formula>AA$9&lt;8/24</formula>
    </cfRule>
    <cfRule type="expression" dxfId="2406" priority="9">
      <formula>AA$9&gt;=20/24</formula>
    </cfRule>
  </conditionalFormatting>
  <conditionalFormatting sqref="AS16:AS21">
    <cfRule type="expression" dxfId="2405" priority="20">
      <formula>BE$9&lt;8/24</formula>
    </cfRule>
    <cfRule type="expression" dxfId="2404" priority="19">
      <formula>AND(BE$9&gt;=8/24,BE$9&lt;14/24)</formula>
    </cfRule>
    <cfRule type="expression" dxfId="2403" priority="18">
      <formula>AND(BE$9&gt;=14/24,BE$9&lt;20/24)</formula>
    </cfRule>
    <cfRule type="expression" dxfId="2402" priority="17">
      <formula>BE$9&gt;=20/24</formula>
    </cfRule>
  </conditionalFormatting>
  <conditionalFormatting sqref="AT15 AX15:BJ15">
    <cfRule type="expression" dxfId="2401" priority="23">
      <formula>AND(AC$9&gt;=8/24,AC$9&lt;14/24)</formula>
    </cfRule>
    <cfRule type="expression" dxfId="2400" priority="22">
      <formula>AND(AC$9&gt;=14/24,AC$9&lt;20/24)</formula>
    </cfRule>
    <cfRule type="expression" dxfId="2399" priority="24">
      <formula>AC$9&lt;8/24</formula>
    </cfRule>
    <cfRule type="expression" dxfId="2398" priority="21">
      <formula>AC$9&gt;=20/24</formula>
    </cfRule>
  </conditionalFormatting>
  <conditionalFormatting sqref="AT16:AT21">
    <cfRule type="expression" dxfId="2397" priority="27">
      <formula>AND(BG$9&gt;=8/24,BG$9&lt;14/24)</formula>
    </cfRule>
    <cfRule type="expression" dxfId="2396" priority="26">
      <formula>AND(BG$9&gt;=14/24,BG$9&lt;20/24)</formula>
    </cfRule>
    <cfRule type="expression" dxfId="2395" priority="25">
      <formula>BG$9&gt;=20/24</formula>
    </cfRule>
    <cfRule type="expression" dxfId="2394" priority="28">
      <formula>BG$9&lt;8/24</formula>
    </cfRule>
  </conditionalFormatting>
  <conditionalFormatting sqref="AU15:AV15">
    <cfRule type="expression" dxfId="2393" priority="29">
      <formula>AE$9&gt;=20/24</formula>
    </cfRule>
    <cfRule type="expression" dxfId="2392" priority="32">
      <formula>AE$9&lt;8/24</formula>
    </cfRule>
    <cfRule type="expression" dxfId="2391" priority="31">
      <formula>AND(AE$9&gt;=8/24,AE$9&lt;14/24)</formula>
    </cfRule>
    <cfRule type="expression" dxfId="2390" priority="30">
      <formula>AND(AE$9&gt;=14/24,AE$9&lt;20/24)</formula>
    </cfRule>
  </conditionalFormatting>
  <conditionalFormatting sqref="AU16:BJ21">
    <cfRule type="expression" dxfId="2389" priority="36">
      <formula>BI$9&lt;8/24</formula>
    </cfRule>
    <cfRule type="expression" dxfId="2388" priority="35">
      <formula>AND(BI$9&gt;=8/24,BI$9&lt;14/24)</formula>
    </cfRule>
    <cfRule type="expression" dxfId="2387" priority="34">
      <formula>AND(BI$9&gt;=14/24,BI$9&lt;20/24)</formula>
    </cfRule>
    <cfRule type="expression" dxfId="2386" priority="33">
      <formula>BI$9&gt;=20/24</formula>
    </cfRule>
  </conditionalFormatting>
  <conditionalFormatting sqref="AW15">
    <cfRule type="expression" dxfId="2385" priority="5">
      <formula>B$9&gt;=20/24</formula>
    </cfRule>
    <cfRule type="expression" dxfId="2384" priority="8">
      <formula>B$9&lt;8/24</formula>
    </cfRule>
    <cfRule type="expression" dxfId="2383" priority="7">
      <formula>AND(B$9&gt;=8/24,B$9&lt;14/24)</formula>
    </cfRule>
    <cfRule type="expression" dxfId="2382" priority="6">
      <formula>AND(B$9&gt;=14/24,B$9&lt;20/24)</formula>
    </cfRule>
  </conditionalFormatting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023B-2E7D-44D0-8254-AA9B81626ED8}">
  <dimension ref="A1:CJ294"/>
  <sheetViews>
    <sheetView zoomScale="95" zoomScaleNormal="95" workbookViewId="0">
      <pane xSplit="1" ySplit="10" topLeftCell="B73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97" sqref="A97:AF10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20.25" hidden="1" x14ac:dyDescent="0.2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9.5" hidden="1" thickBot="1" x14ac:dyDescent="0.3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3">
      <c r="A4" s="162" t="s">
        <v>273</v>
      </c>
      <c r="B4" s="205" t="str">
        <f ca="1">"2080/"&amp;"10/"&amp;INT(MID(CELL("filename",D6),FIND("]",CELL("filename",D6))+1,200))</f>
        <v>2080/10/15</v>
      </c>
      <c r="C4" s="205"/>
      <c r="D4" s="205"/>
      <c r="E4" s="206" t="str">
        <f ca="1">"2080/"&amp;"10/"&amp;INT(MID(CELL("filename",G6),FIND("]",CELL("filename",G6))+1,200))</f>
        <v>2080/10/15</v>
      </c>
      <c r="F4" s="206"/>
      <c r="G4" s="206"/>
      <c r="H4" s="206" t="str">
        <f ca="1">TEXT(E4,"dddd")</f>
        <v>Tuesday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3">
      <c r="A5" s="158"/>
      <c r="B5" s="161">
        <f t="shared" ref="B5:AE5" si="0">C92</f>
        <v>240.7</v>
      </c>
      <c r="C5" s="161">
        <f t="shared" si="0"/>
        <v>276.59999999999997</v>
      </c>
      <c r="D5" s="161">
        <f t="shared" si="0"/>
        <v>273.39999999999998</v>
      </c>
      <c r="E5" s="161">
        <f t="shared" si="0"/>
        <v>259.5</v>
      </c>
      <c r="F5" s="161">
        <f t="shared" si="0"/>
        <v>278.5</v>
      </c>
      <c r="G5" s="161">
        <f t="shared" si="0"/>
        <v>330.5</v>
      </c>
      <c r="H5" s="161">
        <f t="shared" si="0"/>
        <v>289.60000000000002</v>
      </c>
      <c r="I5" s="161">
        <f t="shared" si="0"/>
        <v>658.30000000000007</v>
      </c>
      <c r="J5" s="161">
        <f t="shared" si="0"/>
        <v>661.3</v>
      </c>
      <c r="K5" s="161">
        <f t="shared" si="0"/>
        <v>662.49999999999989</v>
      </c>
      <c r="L5" s="161">
        <f t="shared" si="0"/>
        <v>736.40000000000009</v>
      </c>
      <c r="M5" s="161">
        <f t="shared" si="0"/>
        <v>785.80000000000018</v>
      </c>
      <c r="N5" s="161">
        <f t="shared" si="0"/>
        <v>769.2</v>
      </c>
      <c r="O5" s="161">
        <f t="shared" si="0"/>
        <v>782.1</v>
      </c>
      <c r="P5" s="161">
        <f t="shared" si="0"/>
        <v>776.6</v>
      </c>
      <c r="Q5" s="161">
        <f t="shared" si="0"/>
        <v>778.4</v>
      </c>
      <c r="R5" s="161">
        <f t="shared" si="0"/>
        <v>799.59999999999991</v>
      </c>
      <c r="S5" s="161">
        <f t="shared" si="0"/>
        <v>783.39999999999986</v>
      </c>
      <c r="T5" s="161">
        <f t="shared" si="0"/>
        <v>762.3</v>
      </c>
      <c r="U5" s="161">
        <f t="shared" si="0"/>
        <v>740.9</v>
      </c>
      <c r="V5" s="161">
        <f t="shared" si="0"/>
        <v>740.69999999999993</v>
      </c>
      <c r="W5" s="161">
        <f t="shared" si="0"/>
        <v>661.1</v>
      </c>
      <c r="X5" s="161">
        <f t="shared" si="0"/>
        <v>463.70000000000005</v>
      </c>
      <c r="Y5" s="161">
        <f t="shared" si="0"/>
        <v>231.8</v>
      </c>
      <c r="Z5" s="161">
        <f t="shared" si="0"/>
        <v>89.800000000000011</v>
      </c>
      <c r="AA5" s="161">
        <f t="shared" si="0"/>
        <v>16</v>
      </c>
      <c r="AB5" s="161">
        <f t="shared" si="0"/>
        <v>271</v>
      </c>
      <c r="AC5" s="161">
        <f t="shared" si="0"/>
        <v>80.800000000000011</v>
      </c>
      <c r="AD5" s="161">
        <f t="shared" si="0"/>
        <v>81.800000000000011</v>
      </c>
      <c r="AE5" s="161">
        <f t="shared" si="0"/>
        <v>199</v>
      </c>
      <c r="AF5" s="161">
        <f>B92</f>
        <v>245.3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3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1582MW at 9:00hr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5" thickBot="1" x14ac:dyDescent="0.3">
      <c r="A7" s="151" t="str">
        <f>"Base Load="&amp;ROUND(MIN($B$7:$AF$7),0)</f>
        <v>Base Load=1403</v>
      </c>
      <c r="B7" s="150">
        <f t="shared" ref="B7:AF7" si="1">B100</f>
        <v>1592.73</v>
      </c>
      <c r="C7" s="150">
        <f t="shared" si="1"/>
        <v>1551.63</v>
      </c>
      <c r="D7" s="150">
        <f t="shared" si="1"/>
        <v>1532.33</v>
      </c>
      <c r="E7" s="150">
        <f t="shared" si="1"/>
        <v>1564.1299999999999</v>
      </c>
      <c r="F7" s="150">
        <f t="shared" si="1"/>
        <v>1536.23</v>
      </c>
      <c r="G7" s="150">
        <f t="shared" si="1"/>
        <v>1506.73</v>
      </c>
      <c r="H7" s="150">
        <f t="shared" si="1"/>
        <v>1507.03</v>
      </c>
      <c r="I7" s="150">
        <f t="shared" si="1"/>
        <v>1494.6889999999999</v>
      </c>
      <c r="J7" s="150">
        <f t="shared" si="1"/>
        <v>1505.29</v>
      </c>
      <c r="K7" s="150">
        <f t="shared" si="1"/>
        <v>1452.09</v>
      </c>
      <c r="L7" s="150">
        <f t="shared" si="1"/>
        <v>1485.1899999999998</v>
      </c>
      <c r="M7" s="150">
        <f t="shared" si="1"/>
        <v>1549.2900000000002</v>
      </c>
      <c r="N7" s="150">
        <f t="shared" si="1"/>
        <v>1582.3900000000003</v>
      </c>
      <c r="O7" s="150">
        <f t="shared" si="1"/>
        <v>1553.5900000000001</v>
      </c>
      <c r="P7" s="150">
        <f t="shared" si="1"/>
        <v>1566.79</v>
      </c>
      <c r="Q7" s="150">
        <f t="shared" si="1"/>
        <v>1525.79</v>
      </c>
      <c r="R7" s="150">
        <f t="shared" si="1"/>
        <v>1465.69</v>
      </c>
      <c r="S7" s="150">
        <f t="shared" si="1"/>
        <v>1543.49</v>
      </c>
      <c r="T7" s="150">
        <f t="shared" si="1"/>
        <v>1534.09</v>
      </c>
      <c r="U7" s="150">
        <f t="shared" si="1"/>
        <v>1511.89</v>
      </c>
      <c r="V7" s="150">
        <f t="shared" si="1"/>
        <v>1513.0900000000001</v>
      </c>
      <c r="W7" s="150">
        <f t="shared" si="1"/>
        <v>1512.79</v>
      </c>
      <c r="X7" s="150">
        <f t="shared" si="1"/>
        <v>1446.3899999999999</v>
      </c>
      <c r="Y7" s="150">
        <f t="shared" si="1"/>
        <v>1402.99</v>
      </c>
      <c r="Z7" s="150">
        <f t="shared" si="1"/>
        <v>1885.39</v>
      </c>
      <c r="AA7" s="150">
        <f t="shared" si="1"/>
        <v>1889.09</v>
      </c>
      <c r="AB7" s="150">
        <f t="shared" si="1"/>
        <v>1820.59</v>
      </c>
      <c r="AC7" s="150">
        <f t="shared" si="1"/>
        <v>1851.29</v>
      </c>
      <c r="AD7" s="150">
        <f t="shared" si="1"/>
        <v>1817.3899999999999</v>
      </c>
      <c r="AE7" s="150">
        <f t="shared" si="1"/>
        <v>1569.59</v>
      </c>
      <c r="AF7" s="150">
        <f t="shared" si="1"/>
        <v>1651.3899999999999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7.25" thickTop="1" thickBot="1" x14ac:dyDescent="0.3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1885.39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2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1885.39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.75" thickBot="1" x14ac:dyDescent="0.3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25">
      <c r="A11" s="89" t="s">
        <v>264</v>
      </c>
      <c r="B11" s="102">
        <v>20.7</v>
      </c>
      <c r="C11" s="102">
        <v>20.7</v>
      </c>
      <c r="D11" s="102">
        <v>20.7</v>
      </c>
      <c r="E11" s="102">
        <v>21</v>
      </c>
      <c r="F11" s="102">
        <v>21</v>
      </c>
      <c r="G11" s="102">
        <v>21</v>
      </c>
      <c r="H11" s="102">
        <v>21</v>
      </c>
      <c r="I11" s="102">
        <v>20.7</v>
      </c>
      <c r="J11" s="102">
        <v>19.3</v>
      </c>
      <c r="K11" s="102">
        <v>20</v>
      </c>
      <c r="L11" s="102">
        <v>20</v>
      </c>
      <c r="M11" s="102">
        <v>20</v>
      </c>
      <c r="N11" s="102">
        <v>20</v>
      </c>
      <c r="O11" s="102">
        <v>20.7</v>
      </c>
      <c r="P11" s="102">
        <v>19.3</v>
      </c>
      <c r="Q11" s="102">
        <v>20.7</v>
      </c>
      <c r="R11" s="102">
        <v>21.6</v>
      </c>
      <c r="S11" s="102">
        <v>21.6</v>
      </c>
      <c r="T11" s="102">
        <v>21.6</v>
      </c>
      <c r="U11" s="102">
        <v>21.6</v>
      </c>
      <c r="V11" s="102">
        <v>21.6</v>
      </c>
      <c r="W11" s="102">
        <v>21.6</v>
      </c>
      <c r="X11" s="102">
        <v>21.6</v>
      </c>
      <c r="Y11" s="102">
        <v>21.6</v>
      </c>
      <c r="Z11" s="102">
        <v>21.6</v>
      </c>
      <c r="AA11" s="102">
        <v>21.6</v>
      </c>
      <c r="AB11" s="102">
        <v>21.5</v>
      </c>
      <c r="AC11" s="102">
        <v>21.5</v>
      </c>
      <c r="AD11" s="102">
        <v>21.5</v>
      </c>
      <c r="AE11" s="102">
        <v>21.5</v>
      </c>
      <c r="AF11" s="102">
        <v>21.5</v>
      </c>
      <c r="AG11" s="140">
        <v>86</v>
      </c>
      <c r="AH11" s="12">
        <f t="shared" ref="AH11:AH16" si="2">MAX(B11:AF11)</f>
        <v>21.6</v>
      </c>
      <c r="AI11" s="11">
        <f t="shared" ref="AI11:AI16" si="3">MIN(B11:AF11)</f>
        <v>19.3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25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>
        <v>11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>
        <v>11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15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25">
      <c r="A13" s="89" t="s">
        <v>262</v>
      </c>
      <c r="B13" s="102">
        <v>13.4</v>
      </c>
      <c r="C13" s="102">
        <v>13.4</v>
      </c>
      <c r="D13" s="102">
        <v>13.4</v>
      </c>
      <c r="E13" s="102">
        <v>17</v>
      </c>
      <c r="F13" s="102">
        <v>17</v>
      </c>
      <c r="G13" s="102">
        <v>17</v>
      </c>
      <c r="H13" s="102">
        <v>17</v>
      </c>
      <c r="I13" s="102">
        <v>17</v>
      </c>
      <c r="J13" s="102">
        <v>14.4</v>
      </c>
      <c r="K13" s="102">
        <v>15</v>
      </c>
      <c r="L13" s="102">
        <v>15</v>
      </c>
      <c r="M13" s="102">
        <v>15</v>
      </c>
      <c r="N13" s="102">
        <v>15</v>
      </c>
      <c r="O13" s="102">
        <v>15</v>
      </c>
      <c r="P13" s="102">
        <v>15</v>
      </c>
      <c r="Q13" s="102">
        <v>14.4</v>
      </c>
      <c r="R13" s="102">
        <v>14.4</v>
      </c>
      <c r="S13" s="102">
        <v>14.4</v>
      </c>
      <c r="T13" s="102">
        <v>14.4</v>
      </c>
      <c r="U13" s="102">
        <v>14.4</v>
      </c>
      <c r="V13" s="102">
        <v>14.4</v>
      </c>
      <c r="W13" s="102">
        <v>14.4</v>
      </c>
      <c r="X13" s="102">
        <v>14.4</v>
      </c>
      <c r="Y13" s="102">
        <v>14.4</v>
      </c>
      <c r="Z13" s="102">
        <v>14.4</v>
      </c>
      <c r="AA13" s="102">
        <v>14.4</v>
      </c>
      <c r="AB13" s="102">
        <v>16.399999999999999</v>
      </c>
      <c r="AC13" s="102">
        <v>16.399999999999999</v>
      </c>
      <c r="AD13" s="102">
        <v>16.399999999999999</v>
      </c>
      <c r="AE13" s="102">
        <v>16.399999999999999</v>
      </c>
      <c r="AF13" s="102">
        <v>16.399999999999999</v>
      </c>
      <c r="AG13" s="130">
        <v>54</v>
      </c>
      <c r="AH13" s="12">
        <f t="shared" si="2"/>
        <v>17</v>
      </c>
      <c r="AI13" s="11">
        <f t="shared" si="3"/>
        <v>13.4</v>
      </c>
      <c r="AK13" s="19"/>
      <c r="AL13" s="6" t="str">
        <f ca="1">"Daily Load Curve(Excluding of Export) of Nepal ("&amp;A4&amp;" "&amp;B4&amp;")"</f>
        <v>Daily Load Curve(Excluding of Export) of Nepal (Nepali Date: 2080/10/15)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.75" thickBot="1" x14ac:dyDescent="0.3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.75" thickTop="1" x14ac:dyDescent="0.25">
      <c r="A15" s="89" t="s">
        <v>260</v>
      </c>
      <c r="B15" s="102">
        <v>43.2</v>
      </c>
      <c r="C15" s="102">
        <v>43.2</v>
      </c>
      <c r="D15" s="102">
        <v>43.2</v>
      </c>
      <c r="E15" s="102">
        <v>50.1</v>
      </c>
      <c r="F15" s="102">
        <v>50.1</v>
      </c>
      <c r="G15" s="102">
        <v>50.1</v>
      </c>
      <c r="H15" s="102">
        <v>50.1</v>
      </c>
      <c r="I15" s="102">
        <v>49.8</v>
      </c>
      <c r="J15" s="102">
        <v>50</v>
      </c>
      <c r="K15" s="102">
        <v>49.9</v>
      </c>
      <c r="L15" s="102">
        <v>49.9</v>
      </c>
      <c r="M15" s="102">
        <v>49.9</v>
      </c>
      <c r="N15" s="102">
        <v>49.9</v>
      </c>
      <c r="O15" s="102">
        <v>49.9</v>
      </c>
      <c r="P15" s="102">
        <v>49.9</v>
      </c>
      <c r="Q15" s="102">
        <v>45.7</v>
      </c>
      <c r="R15" s="102">
        <v>45.7</v>
      </c>
      <c r="S15" s="102">
        <v>45.7</v>
      </c>
      <c r="T15" s="102">
        <v>45.7</v>
      </c>
      <c r="U15" s="102">
        <v>45.7</v>
      </c>
      <c r="V15" s="102">
        <v>45.7</v>
      </c>
      <c r="W15" s="102">
        <v>45.7</v>
      </c>
      <c r="X15" s="102">
        <v>45.7</v>
      </c>
      <c r="Y15" s="102">
        <v>45.7</v>
      </c>
      <c r="Z15" s="123">
        <v>45.7</v>
      </c>
      <c r="AA15" s="123">
        <v>45.7</v>
      </c>
      <c r="AB15" s="123">
        <v>41.4</v>
      </c>
      <c r="AC15" s="123">
        <v>41.4</v>
      </c>
      <c r="AD15" s="123">
        <v>41.4</v>
      </c>
      <c r="AE15" s="123">
        <v>41.4</v>
      </c>
      <c r="AF15" s="123">
        <v>41.4</v>
      </c>
      <c r="AG15" s="130">
        <v>50</v>
      </c>
      <c r="AH15" s="12">
        <f t="shared" si="2"/>
        <v>50.1</v>
      </c>
      <c r="AI15" s="11">
        <f t="shared" si="3"/>
        <v>41.4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25">
      <c r="A16" s="89" t="s">
        <v>258</v>
      </c>
      <c r="B16" s="102">
        <v>13.5</v>
      </c>
      <c r="C16" s="102">
        <v>13.5</v>
      </c>
      <c r="D16" s="102">
        <v>13.5</v>
      </c>
      <c r="E16" s="102">
        <v>13.5</v>
      </c>
      <c r="F16" s="102">
        <v>13.5</v>
      </c>
      <c r="G16" s="102">
        <v>13.5</v>
      </c>
      <c r="H16" s="102">
        <v>13.5</v>
      </c>
      <c r="I16" s="102">
        <v>13.8</v>
      </c>
      <c r="J16" s="102">
        <v>13.8</v>
      </c>
      <c r="K16" s="102">
        <v>13.9</v>
      </c>
      <c r="L16" s="102">
        <v>13.9</v>
      </c>
      <c r="M16" s="102">
        <v>13.9</v>
      </c>
      <c r="N16" s="102">
        <v>13.9</v>
      </c>
      <c r="O16" s="102">
        <v>13.9</v>
      </c>
      <c r="P16" s="102">
        <v>13.9</v>
      </c>
      <c r="Q16" s="102">
        <v>13.9</v>
      </c>
      <c r="R16" s="102">
        <v>13.9</v>
      </c>
      <c r="S16" s="102">
        <v>13.9</v>
      </c>
      <c r="T16" s="102">
        <v>13.9</v>
      </c>
      <c r="U16" s="102">
        <v>13.9</v>
      </c>
      <c r="V16" s="102">
        <v>13.9</v>
      </c>
      <c r="W16" s="102">
        <v>13.9</v>
      </c>
      <c r="X16" s="102">
        <v>13.9</v>
      </c>
      <c r="Y16" s="102">
        <v>13.9</v>
      </c>
      <c r="Z16" s="102">
        <v>13.9</v>
      </c>
      <c r="AA16" s="102">
        <v>13.9</v>
      </c>
      <c r="AB16" s="102">
        <v>15.1</v>
      </c>
      <c r="AC16" s="102">
        <v>15.1</v>
      </c>
      <c r="AD16" s="102">
        <v>15.1</v>
      </c>
      <c r="AE16" s="102">
        <v>15.1</v>
      </c>
      <c r="AF16" s="102">
        <v>15.1</v>
      </c>
      <c r="AG16" s="130">
        <v>45</v>
      </c>
      <c r="AH16" s="12">
        <f t="shared" si="2"/>
        <v>15.1</v>
      </c>
      <c r="AI16" s="11">
        <f t="shared" si="3"/>
        <v>13.5</v>
      </c>
      <c r="AK16" s="19"/>
      <c r="AL16" s="135" t="s">
        <v>7</v>
      </c>
      <c r="AM16" s="134">
        <f t="shared" ref="AM16:AR16" si="4">B58</f>
        <v>486.05</v>
      </c>
      <c r="AN16" s="134">
        <f t="shared" si="4"/>
        <v>486.05</v>
      </c>
      <c r="AO16" s="134">
        <f t="shared" si="4"/>
        <v>486.05</v>
      </c>
      <c r="AP16" s="134">
        <f t="shared" si="4"/>
        <v>518.54999999999995</v>
      </c>
      <c r="AQ16" s="134">
        <f t="shared" si="4"/>
        <v>518.54999999999995</v>
      </c>
      <c r="AR16" s="134">
        <f t="shared" si="4"/>
        <v>518.54999999999995</v>
      </c>
      <c r="AS16" s="134">
        <f>I58</f>
        <v>515.34999999999991</v>
      </c>
      <c r="AT16" s="134">
        <f>K58</f>
        <v>509.15000000000003</v>
      </c>
      <c r="AU16" s="134">
        <f t="shared" ref="AU16:BD16" si="5">M58</f>
        <v>509.15000000000003</v>
      </c>
      <c r="AV16" s="134">
        <f t="shared" si="5"/>
        <v>509.15000000000003</v>
      </c>
      <c r="AW16" s="134">
        <f t="shared" si="5"/>
        <v>509.85</v>
      </c>
      <c r="AX16" s="134">
        <f t="shared" si="5"/>
        <v>508.45</v>
      </c>
      <c r="AY16" s="134">
        <f t="shared" si="5"/>
        <v>498.25000000000006</v>
      </c>
      <c r="AZ16" s="134">
        <f t="shared" si="5"/>
        <v>499.15000000000003</v>
      </c>
      <c r="BA16" s="134">
        <f t="shared" si="5"/>
        <v>499.15000000000003</v>
      </c>
      <c r="BB16" s="134">
        <f t="shared" si="5"/>
        <v>499.15000000000003</v>
      </c>
      <c r="BC16" s="134">
        <f t="shared" si="5"/>
        <v>499.15000000000003</v>
      </c>
      <c r="BD16" s="134">
        <f t="shared" si="5"/>
        <v>499.15000000000003</v>
      </c>
      <c r="BE16" s="133">
        <f>X58</f>
        <v>499.15000000000003</v>
      </c>
      <c r="BF16" s="133">
        <f>Z58</f>
        <v>499.15000000000003</v>
      </c>
      <c r="BG16" s="133">
        <f>AB58</f>
        <v>497.95</v>
      </c>
      <c r="BH16" s="133">
        <f>AD58</f>
        <v>497.95</v>
      </c>
      <c r="BI16" s="133">
        <f>AE58</f>
        <v>497.95</v>
      </c>
      <c r="BJ16" s="133">
        <f>AF58</f>
        <v>497.95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25">
      <c r="A17" s="89" t="s">
        <v>257</v>
      </c>
      <c r="B17" s="102">
        <v>16</v>
      </c>
      <c r="C17" s="102">
        <v>16</v>
      </c>
      <c r="D17" s="102">
        <v>16</v>
      </c>
      <c r="E17" s="102">
        <v>16</v>
      </c>
      <c r="F17" s="102">
        <v>16</v>
      </c>
      <c r="G17" s="102">
        <v>16</v>
      </c>
      <c r="H17" s="102">
        <v>16</v>
      </c>
      <c r="I17" s="102">
        <v>16</v>
      </c>
      <c r="J17" s="102">
        <v>16</v>
      </c>
      <c r="K17" s="102">
        <v>16</v>
      </c>
      <c r="L17" s="102">
        <v>16</v>
      </c>
      <c r="M17" s="102">
        <v>16</v>
      </c>
      <c r="N17" s="102">
        <v>16</v>
      </c>
      <c r="O17" s="102">
        <v>16</v>
      </c>
      <c r="P17" s="102">
        <v>16</v>
      </c>
      <c r="Q17" s="102">
        <v>16</v>
      </c>
      <c r="R17" s="102">
        <v>16</v>
      </c>
      <c r="S17" s="102">
        <v>16</v>
      </c>
      <c r="T17" s="102">
        <v>16</v>
      </c>
      <c r="U17" s="102">
        <v>16</v>
      </c>
      <c r="V17" s="102">
        <v>16</v>
      </c>
      <c r="W17" s="102">
        <v>16</v>
      </c>
      <c r="X17" s="102">
        <v>16</v>
      </c>
      <c r="Y17" s="102">
        <v>16</v>
      </c>
      <c r="Z17" s="102">
        <v>16</v>
      </c>
      <c r="AA17" s="102">
        <v>16</v>
      </c>
      <c r="AB17" s="102">
        <v>16</v>
      </c>
      <c r="AC17" s="102">
        <v>16</v>
      </c>
      <c r="AD17" s="102">
        <v>16</v>
      </c>
      <c r="AE17" s="102">
        <v>16</v>
      </c>
      <c r="AF17" s="102">
        <v>16</v>
      </c>
      <c r="AG17" s="130">
        <v>44</v>
      </c>
      <c r="AH17" s="12">
        <f>MAX(B17:AG17)</f>
        <v>44</v>
      </c>
      <c r="AI17" s="11">
        <f>MIN(B17:AG17)</f>
        <v>16</v>
      </c>
      <c r="AK17" s="19"/>
      <c r="AL17" s="135" t="s">
        <v>256</v>
      </c>
      <c r="AM17" s="134">
        <f t="shared" ref="AM17:AR17" si="6">B62</f>
        <v>240.9</v>
      </c>
      <c r="AN17" s="134">
        <f t="shared" si="6"/>
        <v>200.9</v>
      </c>
      <c r="AO17" s="134">
        <f t="shared" si="6"/>
        <v>182.9</v>
      </c>
      <c r="AP17" s="134">
        <f t="shared" si="6"/>
        <v>182.6</v>
      </c>
      <c r="AQ17" s="134">
        <f t="shared" si="6"/>
        <v>166.6</v>
      </c>
      <c r="AR17" s="134">
        <f t="shared" si="6"/>
        <v>166.6</v>
      </c>
      <c r="AS17" s="134">
        <f>I62</f>
        <v>167.8</v>
      </c>
      <c r="AT17" s="134">
        <f>K62</f>
        <v>38.700000000000003</v>
      </c>
      <c r="AU17" s="134">
        <f t="shared" ref="AU17:BD17" si="7">M62</f>
        <v>38.700000000000003</v>
      </c>
      <c r="AV17" s="134">
        <f t="shared" si="7"/>
        <v>38.6</v>
      </c>
      <c r="AW17" s="134">
        <f t="shared" si="7"/>
        <v>38</v>
      </c>
      <c r="AX17" s="134">
        <f t="shared" si="7"/>
        <v>38</v>
      </c>
      <c r="AY17" s="134">
        <f t="shared" si="7"/>
        <v>34.900000000000006</v>
      </c>
      <c r="AZ17" s="134">
        <f t="shared" si="7"/>
        <v>35</v>
      </c>
      <c r="BA17" s="134">
        <f t="shared" si="7"/>
        <v>35</v>
      </c>
      <c r="BB17" s="134">
        <f t="shared" si="7"/>
        <v>35</v>
      </c>
      <c r="BC17" s="134">
        <f t="shared" si="7"/>
        <v>35</v>
      </c>
      <c r="BD17" s="134">
        <f t="shared" si="7"/>
        <v>35</v>
      </c>
      <c r="BE17" s="133">
        <f>X62</f>
        <v>65.100000000000009</v>
      </c>
      <c r="BF17" s="133">
        <f>Z62</f>
        <v>439.5</v>
      </c>
      <c r="BG17" s="133">
        <f>AB62</f>
        <v>444.5</v>
      </c>
      <c r="BH17" s="133">
        <f>AD62</f>
        <v>390.2</v>
      </c>
      <c r="BI17" s="133">
        <f>AE62</f>
        <v>192.2</v>
      </c>
      <c r="BJ17" s="133">
        <f>AF62</f>
        <v>190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25">
      <c r="A18" s="89" t="s">
        <v>255</v>
      </c>
      <c r="B18" s="102">
        <v>9</v>
      </c>
      <c r="C18" s="102">
        <v>9</v>
      </c>
      <c r="D18" s="102">
        <v>9</v>
      </c>
      <c r="E18" s="102">
        <v>9</v>
      </c>
      <c r="F18" s="102">
        <v>9</v>
      </c>
      <c r="G18" s="102">
        <v>9</v>
      </c>
      <c r="H18" s="102">
        <v>9</v>
      </c>
      <c r="I18" s="102">
        <v>9</v>
      </c>
      <c r="J18" s="102">
        <v>9.5</v>
      </c>
      <c r="K18" s="102">
        <v>10</v>
      </c>
      <c r="L18" s="102">
        <v>10</v>
      </c>
      <c r="M18" s="102">
        <v>10</v>
      </c>
      <c r="N18" s="102">
        <v>10</v>
      </c>
      <c r="O18" s="102">
        <v>10</v>
      </c>
      <c r="P18" s="102">
        <v>10</v>
      </c>
      <c r="Q18" s="102">
        <v>9</v>
      </c>
      <c r="R18" s="102">
        <v>9</v>
      </c>
      <c r="S18" s="102">
        <v>9</v>
      </c>
      <c r="T18" s="102">
        <v>9</v>
      </c>
      <c r="U18" s="102">
        <v>9</v>
      </c>
      <c r="V18" s="102">
        <v>9</v>
      </c>
      <c r="W18" s="102">
        <v>9</v>
      </c>
      <c r="X18" s="102">
        <v>9</v>
      </c>
      <c r="Y18" s="102">
        <v>9</v>
      </c>
      <c r="Z18" s="102">
        <v>9</v>
      </c>
      <c r="AA18" s="102">
        <v>9</v>
      </c>
      <c r="AB18" s="102">
        <v>11</v>
      </c>
      <c r="AC18" s="102">
        <v>11</v>
      </c>
      <c r="AD18" s="102">
        <v>11</v>
      </c>
      <c r="AE18" s="102">
        <v>11</v>
      </c>
      <c r="AF18" s="102">
        <v>11</v>
      </c>
      <c r="AG18" s="130">
        <v>42</v>
      </c>
      <c r="AH18" s="12">
        <f t="shared" ref="AH18:AH81" si="8">MAX(B18:AF18)</f>
        <v>11</v>
      </c>
      <c r="AI18" s="11">
        <f t="shared" ref="AI18:AI81" si="9">MIN(B18:AF18)</f>
        <v>9</v>
      </c>
      <c r="AK18" s="19"/>
      <c r="AL18" s="135" t="s">
        <v>254</v>
      </c>
      <c r="AM18" s="134">
        <f t="shared" ref="AM18:AR18" si="10">B76</f>
        <v>242.97999999999996</v>
      </c>
      <c r="AN18" s="134">
        <f t="shared" si="10"/>
        <v>246.48</v>
      </c>
      <c r="AO18" s="134">
        <f t="shared" si="10"/>
        <v>209.28</v>
      </c>
      <c r="AP18" s="134">
        <f t="shared" si="10"/>
        <v>212.07999999999996</v>
      </c>
      <c r="AQ18" s="134">
        <f t="shared" si="10"/>
        <v>212.07999999999996</v>
      </c>
      <c r="AR18" s="134">
        <f t="shared" si="10"/>
        <v>195.57999999999996</v>
      </c>
      <c r="AS18" s="134">
        <f>I76</f>
        <v>244.43900000000002</v>
      </c>
      <c r="AT18" s="134">
        <f>K76</f>
        <v>195.14000000000001</v>
      </c>
      <c r="AU18" s="134">
        <f t="shared" ref="AU18:BD18" si="11">M76</f>
        <v>192.84000000000003</v>
      </c>
      <c r="AV18" s="134">
        <f t="shared" si="11"/>
        <v>186.64000000000001</v>
      </c>
      <c r="AW18" s="134">
        <f t="shared" si="11"/>
        <v>179.74</v>
      </c>
      <c r="AX18" s="134">
        <f t="shared" si="11"/>
        <v>178.24</v>
      </c>
      <c r="AY18" s="134">
        <f t="shared" si="11"/>
        <v>153.44</v>
      </c>
      <c r="AZ18" s="134">
        <f t="shared" si="11"/>
        <v>93.04000000000002</v>
      </c>
      <c r="BA18" s="134">
        <f t="shared" si="11"/>
        <v>148.34</v>
      </c>
      <c r="BB18" s="134">
        <f t="shared" si="11"/>
        <v>216.54</v>
      </c>
      <c r="BC18" s="134">
        <f t="shared" si="11"/>
        <v>215.44</v>
      </c>
      <c r="BD18" s="134">
        <f t="shared" si="11"/>
        <v>238.03999999999996</v>
      </c>
      <c r="BE18" s="133">
        <f>X76</f>
        <v>221.03999999999996</v>
      </c>
      <c r="BF18" s="133">
        <f>Z76</f>
        <v>326.23999999999995</v>
      </c>
      <c r="BG18" s="133">
        <f>AB76</f>
        <v>406.53999999999996</v>
      </c>
      <c r="BH18" s="133">
        <f>AD76</f>
        <v>393.03999999999991</v>
      </c>
      <c r="BI18" s="133">
        <f>AE76</f>
        <v>372.23999999999995</v>
      </c>
      <c r="BJ18" s="133">
        <f>AF76</f>
        <v>339.03999999999996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25">
      <c r="A19" s="89" t="s">
        <v>253</v>
      </c>
      <c r="B19" s="102">
        <v>17.600000000000001</v>
      </c>
      <c r="C19" s="102">
        <v>17.600000000000001</v>
      </c>
      <c r="D19" s="102">
        <v>17.600000000000001</v>
      </c>
      <c r="E19" s="102">
        <v>23.8</v>
      </c>
      <c r="F19" s="102">
        <v>23.8</v>
      </c>
      <c r="G19" s="102">
        <v>23.8</v>
      </c>
      <c r="H19" s="102">
        <v>21.9</v>
      </c>
      <c r="I19" s="102">
        <v>21.9</v>
      </c>
      <c r="J19" s="102">
        <v>21.2</v>
      </c>
      <c r="K19" s="102">
        <v>20.8</v>
      </c>
      <c r="L19" s="102">
        <v>20.8</v>
      </c>
      <c r="M19" s="102">
        <v>20.8</v>
      </c>
      <c r="N19" s="102">
        <v>20.8</v>
      </c>
      <c r="O19" s="102">
        <v>20.8</v>
      </c>
      <c r="P19" s="102">
        <v>20.8</v>
      </c>
      <c r="Q19" s="102">
        <v>18.3</v>
      </c>
      <c r="R19" s="102">
        <v>18.3</v>
      </c>
      <c r="S19" s="102">
        <v>18.3</v>
      </c>
      <c r="T19" s="102">
        <v>18.3</v>
      </c>
      <c r="U19" s="102">
        <v>18.3</v>
      </c>
      <c r="V19" s="102">
        <v>18.3</v>
      </c>
      <c r="W19" s="102">
        <v>18.3</v>
      </c>
      <c r="X19" s="102">
        <v>18.3</v>
      </c>
      <c r="Y19" s="102">
        <v>18.3</v>
      </c>
      <c r="Z19" s="102">
        <v>18.3</v>
      </c>
      <c r="AA19" s="102">
        <v>18.3</v>
      </c>
      <c r="AB19" s="102">
        <v>16.2</v>
      </c>
      <c r="AC19" s="102">
        <v>16.2</v>
      </c>
      <c r="AD19" s="102">
        <v>16.2</v>
      </c>
      <c r="AE19" s="102">
        <v>16.2</v>
      </c>
      <c r="AF19" s="102">
        <v>16.2</v>
      </c>
      <c r="AG19" s="130">
        <v>38.46</v>
      </c>
      <c r="AH19" s="12">
        <f t="shared" si="8"/>
        <v>23.8</v>
      </c>
      <c r="AI19" s="11">
        <f t="shared" si="9"/>
        <v>16.2</v>
      </c>
      <c r="AK19" s="19"/>
      <c r="AL19" s="135" t="s">
        <v>252</v>
      </c>
      <c r="AM19" s="134">
        <f t="shared" ref="AM19:AR19" si="12">B92</f>
        <v>245.3</v>
      </c>
      <c r="AN19" s="134">
        <f t="shared" si="12"/>
        <v>240.7</v>
      </c>
      <c r="AO19" s="134">
        <f t="shared" si="12"/>
        <v>276.59999999999997</v>
      </c>
      <c r="AP19" s="134">
        <f t="shared" si="12"/>
        <v>273.39999999999998</v>
      </c>
      <c r="AQ19" s="134">
        <f t="shared" si="12"/>
        <v>259.5</v>
      </c>
      <c r="AR19" s="134">
        <f t="shared" si="12"/>
        <v>278.5</v>
      </c>
      <c r="AS19" s="134">
        <f>I92</f>
        <v>289.60000000000002</v>
      </c>
      <c r="AT19" s="134">
        <f>K92</f>
        <v>661.3</v>
      </c>
      <c r="AU19" s="134">
        <f t="shared" ref="AU19:BD19" si="13">M92</f>
        <v>736.40000000000009</v>
      </c>
      <c r="AV19" s="134">
        <f t="shared" si="13"/>
        <v>785.80000000000018</v>
      </c>
      <c r="AW19" s="134">
        <f t="shared" si="13"/>
        <v>769.2</v>
      </c>
      <c r="AX19" s="134">
        <f t="shared" si="13"/>
        <v>782.1</v>
      </c>
      <c r="AY19" s="134">
        <f t="shared" si="13"/>
        <v>776.6</v>
      </c>
      <c r="AZ19" s="134">
        <f t="shared" si="13"/>
        <v>778.4</v>
      </c>
      <c r="BA19" s="134">
        <f t="shared" si="13"/>
        <v>799.59999999999991</v>
      </c>
      <c r="BB19" s="134">
        <f t="shared" si="13"/>
        <v>783.39999999999986</v>
      </c>
      <c r="BC19" s="134">
        <f t="shared" si="13"/>
        <v>762.3</v>
      </c>
      <c r="BD19" s="134">
        <f t="shared" si="13"/>
        <v>740.9</v>
      </c>
      <c r="BE19" s="133">
        <f>X92</f>
        <v>661.1</v>
      </c>
      <c r="BF19" s="133">
        <f>Z92</f>
        <v>231.8</v>
      </c>
      <c r="BG19" s="133">
        <f>AB92</f>
        <v>16</v>
      </c>
      <c r="BH19" s="133">
        <f>AD92</f>
        <v>80.800000000000011</v>
      </c>
      <c r="BI19" s="133">
        <f>AE92</f>
        <v>81.800000000000011</v>
      </c>
      <c r="BJ19" s="133">
        <f>AF92</f>
        <v>199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25">
      <c r="A20" s="89" t="s">
        <v>251</v>
      </c>
      <c r="B20" s="102">
        <v>11.5</v>
      </c>
      <c r="C20" s="102">
        <v>11.5</v>
      </c>
      <c r="D20" s="102">
        <v>11.5</v>
      </c>
      <c r="E20" s="102">
        <v>16</v>
      </c>
      <c r="F20" s="102">
        <v>16</v>
      </c>
      <c r="G20" s="102">
        <v>16</v>
      </c>
      <c r="H20" s="102">
        <v>16</v>
      </c>
      <c r="I20" s="102">
        <v>16</v>
      </c>
      <c r="J20" s="102">
        <v>16</v>
      </c>
      <c r="K20" s="102">
        <v>16</v>
      </c>
      <c r="L20" s="102">
        <v>16</v>
      </c>
      <c r="M20" s="102">
        <v>16</v>
      </c>
      <c r="N20" s="102">
        <v>16</v>
      </c>
      <c r="O20" s="102">
        <v>16</v>
      </c>
      <c r="P20" s="102">
        <v>16</v>
      </c>
      <c r="Q20" s="102">
        <v>16</v>
      </c>
      <c r="R20" s="102">
        <v>16</v>
      </c>
      <c r="S20" s="102">
        <v>16</v>
      </c>
      <c r="T20" s="102">
        <v>16</v>
      </c>
      <c r="U20" s="102">
        <v>16</v>
      </c>
      <c r="V20" s="102">
        <v>16</v>
      </c>
      <c r="W20" s="102">
        <v>16</v>
      </c>
      <c r="X20" s="102">
        <v>16</v>
      </c>
      <c r="Y20" s="102">
        <v>16</v>
      </c>
      <c r="Z20" s="102">
        <v>16</v>
      </c>
      <c r="AA20" s="102">
        <v>16</v>
      </c>
      <c r="AB20" s="102">
        <v>14</v>
      </c>
      <c r="AC20" s="102">
        <v>14</v>
      </c>
      <c r="AD20" s="102">
        <v>14</v>
      </c>
      <c r="AE20" s="102">
        <v>14</v>
      </c>
      <c r="AF20" s="102">
        <v>14</v>
      </c>
      <c r="AG20" s="130">
        <v>38.46</v>
      </c>
      <c r="AH20" s="12">
        <f t="shared" si="8"/>
        <v>16</v>
      </c>
      <c r="AI20" s="11">
        <f t="shared" si="9"/>
        <v>11.5</v>
      </c>
      <c r="AK20" s="19"/>
      <c r="AL20" s="135" t="s">
        <v>250</v>
      </c>
      <c r="AM20" s="134">
        <f t="shared" ref="AM20:AR20" si="14">B80</f>
        <v>97.5</v>
      </c>
      <c r="AN20" s="134">
        <f t="shared" si="14"/>
        <v>97.5</v>
      </c>
      <c r="AO20" s="134">
        <f t="shared" si="14"/>
        <v>97.5</v>
      </c>
      <c r="AP20" s="134">
        <f t="shared" si="14"/>
        <v>97.5</v>
      </c>
      <c r="AQ20" s="134">
        <f t="shared" si="14"/>
        <v>99.5</v>
      </c>
      <c r="AR20" s="134">
        <f t="shared" si="14"/>
        <v>97.5</v>
      </c>
      <c r="AS20" s="134">
        <f>I80</f>
        <v>97.5</v>
      </c>
      <c r="AT20" s="134">
        <f>K80</f>
        <v>47.8</v>
      </c>
      <c r="AU20" s="134">
        <f t="shared" ref="AU20:BD20" si="15">M80</f>
        <v>72.2</v>
      </c>
      <c r="AV20" s="134">
        <f t="shared" si="15"/>
        <v>62.199999999999996</v>
      </c>
      <c r="AW20" s="134">
        <f t="shared" si="15"/>
        <v>56.800000000000004</v>
      </c>
      <c r="AX20" s="134">
        <f t="shared" si="15"/>
        <v>60</v>
      </c>
      <c r="AY20" s="134">
        <f t="shared" si="15"/>
        <v>62.6</v>
      </c>
      <c r="AZ20" s="134">
        <f t="shared" si="15"/>
        <v>60.1</v>
      </c>
      <c r="BA20" s="134">
        <f t="shared" si="15"/>
        <v>61.4</v>
      </c>
      <c r="BB20" s="134">
        <f t="shared" si="15"/>
        <v>0</v>
      </c>
      <c r="BC20" s="134">
        <f t="shared" si="15"/>
        <v>0</v>
      </c>
      <c r="BD20" s="134">
        <f t="shared" si="15"/>
        <v>0</v>
      </c>
      <c r="BE20" s="133">
        <f>X80</f>
        <v>0</v>
      </c>
      <c r="BF20" s="133">
        <f>Z80</f>
        <v>88.7</v>
      </c>
      <c r="BG20" s="133">
        <f>AB80</f>
        <v>96.600000000000009</v>
      </c>
      <c r="BH20" s="133">
        <f>AD80</f>
        <v>95.4</v>
      </c>
      <c r="BI20" s="133">
        <f>AE80</f>
        <v>95.4</v>
      </c>
      <c r="BJ20" s="133">
        <f>AF80</f>
        <v>95.4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25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>
        <v>11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>
        <v>11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11</v>
      </c>
      <c r="AG21" s="130">
        <v>36</v>
      </c>
      <c r="AH21" s="12">
        <f t="shared" si="8"/>
        <v>11</v>
      </c>
      <c r="AI21" s="11">
        <f t="shared" si="9"/>
        <v>11</v>
      </c>
      <c r="AK21" s="19"/>
      <c r="AL21" s="135" t="s">
        <v>248</v>
      </c>
      <c r="AM21" s="134">
        <f t="shared" ref="AM21:AR21" si="16">B98</f>
        <v>280</v>
      </c>
      <c r="AN21" s="134">
        <f t="shared" si="16"/>
        <v>280</v>
      </c>
      <c r="AO21" s="134">
        <f t="shared" si="16"/>
        <v>280</v>
      </c>
      <c r="AP21" s="134">
        <f t="shared" si="16"/>
        <v>280</v>
      </c>
      <c r="AQ21" s="134">
        <f t="shared" si="16"/>
        <v>280</v>
      </c>
      <c r="AR21" s="134">
        <f t="shared" si="16"/>
        <v>250</v>
      </c>
      <c r="AS21" s="134">
        <f>I98</f>
        <v>180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300</v>
      </c>
      <c r="BG21" s="133">
        <f>AB98</f>
        <v>360</v>
      </c>
      <c r="BH21" s="133">
        <f>AD98</f>
        <v>360</v>
      </c>
      <c r="BI21" s="133">
        <f>AE98</f>
        <v>330</v>
      </c>
      <c r="BJ21" s="133">
        <f>AF98</f>
        <v>330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25">
      <c r="A22" s="89" t="s">
        <v>247</v>
      </c>
      <c r="B22" s="102">
        <v>8.5</v>
      </c>
      <c r="C22" s="102">
        <v>8.5</v>
      </c>
      <c r="D22" s="102">
        <v>8.5</v>
      </c>
      <c r="E22" s="102">
        <v>10</v>
      </c>
      <c r="F22" s="102">
        <v>10</v>
      </c>
      <c r="G22" s="102">
        <v>10</v>
      </c>
      <c r="H22" s="102">
        <v>9.6</v>
      </c>
      <c r="I22" s="102">
        <v>9.6</v>
      </c>
      <c r="J22" s="102">
        <v>9.3000000000000007</v>
      </c>
      <c r="K22" s="102">
        <v>9.1</v>
      </c>
      <c r="L22" s="102">
        <v>9.1</v>
      </c>
      <c r="M22" s="102">
        <v>9.1</v>
      </c>
      <c r="N22" s="102">
        <v>9.1</v>
      </c>
      <c r="O22" s="102">
        <v>9.1</v>
      </c>
      <c r="P22" s="102">
        <v>9.1</v>
      </c>
      <c r="Q22" s="102">
        <v>8.5</v>
      </c>
      <c r="R22" s="102">
        <v>8.5</v>
      </c>
      <c r="S22" s="102">
        <v>8.5</v>
      </c>
      <c r="T22" s="102">
        <v>8.5</v>
      </c>
      <c r="U22" s="102">
        <v>8.5</v>
      </c>
      <c r="V22" s="102">
        <v>8.5</v>
      </c>
      <c r="W22" s="102">
        <v>8.5</v>
      </c>
      <c r="X22" s="102">
        <v>8.5</v>
      </c>
      <c r="Y22" s="102">
        <v>8.5</v>
      </c>
      <c r="Z22" s="102">
        <v>8.5</v>
      </c>
      <c r="AA22" s="102">
        <v>8.5</v>
      </c>
      <c r="AB22" s="102">
        <v>10.3</v>
      </c>
      <c r="AC22" s="102">
        <v>10.3</v>
      </c>
      <c r="AD22" s="102">
        <v>10.3</v>
      </c>
      <c r="AE22" s="102">
        <v>10.3</v>
      </c>
      <c r="AF22" s="102">
        <v>10.3</v>
      </c>
      <c r="AG22" s="88">
        <v>30</v>
      </c>
      <c r="AH22" s="12">
        <f t="shared" si="8"/>
        <v>10.3</v>
      </c>
      <c r="AI22" s="11">
        <f t="shared" si="9"/>
        <v>8.5</v>
      </c>
      <c r="AK22" s="19"/>
      <c r="AL22" s="132" t="s">
        <v>246</v>
      </c>
      <c r="AM22" s="131">
        <f t="shared" ref="AM22:BJ22" si="18">SUM(AM16:AM21)</f>
        <v>1592.73</v>
      </c>
      <c r="AN22" s="131">
        <f t="shared" si="18"/>
        <v>1551.63</v>
      </c>
      <c r="AO22" s="131">
        <f t="shared" si="18"/>
        <v>1532.33</v>
      </c>
      <c r="AP22" s="131">
        <f t="shared" si="18"/>
        <v>1564.1299999999999</v>
      </c>
      <c r="AQ22" s="131">
        <f t="shared" si="18"/>
        <v>1536.23</v>
      </c>
      <c r="AR22" s="131">
        <f t="shared" si="18"/>
        <v>1506.73</v>
      </c>
      <c r="AS22" s="131">
        <f t="shared" si="18"/>
        <v>1494.6889999999999</v>
      </c>
      <c r="AT22" s="131">
        <f t="shared" si="18"/>
        <v>1452.09</v>
      </c>
      <c r="AU22" s="131">
        <f t="shared" si="18"/>
        <v>1549.2900000000002</v>
      </c>
      <c r="AV22" s="131">
        <f t="shared" si="18"/>
        <v>1582.39</v>
      </c>
      <c r="AW22" s="131">
        <f t="shared" si="18"/>
        <v>1553.59</v>
      </c>
      <c r="AX22" s="131">
        <f t="shared" si="18"/>
        <v>1566.79</v>
      </c>
      <c r="AY22" s="131">
        <f t="shared" si="18"/>
        <v>1525.79</v>
      </c>
      <c r="AZ22" s="131">
        <f t="shared" si="18"/>
        <v>1465.69</v>
      </c>
      <c r="BA22" s="131">
        <f t="shared" si="18"/>
        <v>1543.4900000000002</v>
      </c>
      <c r="BB22" s="131">
        <f t="shared" si="18"/>
        <v>1534.09</v>
      </c>
      <c r="BC22" s="131">
        <f t="shared" si="18"/>
        <v>1511.89</v>
      </c>
      <c r="BD22" s="131">
        <f t="shared" si="18"/>
        <v>1513.0900000000001</v>
      </c>
      <c r="BE22" s="131">
        <f t="shared" si="18"/>
        <v>1446.3899999999999</v>
      </c>
      <c r="BF22" s="131">
        <f t="shared" si="18"/>
        <v>1885.39</v>
      </c>
      <c r="BG22" s="131">
        <f t="shared" si="18"/>
        <v>1821.59</v>
      </c>
      <c r="BH22" s="131">
        <f t="shared" si="18"/>
        <v>1817.3899999999999</v>
      </c>
      <c r="BI22" s="131">
        <f t="shared" si="18"/>
        <v>1569.59</v>
      </c>
      <c r="BJ22" s="131">
        <f t="shared" si="18"/>
        <v>1651.39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25">
      <c r="A23" s="89" t="s">
        <v>245</v>
      </c>
      <c r="B23" s="102">
        <v>6.5</v>
      </c>
      <c r="C23" s="102">
        <v>6.5</v>
      </c>
      <c r="D23" s="102">
        <v>6.5</v>
      </c>
      <c r="E23" s="102">
        <v>6.5</v>
      </c>
      <c r="F23" s="102">
        <v>6.5</v>
      </c>
      <c r="G23" s="102">
        <v>6.5</v>
      </c>
      <c r="H23" s="102">
        <v>6.5</v>
      </c>
      <c r="I23" s="102">
        <v>6.5</v>
      </c>
      <c r="J23" s="102">
        <v>6.4</v>
      </c>
      <c r="K23" s="102">
        <v>6.4</v>
      </c>
      <c r="L23" s="102">
        <v>6.4</v>
      </c>
      <c r="M23" s="102">
        <v>6.4</v>
      </c>
      <c r="N23" s="102">
        <v>6.4</v>
      </c>
      <c r="O23" s="102">
        <v>6.4</v>
      </c>
      <c r="P23" s="102">
        <v>6.4</v>
      </c>
      <c r="Q23" s="102">
        <v>6.4</v>
      </c>
      <c r="R23" s="102">
        <v>6.4</v>
      </c>
      <c r="S23" s="102">
        <v>6.4</v>
      </c>
      <c r="T23" s="102">
        <v>6.4</v>
      </c>
      <c r="U23" s="102">
        <v>6.4</v>
      </c>
      <c r="V23" s="102">
        <v>6.4</v>
      </c>
      <c r="W23" s="102">
        <v>6.4</v>
      </c>
      <c r="X23" s="102">
        <v>6.4</v>
      </c>
      <c r="Y23" s="102">
        <v>6.4</v>
      </c>
      <c r="Z23" s="102">
        <v>6.4</v>
      </c>
      <c r="AA23" s="102">
        <v>6.4</v>
      </c>
      <c r="AB23" s="102">
        <v>6.4</v>
      </c>
      <c r="AC23" s="102">
        <v>6.4</v>
      </c>
      <c r="AD23" s="102">
        <v>6.4</v>
      </c>
      <c r="AE23" s="102">
        <v>6.4</v>
      </c>
      <c r="AF23" s="102">
        <v>6.4</v>
      </c>
      <c r="AG23" s="130">
        <v>24.2</v>
      </c>
      <c r="AH23" s="12">
        <f t="shared" si="8"/>
        <v>6.5</v>
      </c>
      <c r="AI23" s="11">
        <f t="shared" si="9"/>
        <v>6.4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-1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25">
      <c r="A24" s="89" t="s">
        <v>244</v>
      </c>
      <c r="B24" s="102">
        <v>6.1</v>
      </c>
      <c r="C24" s="102">
        <v>6.1</v>
      </c>
      <c r="D24" s="102">
        <v>6.1</v>
      </c>
      <c r="E24" s="102">
        <v>6.1</v>
      </c>
      <c r="F24" s="102">
        <v>6.1</v>
      </c>
      <c r="G24" s="102">
        <v>6.1</v>
      </c>
      <c r="H24" s="102">
        <v>6.7</v>
      </c>
      <c r="I24" s="102">
        <v>6.7</v>
      </c>
      <c r="J24" s="102">
        <v>6.7</v>
      </c>
      <c r="K24" s="102">
        <v>6.7</v>
      </c>
      <c r="L24" s="102">
        <v>6.7</v>
      </c>
      <c r="M24" s="102">
        <v>6.7</v>
      </c>
      <c r="N24" s="102">
        <v>6.7</v>
      </c>
      <c r="O24" s="102">
        <v>6.7</v>
      </c>
      <c r="P24" s="102">
        <v>6.7</v>
      </c>
      <c r="Q24" s="102">
        <v>6.6</v>
      </c>
      <c r="R24" s="102">
        <v>6.6</v>
      </c>
      <c r="S24" s="102">
        <v>6.6</v>
      </c>
      <c r="T24" s="102">
        <v>6.6</v>
      </c>
      <c r="U24" s="102">
        <v>6.6</v>
      </c>
      <c r="V24" s="102">
        <v>6.6</v>
      </c>
      <c r="W24" s="102">
        <v>6.6</v>
      </c>
      <c r="X24" s="102">
        <v>6.6</v>
      </c>
      <c r="Y24" s="102">
        <v>6.6</v>
      </c>
      <c r="Z24" s="102">
        <v>6.6</v>
      </c>
      <c r="AA24" s="102">
        <v>6.6</v>
      </c>
      <c r="AB24" s="102">
        <v>6.5</v>
      </c>
      <c r="AC24" s="102">
        <v>6.5</v>
      </c>
      <c r="AD24" s="102">
        <v>6.5</v>
      </c>
      <c r="AE24" s="102">
        <v>6.5</v>
      </c>
      <c r="AF24" s="102">
        <v>6.5</v>
      </c>
      <c r="AG24" s="130">
        <v>28</v>
      </c>
      <c r="AH24" s="12">
        <f t="shared" si="8"/>
        <v>6.7</v>
      </c>
      <c r="AI24" s="11">
        <f t="shared" si="9"/>
        <v>6.1</v>
      </c>
      <c r="AK24" s="19"/>
      <c r="AL24" s="132" t="s">
        <v>243</v>
      </c>
      <c r="AM24" s="131">
        <f t="shared" ref="AM24:BJ24" si="21">AM22+AM23</f>
        <v>1592.73</v>
      </c>
      <c r="AN24" s="131">
        <f t="shared" si="21"/>
        <v>1551.63</v>
      </c>
      <c r="AO24" s="131">
        <f t="shared" si="21"/>
        <v>1532.33</v>
      </c>
      <c r="AP24" s="131">
        <f t="shared" si="21"/>
        <v>1564.1299999999999</v>
      </c>
      <c r="AQ24" s="131">
        <f t="shared" si="21"/>
        <v>1536.23</v>
      </c>
      <c r="AR24" s="131">
        <f t="shared" si="21"/>
        <v>1506.73</v>
      </c>
      <c r="AS24" s="131">
        <f t="shared" si="21"/>
        <v>1494.6889999999999</v>
      </c>
      <c r="AT24" s="131">
        <f t="shared" si="21"/>
        <v>1452.09</v>
      </c>
      <c r="AU24" s="131">
        <f t="shared" si="21"/>
        <v>1549.2900000000002</v>
      </c>
      <c r="AV24" s="131">
        <f t="shared" si="21"/>
        <v>1582.39</v>
      </c>
      <c r="AW24" s="131">
        <f t="shared" si="21"/>
        <v>1553.59</v>
      </c>
      <c r="AX24" s="131">
        <f t="shared" si="21"/>
        <v>1566.79</v>
      </c>
      <c r="AY24" s="131">
        <f t="shared" si="21"/>
        <v>1525.79</v>
      </c>
      <c r="AZ24" s="131">
        <f t="shared" si="21"/>
        <v>1465.69</v>
      </c>
      <c r="BA24" s="131">
        <f t="shared" si="21"/>
        <v>1543.4900000000002</v>
      </c>
      <c r="BB24" s="131">
        <f t="shared" si="21"/>
        <v>1534.09</v>
      </c>
      <c r="BC24" s="131">
        <f t="shared" si="21"/>
        <v>1511.89</v>
      </c>
      <c r="BD24" s="131">
        <f t="shared" si="21"/>
        <v>1513.0900000000001</v>
      </c>
      <c r="BE24" s="131">
        <f t="shared" si="21"/>
        <v>1446.3899999999999</v>
      </c>
      <c r="BF24" s="131">
        <f t="shared" si="21"/>
        <v>1885.39</v>
      </c>
      <c r="BG24" s="131">
        <f t="shared" si="21"/>
        <v>1820.59</v>
      </c>
      <c r="BH24" s="131">
        <f t="shared" si="21"/>
        <v>1817.3899999999999</v>
      </c>
      <c r="BI24" s="131">
        <f t="shared" si="21"/>
        <v>1569.59</v>
      </c>
      <c r="BJ24" s="131">
        <f t="shared" si="21"/>
        <v>1651.39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25">
      <c r="A25" s="89" t="s">
        <v>242</v>
      </c>
      <c r="B25" s="102">
        <v>6.9</v>
      </c>
      <c r="C25" s="102">
        <v>6.9</v>
      </c>
      <c r="D25" s="102">
        <v>6.9</v>
      </c>
      <c r="E25" s="102">
        <v>7.5</v>
      </c>
      <c r="F25" s="102">
        <v>7.5</v>
      </c>
      <c r="G25" s="102">
        <v>7.5</v>
      </c>
      <c r="H25" s="102">
        <v>7.5</v>
      </c>
      <c r="I25" s="102">
        <v>7.5</v>
      </c>
      <c r="J25" s="102">
        <v>7.5</v>
      </c>
      <c r="K25" s="102">
        <v>7.9</v>
      </c>
      <c r="L25" s="102">
        <v>7.9</v>
      </c>
      <c r="M25" s="102">
        <v>7.9</v>
      </c>
      <c r="N25" s="102">
        <v>7.9</v>
      </c>
      <c r="O25" s="102">
        <v>7.9</v>
      </c>
      <c r="P25" s="102">
        <v>7.9</v>
      </c>
      <c r="Q25" s="102">
        <v>7.2</v>
      </c>
      <c r="R25" s="102">
        <v>7.2</v>
      </c>
      <c r="S25" s="102">
        <v>7.2</v>
      </c>
      <c r="T25" s="102">
        <v>7.2</v>
      </c>
      <c r="U25" s="102">
        <v>7.2</v>
      </c>
      <c r="V25" s="102">
        <v>7.2</v>
      </c>
      <c r="W25" s="102">
        <v>7.2</v>
      </c>
      <c r="X25" s="102">
        <v>7.2</v>
      </c>
      <c r="Y25" s="102">
        <v>7.2</v>
      </c>
      <c r="Z25" s="102">
        <v>7.2</v>
      </c>
      <c r="AA25" s="102">
        <v>7.2</v>
      </c>
      <c r="AB25" s="102">
        <v>7.3</v>
      </c>
      <c r="AC25" s="102">
        <v>7.3</v>
      </c>
      <c r="AD25" s="102">
        <v>7.3</v>
      </c>
      <c r="AE25" s="102">
        <v>7.3</v>
      </c>
      <c r="AF25" s="102">
        <v>7.3</v>
      </c>
      <c r="AG25" s="88">
        <v>30</v>
      </c>
      <c r="AH25" s="12">
        <f t="shared" si="8"/>
        <v>7.9</v>
      </c>
      <c r="AI25" s="11">
        <f t="shared" si="9"/>
        <v>6.9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25">
      <c r="A26" s="89" t="s">
        <v>241</v>
      </c>
      <c r="B26" s="102">
        <v>10.1</v>
      </c>
      <c r="C26" s="102">
        <v>10.1</v>
      </c>
      <c r="D26" s="102">
        <v>10.1</v>
      </c>
      <c r="E26" s="102">
        <v>11.5</v>
      </c>
      <c r="F26" s="102">
        <v>11.5</v>
      </c>
      <c r="G26" s="102">
        <v>11.5</v>
      </c>
      <c r="H26" s="102">
        <v>11.5</v>
      </c>
      <c r="I26" s="102">
        <v>11.5</v>
      </c>
      <c r="J26" s="102">
        <v>11.5</v>
      </c>
      <c r="K26" s="102">
        <v>11.1</v>
      </c>
      <c r="L26" s="102">
        <v>11.1</v>
      </c>
      <c r="M26" s="102">
        <v>11.1</v>
      </c>
      <c r="N26" s="102">
        <v>11.1</v>
      </c>
      <c r="O26" s="102">
        <v>11.1</v>
      </c>
      <c r="P26" s="102">
        <v>11.1</v>
      </c>
      <c r="Q26" s="102">
        <v>10.8</v>
      </c>
      <c r="R26" s="102">
        <v>10.8</v>
      </c>
      <c r="S26" s="102">
        <v>10.8</v>
      </c>
      <c r="T26" s="102">
        <v>10.8</v>
      </c>
      <c r="U26" s="102">
        <v>10.8</v>
      </c>
      <c r="V26" s="102">
        <v>10.8</v>
      </c>
      <c r="W26" s="102">
        <v>10.8</v>
      </c>
      <c r="X26" s="102">
        <v>10.8</v>
      </c>
      <c r="Y26" s="102">
        <v>10.8</v>
      </c>
      <c r="Z26" s="102">
        <v>10.8</v>
      </c>
      <c r="AA26" s="102">
        <v>10.8</v>
      </c>
      <c r="AB26" s="102">
        <v>11.2</v>
      </c>
      <c r="AC26" s="102">
        <v>11.2</v>
      </c>
      <c r="AD26" s="102">
        <v>11.2</v>
      </c>
      <c r="AE26" s="102">
        <v>11.2</v>
      </c>
      <c r="AF26" s="102">
        <v>11.2</v>
      </c>
      <c r="AG26" s="130">
        <v>25</v>
      </c>
      <c r="AH26" s="12">
        <f t="shared" si="8"/>
        <v>11.5</v>
      </c>
      <c r="AI26" s="11">
        <f t="shared" si="9"/>
        <v>10.1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25">
      <c r="A27" s="89" t="s">
        <v>240</v>
      </c>
      <c r="B27" s="102">
        <v>8.1999999999999993</v>
      </c>
      <c r="C27" s="102">
        <v>8.1999999999999993</v>
      </c>
      <c r="D27" s="102">
        <v>8.1999999999999993</v>
      </c>
      <c r="E27" s="102">
        <v>8.5</v>
      </c>
      <c r="F27" s="102">
        <v>8.5</v>
      </c>
      <c r="G27" s="102">
        <v>8.5</v>
      </c>
      <c r="H27" s="102">
        <v>8.5</v>
      </c>
      <c r="I27" s="102">
        <v>8.5</v>
      </c>
      <c r="J27" s="102">
        <v>8.5</v>
      </c>
      <c r="K27" s="102">
        <v>8.5</v>
      </c>
      <c r="L27" s="102">
        <v>8.5</v>
      </c>
      <c r="M27" s="102">
        <v>8.5</v>
      </c>
      <c r="N27" s="102">
        <v>8.5</v>
      </c>
      <c r="O27" s="102">
        <v>8.5</v>
      </c>
      <c r="P27" s="102">
        <v>8.5</v>
      </c>
      <c r="Q27" s="102">
        <v>8.5</v>
      </c>
      <c r="R27" s="102">
        <v>8.5</v>
      </c>
      <c r="S27" s="102">
        <v>8.5</v>
      </c>
      <c r="T27" s="102">
        <v>8.5</v>
      </c>
      <c r="U27" s="102">
        <v>8.5</v>
      </c>
      <c r="V27" s="102">
        <v>8.5</v>
      </c>
      <c r="W27" s="102">
        <v>8.5</v>
      </c>
      <c r="X27" s="102">
        <v>8.5</v>
      </c>
      <c r="Y27" s="102">
        <v>8.5</v>
      </c>
      <c r="Z27" s="102">
        <v>8.5</v>
      </c>
      <c r="AA27" s="102">
        <v>8.5</v>
      </c>
      <c r="AB27" s="102">
        <v>8.5</v>
      </c>
      <c r="AC27" s="102">
        <v>8.5</v>
      </c>
      <c r="AD27" s="102">
        <v>8.5</v>
      </c>
      <c r="AE27" s="102">
        <v>8.5</v>
      </c>
      <c r="AF27" s="102">
        <v>8.5</v>
      </c>
      <c r="AG27" s="130">
        <v>25</v>
      </c>
      <c r="AH27" s="12">
        <f t="shared" si="8"/>
        <v>8.5</v>
      </c>
      <c r="AI27" s="11">
        <f t="shared" si="9"/>
        <v>8.1999999999999993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25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25">
      <c r="A29" s="89" t="s">
        <v>238</v>
      </c>
      <c r="B29" s="102">
        <v>8.6</v>
      </c>
      <c r="C29" s="102">
        <v>8.6</v>
      </c>
      <c r="D29" s="102">
        <v>8.6</v>
      </c>
      <c r="E29" s="102">
        <v>10.1</v>
      </c>
      <c r="F29" s="102">
        <v>10.1</v>
      </c>
      <c r="G29" s="102">
        <v>10.1</v>
      </c>
      <c r="H29" s="102">
        <v>10.1</v>
      </c>
      <c r="I29" s="102">
        <v>10.1</v>
      </c>
      <c r="J29" s="102">
        <v>10.1</v>
      </c>
      <c r="K29" s="102">
        <v>9</v>
      </c>
      <c r="L29" s="102">
        <v>9</v>
      </c>
      <c r="M29" s="102">
        <v>9</v>
      </c>
      <c r="N29" s="102">
        <v>9</v>
      </c>
      <c r="O29" s="102">
        <v>9</v>
      </c>
      <c r="P29" s="102">
        <v>9</v>
      </c>
      <c r="Q29" s="102">
        <v>9.3000000000000007</v>
      </c>
      <c r="R29" s="102">
        <v>9.3000000000000007</v>
      </c>
      <c r="S29" s="102">
        <v>9.3000000000000007</v>
      </c>
      <c r="T29" s="102">
        <v>9.3000000000000007</v>
      </c>
      <c r="U29" s="102">
        <v>9.3000000000000007</v>
      </c>
      <c r="V29" s="102">
        <v>9.3000000000000007</v>
      </c>
      <c r="W29" s="102">
        <v>9.3000000000000007</v>
      </c>
      <c r="X29" s="102">
        <v>9.3000000000000007</v>
      </c>
      <c r="Y29" s="102">
        <v>9.3000000000000007</v>
      </c>
      <c r="Z29" s="102">
        <v>9.3000000000000007</v>
      </c>
      <c r="AA29" s="102">
        <v>9.3000000000000007</v>
      </c>
      <c r="AB29" s="102">
        <v>9.8000000000000007</v>
      </c>
      <c r="AC29" s="102">
        <v>9.8000000000000007</v>
      </c>
      <c r="AD29" s="102">
        <v>9.8000000000000007</v>
      </c>
      <c r="AE29" s="102">
        <v>9.8000000000000007</v>
      </c>
      <c r="AF29" s="102">
        <v>9.8000000000000007</v>
      </c>
      <c r="AG29" s="130">
        <v>25</v>
      </c>
      <c r="AH29" s="12">
        <f t="shared" si="8"/>
        <v>10.1</v>
      </c>
      <c r="AI29" s="11">
        <f t="shared" si="9"/>
        <v>8.6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25">
      <c r="A30" s="89" t="s">
        <v>237</v>
      </c>
      <c r="B30" s="102">
        <v>5.3</v>
      </c>
      <c r="C30" s="102">
        <v>5.3</v>
      </c>
      <c r="D30" s="102">
        <v>5.3</v>
      </c>
      <c r="E30" s="102">
        <v>5.3</v>
      </c>
      <c r="F30" s="102">
        <v>5.3</v>
      </c>
      <c r="G30" s="102">
        <v>5.3</v>
      </c>
      <c r="H30" s="102">
        <v>5.3</v>
      </c>
      <c r="I30" s="102">
        <v>5.3</v>
      </c>
      <c r="J30" s="102">
        <v>5.3</v>
      </c>
      <c r="K30" s="102">
        <v>5.3</v>
      </c>
      <c r="L30" s="102">
        <v>5.3</v>
      </c>
      <c r="M30" s="102">
        <v>5.3</v>
      </c>
      <c r="N30" s="102">
        <v>5.3</v>
      </c>
      <c r="O30" s="102">
        <v>5.3</v>
      </c>
      <c r="P30" s="102">
        <v>5.3</v>
      </c>
      <c r="Q30" s="102">
        <v>5.8</v>
      </c>
      <c r="R30" s="102">
        <v>5.8</v>
      </c>
      <c r="S30" s="102">
        <v>5.8</v>
      </c>
      <c r="T30" s="102">
        <v>5.8</v>
      </c>
      <c r="U30" s="102">
        <v>5.8</v>
      </c>
      <c r="V30" s="102">
        <v>5.8</v>
      </c>
      <c r="W30" s="102">
        <v>5.8</v>
      </c>
      <c r="X30" s="102">
        <v>5.8</v>
      </c>
      <c r="Y30" s="102">
        <v>5.8</v>
      </c>
      <c r="Z30" s="102">
        <v>5.8</v>
      </c>
      <c r="AA30" s="102">
        <v>5.8</v>
      </c>
      <c r="AB30" s="102">
        <v>5.2</v>
      </c>
      <c r="AC30" s="102">
        <v>5.2</v>
      </c>
      <c r="AD30" s="102">
        <v>5.2</v>
      </c>
      <c r="AE30" s="102">
        <v>5.2</v>
      </c>
      <c r="AF30" s="102">
        <v>5.2</v>
      </c>
      <c r="AG30" s="130">
        <v>23.5</v>
      </c>
      <c r="AH30" s="12">
        <f t="shared" si="8"/>
        <v>5.8</v>
      </c>
      <c r="AI30" s="11">
        <f t="shared" si="9"/>
        <v>5.2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25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25">
      <c r="A32" s="89" t="s">
        <v>235</v>
      </c>
      <c r="B32" s="102">
        <v>2.7</v>
      </c>
      <c r="C32" s="102">
        <v>2.7</v>
      </c>
      <c r="D32" s="102">
        <v>2.7</v>
      </c>
      <c r="E32" s="102">
        <v>2.7</v>
      </c>
      <c r="F32" s="102">
        <v>2.7</v>
      </c>
      <c r="G32" s="102">
        <v>2.7</v>
      </c>
      <c r="H32" s="102">
        <v>2.7</v>
      </c>
      <c r="I32" s="102">
        <v>2.7</v>
      </c>
      <c r="J32" s="102">
        <v>2.7</v>
      </c>
      <c r="K32" s="102">
        <v>2.7</v>
      </c>
      <c r="L32" s="102">
        <v>2.7</v>
      </c>
      <c r="M32" s="102">
        <v>2.7</v>
      </c>
      <c r="N32" s="102">
        <v>2.7</v>
      </c>
      <c r="O32" s="102">
        <v>2.7</v>
      </c>
      <c r="P32" s="102">
        <v>2.7</v>
      </c>
      <c r="Q32" s="102">
        <v>2.7</v>
      </c>
      <c r="R32" s="102">
        <v>2.7</v>
      </c>
      <c r="S32" s="102">
        <v>2.7</v>
      </c>
      <c r="T32" s="102">
        <v>2.7</v>
      </c>
      <c r="U32" s="102">
        <v>2.7</v>
      </c>
      <c r="V32" s="102">
        <v>2.7</v>
      </c>
      <c r="W32" s="102">
        <v>2.7</v>
      </c>
      <c r="X32" s="102">
        <v>2.7</v>
      </c>
      <c r="Y32" s="102">
        <v>2.7</v>
      </c>
      <c r="Z32" s="102">
        <v>2.7</v>
      </c>
      <c r="AA32" s="102">
        <v>2.7</v>
      </c>
      <c r="AB32" s="102">
        <v>2.7</v>
      </c>
      <c r="AC32" s="102">
        <v>2.7</v>
      </c>
      <c r="AD32" s="102">
        <v>2.7</v>
      </c>
      <c r="AE32" s="102">
        <v>2.7</v>
      </c>
      <c r="AF32" s="102">
        <v>2.7</v>
      </c>
      <c r="AG32" s="130">
        <v>22.1</v>
      </c>
      <c r="AH32" s="12">
        <f t="shared" si="8"/>
        <v>2.7</v>
      </c>
      <c r="AI32" s="11">
        <f t="shared" si="9"/>
        <v>2.7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25">
      <c r="A33" s="89" t="s">
        <v>234</v>
      </c>
      <c r="B33" s="102">
        <v>3.7</v>
      </c>
      <c r="C33" s="102">
        <v>3.7</v>
      </c>
      <c r="D33" s="102">
        <v>3.7</v>
      </c>
      <c r="E33" s="102">
        <v>3.7</v>
      </c>
      <c r="F33" s="102">
        <v>3.7</v>
      </c>
      <c r="G33" s="102">
        <v>3.7</v>
      </c>
      <c r="H33" s="102">
        <v>3.7</v>
      </c>
      <c r="I33" s="102">
        <v>3.7</v>
      </c>
      <c r="J33" s="102">
        <v>3.7</v>
      </c>
      <c r="K33" s="102">
        <v>3.7</v>
      </c>
      <c r="L33" s="102">
        <v>3.7</v>
      </c>
      <c r="M33" s="102">
        <v>3.7</v>
      </c>
      <c r="N33" s="102">
        <v>3.7</v>
      </c>
      <c r="O33" s="102">
        <v>3.7</v>
      </c>
      <c r="P33" s="102">
        <v>3.7</v>
      </c>
      <c r="Q33" s="102">
        <v>3.7</v>
      </c>
      <c r="R33" s="102">
        <v>3.7</v>
      </c>
      <c r="S33" s="102">
        <v>3.7</v>
      </c>
      <c r="T33" s="102">
        <v>3.7</v>
      </c>
      <c r="U33" s="102">
        <v>3.7</v>
      </c>
      <c r="V33" s="102">
        <v>3.7</v>
      </c>
      <c r="W33" s="102">
        <v>3.7</v>
      </c>
      <c r="X33" s="102">
        <v>3.7</v>
      </c>
      <c r="Y33" s="102">
        <v>3.7</v>
      </c>
      <c r="Z33" s="102">
        <v>3.7</v>
      </c>
      <c r="AA33" s="102">
        <v>3.7</v>
      </c>
      <c r="AB33" s="102">
        <v>3.7</v>
      </c>
      <c r="AC33" s="102">
        <v>3.7</v>
      </c>
      <c r="AD33" s="102">
        <v>3.7</v>
      </c>
      <c r="AE33" s="102">
        <v>3.7</v>
      </c>
      <c r="AF33" s="102">
        <v>3.7</v>
      </c>
      <c r="AG33" s="130">
        <v>22</v>
      </c>
      <c r="AH33" s="12">
        <f t="shared" si="8"/>
        <v>3.7</v>
      </c>
      <c r="AI33" s="11">
        <f t="shared" si="9"/>
        <v>3.7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25">
      <c r="A34" s="124" t="s">
        <v>233</v>
      </c>
      <c r="B34" s="178">
        <v>4.4000000000000004</v>
      </c>
      <c r="C34" s="178">
        <v>4.4000000000000004</v>
      </c>
      <c r="D34" s="178">
        <v>4.4000000000000004</v>
      </c>
      <c r="E34" s="178">
        <v>8.1999999999999993</v>
      </c>
      <c r="F34" s="178">
        <v>8.1999999999999993</v>
      </c>
      <c r="G34" s="178">
        <v>8.1999999999999993</v>
      </c>
      <c r="H34" s="178">
        <v>7</v>
      </c>
      <c r="I34" s="178">
        <v>7</v>
      </c>
      <c r="J34" s="178">
        <v>7</v>
      </c>
      <c r="K34" s="178">
        <v>5.0999999999999996</v>
      </c>
      <c r="L34" s="178">
        <v>5.0999999999999996</v>
      </c>
      <c r="M34" s="178">
        <v>5.0999999999999996</v>
      </c>
      <c r="N34" s="178">
        <v>5.0999999999999996</v>
      </c>
      <c r="O34" s="178">
        <v>5.0999999999999996</v>
      </c>
      <c r="P34" s="178">
        <v>5.0999999999999996</v>
      </c>
      <c r="Q34" s="178">
        <v>4.7</v>
      </c>
      <c r="R34" s="178">
        <v>4.7</v>
      </c>
      <c r="S34" s="178">
        <v>4.7</v>
      </c>
      <c r="T34" s="178">
        <v>4.7</v>
      </c>
      <c r="U34" s="178">
        <v>4.7</v>
      </c>
      <c r="V34" s="178">
        <v>4.7</v>
      </c>
      <c r="W34" s="178">
        <v>4.7</v>
      </c>
      <c r="X34" s="178">
        <v>4.7</v>
      </c>
      <c r="Y34" s="178">
        <v>4.7</v>
      </c>
      <c r="Z34" s="178">
        <v>4.7</v>
      </c>
      <c r="AA34" s="178">
        <v>4.7</v>
      </c>
      <c r="AB34" s="178">
        <v>4.7</v>
      </c>
      <c r="AC34" s="178">
        <v>4.7</v>
      </c>
      <c r="AD34" s="178">
        <v>4.7</v>
      </c>
      <c r="AE34" s="178">
        <v>4.7</v>
      </c>
      <c r="AF34" s="178">
        <v>4.7</v>
      </c>
      <c r="AG34" s="179">
        <v>22</v>
      </c>
      <c r="AH34" s="180">
        <f t="shared" si="8"/>
        <v>8.1999999999999993</v>
      </c>
      <c r="AI34" s="11">
        <f t="shared" si="9"/>
        <v>4.4000000000000004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25">
      <c r="A35" s="89" t="s">
        <v>232</v>
      </c>
      <c r="B35" s="102">
        <v>9.1</v>
      </c>
      <c r="C35" s="102">
        <v>9.1</v>
      </c>
      <c r="D35" s="102">
        <v>9.1</v>
      </c>
      <c r="E35" s="102">
        <v>11</v>
      </c>
      <c r="F35" s="102">
        <v>11</v>
      </c>
      <c r="G35" s="102">
        <v>11</v>
      </c>
      <c r="H35" s="102">
        <v>11</v>
      </c>
      <c r="I35" s="102">
        <v>11</v>
      </c>
      <c r="J35" s="102">
        <v>11</v>
      </c>
      <c r="K35" s="102">
        <v>11</v>
      </c>
      <c r="L35" s="102">
        <v>11</v>
      </c>
      <c r="M35" s="102">
        <v>11</v>
      </c>
      <c r="N35" s="102">
        <v>11</v>
      </c>
      <c r="O35" s="102">
        <v>11</v>
      </c>
      <c r="P35" s="102">
        <v>11</v>
      </c>
      <c r="Q35" s="102">
        <v>9</v>
      </c>
      <c r="R35" s="102">
        <v>9</v>
      </c>
      <c r="S35" s="102">
        <v>9</v>
      </c>
      <c r="T35" s="102">
        <v>9</v>
      </c>
      <c r="U35" s="102">
        <v>9</v>
      </c>
      <c r="V35" s="102">
        <v>9</v>
      </c>
      <c r="W35" s="102">
        <v>9</v>
      </c>
      <c r="X35" s="102">
        <v>9</v>
      </c>
      <c r="Y35" s="102">
        <v>9</v>
      </c>
      <c r="Z35" s="102">
        <v>9</v>
      </c>
      <c r="AA35" s="102">
        <v>9</v>
      </c>
      <c r="AB35" s="102">
        <v>9</v>
      </c>
      <c r="AC35" s="102">
        <v>9</v>
      </c>
      <c r="AD35" s="102">
        <v>9</v>
      </c>
      <c r="AE35" s="102">
        <v>9</v>
      </c>
      <c r="AF35" s="102">
        <v>9</v>
      </c>
      <c r="AG35" s="130">
        <v>20</v>
      </c>
      <c r="AH35" s="12">
        <f t="shared" si="8"/>
        <v>11</v>
      </c>
      <c r="AI35" s="11">
        <f t="shared" si="9"/>
        <v>9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25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25">
      <c r="A37" s="89" t="s">
        <v>230</v>
      </c>
      <c r="B37" s="102">
        <v>5.8</v>
      </c>
      <c r="C37" s="102">
        <v>5.8</v>
      </c>
      <c r="D37" s="102">
        <v>5.8</v>
      </c>
      <c r="E37" s="102">
        <v>5.8</v>
      </c>
      <c r="F37" s="102">
        <v>5.8</v>
      </c>
      <c r="G37" s="102">
        <v>5.8</v>
      </c>
      <c r="H37" s="102">
        <v>5.8</v>
      </c>
      <c r="I37" s="102">
        <v>5.8</v>
      </c>
      <c r="J37" s="102">
        <v>5.8</v>
      </c>
      <c r="K37" s="102">
        <v>5.8</v>
      </c>
      <c r="L37" s="102">
        <v>5.8</v>
      </c>
      <c r="M37" s="102">
        <v>5.8</v>
      </c>
      <c r="N37" s="102">
        <v>5.8</v>
      </c>
      <c r="O37" s="102">
        <v>5.8</v>
      </c>
      <c r="P37" s="102">
        <v>5.8</v>
      </c>
      <c r="Q37" s="102">
        <v>5.8</v>
      </c>
      <c r="R37" s="102">
        <v>5.8</v>
      </c>
      <c r="S37" s="102">
        <v>5.8</v>
      </c>
      <c r="T37" s="102">
        <v>5.8</v>
      </c>
      <c r="U37" s="102">
        <v>5.8</v>
      </c>
      <c r="V37" s="102">
        <v>5.8</v>
      </c>
      <c r="W37" s="102">
        <v>5.8</v>
      </c>
      <c r="X37" s="102">
        <v>5.8</v>
      </c>
      <c r="Y37" s="102">
        <v>5.8</v>
      </c>
      <c r="Z37" s="102">
        <v>5.8</v>
      </c>
      <c r="AA37" s="102">
        <v>5.8</v>
      </c>
      <c r="AB37" s="102">
        <v>5.8</v>
      </c>
      <c r="AC37" s="102">
        <v>5.8</v>
      </c>
      <c r="AD37" s="102">
        <v>5.8</v>
      </c>
      <c r="AE37" s="102">
        <v>5.8</v>
      </c>
      <c r="AF37" s="102">
        <v>5.8</v>
      </c>
      <c r="AG37" s="130">
        <v>18</v>
      </c>
      <c r="AH37" s="12">
        <f t="shared" si="8"/>
        <v>5.8</v>
      </c>
      <c r="AI37" s="11">
        <f t="shared" si="9"/>
        <v>5.8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25">
      <c r="A38" s="89" t="s">
        <v>229</v>
      </c>
      <c r="B38" s="102">
        <v>5.05</v>
      </c>
      <c r="C38" s="102">
        <v>5.05</v>
      </c>
      <c r="D38" s="102">
        <v>5.05</v>
      </c>
      <c r="E38" s="102">
        <v>5.05</v>
      </c>
      <c r="F38" s="102">
        <v>5.05</v>
      </c>
      <c r="G38" s="102">
        <v>5.05</v>
      </c>
      <c r="H38" s="102">
        <v>5.05</v>
      </c>
      <c r="I38" s="102">
        <v>5.05</v>
      </c>
      <c r="J38" s="102">
        <v>5.05</v>
      </c>
      <c r="K38" s="102">
        <v>5.05</v>
      </c>
      <c r="L38" s="102">
        <v>5.05</v>
      </c>
      <c r="M38" s="102">
        <v>5.05</v>
      </c>
      <c r="N38" s="102">
        <v>5.05</v>
      </c>
      <c r="O38" s="102">
        <v>5.05</v>
      </c>
      <c r="P38" s="102">
        <v>5.05</v>
      </c>
      <c r="Q38" s="102">
        <v>5.05</v>
      </c>
      <c r="R38" s="102">
        <v>5.05</v>
      </c>
      <c r="S38" s="102">
        <v>5.05</v>
      </c>
      <c r="T38" s="102">
        <v>5.05</v>
      </c>
      <c r="U38" s="102">
        <v>5.05</v>
      </c>
      <c r="V38" s="102">
        <v>5.05</v>
      </c>
      <c r="W38" s="102">
        <v>5.05</v>
      </c>
      <c r="X38" s="102">
        <v>5.05</v>
      </c>
      <c r="Y38" s="102">
        <v>5.05</v>
      </c>
      <c r="Z38" s="102">
        <v>5.05</v>
      </c>
      <c r="AA38" s="102">
        <v>5.05</v>
      </c>
      <c r="AB38" s="102">
        <v>5.05</v>
      </c>
      <c r="AC38" s="102">
        <v>5.05</v>
      </c>
      <c r="AD38" s="102">
        <v>5.05</v>
      </c>
      <c r="AE38" s="102">
        <v>5.05</v>
      </c>
      <c r="AF38" s="102">
        <v>5.05</v>
      </c>
      <c r="AG38" s="130">
        <v>14.9</v>
      </c>
      <c r="AH38" s="12">
        <f t="shared" si="8"/>
        <v>5.05</v>
      </c>
      <c r="AI38" s="11">
        <f t="shared" si="9"/>
        <v>5.05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25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25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25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25">
      <c r="A42" s="89" t="s">
        <v>225</v>
      </c>
      <c r="B42" s="102">
        <v>5.2</v>
      </c>
      <c r="C42" s="102">
        <v>5.2</v>
      </c>
      <c r="D42" s="102">
        <v>5.2</v>
      </c>
      <c r="E42" s="102">
        <v>5.2</v>
      </c>
      <c r="F42" s="102">
        <v>5.2</v>
      </c>
      <c r="G42" s="102">
        <v>5.2</v>
      </c>
      <c r="H42" s="102">
        <v>5.2</v>
      </c>
      <c r="I42" s="102">
        <v>5.2</v>
      </c>
      <c r="J42" s="102">
        <v>5.2</v>
      </c>
      <c r="K42" s="102">
        <v>5.2</v>
      </c>
      <c r="L42" s="102">
        <v>5.2</v>
      </c>
      <c r="M42" s="102">
        <v>5.2</v>
      </c>
      <c r="N42" s="102">
        <v>5.2</v>
      </c>
      <c r="O42" s="102">
        <v>5.2</v>
      </c>
      <c r="P42" s="102">
        <v>5.2</v>
      </c>
      <c r="Q42" s="102">
        <v>5.2</v>
      </c>
      <c r="R42" s="102">
        <v>5.2</v>
      </c>
      <c r="S42" s="102">
        <v>5.2</v>
      </c>
      <c r="T42" s="102">
        <v>5.2</v>
      </c>
      <c r="U42" s="102">
        <v>5.2</v>
      </c>
      <c r="V42" s="102">
        <v>5.2</v>
      </c>
      <c r="W42" s="102">
        <v>5.2</v>
      </c>
      <c r="X42" s="102">
        <v>5.2</v>
      </c>
      <c r="Y42" s="102">
        <v>5.2</v>
      </c>
      <c r="Z42" s="102">
        <v>5.2</v>
      </c>
      <c r="AA42" s="102">
        <v>5.2</v>
      </c>
      <c r="AB42" s="102">
        <v>5.2</v>
      </c>
      <c r="AC42" s="102">
        <v>5.2</v>
      </c>
      <c r="AD42" s="102">
        <v>5.2</v>
      </c>
      <c r="AE42" s="102">
        <v>5.2</v>
      </c>
      <c r="AF42" s="102">
        <v>5.2</v>
      </c>
      <c r="AG42" s="130">
        <v>13.6</v>
      </c>
      <c r="AH42" s="12">
        <f t="shared" si="8"/>
        <v>5.2</v>
      </c>
      <c r="AI42" s="11">
        <f t="shared" si="9"/>
        <v>5.2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25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25">
      <c r="A44" s="89" t="s">
        <v>223</v>
      </c>
      <c r="B44" s="102">
        <v>3.3</v>
      </c>
      <c r="C44" s="102">
        <v>3.3</v>
      </c>
      <c r="D44" s="102">
        <v>3.3</v>
      </c>
      <c r="E44" s="102">
        <v>3.3</v>
      </c>
      <c r="F44" s="102">
        <v>3.3</v>
      </c>
      <c r="G44" s="102">
        <v>3.3</v>
      </c>
      <c r="H44" s="102">
        <v>3.3</v>
      </c>
      <c r="I44" s="102">
        <v>3.3</v>
      </c>
      <c r="J44" s="102">
        <v>3.3</v>
      </c>
      <c r="K44" s="102">
        <v>3.3</v>
      </c>
      <c r="L44" s="102">
        <v>3.3</v>
      </c>
      <c r="M44" s="102">
        <v>3.3</v>
      </c>
      <c r="N44" s="102">
        <v>3.3</v>
      </c>
      <c r="O44" s="102">
        <v>3.3</v>
      </c>
      <c r="P44" s="102">
        <v>3.3</v>
      </c>
      <c r="Q44" s="102">
        <v>3.3</v>
      </c>
      <c r="R44" s="102">
        <v>3.3</v>
      </c>
      <c r="S44" s="102">
        <v>3.3</v>
      </c>
      <c r="T44" s="102">
        <v>3.3</v>
      </c>
      <c r="U44" s="102">
        <v>3.3</v>
      </c>
      <c r="V44" s="102">
        <v>3.3</v>
      </c>
      <c r="W44" s="102">
        <v>3.3</v>
      </c>
      <c r="X44" s="102">
        <v>3.3</v>
      </c>
      <c r="Y44" s="102">
        <v>3.3</v>
      </c>
      <c r="Z44" s="102">
        <v>3.3</v>
      </c>
      <c r="AA44" s="102">
        <v>3.3</v>
      </c>
      <c r="AB44" s="102">
        <v>3.3</v>
      </c>
      <c r="AC44" s="102">
        <v>3.3</v>
      </c>
      <c r="AD44" s="102">
        <v>3.3</v>
      </c>
      <c r="AE44" s="102">
        <v>3.3</v>
      </c>
      <c r="AF44" s="102">
        <v>3.3</v>
      </c>
      <c r="AG44" s="130">
        <v>12</v>
      </c>
      <c r="AH44" s="12">
        <f t="shared" si="8"/>
        <v>3.3</v>
      </c>
      <c r="AI44" s="11">
        <f t="shared" si="9"/>
        <v>3.3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25">
      <c r="A45" s="89" t="s">
        <v>222</v>
      </c>
      <c r="B45" s="102">
        <v>3.5</v>
      </c>
      <c r="C45" s="102">
        <v>3.5</v>
      </c>
      <c r="D45" s="102">
        <v>3.5</v>
      </c>
      <c r="E45" s="102">
        <v>3.5</v>
      </c>
      <c r="F45" s="102">
        <v>3.5</v>
      </c>
      <c r="G45" s="102">
        <v>3.5</v>
      </c>
      <c r="H45" s="102">
        <v>3.5</v>
      </c>
      <c r="I45" s="102">
        <v>3.5</v>
      </c>
      <c r="J45" s="102">
        <v>3.5</v>
      </c>
      <c r="K45" s="102">
        <v>3.5</v>
      </c>
      <c r="L45" s="102">
        <v>3.5</v>
      </c>
      <c r="M45" s="102">
        <v>3.5</v>
      </c>
      <c r="N45" s="102">
        <v>3.5</v>
      </c>
      <c r="O45" s="102">
        <v>3.5</v>
      </c>
      <c r="P45" s="102">
        <v>3.5</v>
      </c>
      <c r="Q45" s="102">
        <v>3.5</v>
      </c>
      <c r="R45" s="102">
        <v>3.5</v>
      </c>
      <c r="S45" s="102">
        <v>3.5</v>
      </c>
      <c r="T45" s="102">
        <v>3.5</v>
      </c>
      <c r="U45" s="102">
        <v>3.5</v>
      </c>
      <c r="V45" s="102">
        <v>3.5</v>
      </c>
      <c r="W45" s="102">
        <v>3.5</v>
      </c>
      <c r="X45" s="102">
        <v>3.5</v>
      </c>
      <c r="Y45" s="102">
        <v>3.5</v>
      </c>
      <c r="Z45" s="102">
        <v>3.5</v>
      </c>
      <c r="AA45" s="102">
        <v>3.5</v>
      </c>
      <c r="AB45" s="102">
        <v>3.5</v>
      </c>
      <c r="AC45" s="102">
        <v>3.5</v>
      </c>
      <c r="AD45" s="102">
        <v>3.5</v>
      </c>
      <c r="AE45" s="102">
        <v>3.5</v>
      </c>
      <c r="AF45" s="102">
        <v>3.5</v>
      </c>
      <c r="AG45" s="130">
        <v>12</v>
      </c>
      <c r="AH45" s="12">
        <f t="shared" si="8"/>
        <v>3.5</v>
      </c>
      <c r="AI45" s="11">
        <f t="shared" si="9"/>
        <v>3.5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25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25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25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25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25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25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25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25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25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25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25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.75" thickBot="1" x14ac:dyDescent="0.3">
      <c r="A57" s="124" t="s">
        <v>210</v>
      </c>
      <c r="B57" s="122">
        <v>23.3</v>
      </c>
      <c r="C57" s="122">
        <v>23.3</v>
      </c>
      <c r="D57" s="122">
        <v>23.3</v>
      </c>
      <c r="E57" s="122">
        <v>26.6</v>
      </c>
      <c r="F57" s="122">
        <v>26.6</v>
      </c>
      <c r="G57" s="122">
        <v>25.8</v>
      </c>
      <c r="H57" s="122">
        <v>26.4</v>
      </c>
      <c r="I57" s="122">
        <v>26.4</v>
      </c>
      <c r="J57" s="122">
        <v>23.2</v>
      </c>
      <c r="K57" s="123">
        <v>20.399999999999999</v>
      </c>
      <c r="L57" s="123">
        <v>20.399999999999999</v>
      </c>
      <c r="M57" s="123">
        <f>25.2</f>
        <v>25.2</v>
      </c>
      <c r="N57" s="123">
        <f>15.2+10.5</f>
        <v>25.7</v>
      </c>
      <c r="O57" s="123">
        <f>14.3+11.3</f>
        <v>25.6</v>
      </c>
      <c r="P57" s="123">
        <v>23.5</v>
      </c>
      <c r="Q57" s="123">
        <f>9.4+13.1</f>
        <v>22.5</v>
      </c>
      <c r="R57" s="123">
        <f>14.7+11.5</f>
        <v>26.2</v>
      </c>
      <c r="S57" s="123">
        <v>29</v>
      </c>
      <c r="T57" s="123">
        <v>31</v>
      </c>
      <c r="U57" s="123">
        <v>24.2</v>
      </c>
      <c r="V57" s="123">
        <v>24.1</v>
      </c>
      <c r="W57" s="123">
        <v>23</v>
      </c>
      <c r="X57" s="123">
        <v>22.7</v>
      </c>
      <c r="Y57" s="123">
        <v>22.7</v>
      </c>
      <c r="Z57" s="122">
        <v>17.2</v>
      </c>
      <c r="AA57" s="122">
        <v>17.899999999999999</v>
      </c>
      <c r="AB57" s="122">
        <v>18</v>
      </c>
      <c r="AC57" s="122">
        <v>18</v>
      </c>
      <c r="AD57" s="122">
        <v>20</v>
      </c>
      <c r="AE57" s="122">
        <v>20</v>
      </c>
      <c r="AF57" s="122">
        <v>20</v>
      </c>
      <c r="AG57" s="86">
        <v>240</v>
      </c>
      <c r="AH57" s="12">
        <f t="shared" si="8"/>
        <v>31</v>
      </c>
      <c r="AI57" s="11">
        <f t="shared" si="9"/>
        <v>17.2</v>
      </c>
      <c r="AK57" s="19"/>
    </row>
    <row r="58" spans="1:88" ht="15.75" thickBot="1" x14ac:dyDescent="0.3">
      <c r="A58" s="121" t="s">
        <v>209</v>
      </c>
      <c r="B58" s="76">
        <f t="shared" ref="B58:AF58" si="22">SUM(B11:B56)</f>
        <v>486.05</v>
      </c>
      <c r="C58" s="76">
        <f t="shared" si="22"/>
        <v>486.05</v>
      </c>
      <c r="D58" s="76">
        <f t="shared" si="22"/>
        <v>486.05</v>
      </c>
      <c r="E58" s="76">
        <f t="shared" si="22"/>
        <v>518.54999999999995</v>
      </c>
      <c r="F58" s="76">
        <f t="shared" si="22"/>
        <v>518.54999999999995</v>
      </c>
      <c r="G58" s="76">
        <f t="shared" si="22"/>
        <v>518.54999999999995</v>
      </c>
      <c r="H58" s="76">
        <f t="shared" si="22"/>
        <v>515.65</v>
      </c>
      <c r="I58" s="76">
        <f t="shared" ref="I58" si="23">SUM(I11:I56)</f>
        <v>515.34999999999991</v>
      </c>
      <c r="J58" s="76">
        <f t="shared" si="22"/>
        <v>510.95</v>
      </c>
      <c r="K58" s="76">
        <f t="shared" si="22"/>
        <v>509.15000000000003</v>
      </c>
      <c r="L58" s="76">
        <f t="shared" si="22"/>
        <v>509.15000000000003</v>
      </c>
      <c r="M58" s="76">
        <f t="shared" si="22"/>
        <v>509.15000000000003</v>
      </c>
      <c r="N58" s="76">
        <f t="shared" si="22"/>
        <v>509.15000000000003</v>
      </c>
      <c r="O58" s="76">
        <f t="shared" si="22"/>
        <v>509.85</v>
      </c>
      <c r="P58" s="76">
        <f t="shared" si="22"/>
        <v>508.45</v>
      </c>
      <c r="Q58" s="76">
        <f t="shared" ref="Q58" si="24">SUM(Q11:Q56)</f>
        <v>498.25000000000006</v>
      </c>
      <c r="R58" s="76">
        <f t="shared" si="22"/>
        <v>499.15000000000003</v>
      </c>
      <c r="S58" s="76">
        <f t="shared" ref="S58:T58" si="25">SUM(S11:S56)</f>
        <v>499.15000000000003</v>
      </c>
      <c r="T58" s="76">
        <f t="shared" si="25"/>
        <v>499.15000000000003</v>
      </c>
      <c r="U58" s="76">
        <f t="shared" ref="U58:V58" si="26">SUM(U11:U56)</f>
        <v>499.15000000000003</v>
      </c>
      <c r="V58" s="76">
        <f t="shared" si="26"/>
        <v>499.15000000000003</v>
      </c>
      <c r="W58" s="76">
        <f t="shared" ref="W58:X58" si="27">SUM(W11:W56)</f>
        <v>499.15000000000003</v>
      </c>
      <c r="X58" s="76">
        <f t="shared" si="27"/>
        <v>499.15000000000003</v>
      </c>
      <c r="Y58" s="76">
        <f t="shared" ref="Y58:Z58" si="28">SUM(Y11:Y56)</f>
        <v>499.15000000000003</v>
      </c>
      <c r="Z58" s="76">
        <f t="shared" si="28"/>
        <v>499.15000000000003</v>
      </c>
      <c r="AA58" s="76">
        <f t="shared" ref="AA58" si="29">SUM(AA11:AA56)</f>
        <v>499.15000000000003</v>
      </c>
      <c r="AB58" s="76">
        <f t="shared" si="22"/>
        <v>497.95</v>
      </c>
      <c r="AC58" s="76">
        <f t="shared" si="22"/>
        <v>497.95</v>
      </c>
      <c r="AD58" s="76">
        <f t="shared" si="22"/>
        <v>497.95</v>
      </c>
      <c r="AE58" s="76">
        <f t="shared" si="22"/>
        <v>497.95</v>
      </c>
      <c r="AF58" s="76">
        <f t="shared" si="22"/>
        <v>497.95</v>
      </c>
      <c r="AG58" s="93">
        <f>SUM(AG14:AG56)</f>
        <v>1042.4000000000001</v>
      </c>
      <c r="AH58" s="12">
        <f t="shared" si="8"/>
        <v>518.54999999999995</v>
      </c>
      <c r="AI58" s="11">
        <f t="shared" si="9"/>
        <v>486.05</v>
      </c>
      <c r="AK58" s="19"/>
    </row>
    <row r="59" spans="1:88" x14ac:dyDescent="0.25">
      <c r="A59" s="120" t="s">
        <v>208</v>
      </c>
      <c r="B59" s="102">
        <v>200</v>
      </c>
      <c r="C59" s="102">
        <v>160</v>
      </c>
      <c r="D59" s="102">
        <v>142</v>
      </c>
      <c r="E59" s="102">
        <v>141</v>
      </c>
      <c r="F59" s="102">
        <v>125</v>
      </c>
      <c r="G59" s="102">
        <v>125</v>
      </c>
      <c r="H59" s="102">
        <v>126</v>
      </c>
      <c r="I59" s="102">
        <v>126</v>
      </c>
      <c r="J59" s="102">
        <v>15</v>
      </c>
      <c r="K59" s="102">
        <v>0</v>
      </c>
      <c r="L59" s="102">
        <v>0</v>
      </c>
      <c r="M59" s="102">
        <v>0</v>
      </c>
      <c r="N59" s="119">
        <v>0</v>
      </c>
      <c r="O59" s="119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19">
        <v>0</v>
      </c>
      <c r="X59" s="119">
        <v>30.1</v>
      </c>
      <c r="Y59" s="119">
        <v>90.7</v>
      </c>
      <c r="Z59" s="102">
        <v>404.5</v>
      </c>
      <c r="AA59" s="102">
        <v>409.9</v>
      </c>
      <c r="AB59" s="102">
        <v>403</v>
      </c>
      <c r="AC59" s="102">
        <v>199.1</v>
      </c>
      <c r="AD59" s="102">
        <v>350</v>
      </c>
      <c r="AE59" s="102">
        <v>152</v>
      </c>
      <c r="AF59" s="102">
        <v>150</v>
      </c>
      <c r="AG59" s="88">
        <v>456</v>
      </c>
      <c r="AH59" s="12">
        <f t="shared" si="8"/>
        <v>409.9</v>
      </c>
      <c r="AI59" s="11">
        <f t="shared" si="9"/>
        <v>0</v>
      </c>
      <c r="AK59" s="19"/>
    </row>
    <row r="60" spans="1:88" x14ac:dyDescent="0.25">
      <c r="A60" s="118" t="s">
        <v>207</v>
      </c>
      <c r="B60" s="70">
        <v>18.899999999999999</v>
      </c>
      <c r="C60" s="70">
        <v>18.899999999999999</v>
      </c>
      <c r="D60" s="70">
        <v>18.899999999999999</v>
      </c>
      <c r="E60" s="70">
        <v>19.100000000000001</v>
      </c>
      <c r="F60" s="70">
        <v>19.100000000000001</v>
      </c>
      <c r="G60" s="70">
        <v>19.100000000000001</v>
      </c>
      <c r="H60" s="70">
        <v>19.3</v>
      </c>
      <c r="I60" s="70">
        <v>19.3</v>
      </c>
      <c r="J60" s="70">
        <v>19.3</v>
      </c>
      <c r="K60" s="70">
        <v>19.399999999999999</v>
      </c>
      <c r="L60" s="70">
        <v>19.399999999999999</v>
      </c>
      <c r="M60" s="70">
        <v>19.399999999999999</v>
      </c>
      <c r="N60" s="70">
        <v>19.3</v>
      </c>
      <c r="O60" s="70">
        <v>18.7</v>
      </c>
      <c r="P60" s="70">
        <v>18.7</v>
      </c>
      <c r="Q60" s="70">
        <v>19.600000000000001</v>
      </c>
      <c r="R60" s="70">
        <v>19.600000000000001</v>
      </c>
      <c r="S60" s="70">
        <v>19.600000000000001</v>
      </c>
      <c r="T60" s="70">
        <v>19.600000000000001</v>
      </c>
      <c r="U60" s="70">
        <v>19.600000000000001</v>
      </c>
      <c r="V60" s="70">
        <v>19.600000000000001</v>
      </c>
      <c r="W60" s="70">
        <v>19.600000000000001</v>
      </c>
      <c r="X60" s="70">
        <v>19.600000000000001</v>
      </c>
      <c r="Y60" s="70">
        <v>19.600000000000001</v>
      </c>
      <c r="Z60" s="70">
        <v>19.600000000000001</v>
      </c>
      <c r="AA60" s="70">
        <v>19.600000000000001</v>
      </c>
      <c r="AB60" s="70">
        <v>19.100000000000001</v>
      </c>
      <c r="AC60" s="70">
        <v>18.2</v>
      </c>
      <c r="AD60" s="70">
        <v>18.5</v>
      </c>
      <c r="AE60" s="70">
        <v>18.5</v>
      </c>
      <c r="AF60" s="70">
        <v>19</v>
      </c>
      <c r="AG60" s="86">
        <v>60</v>
      </c>
      <c r="AH60" s="12">
        <f t="shared" si="8"/>
        <v>19.600000000000001</v>
      </c>
      <c r="AI60" s="11">
        <f t="shared" si="9"/>
        <v>18.2</v>
      </c>
      <c r="AK60" s="19"/>
    </row>
    <row r="61" spans="1:88" ht="15.75" thickBot="1" x14ac:dyDescent="0.3">
      <c r="A61" s="117" t="s">
        <v>206</v>
      </c>
      <c r="B61" s="110">
        <v>22</v>
      </c>
      <c r="C61" s="110">
        <v>22</v>
      </c>
      <c r="D61" s="110">
        <v>22</v>
      </c>
      <c r="E61" s="110">
        <v>22.5</v>
      </c>
      <c r="F61" s="110">
        <v>22.5</v>
      </c>
      <c r="G61" s="110">
        <v>22.5</v>
      </c>
      <c r="H61" s="110">
        <v>22.5</v>
      </c>
      <c r="I61" s="110">
        <v>22.5</v>
      </c>
      <c r="J61" s="110">
        <v>22.5</v>
      </c>
      <c r="K61" s="110">
        <v>19.3</v>
      </c>
      <c r="L61" s="110">
        <v>19.3</v>
      </c>
      <c r="M61" s="110">
        <v>19.3</v>
      </c>
      <c r="N61" s="110">
        <v>19.3</v>
      </c>
      <c r="O61" s="110">
        <v>19.3</v>
      </c>
      <c r="P61" s="110">
        <v>19.3</v>
      </c>
      <c r="Q61" s="110">
        <v>15.3</v>
      </c>
      <c r="R61" s="110">
        <v>15.4</v>
      </c>
      <c r="S61" s="110">
        <v>15.4</v>
      </c>
      <c r="T61" s="110">
        <v>15.4</v>
      </c>
      <c r="U61" s="110">
        <v>15.4</v>
      </c>
      <c r="V61" s="110">
        <v>15.4</v>
      </c>
      <c r="W61" s="110">
        <v>15.4</v>
      </c>
      <c r="X61" s="110">
        <v>15.4</v>
      </c>
      <c r="Y61" s="110">
        <v>15.4</v>
      </c>
      <c r="Z61" s="110">
        <v>15.4</v>
      </c>
      <c r="AA61" s="110">
        <v>15.4</v>
      </c>
      <c r="AB61" s="110">
        <v>22.4</v>
      </c>
      <c r="AC61" s="110">
        <v>19.3</v>
      </c>
      <c r="AD61" s="110">
        <v>21.7</v>
      </c>
      <c r="AE61" s="110">
        <v>21.7</v>
      </c>
      <c r="AF61" s="110">
        <v>21</v>
      </c>
      <c r="AG61" s="109">
        <v>22.1</v>
      </c>
      <c r="AH61" s="12">
        <f t="shared" si="8"/>
        <v>22.5</v>
      </c>
      <c r="AI61" s="11">
        <f t="shared" si="9"/>
        <v>15.3</v>
      </c>
      <c r="AK61" s="19"/>
    </row>
    <row r="62" spans="1:88" ht="15.75" thickBot="1" x14ac:dyDescent="0.3">
      <c r="A62" s="116" t="s">
        <v>205</v>
      </c>
      <c r="B62" s="76">
        <f t="shared" ref="B62:AG62" si="30">SUM(B59:B61)</f>
        <v>240.9</v>
      </c>
      <c r="C62" s="76">
        <f t="shared" si="30"/>
        <v>200.9</v>
      </c>
      <c r="D62" s="76">
        <f t="shared" si="30"/>
        <v>182.9</v>
      </c>
      <c r="E62" s="76">
        <f t="shared" si="30"/>
        <v>182.6</v>
      </c>
      <c r="F62" s="76">
        <f t="shared" si="30"/>
        <v>166.6</v>
      </c>
      <c r="G62" s="76">
        <f t="shared" si="30"/>
        <v>166.6</v>
      </c>
      <c r="H62" s="76">
        <f t="shared" si="30"/>
        <v>167.8</v>
      </c>
      <c r="I62" s="76">
        <f t="shared" si="30"/>
        <v>167.8</v>
      </c>
      <c r="J62" s="76">
        <f t="shared" si="30"/>
        <v>56.8</v>
      </c>
      <c r="K62" s="76">
        <f t="shared" si="30"/>
        <v>38.700000000000003</v>
      </c>
      <c r="L62" s="76">
        <f t="shared" si="30"/>
        <v>38.700000000000003</v>
      </c>
      <c r="M62" s="76">
        <f t="shared" si="30"/>
        <v>38.700000000000003</v>
      </c>
      <c r="N62" s="76">
        <f t="shared" si="30"/>
        <v>38.6</v>
      </c>
      <c r="O62" s="76">
        <f t="shared" si="30"/>
        <v>38</v>
      </c>
      <c r="P62" s="76">
        <f t="shared" si="30"/>
        <v>38</v>
      </c>
      <c r="Q62" s="76">
        <f t="shared" ref="Q62" si="31">SUM(Q59:Q61)</f>
        <v>34.900000000000006</v>
      </c>
      <c r="R62" s="76">
        <f t="shared" si="30"/>
        <v>35</v>
      </c>
      <c r="S62" s="76">
        <f t="shared" ref="S62:T62" si="32">SUM(S59:S61)</f>
        <v>35</v>
      </c>
      <c r="T62" s="76">
        <f t="shared" si="32"/>
        <v>35</v>
      </c>
      <c r="U62" s="76">
        <f t="shared" ref="U62:V62" si="33">SUM(U59:U61)</f>
        <v>35</v>
      </c>
      <c r="V62" s="76">
        <f t="shared" si="33"/>
        <v>35</v>
      </c>
      <c r="W62" s="76">
        <f t="shared" ref="W62:X62" si="34">SUM(W59:W61)</f>
        <v>35</v>
      </c>
      <c r="X62" s="76">
        <f t="shared" si="34"/>
        <v>65.100000000000009</v>
      </c>
      <c r="Y62" s="76">
        <f t="shared" ref="Y62:Z62" si="35">SUM(Y59:Y61)</f>
        <v>125.70000000000002</v>
      </c>
      <c r="Z62" s="76">
        <f t="shared" si="35"/>
        <v>439.5</v>
      </c>
      <c r="AA62" s="76">
        <f t="shared" ref="AA62" si="36">SUM(AA59:AA61)</f>
        <v>444.9</v>
      </c>
      <c r="AB62" s="76">
        <f t="shared" si="30"/>
        <v>444.5</v>
      </c>
      <c r="AC62" s="76">
        <f t="shared" si="30"/>
        <v>236.6</v>
      </c>
      <c r="AD62" s="76">
        <f t="shared" si="30"/>
        <v>390.2</v>
      </c>
      <c r="AE62" s="76">
        <f t="shared" si="30"/>
        <v>192.2</v>
      </c>
      <c r="AF62" s="76">
        <f t="shared" si="30"/>
        <v>190</v>
      </c>
      <c r="AG62" s="93">
        <f t="shared" si="30"/>
        <v>538.1</v>
      </c>
      <c r="AH62" s="12">
        <f t="shared" si="8"/>
        <v>444.9</v>
      </c>
      <c r="AI62" s="11">
        <f t="shared" si="9"/>
        <v>34.900000000000006</v>
      </c>
      <c r="AK62" s="19"/>
    </row>
    <row r="63" spans="1:88" x14ac:dyDescent="0.25">
      <c r="A63" s="89" t="s">
        <v>204</v>
      </c>
      <c r="B63" s="102">
        <v>61</v>
      </c>
      <c r="C63" s="102">
        <v>61</v>
      </c>
      <c r="D63" s="102">
        <v>29.8</v>
      </c>
      <c r="E63" s="102">
        <v>30.2</v>
      </c>
      <c r="F63" s="102">
        <v>30.2</v>
      </c>
      <c r="G63" s="102">
        <v>30.2</v>
      </c>
      <c r="H63" s="102">
        <v>30.2</v>
      </c>
      <c r="I63" s="102">
        <v>60.999000000000002</v>
      </c>
      <c r="J63" s="102">
        <v>61</v>
      </c>
      <c r="K63" s="102">
        <v>30.4</v>
      </c>
      <c r="L63" s="102">
        <v>30.4</v>
      </c>
      <c r="M63" s="102">
        <v>31.4</v>
      </c>
      <c r="N63" s="102">
        <v>30.4</v>
      </c>
      <c r="O63" s="102">
        <v>30.1</v>
      </c>
      <c r="P63" s="102">
        <v>30.3</v>
      </c>
      <c r="Q63" s="102">
        <v>0</v>
      </c>
      <c r="R63" s="102">
        <v>0</v>
      </c>
      <c r="S63" s="102">
        <v>0</v>
      </c>
      <c r="T63" s="102">
        <v>67.8</v>
      </c>
      <c r="U63" s="102">
        <v>57.9</v>
      </c>
      <c r="V63" s="102">
        <v>60.5</v>
      </c>
      <c r="W63" s="102">
        <v>60.5</v>
      </c>
      <c r="X63" s="102">
        <v>60.5</v>
      </c>
      <c r="Y63" s="102">
        <v>92.7</v>
      </c>
      <c r="Z63" s="102">
        <v>92.7</v>
      </c>
      <c r="AA63" s="102">
        <v>145.4</v>
      </c>
      <c r="AB63" s="102">
        <v>145.4</v>
      </c>
      <c r="AC63" s="102">
        <v>144.6</v>
      </c>
      <c r="AD63" s="102">
        <v>144.6</v>
      </c>
      <c r="AE63" s="102">
        <v>144.6</v>
      </c>
      <c r="AF63" s="102">
        <v>135</v>
      </c>
      <c r="AG63" s="88">
        <v>144</v>
      </c>
      <c r="AH63" s="12">
        <f t="shared" si="8"/>
        <v>145.4</v>
      </c>
      <c r="AI63" s="11">
        <f t="shared" si="9"/>
        <v>0</v>
      </c>
      <c r="AK63" s="19"/>
    </row>
    <row r="64" spans="1:88" x14ac:dyDescent="0.25">
      <c r="A64" s="87" t="s">
        <v>203</v>
      </c>
      <c r="B64" s="70">
        <v>32.6</v>
      </c>
      <c r="C64" s="70">
        <v>32.6</v>
      </c>
      <c r="D64" s="70">
        <v>32.6</v>
      </c>
      <c r="E64" s="70">
        <v>33.799999999999997</v>
      </c>
      <c r="F64" s="70">
        <v>33.799999999999997</v>
      </c>
      <c r="G64" s="70">
        <v>33.799999999999997</v>
      </c>
      <c r="H64" s="70">
        <v>33.799999999999997</v>
      </c>
      <c r="I64" s="70">
        <v>35.5</v>
      </c>
      <c r="J64" s="70">
        <v>22.9</v>
      </c>
      <c r="K64" s="70">
        <v>22.2</v>
      </c>
      <c r="L64" s="70">
        <v>22.2</v>
      </c>
      <c r="M64" s="70">
        <v>31.3</v>
      </c>
      <c r="N64" s="70">
        <v>25.2</v>
      </c>
      <c r="O64" s="70">
        <v>25.1</v>
      </c>
      <c r="P64" s="70">
        <v>24.7</v>
      </c>
      <c r="Q64" s="70">
        <v>24.9</v>
      </c>
      <c r="R64" s="70">
        <v>25.5</v>
      </c>
      <c r="S64" s="70">
        <v>25.5</v>
      </c>
      <c r="T64" s="70">
        <v>34.6</v>
      </c>
      <c r="U64" s="70">
        <v>45</v>
      </c>
      <c r="V64" s="70">
        <v>65.400000000000006</v>
      </c>
      <c r="W64" s="70">
        <v>65.400000000000006</v>
      </c>
      <c r="X64" s="70">
        <v>49.3</v>
      </c>
      <c r="Y64" s="70">
        <v>48.8</v>
      </c>
      <c r="Z64" s="102">
        <v>50.2</v>
      </c>
      <c r="AA64" s="102">
        <v>72</v>
      </c>
      <c r="AB64" s="102">
        <v>72</v>
      </c>
      <c r="AC64" s="102">
        <v>69.900000000000006</v>
      </c>
      <c r="AD64" s="102">
        <v>70.599999999999994</v>
      </c>
      <c r="AE64" s="102">
        <v>69</v>
      </c>
      <c r="AF64" s="102">
        <v>56</v>
      </c>
      <c r="AG64" s="86">
        <v>70</v>
      </c>
      <c r="AH64" s="12">
        <f t="shared" si="8"/>
        <v>72</v>
      </c>
      <c r="AI64" s="11">
        <f t="shared" si="9"/>
        <v>22.2</v>
      </c>
      <c r="AK64" s="19"/>
    </row>
    <row r="65" spans="1:75" x14ac:dyDescent="0.25">
      <c r="A65" s="87" t="s">
        <v>202</v>
      </c>
      <c r="B65" s="70">
        <v>40</v>
      </c>
      <c r="C65" s="70">
        <v>38</v>
      </c>
      <c r="D65" s="70">
        <v>32</v>
      </c>
      <c r="E65" s="70">
        <v>32.5</v>
      </c>
      <c r="F65" s="70">
        <v>32.5</v>
      </c>
      <c r="G65" s="70">
        <v>16</v>
      </c>
      <c r="H65" s="70">
        <v>16</v>
      </c>
      <c r="I65" s="70">
        <v>32.200000000000003</v>
      </c>
      <c r="J65" s="70">
        <v>35.299999999999997</v>
      </c>
      <c r="K65" s="70">
        <v>35.299999999999997</v>
      </c>
      <c r="L65" s="70">
        <v>35.299999999999997</v>
      </c>
      <c r="M65" s="70">
        <v>22.9</v>
      </c>
      <c r="N65" s="70">
        <v>23</v>
      </c>
      <c r="O65" s="70">
        <v>15.5</v>
      </c>
      <c r="P65" s="70">
        <v>0</v>
      </c>
      <c r="Q65" s="70">
        <v>0</v>
      </c>
      <c r="R65" s="70">
        <v>0</v>
      </c>
      <c r="S65" s="70">
        <v>0</v>
      </c>
      <c r="T65" s="70">
        <v>0</v>
      </c>
      <c r="U65" s="70">
        <v>0</v>
      </c>
      <c r="V65" s="70">
        <v>0</v>
      </c>
      <c r="W65" s="70">
        <v>0</v>
      </c>
      <c r="X65" s="70">
        <v>0</v>
      </c>
      <c r="Y65" s="70">
        <v>54.4</v>
      </c>
      <c r="Z65" s="102">
        <v>64.8</v>
      </c>
      <c r="AA65" s="102">
        <v>68.599999999999994</v>
      </c>
      <c r="AB65" s="102">
        <v>68.599999999999994</v>
      </c>
      <c r="AC65" s="102">
        <v>68.099999999999994</v>
      </c>
      <c r="AD65" s="102">
        <v>68.2</v>
      </c>
      <c r="AE65" s="102">
        <v>49</v>
      </c>
      <c r="AF65" s="102">
        <v>49</v>
      </c>
      <c r="AG65" s="86">
        <v>69</v>
      </c>
      <c r="AH65" s="12">
        <f t="shared" si="8"/>
        <v>68.599999999999994</v>
      </c>
      <c r="AI65" s="11">
        <f t="shared" si="9"/>
        <v>0</v>
      </c>
      <c r="AK65" s="19"/>
    </row>
    <row r="66" spans="1:75" x14ac:dyDescent="0.25">
      <c r="A66" s="87" t="s">
        <v>201</v>
      </c>
      <c r="B66" s="70">
        <v>56.4</v>
      </c>
      <c r="C66" s="70">
        <v>60</v>
      </c>
      <c r="D66" s="70">
        <v>60</v>
      </c>
      <c r="E66" s="70">
        <v>60.7</v>
      </c>
      <c r="F66" s="70">
        <v>60.7</v>
      </c>
      <c r="G66" s="70">
        <v>60.7</v>
      </c>
      <c r="H66" s="70">
        <v>60.7</v>
      </c>
      <c r="I66" s="70">
        <v>60</v>
      </c>
      <c r="J66" s="70">
        <v>60.4</v>
      </c>
      <c r="K66" s="122">
        <v>60.7</v>
      </c>
      <c r="L66" s="122">
        <v>60.7</v>
      </c>
      <c r="M66" s="70">
        <v>60.7</v>
      </c>
      <c r="N66" s="70">
        <v>60.4</v>
      </c>
      <c r="O66" s="70">
        <v>60.4</v>
      </c>
      <c r="P66" s="70">
        <v>60.4</v>
      </c>
      <c r="Q66" s="70">
        <v>60.2</v>
      </c>
      <c r="R66" s="70">
        <v>0</v>
      </c>
      <c r="S66" s="70">
        <v>57.4</v>
      </c>
      <c r="T66" s="70">
        <v>53.4</v>
      </c>
      <c r="U66" s="70">
        <v>53.4</v>
      </c>
      <c r="V66" s="70">
        <v>53.4</v>
      </c>
      <c r="W66" s="70">
        <v>53.4</v>
      </c>
      <c r="X66" s="70">
        <v>53.4</v>
      </c>
      <c r="Y66" s="70">
        <v>53.4</v>
      </c>
      <c r="Z66" s="102">
        <v>53.4</v>
      </c>
      <c r="AA66" s="102">
        <v>50.4</v>
      </c>
      <c r="AB66" s="102">
        <v>50.4</v>
      </c>
      <c r="AC66" s="102">
        <v>54.4</v>
      </c>
      <c r="AD66" s="102">
        <v>56.4</v>
      </c>
      <c r="AE66" s="102">
        <v>56.4</v>
      </c>
      <c r="AF66" s="102">
        <v>56</v>
      </c>
      <c r="AG66" s="86">
        <v>60</v>
      </c>
      <c r="AH66" s="12">
        <f t="shared" si="8"/>
        <v>60.7</v>
      </c>
      <c r="AI66" s="11">
        <f t="shared" si="9"/>
        <v>0</v>
      </c>
      <c r="AK66" s="19"/>
    </row>
    <row r="67" spans="1:75" x14ac:dyDescent="0.25">
      <c r="A67" s="87" t="s">
        <v>200</v>
      </c>
      <c r="B67" s="102">
        <v>10.199999999999999</v>
      </c>
      <c r="C67" s="102">
        <v>10.199999999999999</v>
      </c>
      <c r="D67" s="102">
        <v>10.199999999999999</v>
      </c>
      <c r="E67" s="102">
        <v>10.199999999999999</v>
      </c>
      <c r="F67" s="102">
        <v>10.199999999999999</v>
      </c>
      <c r="G67" s="102">
        <v>10.199999999999999</v>
      </c>
      <c r="H67" s="102">
        <v>10.199999999999999</v>
      </c>
      <c r="I67" s="70">
        <v>10.5</v>
      </c>
      <c r="J67" s="70">
        <v>10.1</v>
      </c>
      <c r="K67" s="70">
        <v>0</v>
      </c>
      <c r="L67" s="70">
        <v>0</v>
      </c>
      <c r="M67" s="70">
        <v>0</v>
      </c>
      <c r="N67" s="70">
        <v>0</v>
      </c>
      <c r="O67" s="70">
        <v>0</v>
      </c>
      <c r="P67" s="70">
        <v>12</v>
      </c>
      <c r="Q67" s="70">
        <v>15</v>
      </c>
      <c r="R67" s="70">
        <v>15.2</v>
      </c>
      <c r="S67" s="70">
        <v>15.2</v>
      </c>
      <c r="T67" s="70">
        <v>10.9</v>
      </c>
      <c r="U67" s="70">
        <v>10.4</v>
      </c>
      <c r="V67" s="70">
        <v>14.7</v>
      </c>
      <c r="W67" s="70">
        <v>14.7</v>
      </c>
      <c r="X67" s="70">
        <v>14.7</v>
      </c>
      <c r="Y67" s="70">
        <v>22.3</v>
      </c>
      <c r="Z67" s="102">
        <v>22.3</v>
      </c>
      <c r="AA67" s="102">
        <v>27.3</v>
      </c>
      <c r="AB67" s="102">
        <v>27.3</v>
      </c>
      <c r="AC67" s="102">
        <v>10.199999999999999</v>
      </c>
      <c r="AD67" s="102">
        <v>10.199999999999999</v>
      </c>
      <c r="AE67" s="102">
        <v>10.199999999999999</v>
      </c>
      <c r="AF67" s="102">
        <v>0</v>
      </c>
      <c r="AG67" s="86">
        <v>30</v>
      </c>
      <c r="AH67" s="12">
        <f t="shared" si="8"/>
        <v>27.3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25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1.7</v>
      </c>
      <c r="K68" s="102">
        <v>1.9</v>
      </c>
      <c r="L68" s="102">
        <v>1.9</v>
      </c>
      <c r="M68" s="102">
        <v>1.9</v>
      </c>
      <c r="N68" s="102">
        <v>3</v>
      </c>
      <c r="O68" s="102">
        <v>4</v>
      </c>
      <c r="P68" s="102">
        <v>6.2</v>
      </c>
      <c r="Q68" s="102">
        <v>8.9</v>
      </c>
      <c r="R68" s="70">
        <v>9.5</v>
      </c>
      <c r="S68" s="70">
        <v>7.4</v>
      </c>
      <c r="T68" s="70">
        <v>7</v>
      </c>
      <c r="U68" s="70">
        <v>5.9</v>
      </c>
      <c r="V68" s="70">
        <v>1.2</v>
      </c>
      <c r="W68" s="70">
        <v>1.1000000000000001</v>
      </c>
      <c r="X68" s="70">
        <v>0.3</v>
      </c>
      <c r="Y68" s="70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9.5</v>
      </c>
      <c r="AI68" s="11">
        <f t="shared" si="9"/>
        <v>0</v>
      </c>
      <c r="AK68" s="19"/>
      <c r="AY68" s="1" t="s">
        <v>198</v>
      </c>
      <c r="AZ68" s="78">
        <f>ROUND(C81,0)</f>
        <v>37</v>
      </c>
      <c r="BA68" s="83">
        <f t="shared" ref="BA68:BD72" si="37">D81</f>
        <v>34.200000000000003</v>
      </c>
      <c r="BB68" s="83">
        <f t="shared" si="37"/>
        <v>29.6</v>
      </c>
      <c r="BC68" s="83">
        <f t="shared" si="37"/>
        <v>28.7</v>
      </c>
      <c r="BD68" s="83">
        <f t="shared" si="37"/>
        <v>29.2</v>
      </c>
      <c r="BE68" s="78">
        <f>I81</f>
        <v>29.1</v>
      </c>
      <c r="BF68" s="78">
        <f>K81</f>
        <v>59</v>
      </c>
      <c r="BG68" s="78">
        <f t="shared" ref="BG68:BP72" si="38">M81</f>
        <v>50.3</v>
      </c>
      <c r="BH68" s="78">
        <f t="shared" si="38"/>
        <v>56.8</v>
      </c>
      <c r="BI68" s="78">
        <f t="shared" si="38"/>
        <v>70</v>
      </c>
      <c r="BJ68" s="78">
        <f t="shared" si="38"/>
        <v>59</v>
      </c>
      <c r="BK68" s="78">
        <f t="shared" si="38"/>
        <v>72.3</v>
      </c>
      <c r="BL68" s="78">
        <f t="shared" si="38"/>
        <v>72.5</v>
      </c>
      <c r="BM68" s="78">
        <f t="shared" si="38"/>
        <v>69.900000000000006</v>
      </c>
      <c r="BN68" s="78">
        <f t="shared" si="38"/>
        <v>57.8</v>
      </c>
      <c r="BO68" s="78">
        <f t="shared" si="38"/>
        <v>65.5</v>
      </c>
      <c r="BP68" s="78">
        <f t="shared" si="38"/>
        <v>70.900000000000006</v>
      </c>
      <c r="BQ68" s="78">
        <f>X81</f>
        <v>62.2</v>
      </c>
      <c r="BR68" s="78">
        <f>Z81</f>
        <v>67.8</v>
      </c>
      <c r="BS68" s="83">
        <f>AB81</f>
        <v>22.1</v>
      </c>
      <c r="BT68" s="83">
        <f t="shared" ref="BT68:BV72" si="39">AD81</f>
        <v>43.7</v>
      </c>
      <c r="BU68" s="83">
        <f t="shared" si="39"/>
        <v>43.7</v>
      </c>
      <c r="BV68" s="83">
        <f t="shared" si="39"/>
        <v>49</v>
      </c>
      <c r="BW68" s="83">
        <f>B81</f>
        <v>37.299999999999997</v>
      </c>
    </row>
    <row r="69" spans="1:75" x14ac:dyDescent="0.25">
      <c r="A69" s="87" t="s">
        <v>197</v>
      </c>
      <c r="B69" s="70">
        <v>15.7</v>
      </c>
      <c r="C69" s="70">
        <v>15.7</v>
      </c>
      <c r="D69" s="70">
        <v>15.7</v>
      </c>
      <c r="E69" s="70">
        <v>15.7</v>
      </c>
      <c r="F69" s="70">
        <v>15.7</v>
      </c>
      <c r="G69" s="70">
        <v>15.7</v>
      </c>
      <c r="H69" s="70">
        <v>15.7</v>
      </c>
      <c r="I69" s="70">
        <v>15.8</v>
      </c>
      <c r="J69" s="70">
        <v>15.6</v>
      </c>
      <c r="K69" s="70">
        <v>15.5</v>
      </c>
      <c r="L69" s="70">
        <v>15.5</v>
      </c>
      <c r="M69" s="70">
        <v>15.5</v>
      </c>
      <c r="N69" s="70">
        <v>15.5</v>
      </c>
      <c r="O69" s="70">
        <v>15.5</v>
      </c>
      <c r="P69" s="70">
        <v>15.5</v>
      </c>
      <c r="Q69" s="70">
        <v>15.5</v>
      </c>
      <c r="R69" s="70">
        <v>15.5</v>
      </c>
      <c r="S69" s="70">
        <v>15.5</v>
      </c>
      <c r="T69" s="70">
        <v>15.5</v>
      </c>
      <c r="U69" s="70">
        <v>15.5</v>
      </c>
      <c r="V69" s="70">
        <v>15.5</v>
      </c>
      <c r="W69" s="70">
        <v>15.5</v>
      </c>
      <c r="X69" s="70">
        <v>15.5</v>
      </c>
      <c r="Y69" s="70">
        <v>15.5</v>
      </c>
      <c r="Z69" s="70">
        <v>15.5</v>
      </c>
      <c r="AA69" s="70">
        <v>15.5</v>
      </c>
      <c r="AB69" s="70">
        <v>15.5</v>
      </c>
      <c r="AC69" s="70">
        <v>15.7</v>
      </c>
      <c r="AD69" s="70">
        <v>15.7</v>
      </c>
      <c r="AE69" s="70">
        <v>15.7</v>
      </c>
      <c r="AF69" s="70">
        <v>15.7</v>
      </c>
      <c r="AG69" s="86">
        <v>24</v>
      </c>
      <c r="AH69" s="12">
        <f t="shared" si="8"/>
        <v>15.8</v>
      </c>
      <c r="AI69" s="11">
        <f t="shared" si="9"/>
        <v>15.5</v>
      </c>
      <c r="AK69" s="19"/>
      <c r="AY69" s="1" t="s">
        <v>196</v>
      </c>
      <c r="AZ69" s="78">
        <f>ROUND(C82,0)</f>
        <v>0</v>
      </c>
      <c r="BA69" s="83">
        <f t="shared" si="37"/>
        <v>0</v>
      </c>
      <c r="BB69" s="83">
        <f t="shared" si="37"/>
        <v>0</v>
      </c>
      <c r="BC69" s="83">
        <f t="shared" si="37"/>
        <v>0</v>
      </c>
      <c r="BD69" s="83">
        <f t="shared" si="37"/>
        <v>0</v>
      </c>
      <c r="BE69" s="78">
        <f>I82</f>
        <v>0</v>
      </c>
      <c r="BF69" s="78">
        <f>K82</f>
        <v>0</v>
      </c>
      <c r="BG69" s="78">
        <f t="shared" si="38"/>
        <v>83.6</v>
      </c>
      <c r="BH69" s="78">
        <f t="shared" si="38"/>
        <v>94.9</v>
      </c>
      <c r="BI69" s="78">
        <f t="shared" si="38"/>
        <v>84</v>
      </c>
      <c r="BJ69" s="78">
        <f t="shared" si="38"/>
        <v>78</v>
      </c>
      <c r="BK69" s="78">
        <f t="shared" si="38"/>
        <v>81.400000000000006</v>
      </c>
      <c r="BL69" s="78">
        <f t="shared" si="38"/>
        <v>75.5</v>
      </c>
      <c r="BM69" s="78">
        <f t="shared" si="38"/>
        <v>75.599999999999994</v>
      </c>
      <c r="BN69" s="78">
        <f t="shared" si="38"/>
        <v>91.5</v>
      </c>
      <c r="BO69" s="78">
        <f t="shared" si="38"/>
        <v>100.4</v>
      </c>
      <c r="BP69" s="78">
        <f t="shared" si="38"/>
        <v>102.2</v>
      </c>
      <c r="BQ69" s="78">
        <f>X82</f>
        <v>112</v>
      </c>
      <c r="BR69" s="78">
        <f>Z82</f>
        <v>0</v>
      </c>
      <c r="BS69" s="83">
        <f>AB82</f>
        <v>0</v>
      </c>
      <c r="BT69" s="83">
        <f t="shared" si="39"/>
        <v>0</v>
      </c>
      <c r="BU69" s="83">
        <f t="shared" si="39"/>
        <v>0</v>
      </c>
      <c r="BV69" s="83">
        <f t="shared" si="39"/>
        <v>0</v>
      </c>
      <c r="BW69" s="83">
        <f>B82</f>
        <v>0</v>
      </c>
    </row>
    <row r="70" spans="1:75" x14ac:dyDescent="0.25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159</v>
      </c>
      <c r="BA70" s="83">
        <f t="shared" si="37"/>
        <v>196</v>
      </c>
      <c r="BB70" s="83">
        <f t="shared" si="37"/>
        <v>199</v>
      </c>
      <c r="BC70" s="83">
        <f t="shared" si="37"/>
        <v>187</v>
      </c>
      <c r="BD70" s="83">
        <f t="shared" si="37"/>
        <v>205</v>
      </c>
      <c r="BE70" s="78">
        <f>I83</f>
        <v>219</v>
      </c>
      <c r="BF70" s="78">
        <f>K83</f>
        <v>407</v>
      </c>
      <c r="BG70" s="78">
        <f t="shared" si="38"/>
        <v>380</v>
      </c>
      <c r="BH70" s="78">
        <f t="shared" si="38"/>
        <v>400</v>
      </c>
      <c r="BI70" s="78">
        <f t="shared" si="38"/>
        <v>429</v>
      </c>
      <c r="BJ70" s="78">
        <f t="shared" si="38"/>
        <v>432</v>
      </c>
      <c r="BK70" s="78">
        <f t="shared" si="38"/>
        <v>421</v>
      </c>
      <c r="BL70" s="78">
        <f t="shared" si="38"/>
        <v>425</v>
      </c>
      <c r="BM70" s="78">
        <f t="shared" si="38"/>
        <v>430.4</v>
      </c>
      <c r="BN70" s="78">
        <f t="shared" si="38"/>
        <v>431.5</v>
      </c>
      <c r="BO70" s="78">
        <f t="shared" si="38"/>
        <v>405.5</v>
      </c>
      <c r="BP70" s="78">
        <f t="shared" si="38"/>
        <v>403.6</v>
      </c>
      <c r="BQ70" s="78">
        <f>X83</f>
        <v>342.8</v>
      </c>
      <c r="BR70" s="78">
        <f>Z83</f>
        <v>129</v>
      </c>
      <c r="BS70" s="83">
        <f>AB83</f>
        <v>45.2</v>
      </c>
      <c r="BT70" s="83">
        <f t="shared" si="39"/>
        <v>4.9000000000000004</v>
      </c>
      <c r="BU70" s="83">
        <f t="shared" si="39"/>
        <v>4.9000000000000004</v>
      </c>
      <c r="BV70" s="83">
        <f t="shared" si="39"/>
        <v>108</v>
      </c>
      <c r="BW70" s="83">
        <f>B83</f>
        <v>164</v>
      </c>
    </row>
    <row r="71" spans="1:75" s="115" customFormat="1" x14ac:dyDescent="0.25">
      <c r="A71" s="87" t="s">
        <v>193</v>
      </c>
      <c r="B71" s="70">
        <v>10.14</v>
      </c>
      <c r="C71" s="70">
        <v>10.14</v>
      </c>
      <c r="D71" s="70">
        <v>10.14</v>
      </c>
      <c r="E71" s="70">
        <v>10.14</v>
      </c>
      <c r="F71" s="70">
        <v>10.14</v>
      </c>
      <c r="G71" s="70">
        <v>10.14</v>
      </c>
      <c r="H71" s="70">
        <v>10.14</v>
      </c>
      <c r="I71" s="70">
        <v>12.6</v>
      </c>
      <c r="J71" s="70">
        <v>12.3</v>
      </c>
      <c r="K71" s="70">
        <v>12.3</v>
      </c>
      <c r="L71" s="70">
        <v>12.3</v>
      </c>
      <c r="M71" s="70">
        <v>12.3</v>
      </c>
      <c r="N71" s="70">
        <v>12.3</v>
      </c>
      <c r="O71" s="70">
        <v>12.3</v>
      </c>
      <c r="P71" s="70">
        <v>12.3</v>
      </c>
      <c r="Q71" s="70">
        <v>12.2</v>
      </c>
      <c r="R71" s="70">
        <v>12.2</v>
      </c>
      <c r="S71" s="70">
        <v>12.2</v>
      </c>
      <c r="T71" s="70">
        <v>12.2</v>
      </c>
      <c r="U71" s="70">
        <v>12.2</v>
      </c>
      <c r="V71" s="70">
        <v>12.2</v>
      </c>
      <c r="W71" s="70">
        <v>12.2</v>
      </c>
      <c r="X71" s="70">
        <v>12.2</v>
      </c>
      <c r="Y71" s="70">
        <v>12.2</v>
      </c>
      <c r="Z71" s="70">
        <v>12.2</v>
      </c>
      <c r="AA71" s="70">
        <v>12.2</v>
      </c>
      <c r="AB71" s="70">
        <v>12.2</v>
      </c>
      <c r="AC71" s="70">
        <v>12.2</v>
      </c>
      <c r="AD71" s="70">
        <v>12.2</v>
      </c>
      <c r="AE71" s="70">
        <v>12.2</v>
      </c>
      <c r="AF71" s="70">
        <v>12.2</v>
      </c>
      <c r="AG71" s="86">
        <v>14.1</v>
      </c>
      <c r="AH71" s="12">
        <f t="shared" si="8"/>
        <v>12.6</v>
      </c>
      <c r="AI71" s="11">
        <f t="shared" si="9"/>
        <v>10.14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37"/>
        <v>0</v>
      </c>
      <c r="BB71" s="83">
        <f t="shared" si="37"/>
        <v>0</v>
      </c>
      <c r="BC71" s="83">
        <f t="shared" si="37"/>
        <v>0</v>
      </c>
      <c r="BD71" s="83">
        <f t="shared" si="37"/>
        <v>0</v>
      </c>
      <c r="BE71" s="78">
        <f>I84</f>
        <v>0</v>
      </c>
      <c r="BF71" s="78">
        <f>K84</f>
        <v>46.4</v>
      </c>
      <c r="BG71" s="78">
        <f t="shared" si="38"/>
        <v>49</v>
      </c>
      <c r="BH71" s="78">
        <f t="shared" si="38"/>
        <v>47.7</v>
      </c>
      <c r="BI71" s="78">
        <f t="shared" si="38"/>
        <v>16.2</v>
      </c>
      <c r="BJ71" s="78">
        <f t="shared" si="38"/>
        <v>41.4</v>
      </c>
      <c r="BK71" s="78">
        <f t="shared" si="38"/>
        <v>38.799999999999997</v>
      </c>
      <c r="BL71" s="78">
        <f t="shared" si="38"/>
        <v>39.4</v>
      </c>
      <c r="BM71" s="78">
        <f t="shared" si="38"/>
        <v>49</v>
      </c>
      <c r="BN71" s="78">
        <f t="shared" si="38"/>
        <v>44.8</v>
      </c>
      <c r="BO71" s="78">
        <f t="shared" si="38"/>
        <v>42.5</v>
      </c>
      <c r="BP71" s="78">
        <f t="shared" si="38"/>
        <v>30.3</v>
      </c>
      <c r="BQ71" s="78">
        <f>X84</f>
        <v>25.9</v>
      </c>
      <c r="BR71" s="78">
        <f>Z84</f>
        <v>0</v>
      </c>
      <c r="BS71" s="83">
        <f>AB84</f>
        <v>0</v>
      </c>
      <c r="BT71" s="83">
        <f t="shared" si="39"/>
        <v>0</v>
      </c>
      <c r="BU71" s="83">
        <f t="shared" si="39"/>
        <v>0</v>
      </c>
      <c r="BV71" s="83">
        <f t="shared" si="39"/>
        <v>0</v>
      </c>
      <c r="BW71" s="83">
        <f>B84</f>
        <v>0</v>
      </c>
    </row>
    <row r="72" spans="1:75" x14ac:dyDescent="0.25">
      <c r="A72" s="111" t="s">
        <v>191</v>
      </c>
      <c r="B72" s="70">
        <v>7</v>
      </c>
      <c r="C72" s="70">
        <v>8.9</v>
      </c>
      <c r="D72" s="70">
        <v>8.9</v>
      </c>
      <c r="E72" s="70">
        <v>8.9</v>
      </c>
      <c r="F72" s="70">
        <v>8.9</v>
      </c>
      <c r="G72" s="70">
        <v>8.9</v>
      </c>
      <c r="H72" s="70">
        <v>8.9</v>
      </c>
      <c r="I72" s="70">
        <v>6.9</v>
      </c>
      <c r="J72" s="70">
        <v>6.9</v>
      </c>
      <c r="K72" s="70">
        <v>6.9</v>
      </c>
      <c r="L72" s="70">
        <v>6.9</v>
      </c>
      <c r="M72" s="70">
        <v>6.9</v>
      </c>
      <c r="N72" s="70">
        <v>6.9</v>
      </c>
      <c r="O72" s="70">
        <v>6.9</v>
      </c>
      <c r="P72" s="70">
        <v>6.9</v>
      </c>
      <c r="Q72" s="70">
        <v>6.8</v>
      </c>
      <c r="R72" s="70">
        <v>5.2</v>
      </c>
      <c r="S72" s="70">
        <v>5.2</v>
      </c>
      <c r="T72" s="70">
        <v>5.2</v>
      </c>
      <c r="U72" s="70">
        <v>5.2</v>
      </c>
      <c r="V72" s="70">
        <v>5.2</v>
      </c>
      <c r="W72" s="70">
        <v>5.2</v>
      </c>
      <c r="X72" s="70">
        <v>5.2</v>
      </c>
      <c r="Y72" s="70">
        <v>5.2</v>
      </c>
      <c r="Z72" s="70">
        <v>5.2</v>
      </c>
      <c r="AA72" s="70">
        <v>5.2</v>
      </c>
      <c r="AB72" s="70">
        <v>5.2</v>
      </c>
      <c r="AC72" s="70">
        <v>5.2</v>
      </c>
      <c r="AD72" s="70">
        <v>5.2</v>
      </c>
      <c r="AE72" s="70">
        <v>5.2</v>
      </c>
      <c r="AF72" s="70">
        <v>5.2</v>
      </c>
      <c r="AG72" s="86">
        <v>14</v>
      </c>
      <c r="AH72" s="12">
        <f t="shared" si="8"/>
        <v>8.9</v>
      </c>
      <c r="AI72" s="11">
        <f t="shared" si="9"/>
        <v>5.2</v>
      </c>
      <c r="AK72" s="19"/>
      <c r="AY72" s="1" t="s">
        <v>190</v>
      </c>
      <c r="AZ72" s="78">
        <f>ROUND(C85,0)</f>
        <v>0</v>
      </c>
      <c r="BA72" s="83">
        <f t="shared" si="37"/>
        <v>0</v>
      </c>
      <c r="BB72" s="83">
        <f t="shared" si="37"/>
        <v>0</v>
      </c>
      <c r="BC72" s="83">
        <f t="shared" si="37"/>
        <v>0</v>
      </c>
      <c r="BD72" s="83">
        <f t="shared" si="37"/>
        <v>0</v>
      </c>
      <c r="BE72" s="78">
        <f>I85</f>
        <v>0</v>
      </c>
      <c r="BF72" s="78">
        <f>K85</f>
        <v>102.9</v>
      </c>
      <c r="BG72" s="78">
        <f t="shared" si="38"/>
        <v>131.30000000000001</v>
      </c>
      <c r="BH72" s="78">
        <f t="shared" si="38"/>
        <v>138.19999999999999</v>
      </c>
      <c r="BI72" s="78">
        <f t="shared" si="38"/>
        <v>135</v>
      </c>
      <c r="BJ72" s="78">
        <f t="shared" si="38"/>
        <v>137.5</v>
      </c>
      <c r="BK72" s="78">
        <f t="shared" si="38"/>
        <v>118</v>
      </c>
      <c r="BL72" s="78">
        <f t="shared" si="38"/>
        <v>120.7</v>
      </c>
      <c r="BM72" s="78">
        <f t="shared" si="38"/>
        <v>136.4</v>
      </c>
      <c r="BN72" s="78">
        <f t="shared" si="38"/>
        <v>102.4</v>
      </c>
      <c r="BO72" s="78">
        <f t="shared" si="38"/>
        <v>94.4</v>
      </c>
      <c r="BP72" s="78">
        <f t="shared" si="38"/>
        <v>87.8</v>
      </c>
      <c r="BQ72" s="78">
        <f>X85</f>
        <v>75.599999999999994</v>
      </c>
      <c r="BR72" s="78">
        <f>Z85</f>
        <v>0</v>
      </c>
      <c r="BS72" s="83">
        <f>AB85</f>
        <v>0</v>
      </c>
      <c r="BT72" s="83">
        <f t="shared" si="39"/>
        <v>0</v>
      </c>
      <c r="BU72" s="83">
        <f t="shared" si="39"/>
        <v>0</v>
      </c>
      <c r="BV72" s="83">
        <f t="shared" si="39"/>
        <v>0</v>
      </c>
      <c r="BW72" s="83">
        <f>B85</f>
        <v>0</v>
      </c>
    </row>
    <row r="73" spans="1:75" x14ac:dyDescent="0.25">
      <c r="A73" s="87" t="s">
        <v>189</v>
      </c>
      <c r="B73" s="70">
        <v>4.4000000000000004</v>
      </c>
      <c r="C73" s="70">
        <v>4.4000000000000004</v>
      </c>
      <c r="D73" s="70">
        <v>4.4000000000000004</v>
      </c>
      <c r="E73" s="70">
        <v>4.4000000000000004</v>
      </c>
      <c r="F73" s="70">
        <v>4.4000000000000004</v>
      </c>
      <c r="G73" s="70">
        <v>4.4000000000000004</v>
      </c>
      <c r="H73" s="70">
        <v>4.4000000000000004</v>
      </c>
      <c r="I73" s="70">
        <v>4.4000000000000004</v>
      </c>
      <c r="J73" s="70">
        <v>4.4000000000000004</v>
      </c>
      <c r="K73" s="70">
        <v>4.4000000000000004</v>
      </c>
      <c r="L73" s="70">
        <v>4.4000000000000004</v>
      </c>
      <c r="M73" s="70">
        <v>4.4000000000000004</v>
      </c>
      <c r="N73" s="70">
        <v>4.4000000000000004</v>
      </c>
      <c r="O73" s="70">
        <v>4.4000000000000004</v>
      </c>
      <c r="P73" s="70">
        <v>4.4000000000000004</v>
      </c>
      <c r="Q73" s="70">
        <v>4.4000000000000004</v>
      </c>
      <c r="R73" s="70">
        <v>4.4000000000000004</v>
      </c>
      <c r="S73" s="70">
        <v>4.4000000000000004</v>
      </c>
      <c r="T73" s="70">
        <v>4.4000000000000004</v>
      </c>
      <c r="U73" s="70">
        <v>4.4000000000000004</v>
      </c>
      <c r="V73" s="70">
        <v>4.4000000000000004</v>
      </c>
      <c r="W73" s="70">
        <v>4.4000000000000004</v>
      </c>
      <c r="X73" s="70">
        <v>4.4000000000000004</v>
      </c>
      <c r="Y73" s="70">
        <v>4.4000000000000004</v>
      </c>
      <c r="Z73" s="70">
        <v>4.4000000000000004</v>
      </c>
      <c r="AA73" s="70">
        <v>4.4000000000000004</v>
      </c>
      <c r="AB73" s="70">
        <v>4.4000000000000004</v>
      </c>
      <c r="AC73" s="70">
        <v>4.4000000000000004</v>
      </c>
      <c r="AD73" s="70">
        <v>4.4000000000000004</v>
      </c>
      <c r="AE73" s="70">
        <v>4.4000000000000004</v>
      </c>
      <c r="AF73" s="70">
        <v>4.4000000000000004</v>
      </c>
      <c r="AG73" s="86">
        <v>10.050000000000001</v>
      </c>
      <c r="AH73" s="12">
        <f t="shared" si="8"/>
        <v>4.4000000000000004</v>
      </c>
      <c r="AI73" s="11">
        <f t="shared" si="9"/>
        <v>4.4000000000000004</v>
      </c>
      <c r="AK73" s="19"/>
      <c r="AY73" s="1" t="s">
        <v>188</v>
      </c>
      <c r="AZ73" s="78">
        <f>ROUND(C91,0)</f>
        <v>44</v>
      </c>
      <c r="BA73" s="78">
        <f>D91</f>
        <v>46.4</v>
      </c>
      <c r="BB73" s="78">
        <f>E91</f>
        <v>44.8</v>
      </c>
      <c r="BC73" s="78">
        <f>F91</f>
        <v>43.8</v>
      </c>
      <c r="BD73" s="78">
        <f>G91</f>
        <v>44.3</v>
      </c>
      <c r="BE73" s="78">
        <f>I91</f>
        <v>41.5</v>
      </c>
      <c r="BF73" s="78">
        <f>K91</f>
        <v>46</v>
      </c>
      <c r="BG73" s="78">
        <f t="shared" ref="BG73:BP73" si="40">M91</f>
        <v>42.2</v>
      </c>
      <c r="BH73" s="78">
        <f t="shared" si="40"/>
        <v>48.2</v>
      </c>
      <c r="BI73" s="78">
        <f t="shared" si="40"/>
        <v>35</v>
      </c>
      <c r="BJ73" s="78">
        <f t="shared" si="40"/>
        <v>34.200000000000003</v>
      </c>
      <c r="BK73" s="78">
        <f t="shared" si="40"/>
        <v>45.1</v>
      </c>
      <c r="BL73" s="78">
        <f t="shared" si="40"/>
        <v>45.3</v>
      </c>
      <c r="BM73" s="78">
        <f t="shared" si="40"/>
        <v>38.299999999999997</v>
      </c>
      <c r="BN73" s="78">
        <f t="shared" si="40"/>
        <v>55.4</v>
      </c>
      <c r="BO73" s="78">
        <f t="shared" si="40"/>
        <v>54</v>
      </c>
      <c r="BP73" s="78">
        <f t="shared" si="40"/>
        <v>46.1</v>
      </c>
      <c r="BQ73" s="78">
        <f>X91</f>
        <v>42.6</v>
      </c>
      <c r="BR73" s="78">
        <f>Z91</f>
        <v>35</v>
      </c>
      <c r="BS73" s="78">
        <f>AB91</f>
        <v>33.200000000000003</v>
      </c>
      <c r="BT73" s="78">
        <f>AD91</f>
        <v>32.200000000000003</v>
      </c>
      <c r="BU73" s="78">
        <f>AE91</f>
        <v>33.200000000000003</v>
      </c>
      <c r="BV73" s="78">
        <f>AF91</f>
        <v>42</v>
      </c>
      <c r="BW73" s="78">
        <f>B91</f>
        <v>44</v>
      </c>
    </row>
    <row r="74" spans="1:75" x14ac:dyDescent="0.25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.75" thickBot="1" x14ac:dyDescent="0.3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3.54</v>
      </c>
      <c r="Z75" s="113">
        <v>3.54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3.54</v>
      </c>
      <c r="AK75" s="19"/>
      <c r="AZ75" s="78">
        <f t="shared" ref="AZ75:BW80" si="41">VALUE(AZ68)</f>
        <v>37</v>
      </c>
      <c r="BA75" s="78">
        <f t="shared" si="41"/>
        <v>34.200000000000003</v>
      </c>
      <c r="BB75" s="78">
        <f t="shared" si="41"/>
        <v>29.6</v>
      </c>
      <c r="BC75" s="78">
        <f t="shared" si="41"/>
        <v>28.7</v>
      </c>
      <c r="BD75" s="78">
        <f t="shared" si="41"/>
        <v>29.2</v>
      </c>
      <c r="BE75" s="78">
        <f t="shared" si="41"/>
        <v>29.1</v>
      </c>
      <c r="BF75" s="78">
        <f t="shared" si="41"/>
        <v>59</v>
      </c>
      <c r="BG75" s="78">
        <f t="shared" si="41"/>
        <v>50.3</v>
      </c>
      <c r="BH75" s="78">
        <f t="shared" si="41"/>
        <v>56.8</v>
      </c>
      <c r="BI75" s="78">
        <f t="shared" si="41"/>
        <v>70</v>
      </c>
      <c r="BJ75" s="78">
        <f t="shared" si="41"/>
        <v>59</v>
      </c>
      <c r="BK75" s="78">
        <f t="shared" si="41"/>
        <v>72.3</v>
      </c>
      <c r="BL75" s="78">
        <f t="shared" si="41"/>
        <v>72.5</v>
      </c>
      <c r="BM75" s="78">
        <f t="shared" si="41"/>
        <v>69.900000000000006</v>
      </c>
      <c r="BN75" s="78">
        <f t="shared" si="41"/>
        <v>57.8</v>
      </c>
      <c r="BO75" s="78">
        <f t="shared" si="41"/>
        <v>65.5</v>
      </c>
      <c r="BP75" s="78">
        <f t="shared" si="41"/>
        <v>70.900000000000006</v>
      </c>
      <c r="BQ75" s="78">
        <f t="shared" si="41"/>
        <v>62.2</v>
      </c>
      <c r="BR75" s="78">
        <f t="shared" si="41"/>
        <v>67.8</v>
      </c>
      <c r="BS75" s="78">
        <f t="shared" si="41"/>
        <v>22.1</v>
      </c>
      <c r="BT75" s="78">
        <f t="shared" si="41"/>
        <v>43.7</v>
      </c>
      <c r="BU75" s="78">
        <f t="shared" si="41"/>
        <v>43.7</v>
      </c>
      <c r="BV75" s="78">
        <f t="shared" si="41"/>
        <v>49</v>
      </c>
      <c r="BW75" s="78">
        <f t="shared" si="41"/>
        <v>37.299999999999997</v>
      </c>
    </row>
    <row r="76" spans="1:75" ht="15.75" thickBot="1" x14ac:dyDescent="0.3">
      <c r="A76" s="77" t="s">
        <v>186</v>
      </c>
      <c r="B76" s="76">
        <f t="shared" ref="B76:AG76" si="42">SUM(B63:B75)</f>
        <v>242.97999999999996</v>
      </c>
      <c r="C76" s="76">
        <f t="shared" si="42"/>
        <v>246.48</v>
      </c>
      <c r="D76" s="76">
        <f t="shared" si="42"/>
        <v>209.28</v>
      </c>
      <c r="E76" s="76">
        <f t="shared" si="42"/>
        <v>212.07999999999996</v>
      </c>
      <c r="F76" s="76">
        <f t="shared" si="42"/>
        <v>212.07999999999996</v>
      </c>
      <c r="G76" s="76">
        <f t="shared" si="42"/>
        <v>195.57999999999996</v>
      </c>
      <c r="H76" s="76">
        <f t="shared" si="42"/>
        <v>195.57999999999996</v>
      </c>
      <c r="I76" s="76">
        <f t="shared" si="42"/>
        <v>244.43900000000002</v>
      </c>
      <c r="J76" s="76">
        <f t="shared" si="42"/>
        <v>236.14</v>
      </c>
      <c r="K76" s="76">
        <f t="shared" si="42"/>
        <v>195.14000000000001</v>
      </c>
      <c r="L76" s="76">
        <f t="shared" si="42"/>
        <v>195.14000000000001</v>
      </c>
      <c r="M76" s="76">
        <f t="shared" si="42"/>
        <v>192.84000000000003</v>
      </c>
      <c r="N76" s="76">
        <f t="shared" si="42"/>
        <v>186.64000000000001</v>
      </c>
      <c r="O76" s="76">
        <f t="shared" si="42"/>
        <v>179.74</v>
      </c>
      <c r="P76" s="76">
        <f t="shared" si="42"/>
        <v>178.24</v>
      </c>
      <c r="Q76" s="76">
        <f t="shared" ref="Q76" si="43">SUM(Q63:Q75)</f>
        <v>153.44</v>
      </c>
      <c r="R76" s="76">
        <f t="shared" si="42"/>
        <v>93.04000000000002</v>
      </c>
      <c r="S76" s="76">
        <f t="shared" ref="S76:T76" si="44">SUM(S63:S75)</f>
        <v>148.34</v>
      </c>
      <c r="T76" s="76">
        <f t="shared" si="44"/>
        <v>216.54</v>
      </c>
      <c r="U76" s="76">
        <f t="shared" ref="U76:V76" si="45">SUM(U63:U75)</f>
        <v>215.44</v>
      </c>
      <c r="V76" s="76">
        <f t="shared" si="45"/>
        <v>238.03999999999996</v>
      </c>
      <c r="W76" s="76">
        <f t="shared" ref="W76:X76" si="46">SUM(W63:W75)</f>
        <v>237.93999999999997</v>
      </c>
      <c r="X76" s="76">
        <f t="shared" si="46"/>
        <v>221.03999999999996</v>
      </c>
      <c r="Y76" s="76">
        <f t="shared" ref="Y76:Z76" si="47">SUM(Y63:Y75)</f>
        <v>314.44</v>
      </c>
      <c r="Z76" s="76">
        <f t="shared" si="47"/>
        <v>326.23999999999995</v>
      </c>
      <c r="AA76" s="76">
        <f t="shared" ref="AA76" si="48">SUM(AA63:AA75)</f>
        <v>406.53999999999996</v>
      </c>
      <c r="AB76" s="76">
        <f t="shared" si="42"/>
        <v>406.53999999999996</v>
      </c>
      <c r="AC76" s="76">
        <f t="shared" si="42"/>
        <v>390.23999999999995</v>
      </c>
      <c r="AD76" s="76">
        <f t="shared" si="42"/>
        <v>393.03999999999991</v>
      </c>
      <c r="AE76" s="76">
        <f t="shared" si="42"/>
        <v>372.23999999999995</v>
      </c>
      <c r="AF76" s="76">
        <f t="shared" si="42"/>
        <v>339.03999999999996</v>
      </c>
      <c r="AG76" s="93">
        <f t="shared" si="42"/>
        <v>489.91</v>
      </c>
      <c r="AH76" s="12">
        <f t="shared" si="8"/>
        <v>406.53999999999996</v>
      </c>
      <c r="AI76" s="11">
        <f t="shared" si="9"/>
        <v>93.04000000000002</v>
      </c>
      <c r="AK76" s="19"/>
      <c r="AZ76" s="78">
        <f t="shared" si="41"/>
        <v>0</v>
      </c>
      <c r="BA76" s="78">
        <f t="shared" si="41"/>
        <v>0</v>
      </c>
      <c r="BB76" s="78">
        <f t="shared" si="41"/>
        <v>0</v>
      </c>
      <c r="BC76" s="78">
        <f t="shared" si="41"/>
        <v>0</v>
      </c>
      <c r="BD76" s="78">
        <f t="shared" si="41"/>
        <v>0</v>
      </c>
      <c r="BE76" s="78">
        <f t="shared" si="41"/>
        <v>0</v>
      </c>
      <c r="BF76" s="78">
        <f t="shared" si="41"/>
        <v>0</v>
      </c>
      <c r="BG76" s="78">
        <f t="shared" si="41"/>
        <v>83.6</v>
      </c>
      <c r="BH76" s="78">
        <f t="shared" si="41"/>
        <v>94.9</v>
      </c>
      <c r="BI76" s="78">
        <f t="shared" si="41"/>
        <v>84</v>
      </c>
      <c r="BJ76" s="78">
        <f t="shared" si="41"/>
        <v>78</v>
      </c>
      <c r="BK76" s="78">
        <f t="shared" si="41"/>
        <v>81.400000000000006</v>
      </c>
      <c r="BL76" s="78">
        <f t="shared" si="41"/>
        <v>75.5</v>
      </c>
      <c r="BM76" s="78">
        <f t="shared" si="41"/>
        <v>75.599999999999994</v>
      </c>
      <c r="BN76" s="78">
        <f t="shared" si="41"/>
        <v>91.5</v>
      </c>
      <c r="BO76" s="78">
        <f t="shared" si="41"/>
        <v>100.4</v>
      </c>
      <c r="BP76" s="78">
        <f t="shared" si="41"/>
        <v>102.2</v>
      </c>
      <c r="BQ76" s="78">
        <f t="shared" si="41"/>
        <v>112</v>
      </c>
      <c r="BR76" s="78">
        <f t="shared" si="41"/>
        <v>0</v>
      </c>
      <c r="BS76" s="78">
        <f t="shared" si="41"/>
        <v>0</v>
      </c>
      <c r="BT76" s="78">
        <f t="shared" si="41"/>
        <v>0</v>
      </c>
      <c r="BU76" s="78">
        <f t="shared" si="41"/>
        <v>0</v>
      </c>
      <c r="BV76" s="78">
        <f t="shared" si="41"/>
        <v>0</v>
      </c>
      <c r="BW76" s="78">
        <f t="shared" si="41"/>
        <v>0</v>
      </c>
    </row>
    <row r="77" spans="1:75" x14ac:dyDescent="0.25">
      <c r="A77" s="89" t="s">
        <v>185</v>
      </c>
      <c r="B77" s="102">
        <v>59.3</v>
      </c>
      <c r="C77" s="102">
        <v>59.3</v>
      </c>
      <c r="D77" s="102">
        <v>59.3</v>
      </c>
      <c r="E77" s="102">
        <v>59.3</v>
      </c>
      <c r="F77" s="102">
        <v>60</v>
      </c>
      <c r="G77" s="102">
        <v>59.3</v>
      </c>
      <c r="H77" s="102">
        <v>59.3</v>
      </c>
      <c r="I77" s="102">
        <v>59.4</v>
      </c>
      <c r="J77" s="102">
        <v>29.7</v>
      </c>
      <c r="K77" s="102">
        <v>29.8</v>
      </c>
      <c r="L77" s="102">
        <v>55.3</v>
      </c>
      <c r="M77" s="102">
        <v>41.2</v>
      </c>
      <c r="N77" s="102">
        <v>40.1</v>
      </c>
      <c r="O77" s="102">
        <v>39.700000000000003</v>
      </c>
      <c r="P77" s="102">
        <v>39.5</v>
      </c>
      <c r="Q77" s="102">
        <v>40.6</v>
      </c>
      <c r="R77" s="102">
        <v>39.5</v>
      </c>
      <c r="S77" s="102">
        <v>39.4</v>
      </c>
      <c r="T77" s="102">
        <v>0</v>
      </c>
      <c r="U77" s="102">
        <v>0</v>
      </c>
      <c r="V77" s="102">
        <v>0</v>
      </c>
      <c r="W77" s="102">
        <v>0</v>
      </c>
      <c r="X77" s="102">
        <v>0</v>
      </c>
      <c r="Y77" s="102">
        <v>0</v>
      </c>
      <c r="Z77" s="102">
        <v>57.7</v>
      </c>
      <c r="AA77" s="102">
        <v>57.7</v>
      </c>
      <c r="AB77" s="102">
        <v>58.4</v>
      </c>
      <c r="AC77" s="102">
        <v>58.4</v>
      </c>
      <c r="AD77" s="102">
        <v>58.4</v>
      </c>
      <c r="AE77" s="102">
        <v>58.4</v>
      </c>
      <c r="AF77" s="102">
        <v>58.4</v>
      </c>
      <c r="AG77" s="88">
        <v>60</v>
      </c>
      <c r="AH77" s="12">
        <f t="shared" si="8"/>
        <v>60</v>
      </c>
      <c r="AI77" s="11">
        <f t="shared" si="9"/>
        <v>0</v>
      </c>
      <c r="AK77" s="19"/>
      <c r="AZ77" s="78">
        <f t="shared" si="41"/>
        <v>159</v>
      </c>
      <c r="BA77" s="78">
        <f t="shared" si="41"/>
        <v>196</v>
      </c>
      <c r="BB77" s="78">
        <f t="shared" si="41"/>
        <v>199</v>
      </c>
      <c r="BC77" s="78">
        <f t="shared" si="41"/>
        <v>187</v>
      </c>
      <c r="BD77" s="78">
        <f t="shared" si="41"/>
        <v>205</v>
      </c>
      <c r="BE77" s="78">
        <f t="shared" si="41"/>
        <v>219</v>
      </c>
      <c r="BF77" s="78">
        <f t="shared" si="41"/>
        <v>407</v>
      </c>
      <c r="BG77" s="78">
        <f t="shared" si="41"/>
        <v>380</v>
      </c>
      <c r="BH77" s="78">
        <f t="shared" si="41"/>
        <v>400</v>
      </c>
      <c r="BI77" s="78">
        <f t="shared" si="41"/>
        <v>429</v>
      </c>
      <c r="BJ77" s="78">
        <f t="shared" si="41"/>
        <v>432</v>
      </c>
      <c r="BK77" s="78">
        <f t="shared" si="41"/>
        <v>421</v>
      </c>
      <c r="BL77" s="78">
        <f t="shared" si="41"/>
        <v>425</v>
      </c>
      <c r="BM77" s="78">
        <f t="shared" si="41"/>
        <v>430.4</v>
      </c>
      <c r="BN77" s="78">
        <f t="shared" si="41"/>
        <v>431.5</v>
      </c>
      <c r="BO77" s="78">
        <f t="shared" si="41"/>
        <v>405.5</v>
      </c>
      <c r="BP77" s="78">
        <f t="shared" si="41"/>
        <v>403.6</v>
      </c>
      <c r="BQ77" s="78">
        <f t="shared" si="41"/>
        <v>342.8</v>
      </c>
      <c r="BR77" s="78">
        <f t="shared" si="41"/>
        <v>129</v>
      </c>
      <c r="BS77" s="78">
        <f t="shared" si="41"/>
        <v>45.2</v>
      </c>
      <c r="BT77" s="78">
        <f t="shared" si="41"/>
        <v>4.9000000000000004</v>
      </c>
      <c r="BU77" s="78">
        <f t="shared" si="41"/>
        <v>4.9000000000000004</v>
      </c>
      <c r="BV77" s="78">
        <f t="shared" si="41"/>
        <v>108</v>
      </c>
      <c r="BW77" s="78">
        <f t="shared" si="41"/>
        <v>164</v>
      </c>
    </row>
    <row r="78" spans="1:75" x14ac:dyDescent="0.25">
      <c r="A78" s="87" t="s">
        <v>184</v>
      </c>
      <c r="B78" s="70">
        <v>28</v>
      </c>
      <c r="C78" s="70">
        <v>28</v>
      </c>
      <c r="D78" s="70">
        <v>28</v>
      </c>
      <c r="E78" s="70">
        <v>28</v>
      </c>
      <c r="F78" s="70">
        <v>28.9</v>
      </c>
      <c r="G78" s="70">
        <v>28</v>
      </c>
      <c r="H78" s="70">
        <v>28</v>
      </c>
      <c r="I78" s="70">
        <v>27.9</v>
      </c>
      <c r="J78" s="70">
        <v>9.6999999999999993</v>
      </c>
      <c r="K78" s="70">
        <v>13.2</v>
      </c>
      <c r="L78" s="70">
        <v>17.899999999999999</v>
      </c>
      <c r="M78" s="70">
        <v>22.7</v>
      </c>
      <c r="N78" s="70">
        <v>16.2</v>
      </c>
      <c r="O78" s="70">
        <v>12.5</v>
      </c>
      <c r="P78" s="70">
        <v>15</v>
      </c>
      <c r="Q78" s="70">
        <v>16.100000000000001</v>
      </c>
      <c r="R78" s="70">
        <v>15.1</v>
      </c>
      <c r="S78" s="70">
        <v>16.100000000000001</v>
      </c>
      <c r="T78" s="70">
        <v>0</v>
      </c>
      <c r="U78" s="70">
        <v>0</v>
      </c>
      <c r="V78" s="70">
        <v>0</v>
      </c>
      <c r="W78" s="70">
        <v>0</v>
      </c>
      <c r="X78" s="70">
        <v>0</v>
      </c>
      <c r="Y78" s="70">
        <v>0</v>
      </c>
      <c r="Z78" s="70">
        <v>22.7</v>
      </c>
      <c r="AA78" s="70">
        <v>22.7</v>
      </c>
      <c r="AB78" s="70">
        <v>28</v>
      </c>
      <c r="AC78" s="70">
        <v>27.2</v>
      </c>
      <c r="AD78" s="70">
        <v>27.1</v>
      </c>
      <c r="AE78" s="70">
        <v>27.1</v>
      </c>
      <c r="AF78" s="70">
        <v>27.1</v>
      </c>
      <c r="AG78" s="86">
        <v>32</v>
      </c>
      <c r="AH78" s="12">
        <f t="shared" si="8"/>
        <v>28.9</v>
      </c>
      <c r="AI78" s="11">
        <f t="shared" si="9"/>
        <v>0</v>
      </c>
      <c r="AK78" s="19"/>
      <c r="AZ78" s="78">
        <f t="shared" si="41"/>
        <v>0</v>
      </c>
      <c r="BA78" s="78">
        <f t="shared" si="41"/>
        <v>0</v>
      </c>
      <c r="BB78" s="78">
        <f t="shared" si="41"/>
        <v>0</v>
      </c>
      <c r="BC78" s="78">
        <f t="shared" si="41"/>
        <v>0</v>
      </c>
      <c r="BD78" s="78">
        <f t="shared" si="41"/>
        <v>0</v>
      </c>
      <c r="BE78" s="78">
        <f t="shared" si="41"/>
        <v>0</v>
      </c>
      <c r="BF78" s="78">
        <f t="shared" si="41"/>
        <v>46.4</v>
      </c>
      <c r="BG78" s="78">
        <f t="shared" si="41"/>
        <v>49</v>
      </c>
      <c r="BH78" s="78">
        <f t="shared" si="41"/>
        <v>47.7</v>
      </c>
      <c r="BI78" s="78">
        <f t="shared" si="41"/>
        <v>16.2</v>
      </c>
      <c r="BJ78" s="78">
        <f t="shared" si="41"/>
        <v>41.4</v>
      </c>
      <c r="BK78" s="78">
        <f t="shared" si="41"/>
        <v>38.799999999999997</v>
      </c>
      <c r="BL78" s="78">
        <f t="shared" si="41"/>
        <v>39.4</v>
      </c>
      <c r="BM78" s="78">
        <f t="shared" si="41"/>
        <v>49</v>
      </c>
      <c r="BN78" s="78">
        <f t="shared" si="41"/>
        <v>44.8</v>
      </c>
      <c r="BO78" s="78">
        <f t="shared" si="41"/>
        <v>42.5</v>
      </c>
      <c r="BP78" s="78">
        <f t="shared" si="41"/>
        <v>30.3</v>
      </c>
      <c r="BQ78" s="78">
        <f t="shared" si="41"/>
        <v>25.9</v>
      </c>
      <c r="BR78" s="78">
        <f t="shared" si="41"/>
        <v>0</v>
      </c>
      <c r="BS78" s="78">
        <f t="shared" si="41"/>
        <v>0</v>
      </c>
      <c r="BT78" s="78">
        <f t="shared" si="41"/>
        <v>0</v>
      </c>
      <c r="BU78" s="78">
        <f t="shared" si="41"/>
        <v>0</v>
      </c>
      <c r="BV78" s="78">
        <f t="shared" si="41"/>
        <v>0</v>
      </c>
      <c r="BW78" s="78">
        <f t="shared" si="41"/>
        <v>0</v>
      </c>
    </row>
    <row r="79" spans="1:75" ht="15.75" thickBot="1" x14ac:dyDescent="0.3">
      <c r="A79" s="111" t="s">
        <v>183</v>
      </c>
      <c r="B79" s="110">
        <v>10.199999999999999</v>
      </c>
      <c r="C79" s="110">
        <v>10.199999999999999</v>
      </c>
      <c r="D79" s="110">
        <v>10.199999999999999</v>
      </c>
      <c r="E79" s="110">
        <v>10.199999999999999</v>
      </c>
      <c r="F79" s="110">
        <v>10.6</v>
      </c>
      <c r="G79" s="110">
        <v>10.199999999999999</v>
      </c>
      <c r="H79" s="110">
        <v>10.199999999999999</v>
      </c>
      <c r="I79" s="110">
        <v>10.199999999999999</v>
      </c>
      <c r="J79" s="110">
        <v>3.7</v>
      </c>
      <c r="K79" s="110">
        <v>4.8</v>
      </c>
      <c r="L79" s="110">
        <v>6.5</v>
      </c>
      <c r="M79" s="110">
        <v>8.3000000000000007</v>
      </c>
      <c r="N79" s="110">
        <v>5.9</v>
      </c>
      <c r="O79" s="110">
        <v>4.5999999999999996</v>
      </c>
      <c r="P79" s="110">
        <v>5.5</v>
      </c>
      <c r="Q79" s="110">
        <v>5.9</v>
      </c>
      <c r="R79" s="110">
        <v>5.5</v>
      </c>
      <c r="S79" s="110">
        <v>5.9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Z79" s="110">
        <v>8.3000000000000007</v>
      </c>
      <c r="AA79" s="110">
        <v>8.3000000000000007</v>
      </c>
      <c r="AB79" s="110">
        <v>10.199999999999999</v>
      </c>
      <c r="AC79" s="110">
        <v>9.9</v>
      </c>
      <c r="AD79" s="110">
        <v>9.9</v>
      </c>
      <c r="AE79" s="110">
        <v>9.9</v>
      </c>
      <c r="AF79" s="110">
        <v>9.9</v>
      </c>
      <c r="AG79" s="109">
        <v>14</v>
      </c>
      <c r="AH79" s="12">
        <f t="shared" si="8"/>
        <v>10.6</v>
      </c>
      <c r="AI79" s="11">
        <f t="shared" si="9"/>
        <v>0</v>
      </c>
      <c r="AK79" s="19"/>
      <c r="AZ79" s="78">
        <f t="shared" si="41"/>
        <v>0</v>
      </c>
      <c r="BA79" s="78">
        <f t="shared" si="41"/>
        <v>0</v>
      </c>
      <c r="BB79" s="78">
        <f t="shared" si="41"/>
        <v>0</v>
      </c>
      <c r="BC79" s="78">
        <f t="shared" si="41"/>
        <v>0</v>
      </c>
      <c r="BD79" s="78">
        <f t="shared" si="41"/>
        <v>0</v>
      </c>
      <c r="BE79" s="78">
        <f t="shared" si="41"/>
        <v>0</v>
      </c>
      <c r="BF79" s="78">
        <f t="shared" si="41"/>
        <v>102.9</v>
      </c>
      <c r="BG79" s="78">
        <f t="shared" si="41"/>
        <v>131.30000000000001</v>
      </c>
      <c r="BH79" s="78">
        <f t="shared" si="41"/>
        <v>138.19999999999999</v>
      </c>
      <c r="BI79" s="78">
        <f t="shared" si="41"/>
        <v>135</v>
      </c>
      <c r="BJ79" s="78">
        <f t="shared" si="41"/>
        <v>137.5</v>
      </c>
      <c r="BK79" s="78">
        <f t="shared" si="41"/>
        <v>118</v>
      </c>
      <c r="BL79" s="78">
        <f t="shared" si="41"/>
        <v>120.7</v>
      </c>
      <c r="BM79" s="78">
        <f t="shared" si="41"/>
        <v>136.4</v>
      </c>
      <c r="BN79" s="78">
        <f t="shared" si="41"/>
        <v>102.4</v>
      </c>
      <c r="BO79" s="78">
        <f t="shared" si="41"/>
        <v>94.4</v>
      </c>
      <c r="BP79" s="78">
        <f t="shared" si="41"/>
        <v>87.8</v>
      </c>
      <c r="BQ79" s="78">
        <f t="shared" si="41"/>
        <v>75.599999999999994</v>
      </c>
      <c r="BR79" s="78">
        <f t="shared" si="41"/>
        <v>0</v>
      </c>
      <c r="BS79" s="78">
        <f t="shared" si="41"/>
        <v>0</v>
      </c>
      <c r="BT79" s="78">
        <f t="shared" si="41"/>
        <v>0</v>
      </c>
      <c r="BU79" s="78">
        <f t="shared" si="41"/>
        <v>0</v>
      </c>
      <c r="BV79" s="78">
        <f t="shared" si="41"/>
        <v>0</v>
      </c>
      <c r="BW79" s="78">
        <f t="shared" si="41"/>
        <v>0</v>
      </c>
    </row>
    <row r="80" spans="1:75" ht="15.75" thickBot="1" x14ac:dyDescent="0.3">
      <c r="A80" s="77" t="s">
        <v>182</v>
      </c>
      <c r="B80" s="76">
        <f t="shared" ref="B80:AF80" si="49">B77+B78+B79</f>
        <v>97.5</v>
      </c>
      <c r="C80" s="76">
        <f t="shared" si="49"/>
        <v>97.5</v>
      </c>
      <c r="D80" s="76">
        <f t="shared" si="49"/>
        <v>97.5</v>
      </c>
      <c r="E80" s="76">
        <f t="shared" si="49"/>
        <v>97.5</v>
      </c>
      <c r="F80" s="76">
        <f t="shared" si="49"/>
        <v>99.5</v>
      </c>
      <c r="G80" s="76">
        <f t="shared" si="49"/>
        <v>97.5</v>
      </c>
      <c r="H80" s="76">
        <f t="shared" si="49"/>
        <v>97.5</v>
      </c>
      <c r="I80" s="76">
        <f t="shared" si="49"/>
        <v>97.5</v>
      </c>
      <c r="J80" s="76">
        <f t="shared" si="49"/>
        <v>43.1</v>
      </c>
      <c r="K80" s="76">
        <f t="shared" si="49"/>
        <v>47.8</v>
      </c>
      <c r="L80" s="76">
        <f t="shared" si="49"/>
        <v>79.699999999999989</v>
      </c>
      <c r="M80" s="76">
        <f t="shared" si="49"/>
        <v>72.2</v>
      </c>
      <c r="N80" s="76">
        <f t="shared" si="49"/>
        <v>62.199999999999996</v>
      </c>
      <c r="O80" s="76">
        <f t="shared" si="49"/>
        <v>56.800000000000004</v>
      </c>
      <c r="P80" s="76">
        <f t="shared" si="49"/>
        <v>60</v>
      </c>
      <c r="Q80" s="76">
        <f t="shared" ref="Q80" si="50">Q77+Q78+Q79</f>
        <v>62.6</v>
      </c>
      <c r="R80" s="76">
        <f t="shared" si="49"/>
        <v>60.1</v>
      </c>
      <c r="S80" s="76">
        <f t="shared" ref="S80:T80" si="51">S77+S78+S79</f>
        <v>61.4</v>
      </c>
      <c r="T80" s="76">
        <f t="shared" si="51"/>
        <v>0</v>
      </c>
      <c r="U80" s="76">
        <f t="shared" ref="U80:V80" si="52">U77+U78+U79</f>
        <v>0</v>
      </c>
      <c r="V80" s="76">
        <f t="shared" si="52"/>
        <v>0</v>
      </c>
      <c r="W80" s="76">
        <f t="shared" ref="W80:X80" si="53">W77+W78+W79</f>
        <v>0</v>
      </c>
      <c r="X80" s="76">
        <f t="shared" si="53"/>
        <v>0</v>
      </c>
      <c r="Y80" s="76">
        <f t="shared" ref="Y80:Z80" si="54">Y77+Y78+Y79</f>
        <v>0</v>
      </c>
      <c r="Z80" s="76">
        <f t="shared" si="54"/>
        <v>88.7</v>
      </c>
      <c r="AA80" s="76">
        <f t="shared" ref="AA80" si="55">AA77+AA78+AA79</f>
        <v>88.7</v>
      </c>
      <c r="AB80" s="76">
        <f t="shared" si="49"/>
        <v>96.600000000000009</v>
      </c>
      <c r="AC80" s="76">
        <f t="shared" si="49"/>
        <v>95.5</v>
      </c>
      <c r="AD80" s="76">
        <f t="shared" si="49"/>
        <v>95.4</v>
      </c>
      <c r="AE80" s="76">
        <f t="shared" si="49"/>
        <v>95.4</v>
      </c>
      <c r="AF80" s="76">
        <f t="shared" si="49"/>
        <v>95.4</v>
      </c>
      <c r="AG80" s="93">
        <f>SUM(AG77:AG79)</f>
        <v>106</v>
      </c>
      <c r="AH80" s="12">
        <f t="shared" si="8"/>
        <v>99.5</v>
      </c>
      <c r="AI80" s="11">
        <f t="shared" si="9"/>
        <v>0</v>
      </c>
      <c r="AK80" s="19"/>
      <c r="AZ80" s="78">
        <f t="shared" si="41"/>
        <v>44</v>
      </c>
      <c r="BA80" s="78">
        <f t="shared" si="41"/>
        <v>46.4</v>
      </c>
      <c r="BB80" s="78">
        <f t="shared" si="41"/>
        <v>44.8</v>
      </c>
      <c r="BC80" s="78">
        <f t="shared" si="41"/>
        <v>43.8</v>
      </c>
      <c r="BD80" s="78">
        <f t="shared" si="41"/>
        <v>44.3</v>
      </c>
      <c r="BE80" s="78">
        <f t="shared" si="41"/>
        <v>41.5</v>
      </c>
      <c r="BF80" s="78">
        <f t="shared" si="41"/>
        <v>46</v>
      </c>
      <c r="BG80" s="78">
        <f t="shared" si="41"/>
        <v>42.2</v>
      </c>
      <c r="BH80" s="78">
        <f t="shared" si="41"/>
        <v>48.2</v>
      </c>
      <c r="BI80" s="78">
        <f t="shared" si="41"/>
        <v>35</v>
      </c>
      <c r="BJ80" s="78">
        <f t="shared" si="41"/>
        <v>34.200000000000003</v>
      </c>
      <c r="BK80" s="78">
        <f t="shared" si="41"/>
        <v>45.1</v>
      </c>
      <c r="BL80" s="78">
        <f t="shared" si="41"/>
        <v>45.3</v>
      </c>
      <c r="BM80" s="78">
        <f t="shared" si="41"/>
        <v>38.299999999999997</v>
      </c>
      <c r="BN80" s="78">
        <f t="shared" si="41"/>
        <v>55.4</v>
      </c>
      <c r="BO80" s="78">
        <f t="shared" si="41"/>
        <v>54</v>
      </c>
      <c r="BP80" s="78">
        <f t="shared" si="41"/>
        <v>46.1</v>
      </c>
      <c r="BQ80" s="78">
        <f t="shared" si="41"/>
        <v>42.6</v>
      </c>
      <c r="BR80" s="78">
        <f t="shared" si="41"/>
        <v>35</v>
      </c>
      <c r="BS80" s="78">
        <f t="shared" si="41"/>
        <v>33.200000000000003</v>
      </c>
      <c r="BT80" s="78">
        <f t="shared" si="41"/>
        <v>32.200000000000003</v>
      </c>
      <c r="BU80" s="78">
        <f t="shared" si="41"/>
        <v>33.200000000000003</v>
      </c>
      <c r="BV80" s="78">
        <f t="shared" si="41"/>
        <v>42</v>
      </c>
      <c r="BW80" s="78">
        <f t="shared" si="41"/>
        <v>44</v>
      </c>
    </row>
    <row r="81" spans="1:64" x14ac:dyDescent="0.25">
      <c r="A81" s="89" t="s">
        <v>157</v>
      </c>
      <c r="B81" s="102">
        <v>37.299999999999997</v>
      </c>
      <c r="C81" s="102">
        <v>37.4</v>
      </c>
      <c r="D81" s="102">
        <v>34.200000000000003</v>
      </c>
      <c r="E81" s="102">
        <v>29.6</v>
      </c>
      <c r="F81" s="102">
        <v>28.7</v>
      </c>
      <c r="G81" s="102">
        <v>29.2</v>
      </c>
      <c r="H81" s="102">
        <v>26.8</v>
      </c>
      <c r="I81" s="102">
        <v>29.1</v>
      </c>
      <c r="J81" s="102">
        <v>51.3</v>
      </c>
      <c r="K81" s="102">
        <v>59</v>
      </c>
      <c r="L81" s="102">
        <v>59.8</v>
      </c>
      <c r="M81" s="102">
        <v>50.3</v>
      </c>
      <c r="N81" s="102">
        <v>56.8</v>
      </c>
      <c r="O81" s="102">
        <v>70</v>
      </c>
      <c r="P81" s="102">
        <v>59</v>
      </c>
      <c r="Q81" s="102">
        <v>72.3</v>
      </c>
      <c r="R81" s="102">
        <v>72.5</v>
      </c>
      <c r="S81" s="102">
        <v>69.900000000000006</v>
      </c>
      <c r="T81" s="102">
        <v>57.8</v>
      </c>
      <c r="U81" s="102">
        <v>65.5</v>
      </c>
      <c r="V81" s="102">
        <v>70.900000000000006</v>
      </c>
      <c r="W81" s="102">
        <v>73.3</v>
      </c>
      <c r="X81" s="102">
        <v>62.2</v>
      </c>
      <c r="Y81" s="102">
        <v>61.6</v>
      </c>
      <c r="Z81" s="102">
        <v>67.8</v>
      </c>
      <c r="AA81" s="102">
        <v>19.899999999999999</v>
      </c>
      <c r="AB81" s="102">
        <v>22.1</v>
      </c>
      <c r="AC81" s="102">
        <v>42</v>
      </c>
      <c r="AD81" s="102">
        <v>43.7</v>
      </c>
      <c r="AE81" s="102">
        <v>43.7</v>
      </c>
      <c r="AF81" s="102">
        <v>49</v>
      </c>
      <c r="AG81" s="88"/>
      <c r="AH81" s="12">
        <f t="shared" si="8"/>
        <v>73.3</v>
      </c>
      <c r="AI81" s="11">
        <f t="shared" si="9"/>
        <v>19.899999999999999</v>
      </c>
      <c r="AK81" s="19"/>
      <c r="AY81" s="78"/>
    </row>
    <row r="82" spans="1:64" x14ac:dyDescent="0.25">
      <c r="A82" s="87" t="s">
        <v>160</v>
      </c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>
        <v>83.6</v>
      </c>
      <c r="N82" s="70">
        <v>94.9</v>
      </c>
      <c r="O82" s="70">
        <v>84</v>
      </c>
      <c r="P82" s="70">
        <v>78</v>
      </c>
      <c r="Q82" s="70">
        <v>81.400000000000006</v>
      </c>
      <c r="R82" s="70">
        <v>75.5</v>
      </c>
      <c r="S82" s="70">
        <v>75.599999999999994</v>
      </c>
      <c r="T82" s="70">
        <v>91.5</v>
      </c>
      <c r="U82" s="70">
        <v>100.4</v>
      </c>
      <c r="V82" s="70">
        <v>102.2</v>
      </c>
      <c r="W82" s="70">
        <v>104.6</v>
      </c>
      <c r="X82" s="70">
        <v>112</v>
      </c>
      <c r="Y82" s="70">
        <v>112.8</v>
      </c>
      <c r="Z82" s="70">
        <v>0</v>
      </c>
      <c r="AA82" s="70">
        <v>0</v>
      </c>
      <c r="AB82" s="70">
        <v>0</v>
      </c>
      <c r="AC82" s="70">
        <v>0</v>
      </c>
      <c r="AD82" s="70">
        <v>0</v>
      </c>
      <c r="AE82" s="70">
        <v>0</v>
      </c>
      <c r="AF82" s="70">
        <v>0</v>
      </c>
      <c r="AG82" s="86"/>
      <c r="AH82" s="12">
        <f t="shared" ref="AH82:AH125" si="56">MAX(B82:AF82)</f>
        <v>112.8</v>
      </c>
      <c r="AI82" s="11">
        <f t="shared" ref="AI82:AI125" si="57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25">
      <c r="A83" s="87" t="s">
        <v>181</v>
      </c>
      <c r="B83" s="70">
        <v>164</v>
      </c>
      <c r="C83" s="70">
        <v>159</v>
      </c>
      <c r="D83" s="70">
        <v>196</v>
      </c>
      <c r="E83" s="70">
        <v>199</v>
      </c>
      <c r="F83" s="70">
        <v>187</v>
      </c>
      <c r="G83" s="70">
        <v>205</v>
      </c>
      <c r="H83" s="70">
        <v>261</v>
      </c>
      <c r="I83" s="70">
        <v>219</v>
      </c>
      <c r="J83" s="70">
        <v>417</v>
      </c>
      <c r="K83" s="70">
        <v>407</v>
      </c>
      <c r="L83" s="70">
        <v>404</v>
      </c>
      <c r="M83" s="70">
        <v>380</v>
      </c>
      <c r="N83" s="70">
        <v>400</v>
      </c>
      <c r="O83" s="70">
        <v>429</v>
      </c>
      <c r="P83" s="70">
        <v>432</v>
      </c>
      <c r="Q83" s="70">
        <v>421</v>
      </c>
      <c r="R83" s="70">
        <v>425</v>
      </c>
      <c r="S83" s="70">
        <v>430.4</v>
      </c>
      <c r="T83" s="70">
        <v>431.5</v>
      </c>
      <c r="U83" s="70">
        <v>405.5</v>
      </c>
      <c r="V83" s="70">
        <v>403.6</v>
      </c>
      <c r="W83" s="70">
        <v>400</v>
      </c>
      <c r="X83" s="70">
        <v>342.8</v>
      </c>
      <c r="Y83" s="70">
        <v>189.7</v>
      </c>
      <c r="Z83" s="70">
        <v>129</v>
      </c>
      <c r="AA83" s="70">
        <v>36.700000000000003</v>
      </c>
      <c r="AB83" s="70">
        <v>45.2</v>
      </c>
      <c r="AC83" s="70">
        <v>197.6</v>
      </c>
      <c r="AD83" s="70">
        <v>4.9000000000000004</v>
      </c>
      <c r="AE83" s="70">
        <v>4.9000000000000004</v>
      </c>
      <c r="AF83" s="70">
        <v>108</v>
      </c>
      <c r="AG83" s="96"/>
      <c r="AH83" s="12">
        <f t="shared" si="56"/>
        <v>432</v>
      </c>
      <c r="AI83" s="11">
        <f t="shared" si="57"/>
        <v>4.9000000000000004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25">
      <c r="A84" s="87" t="s">
        <v>161</v>
      </c>
      <c r="B84" s="70"/>
      <c r="C84" s="70"/>
      <c r="D84" s="70"/>
      <c r="E84" s="85"/>
      <c r="F84" s="85"/>
      <c r="G84" s="85"/>
      <c r="H84" s="85"/>
      <c r="I84" s="85"/>
      <c r="J84" s="85">
        <v>46.4</v>
      </c>
      <c r="K84" s="85">
        <v>46.4</v>
      </c>
      <c r="L84" s="85">
        <v>49.5</v>
      </c>
      <c r="M84" s="85">
        <v>49</v>
      </c>
      <c r="N84" s="85">
        <v>47.7</v>
      </c>
      <c r="O84" s="85">
        <v>16.2</v>
      </c>
      <c r="P84" s="85">
        <v>41.4</v>
      </c>
      <c r="Q84" s="85">
        <v>38.799999999999997</v>
      </c>
      <c r="R84" s="85">
        <v>39.4</v>
      </c>
      <c r="S84" s="85">
        <v>49</v>
      </c>
      <c r="T84" s="85">
        <v>44.8</v>
      </c>
      <c r="U84" s="85">
        <v>42.5</v>
      </c>
      <c r="V84" s="85">
        <v>30.3</v>
      </c>
      <c r="W84" s="85">
        <v>25.9</v>
      </c>
      <c r="X84" s="85">
        <v>25.9</v>
      </c>
      <c r="Y84" s="85">
        <v>13.3</v>
      </c>
      <c r="Z84" s="85">
        <v>0</v>
      </c>
      <c r="AA84" s="85">
        <v>0</v>
      </c>
      <c r="AB84" s="85">
        <v>0</v>
      </c>
      <c r="AC84" s="85">
        <v>0</v>
      </c>
      <c r="AD84" s="85">
        <v>0</v>
      </c>
      <c r="AE84" s="85">
        <v>0</v>
      </c>
      <c r="AF84" s="85">
        <v>0</v>
      </c>
      <c r="AG84" s="96"/>
      <c r="AH84" s="12">
        <f t="shared" si="56"/>
        <v>49.5</v>
      </c>
      <c r="AI84" s="11">
        <f t="shared" si="57"/>
        <v>0</v>
      </c>
      <c r="AK84" s="19"/>
      <c r="AY84" s="78"/>
      <c r="BF84" s="83"/>
      <c r="BG84" s="78">
        <f t="array" ref="BG84:BL107">TRANSPOSE(AZ68:BW73)</f>
        <v>37</v>
      </c>
      <c r="BH84" s="78">
        <v>0</v>
      </c>
      <c r="BI84" s="78">
        <v>159</v>
      </c>
      <c r="BJ84" s="78">
        <v>0</v>
      </c>
      <c r="BK84" s="78">
        <v>0</v>
      </c>
      <c r="BL84" s="78">
        <v>44</v>
      </c>
    </row>
    <row r="85" spans="1:64" ht="15.75" thickBot="1" x14ac:dyDescent="0.3">
      <c r="A85" s="87" t="s">
        <v>180</v>
      </c>
      <c r="B85" s="102"/>
      <c r="C85" s="102"/>
      <c r="D85" s="102"/>
      <c r="E85" s="102"/>
      <c r="F85" s="102"/>
      <c r="G85" s="102"/>
      <c r="H85" s="102"/>
      <c r="I85" s="102"/>
      <c r="J85" s="102">
        <v>101</v>
      </c>
      <c r="K85" s="102">
        <v>102.9</v>
      </c>
      <c r="L85" s="102">
        <v>99.8</v>
      </c>
      <c r="M85" s="102">
        <v>131.30000000000001</v>
      </c>
      <c r="N85" s="102">
        <v>138.19999999999999</v>
      </c>
      <c r="O85" s="102">
        <v>135</v>
      </c>
      <c r="P85" s="102">
        <v>137.5</v>
      </c>
      <c r="Q85" s="102">
        <v>118</v>
      </c>
      <c r="R85" s="102">
        <v>120.7</v>
      </c>
      <c r="S85" s="102">
        <v>136.4</v>
      </c>
      <c r="T85" s="102">
        <v>102.4</v>
      </c>
      <c r="U85" s="102">
        <v>94.4</v>
      </c>
      <c r="V85" s="102">
        <v>87.8</v>
      </c>
      <c r="W85" s="102">
        <v>94.8</v>
      </c>
      <c r="X85" s="102">
        <v>75.599999999999994</v>
      </c>
      <c r="Y85" s="102">
        <v>44.7</v>
      </c>
      <c r="Z85" s="102">
        <v>0</v>
      </c>
      <c r="AA85" s="102">
        <v>0</v>
      </c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56"/>
        <v>138.19999999999999</v>
      </c>
      <c r="AI85" s="11">
        <f t="shared" si="57"/>
        <v>0</v>
      </c>
      <c r="AK85" s="19"/>
      <c r="AY85" s="78"/>
      <c r="BF85" s="83"/>
      <c r="BG85" s="78">
        <v>34.200000000000003</v>
      </c>
      <c r="BH85" s="78">
        <v>0</v>
      </c>
      <c r="BI85" s="78">
        <v>196</v>
      </c>
      <c r="BJ85" s="78">
        <v>0</v>
      </c>
      <c r="BK85" s="78">
        <v>0</v>
      </c>
      <c r="BL85" s="78">
        <v>46.4</v>
      </c>
    </row>
    <row r="86" spans="1:64" ht="15.75" x14ac:dyDescent="0.25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181"/>
      <c r="AC86" s="97"/>
      <c r="AD86" s="97" t="s">
        <v>306</v>
      </c>
      <c r="AE86" s="97" t="s">
        <v>306</v>
      </c>
      <c r="AF86" s="97" t="s">
        <v>306</v>
      </c>
      <c r="AG86" s="96"/>
      <c r="AH86" s="12">
        <f t="shared" si="56"/>
        <v>0</v>
      </c>
      <c r="AI86" s="11">
        <f t="shared" si="57"/>
        <v>0</v>
      </c>
      <c r="AK86" s="19"/>
      <c r="AY86" s="78"/>
      <c r="BF86" s="83"/>
      <c r="BG86" s="78">
        <v>29.6</v>
      </c>
      <c r="BH86" s="78">
        <v>0</v>
      </c>
      <c r="BI86" s="78">
        <v>199</v>
      </c>
      <c r="BJ86" s="78">
        <v>0</v>
      </c>
      <c r="BK86" s="78">
        <v>0</v>
      </c>
      <c r="BL86" s="78">
        <v>44.8</v>
      </c>
    </row>
    <row r="87" spans="1:64" ht="16.5" thickBot="1" x14ac:dyDescent="0.3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182"/>
      <c r="AC87" s="97"/>
      <c r="AD87" s="97"/>
      <c r="AE87" s="97"/>
      <c r="AF87" s="97"/>
      <c r="AG87" s="96"/>
      <c r="AH87" s="12">
        <f t="shared" si="56"/>
        <v>0</v>
      </c>
      <c r="AI87" s="11">
        <f t="shared" si="57"/>
        <v>0</v>
      </c>
      <c r="AK87" s="19"/>
      <c r="AL87" s="108" t="s">
        <v>177</v>
      </c>
      <c r="AM87" s="108"/>
      <c r="AY87" s="78"/>
      <c r="BF87" s="78"/>
      <c r="BG87" s="78">
        <v>28.7</v>
      </c>
      <c r="BH87" s="78">
        <v>0</v>
      </c>
      <c r="BI87" s="78">
        <v>187</v>
      </c>
      <c r="BJ87" s="78">
        <v>0</v>
      </c>
      <c r="BK87" s="78">
        <v>0</v>
      </c>
      <c r="BL87" s="78">
        <v>43.8</v>
      </c>
    </row>
    <row r="88" spans="1:64" ht="15.75" x14ac:dyDescent="0.25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182"/>
      <c r="AC88" s="97"/>
      <c r="AD88" s="97"/>
      <c r="AE88" s="97"/>
      <c r="AF88" s="97"/>
      <c r="AG88" s="96"/>
      <c r="AH88" s="12">
        <f t="shared" si="56"/>
        <v>0</v>
      </c>
      <c r="AI88" s="11">
        <f t="shared" si="57"/>
        <v>0</v>
      </c>
      <c r="AK88" s="107"/>
      <c r="AL88" s="106"/>
      <c r="AM88" s="106"/>
      <c r="AN88" s="105"/>
      <c r="AY88" s="78"/>
      <c r="BF88" s="78"/>
      <c r="BG88" s="78">
        <v>29.2</v>
      </c>
      <c r="BH88" s="78">
        <v>0</v>
      </c>
      <c r="BI88" s="78">
        <v>205</v>
      </c>
      <c r="BJ88" s="78">
        <v>0</v>
      </c>
      <c r="BK88" s="78">
        <v>0</v>
      </c>
      <c r="BL88" s="78">
        <v>44.3</v>
      </c>
    </row>
    <row r="89" spans="1:64" ht="15.75" x14ac:dyDescent="0.25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182"/>
      <c r="AC89" s="97"/>
      <c r="AD89" s="97"/>
      <c r="AE89" s="97"/>
      <c r="AF89" s="97"/>
      <c r="AG89" s="96"/>
      <c r="AH89" s="12">
        <f t="shared" si="56"/>
        <v>0</v>
      </c>
      <c r="AI89" s="11">
        <f t="shared" si="57"/>
        <v>0</v>
      </c>
      <c r="AK89" s="104" t="s">
        <v>174</v>
      </c>
      <c r="AL89" s="70"/>
      <c r="AM89" s="85"/>
      <c r="AN89" s="103"/>
      <c r="AY89" s="78"/>
      <c r="BF89" s="78"/>
      <c r="BG89" s="78">
        <v>29.1</v>
      </c>
      <c r="BH89" s="78">
        <v>0</v>
      </c>
      <c r="BI89" s="78">
        <v>219</v>
      </c>
      <c r="BJ89" s="78">
        <v>0</v>
      </c>
      <c r="BK89" s="78">
        <v>0</v>
      </c>
      <c r="BL89" s="78">
        <v>41.5</v>
      </c>
    </row>
    <row r="90" spans="1:64" ht="15.75" x14ac:dyDescent="0.25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182"/>
      <c r="AC90" s="97"/>
      <c r="AD90" s="97"/>
      <c r="AE90" s="97"/>
      <c r="AF90" s="97"/>
      <c r="AG90" s="80"/>
      <c r="AH90" s="12">
        <f t="shared" si="56"/>
        <v>0</v>
      </c>
      <c r="AI90" s="11">
        <f t="shared" si="57"/>
        <v>0</v>
      </c>
      <c r="AK90" s="104" t="s">
        <v>172</v>
      </c>
      <c r="AL90" s="85"/>
      <c r="AM90" s="85"/>
      <c r="AN90" s="103"/>
      <c r="AY90" s="78"/>
      <c r="BF90" s="78"/>
      <c r="BG90" s="78">
        <v>59</v>
      </c>
      <c r="BH90" s="78">
        <v>0</v>
      </c>
      <c r="BI90" s="78">
        <v>407</v>
      </c>
      <c r="BJ90" s="78">
        <v>46.4</v>
      </c>
      <c r="BK90" s="78">
        <v>102.9</v>
      </c>
      <c r="BL90" s="78">
        <v>46</v>
      </c>
    </row>
    <row r="91" spans="1:64" ht="15.75" thickBot="1" x14ac:dyDescent="0.3">
      <c r="A91" s="82" t="s">
        <v>171</v>
      </c>
      <c r="B91" s="97">
        <v>44</v>
      </c>
      <c r="C91" s="97">
        <v>44.3</v>
      </c>
      <c r="D91" s="97">
        <v>46.4</v>
      </c>
      <c r="E91" s="97">
        <v>44.8</v>
      </c>
      <c r="F91" s="97">
        <v>43.8</v>
      </c>
      <c r="G91" s="97">
        <v>44.3</v>
      </c>
      <c r="H91" s="97">
        <v>42.7</v>
      </c>
      <c r="I91" s="97">
        <v>41.5</v>
      </c>
      <c r="J91" s="97">
        <v>42.6</v>
      </c>
      <c r="K91" s="97">
        <v>46</v>
      </c>
      <c r="L91" s="97">
        <v>49.4</v>
      </c>
      <c r="M91" s="97">
        <v>42.2</v>
      </c>
      <c r="N91" s="97">
        <v>48.2</v>
      </c>
      <c r="O91" s="97">
        <v>35</v>
      </c>
      <c r="P91" s="97">
        <v>34.200000000000003</v>
      </c>
      <c r="Q91" s="97">
        <v>45.1</v>
      </c>
      <c r="R91" s="97">
        <v>45.3</v>
      </c>
      <c r="S91" s="97">
        <v>38.299999999999997</v>
      </c>
      <c r="T91" s="97">
        <v>55.4</v>
      </c>
      <c r="U91" s="97">
        <v>54</v>
      </c>
      <c r="V91" s="97">
        <v>46.1</v>
      </c>
      <c r="W91" s="97">
        <v>42.1</v>
      </c>
      <c r="X91" s="97">
        <v>42.6</v>
      </c>
      <c r="Y91" s="97">
        <v>41.6</v>
      </c>
      <c r="Z91" s="97">
        <v>35</v>
      </c>
      <c r="AA91" s="97">
        <v>33.200000000000003</v>
      </c>
      <c r="AB91" s="97">
        <v>33.200000000000003</v>
      </c>
      <c r="AC91" s="97">
        <v>31.4</v>
      </c>
      <c r="AD91" s="97">
        <v>32.200000000000003</v>
      </c>
      <c r="AE91" s="97">
        <v>33.200000000000003</v>
      </c>
      <c r="AF91" s="97">
        <v>42</v>
      </c>
      <c r="AG91" s="80"/>
      <c r="AH91" s="12">
        <f t="shared" si="56"/>
        <v>55.4</v>
      </c>
      <c r="AI91" s="11">
        <f t="shared" si="57"/>
        <v>31.4</v>
      </c>
      <c r="AK91" s="98"/>
      <c r="AL91" s="102"/>
      <c r="AM91" s="102"/>
      <c r="AN91" s="101"/>
      <c r="AY91" s="78"/>
      <c r="BF91" s="78"/>
      <c r="BG91" s="78">
        <v>50.3</v>
      </c>
      <c r="BH91" s="78">
        <v>83.6</v>
      </c>
      <c r="BI91" s="78">
        <v>380</v>
      </c>
      <c r="BJ91" s="78">
        <v>49</v>
      </c>
      <c r="BK91" s="78">
        <v>131.30000000000001</v>
      </c>
      <c r="BL91" s="78">
        <v>42.2</v>
      </c>
    </row>
    <row r="92" spans="1:64" ht="16.5" thickBot="1" x14ac:dyDescent="0.3">
      <c r="A92" s="77" t="s">
        <v>170</v>
      </c>
      <c r="B92" s="76">
        <f t="shared" ref="B92:AF92" si="58">SUMIF(B81:B91,"&gt;0")</f>
        <v>245.3</v>
      </c>
      <c r="C92" s="76">
        <f t="shared" si="58"/>
        <v>240.7</v>
      </c>
      <c r="D92" s="76">
        <f t="shared" si="58"/>
        <v>276.59999999999997</v>
      </c>
      <c r="E92" s="76">
        <f t="shared" si="58"/>
        <v>273.39999999999998</v>
      </c>
      <c r="F92" s="76">
        <f t="shared" si="58"/>
        <v>259.5</v>
      </c>
      <c r="G92" s="76">
        <f t="shared" si="58"/>
        <v>278.5</v>
      </c>
      <c r="H92" s="76">
        <f t="shared" si="58"/>
        <v>330.5</v>
      </c>
      <c r="I92" s="76">
        <f t="shared" si="58"/>
        <v>289.60000000000002</v>
      </c>
      <c r="J92" s="76">
        <f t="shared" si="58"/>
        <v>658.30000000000007</v>
      </c>
      <c r="K92" s="76">
        <f t="shared" si="58"/>
        <v>661.3</v>
      </c>
      <c r="L92" s="76">
        <f t="shared" si="58"/>
        <v>662.49999999999989</v>
      </c>
      <c r="M92" s="76">
        <f t="shared" si="58"/>
        <v>736.40000000000009</v>
      </c>
      <c r="N92" s="76">
        <f t="shared" si="58"/>
        <v>785.80000000000018</v>
      </c>
      <c r="O92" s="76">
        <f t="shared" si="58"/>
        <v>769.2</v>
      </c>
      <c r="P92" s="76">
        <f t="shared" si="58"/>
        <v>782.1</v>
      </c>
      <c r="Q92" s="76">
        <f t="shared" si="58"/>
        <v>776.6</v>
      </c>
      <c r="R92" s="76">
        <f t="shared" si="58"/>
        <v>778.4</v>
      </c>
      <c r="S92" s="76">
        <f t="shared" ref="S92:T92" si="59">SUMIF(S81:S91,"&gt;0")</f>
        <v>799.59999999999991</v>
      </c>
      <c r="T92" s="76">
        <f t="shared" si="59"/>
        <v>783.39999999999986</v>
      </c>
      <c r="U92" s="76">
        <f t="shared" ref="U92:V92" si="60">SUMIF(U81:U91,"&gt;0")</f>
        <v>762.3</v>
      </c>
      <c r="V92" s="76">
        <f t="shared" si="60"/>
        <v>740.9</v>
      </c>
      <c r="W92" s="76">
        <f t="shared" ref="W92:X92" si="61">SUMIF(W81:W91,"&gt;0")</f>
        <v>740.69999999999993</v>
      </c>
      <c r="X92" s="76">
        <f t="shared" si="61"/>
        <v>661.1</v>
      </c>
      <c r="Y92" s="76">
        <f t="shared" ref="Y92:Z92" si="62">SUMIF(Y81:Y91,"&gt;0")</f>
        <v>463.70000000000005</v>
      </c>
      <c r="Z92" s="76">
        <f t="shared" si="62"/>
        <v>231.8</v>
      </c>
      <c r="AA92" s="76">
        <f t="shared" ref="AA92" si="63">SUMIF(AA81:AA91,"&gt;0")</f>
        <v>89.800000000000011</v>
      </c>
      <c r="AB92" s="182">
        <v>16</v>
      </c>
      <c r="AC92" s="76">
        <f t="shared" si="58"/>
        <v>271</v>
      </c>
      <c r="AD92" s="76">
        <f t="shared" si="58"/>
        <v>80.800000000000011</v>
      </c>
      <c r="AE92" s="76">
        <f t="shared" si="58"/>
        <v>81.800000000000011</v>
      </c>
      <c r="AF92" s="76">
        <f t="shared" si="58"/>
        <v>199</v>
      </c>
      <c r="AG92" s="75">
        <f>SUM(AG81:AG91)</f>
        <v>0</v>
      </c>
      <c r="AH92" s="12">
        <f t="shared" si="56"/>
        <v>799.59999999999991</v>
      </c>
      <c r="AI92" s="11">
        <f t="shared" si="57"/>
        <v>16</v>
      </c>
      <c r="AK92" s="98"/>
      <c r="AL92" s="97"/>
      <c r="AM92" s="100"/>
      <c r="AN92" s="220"/>
      <c r="AY92" s="78"/>
      <c r="BF92" s="78"/>
      <c r="BG92" s="78">
        <v>56.8</v>
      </c>
      <c r="BH92" s="78">
        <v>94.9</v>
      </c>
      <c r="BI92" s="78">
        <v>400</v>
      </c>
      <c r="BJ92" s="78">
        <v>47.7</v>
      </c>
      <c r="BK92" s="78">
        <v>138.19999999999999</v>
      </c>
      <c r="BL92" s="78">
        <v>48.2</v>
      </c>
    </row>
    <row r="93" spans="1:64" x14ac:dyDescent="0.25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56"/>
        <v>0</v>
      </c>
      <c r="AI93" s="11">
        <f t="shared" si="57"/>
        <v>0</v>
      </c>
      <c r="AK93" s="98"/>
      <c r="AL93" s="97"/>
      <c r="AM93" s="97"/>
      <c r="AN93" s="221"/>
      <c r="BF93" s="78"/>
      <c r="BG93" s="78">
        <v>70</v>
      </c>
      <c r="BH93" s="78">
        <v>84</v>
      </c>
      <c r="BI93" s="78">
        <v>429</v>
      </c>
      <c r="BJ93" s="78">
        <v>16.2</v>
      </c>
      <c r="BK93" s="78">
        <v>135</v>
      </c>
      <c r="BL93" s="78">
        <v>35</v>
      </c>
    </row>
    <row r="94" spans="1:64" ht="15.75" thickBot="1" x14ac:dyDescent="0.3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56"/>
        <v>0</v>
      </c>
      <c r="AI94" s="11">
        <f t="shared" si="57"/>
        <v>0</v>
      </c>
      <c r="AK94" s="95"/>
      <c r="AL94" s="67"/>
      <c r="AM94" s="67"/>
      <c r="AN94" s="94"/>
      <c r="BF94" s="78"/>
      <c r="BG94" s="78">
        <v>59</v>
      </c>
      <c r="BH94" s="78">
        <v>78</v>
      </c>
      <c r="BI94" s="78">
        <v>432</v>
      </c>
      <c r="BJ94" s="78">
        <v>41.4</v>
      </c>
      <c r="BK94" s="78">
        <v>137.5</v>
      </c>
      <c r="BL94" s="78">
        <v>34.200000000000003</v>
      </c>
    </row>
    <row r="95" spans="1:64" ht="15.75" thickBot="1" x14ac:dyDescent="0.3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56"/>
        <v>0</v>
      </c>
      <c r="AI95" s="11">
        <f t="shared" si="57"/>
        <v>0</v>
      </c>
      <c r="BF95" s="78"/>
      <c r="BG95" s="78">
        <v>72.3</v>
      </c>
      <c r="BH95" s="78">
        <v>81.400000000000006</v>
      </c>
      <c r="BI95" s="78">
        <v>421</v>
      </c>
      <c r="BJ95" s="78">
        <v>38.799999999999997</v>
      </c>
      <c r="BK95" s="78">
        <v>118</v>
      </c>
      <c r="BL95" s="78">
        <v>45.1</v>
      </c>
    </row>
    <row r="96" spans="1:64" ht="16.5" thickBot="1" x14ac:dyDescent="0.3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184"/>
      <c r="AC96" s="76"/>
      <c r="AD96" s="76"/>
      <c r="AE96" s="76"/>
      <c r="AF96" s="76"/>
      <c r="AG96" s="75">
        <f>SUM(AG93:AG95)</f>
        <v>55.4</v>
      </c>
      <c r="AH96" s="12">
        <f t="shared" si="56"/>
        <v>0</v>
      </c>
      <c r="AI96" s="11">
        <f t="shared" si="57"/>
        <v>0</v>
      </c>
      <c r="BF96" s="78"/>
      <c r="BG96" s="78">
        <v>72.5</v>
      </c>
      <c r="BH96" s="78">
        <v>75.5</v>
      </c>
      <c r="BI96" s="78">
        <v>425</v>
      </c>
      <c r="BJ96" s="78">
        <v>39.4</v>
      </c>
      <c r="BK96" s="78">
        <v>120.7</v>
      </c>
      <c r="BL96" s="78">
        <v>45.3</v>
      </c>
    </row>
    <row r="97" spans="1:64" ht="15.75" thickBot="1" x14ac:dyDescent="0.3">
      <c r="A97" s="77" t="s">
        <v>165</v>
      </c>
      <c r="B97" s="90">
        <f t="shared" ref="B97:AG97" si="64">B58+B62+B80+B76+B92+B96</f>
        <v>1312.73</v>
      </c>
      <c r="C97" s="90">
        <f t="shared" si="64"/>
        <v>1271.6300000000001</v>
      </c>
      <c r="D97" s="90">
        <f t="shared" si="64"/>
        <v>1252.33</v>
      </c>
      <c r="E97" s="90">
        <f t="shared" si="64"/>
        <v>1284.1299999999999</v>
      </c>
      <c r="F97" s="90">
        <f t="shared" si="64"/>
        <v>1256.23</v>
      </c>
      <c r="G97" s="90">
        <f t="shared" si="64"/>
        <v>1256.73</v>
      </c>
      <c r="H97" s="90">
        <f t="shared" si="64"/>
        <v>1307.03</v>
      </c>
      <c r="I97" s="90">
        <f t="shared" si="64"/>
        <v>1314.6889999999999</v>
      </c>
      <c r="J97" s="90">
        <f t="shared" si="64"/>
        <v>1505.29</v>
      </c>
      <c r="K97" s="90">
        <f t="shared" si="64"/>
        <v>1452.09</v>
      </c>
      <c r="L97" s="90">
        <f t="shared" si="64"/>
        <v>1485.1899999999998</v>
      </c>
      <c r="M97" s="90">
        <f t="shared" si="64"/>
        <v>1549.2900000000002</v>
      </c>
      <c r="N97" s="90">
        <f t="shared" si="64"/>
        <v>1582.3900000000003</v>
      </c>
      <c r="O97" s="90">
        <f t="shared" si="64"/>
        <v>1553.5900000000001</v>
      </c>
      <c r="P97" s="90">
        <f t="shared" si="64"/>
        <v>1566.79</v>
      </c>
      <c r="Q97" s="90">
        <f t="shared" si="64"/>
        <v>1525.79</v>
      </c>
      <c r="R97" s="90">
        <f t="shared" si="64"/>
        <v>1465.69</v>
      </c>
      <c r="S97" s="90">
        <f t="shared" ref="S97:T97" si="65">S58+S62+S80+S76+S92+S96</f>
        <v>1543.49</v>
      </c>
      <c r="T97" s="90">
        <f t="shared" si="65"/>
        <v>1534.09</v>
      </c>
      <c r="U97" s="90">
        <f t="shared" ref="U97:V97" si="66">U58+U62+U80+U76+U92+U96</f>
        <v>1511.89</v>
      </c>
      <c r="V97" s="90">
        <f t="shared" si="66"/>
        <v>1513.0900000000001</v>
      </c>
      <c r="W97" s="90">
        <f t="shared" ref="W97:X97" si="67">W58+W62+W80+W76+W92+W96</f>
        <v>1512.79</v>
      </c>
      <c r="X97" s="90">
        <f t="shared" si="67"/>
        <v>1446.3899999999999</v>
      </c>
      <c r="Y97" s="90">
        <f t="shared" ref="Y97:Z97" si="68">Y58+Y62+Y80+Y76+Y92+Y96</f>
        <v>1402.99</v>
      </c>
      <c r="Z97" s="90">
        <f t="shared" si="68"/>
        <v>1585.39</v>
      </c>
      <c r="AA97" s="90">
        <f t="shared" ref="AA97:AC97" si="69">AA58+AA62+AA80+AA76+AA92+AA96</f>
        <v>1529.09</v>
      </c>
      <c r="AB97" s="90">
        <f t="shared" si="69"/>
        <v>1461.59</v>
      </c>
      <c r="AC97" s="90">
        <f t="shared" si="69"/>
        <v>1491.29</v>
      </c>
      <c r="AD97" s="90">
        <f t="shared" si="64"/>
        <v>1457.3899999999999</v>
      </c>
      <c r="AE97" s="90">
        <f t="shared" si="64"/>
        <v>1239.5899999999999</v>
      </c>
      <c r="AF97" s="90">
        <f t="shared" si="64"/>
        <v>1321.3899999999999</v>
      </c>
      <c r="AG97" s="93">
        <f t="shared" si="64"/>
        <v>2231.81</v>
      </c>
      <c r="AH97" s="12">
        <f t="shared" si="56"/>
        <v>1585.39</v>
      </c>
      <c r="AI97" s="11">
        <f t="shared" si="57"/>
        <v>1239.5899999999999</v>
      </c>
      <c r="BF97" s="78"/>
      <c r="BG97" s="78">
        <v>69.900000000000006</v>
      </c>
      <c r="BH97" s="78">
        <v>75.599999999999994</v>
      </c>
      <c r="BI97" s="78">
        <v>430.4</v>
      </c>
      <c r="BJ97" s="78">
        <v>49</v>
      </c>
      <c r="BK97" s="78">
        <v>136.4</v>
      </c>
      <c r="BL97" s="78">
        <v>38.299999999999997</v>
      </c>
    </row>
    <row r="98" spans="1:64" ht="16.5" thickBot="1" x14ac:dyDescent="0.3">
      <c r="A98" s="92" t="s">
        <v>164</v>
      </c>
      <c r="B98" s="91">
        <v>280</v>
      </c>
      <c r="C98" s="91">
        <v>280</v>
      </c>
      <c r="D98" s="91">
        <v>280</v>
      </c>
      <c r="E98" s="91">
        <v>280</v>
      </c>
      <c r="F98" s="91">
        <v>280</v>
      </c>
      <c r="G98" s="91">
        <v>250</v>
      </c>
      <c r="H98" s="91">
        <v>200</v>
      </c>
      <c r="I98" s="91">
        <v>180</v>
      </c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>
        <v>300</v>
      </c>
      <c r="AA98" s="91">
        <v>360</v>
      </c>
      <c r="AB98" s="182">
        <v>360</v>
      </c>
      <c r="AC98" s="182">
        <v>360</v>
      </c>
      <c r="AD98" s="182">
        <v>360</v>
      </c>
      <c r="AE98" s="182">
        <v>330</v>
      </c>
      <c r="AF98" s="91">
        <v>330</v>
      </c>
      <c r="AG98" s="75"/>
      <c r="AH98" s="12">
        <f t="shared" si="56"/>
        <v>360</v>
      </c>
      <c r="AI98" s="11">
        <f t="shared" si="57"/>
        <v>180</v>
      </c>
      <c r="BF98" s="78"/>
      <c r="BG98" s="78">
        <v>57.8</v>
      </c>
      <c r="BH98" s="78">
        <v>91.5</v>
      </c>
      <c r="BI98" s="78">
        <v>431.5</v>
      </c>
      <c r="BJ98" s="78">
        <v>44.8</v>
      </c>
      <c r="BK98" s="78">
        <v>102.4</v>
      </c>
      <c r="BL98" s="78">
        <v>55.4</v>
      </c>
    </row>
    <row r="99" spans="1:64" ht="15.75" thickBot="1" x14ac:dyDescent="0.3">
      <c r="A99" s="77" t="s">
        <v>163</v>
      </c>
      <c r="B99" s="90">
        <f t="shared" ref="B99:AF99" si="70">B97+B98</f>
        <v>1592.73</v>
      </c>
      <c r="C99" s="90">
        <f t="shared" si="70"/>
        <v>1551.63</v>
      </c>
      <c r="D99" s="90">
        <f t="shared" si="70"/>
        <v>1532.33</v>
      </c>
      <c r="E99" s="90">
        <f t="shared" si="70"/>
        <v>1564.1299999999999</v>
      </c>
      <c r="F99" s="90">
        <f t="shared" si="70"/>
        <v>1536.23</v>
      </c>
      <c r="G99" s="90">
        <f t="shared" si="70"/>
        <v>1506.73</v>
      </c>
      <c r="H99" s="90">
        <f t="shared" si="70"/>
        <v>1507.03</v>
      </c>
      <c r="I99" s="90">
        <f t="shared" si="70"/>
        <v>1494.6889999999999</v>
      </c>
      <c r="J99" s="90">
        <f t="shared" si="70"/>
        <v>1505.29</v>
      </c>
      <c r="K99" s="90">
        <f t="shared" si="70"/>
        <v>1452.09</v>
      </c>
      <c r="L99" s="90">
        <f t="shared" si="70"/>
        <v>1485.1899999999998</v>
      </c>
      <c r="M99" s="90">
        <f t="shared" si="70"/>
        <v>1549.2900000000002</v>
      </c>
      <c r="N99" s="90">
        <f t="shared" si="70"/>
        <v>1582.3900000000003</v>
      </c>
      <c r="O99" s="90">
        <f t="shared" si="70"/>
        <v>1553.5900000000001</v>
      </c>
      <c r="P99" s="90">
        <f t="shared" si="70"/>
        <v>1566.79</v>
      </c>
      <c r="Q99" s="90">
        <f t="shared" si="70"/>
        <v>1525.79</v>
      </c>
      <c r="R99" s="90">
        <f t="shared" si="70"/>
        <v>1465.69</v>
      </c>
      <c r="S99" s="90">
        <f t="shared" ref="S99:T99" si="71">S97+S98</f>
        <v>1543.49</v>
      </c>
      <c r="T99" s="90">
        <f t="shared" si="71"/>
        <v>1534.09</v>
      </c>
      <c r="U99" s="90">
        <f t="shared" ref="U99:V99" si="72">U97+U98</f>
        <v>1511.89</v>
      </c>
      <c r="V99" s="90">
        <f t="shared" si="72"/>
        <v>1513.0900000000001</v>
      </c>
      <c r="W99" s="90">
        <f t="shared" ref="W99:X99" si="73">W97+W98</f>
        <v>1512.79</v>
      </c>
      <c r="X99" s="90">
        <f t="shared" si="73"/>
        <v>1446.3899999999999</v>
      </c>
      <c r="Y99" s="90">
        <f t="shared" ref="Y99:Z99" si="74">Y97+Y98</f>
        <v>1402.99</v>
      </c>
      <c r="Z99" s="90">
        <f t="shared" si="74"/>
        <v>1885.39</v>
      </c>
      <c r="AA99" s="90">
        <f t="shared" ref="AA99:AC99" si="75">AA97+AA98</f>
        <v>1889.09</v>
      </c>
      <c r="AB99" s="90">
        <f t="shared" si="75"/>
        <v>1821.59</v>
      </c>
      <c r="AC99" s="90">
        <f t="shared" si="75"/>
        <v>1851.29</v>
      </c>
      <c r="AD99" s="90">
        <f t="shared" si="70"/>
        <v>1817.3899999999999</v>
      </c>
      <c r="AE99" s="90">
        <f t="shared" si="70"/>
        <v>1569.59</v>
      </c>
      <c r="AF99" s="90">
        <f t="shared" si="70"/>
        <v>1651.3899999999999</v>
      </c>
      <c r="AG99" s="75">
        <f>AG96+AG92+AG80+AG76+AG58+AG98</f>
        <v>1693.71</v>
      </c>
      <c r="AH99" s="12">
        <f t="shared" si="56"/>
        <v>1889.09</v>
      </c>
      <c r="AI99" s="11">
        <f t="shared" si="57"/>
        <v>1402.99</v>
      </c>
      <c r="BF99" s="78"/>
      <c r="BG99" s="78">
        <v>65.5</v>
      </c>
      <c r="BH99" s="78">
        <v>100.4</v>
      </c>
      <c r="BI99" s="78">
        <v>405.5</v>
      </c>
      <c r="BJ99" s="78">
        <v>42.5</v>
      </c>
      <c r="BK99" s="78">
        <v>94.4</v>
      </c>
      <c r="BL99" s="78">
        <v>54</v>
      </c>
    </row>
    <row r="100" spans="1:64" ht="15.75" thickBot="1" x14ac:dyDescent="0.3">
      <c r="A100" s="77" t="s">
        <v>162</v>
      </c>
      <c r="B100" s="90">
        <f t="shared" ref="B100:AF100" si="76">B99-(B107)</f>
        <v>1592.73</v>
      </c>
      <c r="C100" s="90">
        <f t="shared" si="76"/>
        <v>1551.63</v>
      </c>
      <c r="D100" s="90">
        <f t="shared" si="76"/>
        <v>1532.33</v>
      </c>
      <c r="E100" s="90">
        <f t="shared" si="76"/>
        <v>1564.1299999999999</v>
      </c>
      <c r="F100" s="90">
        <f t="shared" si="76"/>
        <v>1536.23</v>
      </c>
      <c r="G100" s="90">
        <f t="shared" si="76"/>
        <v>1506.73</v>
      </c>
      <c r="H100" s="90">
        <f t="shared" si="76"/>
        <v>1507.03</v>
      </c>
      <c r="I100" s="90">
        <f t="shared" si="76"/>
        <v>1494.6889999999999</v>
      </c>
      <c r="J100" s="90">
        <f t="shared" si="76"/>
        <v>1505.29</v>
      </c>
      <c r="K100" s="90">
        <f t="shared" si="76"/>
        <v>1452.09</v>
      </c>
      <c r="L100" s="90">
        <f t="shared" si="76"/>
        <v>1485.1899999999998</v>
      </c>
      <c r="M100" s="90">
        <f t="shared" si="76"/>
        <v>1549.2900000000002</v>
      </c>
      <c r="N100" s="90">
        <f t="shared" si="76"/>
        <v>1582.3900000000003</v>
      </c>
      <c r="O100" s="90">
        <f t="shared" si="76"/>
        <v>1553.5900000000001</v>
      </c>
      <c r="P100" s="90">
        <f t="shared" si="76"/>
        <v>1566.79</v>
      </c>
      <c r="Q100" s="90">
        <f t="shared" si="76"/>
        <v>1525.79</v>
      </c>
      <c r="R100" s="90">
        <f t="shared" si="76"/>
        <v>1465.69</v>
      </c>
      <c r="S100" s="90">
        <f t="shared" ref="S100:T100" si="77">S99-(S107)</f>
        <v>1543.49</v>
      </c>
      <c r="T100" s="90">
        <f t="shared" si="77"/>
        <v>1534.09</v>
      </c>
      <c r="U100" s="90">
        <f t="shared" ref="U100:V100" si="78">U99-(U107)</f>
        <v>1511.89</v>
      </c>
      <c r="V100" s="90">
        <f t="shared" si="78"/>
        <v>1513.0900000000001</v>
      </c>
      <c r="W100" s="90">
        <f t="shared" ref="W100:X100" si="79">W99-(W107)</f>
        <v>1512.79</v>
      </c>
      <c r="X100" s="90">
        <f t="shared" si="79"/>
        <v>1446.3899999999999</v>
      </c>
      <c r="Y100" s="90">
        <f t="shared" ref="Y100:Z100" si="80">Y99-(Y107)</f>
        <v>1402.99</v>
      </c>
      <c r="Z100" s="90">
        <f t="shared" si="80"/>
        <v>1885.39</v>
      </c>
      <c r="AA100" s="90">
        <f t="shared" ref="AA100:AB100" si="81">AA99-(AA107)</f>
        <v>1889.09</v>
      </c>
      <c r="AB100" s="90">
        <f t="shared" si="81"/>
        <v>1820.59</v>
      </c>
      <c r="AC100" s="90">
        <f t="shared" si="76"/>
        <v>1851.29</v>
      </c>
      <c r="AD100" s="90">
        <f t="shared" si="76"/>
        <v>1817.3899999999999</v>
      </c>
      <c r="AE100" s="90">
        <f t="shared" si="76"/>
        <v>1569.59</v>
      </c>
      <c r="AF100" s="90">
        <f t="shared" si="76"/>
        <v>1651.3899999999999</v>
      </c>
      <c r="AG100" s="75"/>
      <c r="AH100" s="12">
        <f t="shared" si="56"/>
        <v>1889.09</v>
      </c>
      <c r="AI100" s="11">
        <f t="shared" si="57"/>
        <v>1402.99</v>
      </c>
      <c r="BF100" s="78"/>
      <c r="BG100" s="78">
        <v>70.900000000000006</v>
      </c>
      <c r="BH100" s="78">
        <v>102.2</v>
      </c>
      <c r="BI100" s="78">
        <v>403.6</v>
      </c>
      <c r="BJ100" s="78">
        <v>30.3</v>
      </c>
      <c r="BK100" s="78">
        <v>87.8</v>
      </c>
      <c r="BL100" s="78">
        <v>46.1</v>
      </c>
    </row>
    <row r="101" spans="1:64" x14ac:dyDescent="0.25">
      <c r="A101" s="89" t="s">
        <v>161</v>
      </c>
      <c r="B101" s="85">
        <f t="shared" ref="B101:AF101" si="82">IF(B84&lt;0,B84*-1,0)</f>
        <v>0</v>
      </c>
      <c r="C101" s="85">
        <f t="shared" si="82"/>
        <v>0</v>
      </c>
      <c r="D101" s="85">
        <f t="shared" si="82"/>
        <v>0</v>
      </c>
      <c r="E101" s="85">
        <f t="shared" si="82"/>
        <v>0</v>
      </c>
      <c r="F101" s="85">
        <f t="shared" si="82"/>
        <v>0</v>
      </c>
      <c r="G101" s="85">
        <f t="shared" si="82"/>
        <v>0</v>
      </c>
      <c r="H101" s="85">
        <f t="shared" si="82"/>
        <v>0</v>
      </c>
      <c r="I101" s="85">
        <f t="shared" si="82"/>
        <v>0</v>
      </c>
      <c r="J101" s="85">
        <f t="shared" si="82"/>
        <v>0</v>
      </c>
      <c r="K101" s="85">
        <f t="shared" si="82"/>
        <v>0</v>
      </c>
      <c r="L101" s="85">
        <f t="shared" si="82"/>
        <v>0</v>
      </c>
      <c r="M101" s="85">
        <f t="shared" si="82"/>
        <v>0</v>
      </c>
      <c r="N101" s="85">
        <f t="shared" si="82"/>
        <v>0</v>
      </c>
      <c r="O101" s="85">
        <f t="shared" si="82"/>
        <v>0</v>
      </c>
      <c r="P101" s="85">
        <f t="shared" si="82"/>
        <v>0</v>
      </c>
      <c r="Q101" s="85">
        <f t="shared" si="82"/>
        <v>0</v>
      </c>
      <c r="R101" s="85">
        <f t="shared" si="82"/>
        <v>0</v>
      </c>
      <c r="S101" s="85">
        <f t="shared" ref="S101:T101" si="83">IF(S84&lt;0,S84*-1,0)</f>
        <v>0</v>
      </c>
      <c r="T101" s="85">
        <f t="shared" si="83"/>
        <v>0</v>
      </c>
      <c r="U101" s="85">
        <f t="shared" ref="U101:V101" si="84">IF(U84&lt;0,U84*-1,0)</f>
        <v>0</v>
      </c>
      <c r="V101" s="85">
        <f t="shared" si="84"/>
        <v>0</v>
      </c>
      <c r="W101" s="85">
        <f t="shared" ref="W101:X101" si="85">IF(W84&lt;0,W84*-1,0)</f>
        <v>0</v>
      </c>
      <c r="X101" s="85">
        <f t="shared" si="85"/>
        <v>0</v>
      </c>
      <c r="Y101" s="85">
        <f t="shared" ref="Y101:Z101" si="86">IF(Y84&lt;0,Y84*-1,0)</f>
        <v>0</v>
      </c>
      <c r="Z101" s="85">
        <f t="shared" si="86"/>
        <v>0</v>
      </c>
      <c r="AA101" s="85">
        <f t="shared" ref="AA101:AB101" si="87">IF(AA84&lt;0,AA84*-1,0)</f>
        <v>0</v>
      </c>
      <c r="AB101" s="85">
        <f t="shared" si="87"/>
        <v>0</v>
      </c>
      <c r="AC101" s="85">
        <f t="shared" si="82"/>
        <v>0</v>
      </c>
      <c r="AD101" s="85">
        <f t="shared" si="82"/>
        <v>0</v>
      </c>
      <c r="AE101" s="85">
        <f t="shared" si="82"/>
        <v>0</v>
      </c>
      <c r="AF101" s="85">
        <f t="shared" si="82"/>
        <v>0</v>
      </c>
      <c r="AG101" s="88"/>
      <c r="AH101" s="12">
        <f t="shared" si="56"/>
        <v>0</v>
      </c>
      <c r="AI101" s="11">
        <f t="shared" si="57"/>
        <v>0</v>
      </c>
      <c r="BF101" s="83"/>
      <c r="BG101" s="78">
        <v>62.2</v>
      </c>
      <c r="BH101" s="78">
        <v>112</v>
      </c>
      <c r="BI101" s="78">
        <v>342.8</v>
      </c>
      <c r="BJ101" s="78">
        <v>25.9</v>
      </c>
      <c r="BK101" s="78">
        <v>75.599999999999994</v>
      </c>
      <c r="BL101" s="78">
        <v>42.6</v>
      </c>
    </row>
    <row r="102" spans="1:64" x14ac:dyDescent="0.25">
      <c r="A102" s="87" t="s">
        <v>160</v>
      </c>
      <c r="B102" s="85">
        <f t="shared" ref="B102:AF102" si="88">IF(B82&lt;0,B82*-1,0)</f>
        <v>0</v>
      </c>
      <c r="C102" s="85">
        <f t="shared" si="88"/>
        <v>0</v>
      </c>
      <c r="D102" s="85">
        <f t="shared" si="88"/>
        <v>0</v>
      </c>
      <c r="E102" s="85">
        <f t="shared" si="88"/>
        <v>0</v>
      </c>
      <c r="F102" s="85">
        <f t="shared" si="88"/>
        <v>0</v>
      </c>
      <c r="G102" s="85">
        <f t="shared" si="88"/>
        <v>0</v>
      </c>
      <c r="H102" s="85">
        <f t="shared" si="88"/>
        <v>0</v>
      </c>
      <c r="I102" s="85">
        <f t="shared" si="88"/>
        <v>0</v>
      </c>
      <c r="J102" s="85">
        <f t="shared" si="88"/>
        <v>0</v>
      </c>
      <c r="K102" s="85">
        <f t="shared" si="88"/>
        <v>0</v>
      </c>
      <c r="L102" s="85">
        <f t="shared" si="88"/>
        <v>0</v>
      </c>
      <c r="M102" s="85">
        <f t="shared" si="88"/>
        <v>0</v>
      </c>
      <c r="N102" s="85">
        <f t="shared" si="88"/>
        <v>0</v>
      </c>
      <c r="O102" s="85">
        <f t="shared" si="88"/>
        <v>0</v>
      </c>
      <c r="P102" s="85">
        <f t="shared" si="88"/>
        <v>0</v>
      </c>
      <c r="Q102" s="85">
        <f t="shared" si="88"/>
        <v>0</v>
      </c>
      <c r="R102" s="85">
        <f t="shared" si="88"/>
        <v>0</v>
      </c>
      <c r="S102" s="85">
        <f t="shared" ref="S102:T102" si="89">IF(S82&lt;0,S82*-1,0)</f>
        <v>0</v>
      </c>
      <c r="T102" s="85">
        <f t="shared" si="89"/>
        <v>0</v>
      </c>
      <c r="U102" s="85">
        <f t="shared" ref="U102:V102" si="90">IF(U82&lt;0,U82*-1,0)</f>
        <v>0</v>
      </c>
      <c r="V102" s="85">
        <f t="shared" si="90"/>
        <v>0</v>
      </c>
      <c r="W102" s="85">
        <f t="shared" ref="W102:X102" si="91">IF(W82&lt;0,W82*-1,0)</f>
        <v>0</v>
      </c>
      <c r="X102" s="85">
        <f t="shared" si="91"/>
        <v>0</v>
      </c>
      <c r="Y102" s="85">
        <f t="shared" ref="Y102:Z102" si="92">IF(Y82&lt;0,Y82*-1,0)</f>
        <v>0</v>
      </c>
      <c r="Z102" s="85">
        <f t="shared" si="92"/>
        <v>0</v>
      </c>
      <c r="AA102" s="85">
        <f t="shared" ref="AA102:AB102" si="93">IF(AA82&lt;0,AA82*-1,0)</f>
        <v>0</v>
      </c>
      <c r="AB102" s="85">
        <f t="shared" si="93"/>
        <v>0</v>
      </c>
      <c r="AC102" s="85">
        <f t="shared" si="88"/>
        <v>0</v>
      </c>
      <c r="AD102" s="85">
        <f t="shared" si="88"/>
        <v>0</v>
      </c>
      <c r="AE102" s="85">
        <f t="shared" si="88"/>
        <v>0</v>
      </c>
      <c r="AF102" s="85">
        <f t="shared" si="88"/>
        <v>0</v>
      </c>
      <c r="AG102" s="86"/>
      <c r="AH102" s="12">
        <f t="shared" si="56"/>
        <v>0</v>
      </c>
      <c r="AI102" s="11">
        <f t="shared" si="57"/>
        <v>0</v>
      </c>
      <c r="BF102" s="83"/>
      <c r="BG102" s="78">
        <v>67.8</v>
      </c>
      <c r="BH102" s="78">
        <v>0</v>
      </c>
      <c r="BI102" s="78">
        <v>129</v>
      </c>
      <c r="BJ102" s="78">
        <v>0</v>
      </c>
      <c r="BK102" s="78">
        <v>0</v>
      </c>
      <c r="BL102" s="78">
        <v>35</v>
      </c>
    </row>
    <row r="103" spans="1:64" x14ac:dyDescent="0.25">
      <c r="A103" s="82" t="s">
        <v>159</v>
      </c>
      <c r="B103" s="85">
        <f t="shared" ref="B103:AF103" si="94">IF(B85&lt;0,B85*-1,0)</f>
        <v>0</v>
      </c>
      <c r="C103" s="85">
        <f t="shared" si="94"/>
        <v>0</v>
      </c>
      <c r="D103" s="85">
        <f t="shared" si="94"/>
        <v>0</v>
      </c>
      <c r="E103" s="85">
        <f t="shared" si="94"/>
        <v>0</v>
      </c>
      <c r="F103" s="85">
        <f t="shared" si="94"/>
        <v>0</v>
      </c>
      <c r="G103" s="85">
        <f t="shared" si="94"/>
        <v>0</v>
      </c>
      <c r="H103" s="85">
        <f t="shared" si="94"/>
        <v>0</v>
      </c>
      <c r="I103" s="85">
        <f t="shared" si="94"/>
        <v>0</v>
      </c>
      <c r="J103" s="85">
        <f t="shared" si="94"/>
        <v>0</v>
      </c>
      <c r="K103" s="85">
        <f t="shared" si="94"/>
        <v>0</v>
      </c>
      <c r="L103" s="85">
        <f t="shared" si="94"/>
        <v>0</v>
      </c>
      <c r="M103" s="85">
        <f t="shared" si="94"/>
        <v>0</v>
      </c>
      <c r="N103" s="85">
        <f t="shared" si="94"/>
        <v>0</v>
      </c>
      <c r="O103" s="85">
        <f t="shared" si="94"/>
        <v>0</v>
      </c>
      <c r="P103" s="85">
        <f t="shared" si="94"/>
        <v>0</v>
      </c>
      <c r="Q103" s="85">
        <f t="shared" si="94"/>
        <v>0</v>
      </c>
      <c r="R103" s="85">
        <f t="shared" si="94"/>
        <v>0</v>
      </c>
      <c r="S103" s="85">
        <f t="shared" ref="S103:T103" si="95">IF(S85&lt;0,S85*-1,0)</f>
        <v>0</v>
      </c>
      <c r="T103" s="85">
        <f t="shared" si="95"/>
        <v>0</v>
      </c>
      <c r="U103" s="85">
        <f t="shared" ref="U103:V103" si="96">IF(U85&lt;0,U85*-1,0)</f>
        <v>0</v>
      </c>
      <c r="V103" s="85">
        <f t="shared" si="96"/>
        <v>0</v>
      </c>
      <c r="W103" s="85">
        <f t="shared" ref="W103:X103" si="97">IF(W85&lt;0,W85*-1,0)</f>
        <v>0</v>
      </c>
      <c r="X103" s="85">
        <f t="shared" si="97"/>
        <v>0</v>
      </c>
      <c r="Y103" s="85">
        <f t="shared" ref="Y103:Z103" si="98">IF(Y85&lt;0,Y85*-1,0)</f>
        <v>0</v>
      </c>
      <c r="Z103" s="85">
        <f t="shared" si="98"/>
        <v>0</v>
      </c>
      <c r="AA103" s="85">
        <f t="shared" ref="AA103:AB103" si="99">IF(AA85&lt;0,AA85*-1,0)</f>
        <v>0</v>
      </c>
      <c r="AB103" s="85">
        <f t="shared" si="99"/>
        <v>0</v>
      </c>
      <c r="AC103" s="85">
        <f t="shared" si="94"/>
        <v>0</v>
      </c>
      <c r="AD103" s="85">
        <f t="shared" si="94"/>
        <v>0</v>
      </c>
      <c r="AE103" s="85">
        <f t="shared" si="94"/>
        <v>0</v>
      </c>
      <c r="AF103" s="85">
        <f t="shared" si="94"/>
        <v>0</v>
      </c>
      <c r="AG103" s="84"/>
      <c r="AH103" s="12">
        <f t="shared" si="56"/>
        <v>0</v>
      </c>
      <c r="AI103" s="11">
        <f t="shared" si="57"/>
        <v>0</v>
      </c>
      <c r="BF103" s="83"/>
      <c r="BG103" s="78">
        <v>22.1</v>
      </c>
      <c r="BH103" s="78">
        <v>0</v>
      </c>
      <c r="BI103" s="78">
        <v>45.2</v>
      </c>
      <c r="BJ103" s="78">
        <v>0</v>
      </c>
      <c r="BK103" s="78">
        <v>0</v>
      </c>
      <c r="BL103" s="78">
        <v>33.200000000000003</v>
      </c>
    </row>
    <row r="104" spans="1:64" x14ac:dyDescent="0.25">
      <c r="A104" s="82" t="s">
        <v>158</v>
      </c>
      <c r="B104" s="85">
        <f t="shared" ref="B104:AF104" si="100">IF(B83&lt;0,B83*-1,0)</f>
        <v>0</v>
      </c>
      <c r="C104" s="85">
        <f t="shared" si="100"/>
        <v>0</v>
      </c>
      <c r="D104" s="85">
        <f t="shared" si="100"/>
        <v>0</v>
      </c>
      <c r="E104" s="85">
        <f t="shared" si="100"/>
        <v>0</v>
      </c>
      <c r="F104" s="85">
        <f t="shared" si="100"/>
        <v>0</v>
      </c>
      <c r="G104" s="85">
        <f t="shared" si="100"/>
        <v>0</v>
      </c>
      <c r="H104" s="85">
        <f t="shared" si="100"/>
        <v>0</v>
      </c>
      <c r="I104" s="85">
        <f t="shared" si="100"/>
        <v>0</v>
      </c>
      <c r="J104" s="85">
        <f t="shared" si="100"/>
        <v>0</v>
      </c>
      <c r="K104" s="85">
        <f t="shared" si="100"/>
        <v>0</v>
      </c>
      <c r="L104" s="85">
        <f t="shared" si="100"/>
        <v>0</v>
      </c>
      <c r="M104" s="85">
        <f t="shared" si="100"/>
        <v>0</v>
      </c>
      <c r="N104" s="85">
        <f t="shared" si="100"/>
        <v>0</v>
      </c>
      <c r="O104" s="85">
        <f t="shared" si="100"/>
        <v>0</v>
      </c>
      <c r="P104" s="85">
        <f t="shared" si="100"/>
        <v>0</v>
      </c>
      <c r="Q104" s="85">
        <f t="shared" si="100"/>
        <v>0</v>
      </c>
      <c r="R104" s="85">
        <f t="shared" si="100"/>
        <v>0</v>
      </c>
      <c r="S104" s="85">
        <f t="shared" ref="S104:T104" si="101">IF(S83&lt;0,S83*-1,0)</f>
        <v>0</v>
      </c>
      <c r="T104" s="85">
        <f t="shared" si="101"/>
        <v>0</v>
      </c>
      <c r="U104" s="85">
        <f t="shared" ref="U104:V104" si="102">IF(U83&lt;0,U83*-1,0)</f>
        <v>0</v>
      </c>
      <c r="V104" s="85">
        <f t="shared" si="102"/>
        <v>0</v>
      </c>
      <c r="W104" s="85">
        <f t="shared" ref="W104:X104" si="103">IF(W83&lt;0,W83*-1,0)</f>
        <v>0</v>
      </c>
      <c r="X104" s="85">
        <f t="shared" si="103"/>
        <v>0</v>
      </c>
      <c r="Y104" s="85">
        <f t="shared" ref="Y104:Z104" si="104">IF(Y83&lt;0,Y83*-1,0)</f>
        <v>0</v>
      </c>
      <c r="Z104" s="85">
        <f t="shared" si="104"/>
        <v>0</v>
      </c>
      <c r="AA104" s="85">
        <f t="shared" ref="AA104:AB104" si="105">IF(AA83&lt;0,AA83*-1,0)</f>
        <v>0</v>
      </c>
      <c r="AB104" s="85">
        <f t="shared" si="105"/>
        <v>0</v>
      </c>
      <c r="AC104" s="85">
        <f t="shared" si="100"/>
        <v>0</v>
      </c>
      <c r="AD104" s="85">
        <f t="shared" si="100"/>
        <v>0</v>
      </c>
      <c r="AE104" s="85">
        <f t="shared" si="100"/>
        <v>0</v>
      </c>
      <c r="AF104" s="85">
        <f t="shared" si="100"/>
        <v>0</v>
      </c>
      <c r="AG104" s="84"/>
      <c r="AH104" s="12">
        <f t="shared" si="56"/>
        <v>0</v>
      </c>
      <c r="AI104" s="11">
        <f t="shared" si="57"/>
        <v>0</v>
      </c>
      <c r="BF104" s="83"/>
      <c r="BG104" s="78">
        <v>43.7</v>
      </c>
      <c r="BH104" s="78">
        <v>0</v>
      </c>
      <c r="BI104" s="78">
        <v>4.9000000000000004</v>
      </c>
      <c r="BJ104" s="78">
        <v>0</v>
      </c>
      <c r="BK104" s="78">
        <v>0</v>
      </c>
      <c r="BL104" s="78">
        <v>32.200000000000003</v>
      </c>
    </row>
    <row r="105" spans="1:64" x14ac:dyDescent="0.25">
      <c r="A105" s="82" t="s">
        <v>157</v>
      </c>
      <c r="B105" s="85">
        <f t="shared" ref="B105:AF105" si="106">IF(B81&lt;0,B81*-1,0)</f>
        <v>0</v>
      </c>
      <c r="C105" s="85">
        <f t="shared" si="106"/>
        <v>0</v>
      </c>
      <c r="D105" s="85">
        <f t="shared" si="106"/>
        <v>0</v>
      </c>
      <c r="E105" s="85">
        <f t="shared" si="106"/>
        <v>0</v>
      </c>
      <c r="F105" s="85">
        <f t="shared" si="106"/>
        <v>0</v>
      </c>
      <c r="G105" s="85">
        <f t="shared" si="106"/>
        <v>0</v>
      </c>
      <c r="H105" s="85">
        <f t="shared" si="106"/>
        <v>0</v>
      </c>
      <c r="I105" s="85">
        <f t="shared" si="106"/>
        <v>0</v>
      </c>
      <c r="J105" s="85">
        <f t="shared" si="106"/>
        <v>0</v>
      </c>
      <c r="K105" s="85">
        <f t="shared" si="106"/>
        <v>0</v>
      </c>
      <c r="L105" s="85">
        <f t="shared" si="106"/>
        <v>0</v>
      </c>
      <c r="M105" s="85">
        <f t="shared" si="106"/>
        <v>0</v>
      </c>
      <c r="N105" s="85">
        <f t="shared" si="106"/>
        <v>0</v>
      </c>
      <c r="O105" s="85">
        <f t="shared" si="106"/>
        <v>0</v>
      </c>
      <c r="P105" s="85">
        <f t="shared" si="106"/>
        <v>0</v>
      </c>
      <c r="Q105" s="85">
        <f t="shared" si="106"/>
        <v>0</v>
      </c>
      <c r="R105" s="85">
        <f t="shared" si="106"/>
        <v>0</v>
      </c>
      <c r="S105" s="85">
        <f t="shared" ref="S105:T105" si="107">IF(S81&lt;0,S81*-1,0)</f>
        <v>0</v>
      </c>
      <c r="T105" s="85">
        <f t="shared" si="107"/>
        <v>0</v>
      </c>
      <c r="U105" s="85">
        <f t="shared" ref="U105:V105" si="108">IF(U81&lt;0,U81*-1,0)</f>
        <v>0</v>
      </c>
      <c r="V105" s="85">
        <f t="shared" si="108"/>
        <v>0</v>
      </c>
      <c r="W105" s="85">
        <f t="shared" ref="W105:X105" si="109">IF(W81&lt;0,W81*-1,0)</f>
        <v>0</v>
      </c>
      <c r="X105" s="85">
        <f t="shared" si="109"/>
        <v>0</v>
      </c>
      <c r="Y105" s="85">
        <f t="shared" ref="Y105:Z105" si="110">IF(Y81&lt;0,Y81*-1,0)</f>
        <v>0</v>
      </c>
      <c r="Z105" s="85">
        <f t="shared" si="110"/>
        <v>0</v>
      </c>
      <c r="AA105" s="85">
        <f t="shared" ref="AA105:AB105" si="111">IF(AA81&lt;0,AA81*-1,0)</f>
        <v>0</v>
      </c>
      <c r="AB105" s="85">
        <f t="shared" si="111"/>
        <v>0</v>
      </c>
      <c r="AC105" s="85">
        <f t="shared" si="106"/>
        <v>0</v>
      </c>
      <c r="AD105" s="85">
        <f t="shared" si="106"/>
        <v>0</v>
      </c>
      <c r="AE105" s="85">
        <f t="shared" si="106"/>
        <v>0</v>
      </c>
      <c r="AF105" s="85">
        <f t="shared" si="106"/>
        <v>0</v>
      </c>
      <c r="AG105" s="84"/>
      <c r="AH105" s="12">
        <f t="shared" si="56"/>
        <v>0</v>
      </c>
      <c r="AI105" s="11">
        <f t="shared" si="57"/>
        <v>0</v>
      </c>
      <c r="BF105" s="83"/>
      <c r="BG105" s="78">
        <v>43.7</v>
      </c>
      <c r="BH105" s="78">
        <v>0</v>
      </c>
      <c r="BI105" s="78">
        <v>4.9000000000000004</v>
      </c>
      <c r="BJ105" s="78">
        <v>0</v>
      </c>
      <c r="BK105" s="78">
        <v>0</v>
      </c>
      <c r="BL105" s="78">
        <v>33.200000000000003</v>
      </c>
    </row>
    <row r="106" spans="1:64" ht="15.75" thickBot="1" x14ac:dyDescent="0.3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1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56"/>
        <v>1</v>
      </c>
      <c r="AI106" s="11">
        <f t="shared" si="57"/>
        <v>0</v>
      </c>
      <c r="BG106" s="78">
        <v>49</v>
      </c>
      <c r="BH106" s="78">
        <v>0</v>
      </c>
      <c r="BI106" s="78">
        <v>108</v>
      </c>
      <c r="BJ106" s="78">
        <v>0</v>
      </c>
      <c r="BK106" s="78">
        <v>0</v>
      </c>
      <c r="BL106" s="78">
        <v>42</v>
      </c>
    </row>
    <row r="107" spans="1:64" ht="15.75" thickBot="1" x14ac:dyDescent="0.3">
      <c r="A107" s="79" t="s">
        <v>155</v>
      </c>
      <c r="B107" s="76">
        <f t="shared" ref="B107:AF107" si="112">SUM(B101:B106)</f>
        <v>0</v>
      </c>
      <c r="C107" s="76">
        <f t="shared" si="112"/>
        <v>0</v>
      </c>
      <c r="D107" s="76">
        <f t="shared" si="112"/>
        <v>0</v>
      </c>
      <c r="E107" s="76">
        <f t="shared" si="112"/>
        <v>0</v>
      </c>
      <c r="F107" s="76">
        <f t="shared" si="112"/>
        <v>0</v>
      </c>
      <c r="G107" s="76">
        <f t="shared" si="112"/>
        <v>0</v>
      </c>
      <c r="H107" s="76">
        <f t="shared" si="112"/>
        <v>0</v>
      </c>
      <c r="I107" s="76">
        <f t="shared" si="112"/>
        <v>0</v>
      </c>
      <c r="J107" s="76">
        <f t="shared" si="112"/>
        <v>0</v>
      </c>
      <c r="K107" s="76">
        <f t="shared" si="112"/>
        <v>0</v>
      </c>
      <c r="L107" s="76">
        <f t="shared" si="112"/>
        <v>0</v>
      </c>
      <c r="M107" s="76">
        <f t="shared" si="112"/>
        <v>0</v>
      </c>
      <c r="N107" s="76">
        <f t="shared" si="112"/>
        <v>0</v>
      </c>
      <c r="O107" s="76">
        <f t="shared" si="112"/>
        <v>0</v>
      </c>
      <c r="P107" s="76">
        <f t="shared" si="112"/>
        <v>0</v>
      </c>
      <c r="Q107" s="76">
        <f t="shared" si="112"/>
        <v>0</v>
      </c>
      <c r="R107" s="76">
        <f t="shared" si="112"/>
        <v>0</v>
      </c>
      <c r="S107" s="76">
        <f t="shared" ref="S107:T107" si="113">SUM(S101:S106)</f>
        <v>0</v>
      </c>
      <c r="T107" s="76">
        <f t="shared" si="113"/>
        <v>0</v>
      </c>
      <c r="U107" s="76">
        <f t="shared" ref="U107:V107" si="114">SUM(U101:U106)</f>
        <v>0</v>
      </c>
      <c r="V107" s="76">
        <f t="shared" si="114"/>
        <v>0</v>
      </c>
      <c r="W107" s="76">
        <f t="shared" ref="W107:X107" si="115">SUM(W101:W106)</f>
        <v>0</v>
      </c>
      <c r="X107" s="76">
        <f t="shared" si="115"/>
        <v>0</v>
      </c>
      <c r="Y107" s="76">
        <f t="shared" ref="Y107:Z107" si="116">SUM(Y101:Y106)</f>
        <v>0</v>
      </c>
      <c r="Z107" s="76">
        <f t="shared" si="116"/>
        <v>0</v>
      </c>
      <c r="AA107" s="76">
        <f t="shared" ref="AA107:AB107" si="117">SUM(AA101:AA106)</f>
        <v>0</v>
      </c>
      <c r="AB107" s="76">
        <f t="shared" si="117"/>
        <v>1</v>
      </c>
      <c r="AC107" s="76">
        <f t="shared" si="112"/>
        <v>0</v>
      </c>
      <c r="AD107" s="76">
        <f t="shared" si="112"/>
        <v>0</v>
      </c>
      <c r="AE107" s="76">
        <f t="shared" si="112"/>
        <v>0</v>
      </c>
      <c r="AF107" s="76">
        <f t="shared" si="112"/>
        <v>0</v>
      </c>
      <c r="AG107" s="75"/>
      <c r="AH107" s="12">
        <f t="shared" si="56"/>
        <v>1</v>
      </c>
      <c r="AI107" s="11">
        <f t="shared" si="57"/>
        <v>0</v>
      </c>
      <c r="AK107" s="19"/>
      <c r="BG107" s="78">
        <v>37.299999999999997</v>
      </c>
      <c r="BH107" s="78">
        <v>0</v>
      </c>
      <c r="BI107" s="78">
        <v>164</v>
      </c>
      <c r="BJ107" s="78">
        <v>0</v>
      </c>
      <c r="BK107" s="78">
        <v>0</v>
      </c>
      <c r="BL107" s="78">
        <v>44</v>
      </c>
    </row>
    <row r="108" spans="1:64" ht="15.75" thickBot="1" x14ac:dyDescent="0.3">
      <c r="A108" s="77" t="s">
        <v>154</v>
      </c>
      <c r="B108" s="76">
        <f t="shared" ref="B108:AF108" si="118">B92-B107</f>
        <v>245.3</v>
      </c>
      <c r="C108" s="76">
        <f t="shared" si="118"/>
        <v>240.7</v>
      </c>
      <c r="D108" s="76">
        <f t="shared" si="118"/>
        <v>276.59999999999997</v>
      </c>
      <c r="E108" s="76">
        <f t="shared" si="118"/>
        <v>273.39999999999998</v>
      </c>
      <c r="F108" s="76">
        <f t="shared" si="118"/>
        <v>259.5</v>
      </c>
      <c r="G108" s="76">
        <f t="shared" si="118"/>
        <v>278.5</v>
      </c>
      <c r="H108" s="76">
        <f t="shared" si="118"/>
        <v>330.5</v>
      </c>
      <c r="I108" s="76">
        <f t="shared" si="118"/>
        <v>289.60000000000002</v>
      </c>
      <c r="J108" s="76">
        <f t="shared" si="118"/>
        <v>658.30000000000007</v>
      </c>
      <c r="K108" s="76">
        <f t="shared" si="118"/>
        <v>661.3</v>
      </c>
      <c r="L108" s="76">
        <f t="shared" si="118"/>
        <v>662.49999999999989</v>
      </c>
      <c r="M108" s="76">
        <f t="shared" si="118"/>
        <v>736.40000000000009</v>
      </c>
      <c r="N108" s="76">
        <f t="shared" si="118"/>
        <v>785.80000000000018</v>
      </c>
      <c r="O108" s="76">
        <f t="shared" si="118"/>
        <v>769.2</v>
      </c>
      <c r="P108" s="76">
        <f t="shared" si="118"/>
        <v>782.1</v>
      </c>
      <c r="Q108" s="76">
        <f t="shared" si="118"/>
        <v>776.6</v>
      </c>
      <c r="R108" s="76">
        <f t="shared" si="118"/>
        <v>778.4</v>
      </c>
      <c r="S108" s="76">
        <f t="shared" ref="S108:T108" si="119">S92-S107</f>
        <v>799.59999999999991</v>
      </c>
      <c r="T108" s="76">
        <f t="shared" si="119"/>
        <v>783.39999999999986</v>
      </c>
      <c r="U108" s="76">
        <f t="shared" ref="U108:V108" si="120">U92-U107</f>
        <v>762.3</v>
      </c>
      <c r="V108" s="76">
        <f t="shared" si="120"/>
        <v>740.9</v>
      </c>
      <c r="W108" s="76">
        <f t="shared" ref="W108:X108" si="121">W92-W107</f>
        <v>740.69999999999993</v>
      </c>
      <c r="X108" s="76">
        <f t="shared" si="121"/>
        <v>661.1</v>
      </c>
      <c r="Y108" s="76">
        <f t="shared" ref="Y108:Z108" si="122">Y92-Y107</f>
        <v>463.70000000000005</v>
      </c>
      <c r="Z108" s="76">
        <f t="shared" si="122"/>
        <v>231.8</v>
      </c>
      <c r="AA108" s="76">
        <f t="shared" ref="AA108:AD108" si="123">AA92-AA107</f>
        <v>89.800000000000011</v>
      </c>
      <c r="AB108" s="76">
        <f t="shared" si="123"/>
        <v>15</v>
      </c>
      <c r="AC108" s="76">
        <f t="shared" si="123"/>
        <v>271</v>
      </c>
      <c r="AD108" s="76">
        <f t="shared" si="123"/>
        <v>80.800000000000011</v>
      </c>
      <c r="AE108" s="76">
        <f t="shared" si="118"/>
        <v>81.800000000000011</v>
      </c>
      <c r="AF108" s="76">
        <f t="shared" si="118"/>
        <v>199</v>
      </c>
      <c r="AG108" s="75"/>
      <c r="AH108" s="12">
        <f t="shared" si="56"/>
        <v>799.59999999999991</v>
      </c>
      <c r="AI108" s="11">
        <f t="shared" si="57"/>
        <v>15</v>
      </c>
    </row>
    <row r="109" spans="1:64" x14ac:dyDescent="0.25">
      <c r="A109" s="25" t="s">
        <v>153</v>
      </c>
      <c r="B109" s="74">
        <v>50</v>
      </c>
      <c r="C109" s="74">
        <v>49.973999999999997</v>
      </c>
      <c r="D109" s="74">
        <v>49.97</v>
      </c>
      <c r="E109" s="74">
        <v>49.984999999999999</v>
      </c>
      <c r="F109" s="74">
        <v>50.02</v>
      </c>
      <c r="G109" s="74">
        <v>49.96</v>
      </c>
      <c r="H109" s="74">
        <v>49.917999999999999</v>
      </c>
      <c r="I109" s="74">
        <v>50.036999999999999</v>
      </c>
      <c r="J109" s="74">
        <v>49.985999999999997</v>
      </c>
      <c r="K109" s="74">
        <v>49.985999999999997</v>
      </c>
      <c r="L109" s="74">
        <v>50.040999999999997</v>
      </c>
      <c r="M109" s="74">
        <v>49.966000000000001</v>
      </c>
      <c r="N109" s="74">
        <v>50.003</v>
      </c>
      <c r="O109" s="74">
        <v>49.96</v>
      </c>
      <c r="P109" s="74">
        <v>50.009</v>
      </c>
      <c r="Q109" s="74">
        <v>50.04</v>
      </c>
      <c r="R109" s="74">
        <v>49.936</v>
      </c>
      <c r="S109" s="74">
        <v>49.97</v>
      </c>
      <c r="T109" s="74">
        <v>50.04</v>
      </c>
      <c r="U109" s="74">
        <v>50.03</v>
      </c>
      <c r="V109" s="74">
        <v>49.96</v>
      </c>
      <c r="W109" s="74">
        <v>50.03</v>
      </c>
      <c r="X109" s="74">
        <v>50</v>
      </c>
      <c r="Y109" s="74">
        <v>50.03</v>
      </c>
      <c r="Z109" s="74">
        <v>49.99</v>
      </c>
      <c r="AA109" s="74">
        <v>49.8</v>
      </c>
      <c r="AB109" s="74">
        <v>49.8</v>
      </c>
      <c r="AC109" s="74">
        <v>49.987000000000002</v>
      </c>
      <c r="AD109" s="74">
        <v>50.000999999999998</v>
      </c>
      <c r="AE109" s="74">
        <v>50.02</v>
      </c>
      <c r="AF109" s="74">
        <v>49.970999999999997</v>
      </c>
      <c r="AG109" s="73"/>
      <c r="AH109" s="12">
        <f t="shared" si="56"/>
        <v>50.040999999999997</v>
      </c>
      <c r="AI109" s="11">
        <f t="shared" si="57"/>
        <v>49.8</v>
      </c>
    </row>
    <row r="110" spans="1:64" x14ac:dyDescent="0.25">
      <c r="A110" s="22" t="s">
        <v>152</v>
      </c>
      <c r="B110" s="70">
        <v>130.19999999999999</v>
      </c>
      <c r="C110" s="70">
        <v>130.9</v>
      </c>
      <c r="D110" s="70">
        <v>130.80000000000001</v>
      </c>
      <c r="E110" s="70">
        <v>131.4</v>
      </c>
      <c r="F110" s="70">
        <v>130.19999999999999</v>
      </c>
      <c r="G110" s="70">
        <v>128.9</v>
      </c>
      <c r="H110" s="70">
        <v>127.7</v>
      </c>
      <c r="I110" s="70">
        <v>126.6</v>
      </c>
      <c r="J110" s="70">
        <v>129.19999999999999</v>
      </c>
      <c r="K110" s="70">
        <v>126.6</v>
      </c>
      <c r="L110" s="70">
        <v>1268</v>
      </c>
      <c r="M110" s="70">
        <v>128.19999999999999</v>
      </c>
      <c r="N110" s="70">
        <v>126.3</v>
      </c>
      <c r="O110" s="70">
        <v>127</v>
      </c>
      <c r="P110" s="70">
        <v>127</v>
      </c>
      <c r="Q110" s="70">
        <v>127.1</v>
      </c>
      <c r="R110" s="70">
        <v>126</v>
      </c>
      <c r="S110" s="70">
        <v>127.8</v>
      </c>
      <c r="T110" s="70">
        <v>123</v>
      </c>
      <c r="U110" s="70">
        <v>124.3</v>
      </c>
      <c r="V110" s="70">
        <v>124.3</v>
      </c>
      <c r="W110" s="70">
        <v>127.3</v>
      </c>
      <c r="X110" s="70">
        <v>129.4</v>
      </c>
      <c r="Y110" s="70">
        <v>129.4</v>
      </c>
      <c r="Z110" s="70">
        <v>130.9</v>
      </c>
      <c r="AA110" s="70">
        <v>130.9</v>
      </c>
      <c r="AB110" s="70">
        <v>130.9</v>
      </c>
      <c r="AC110" s="70">
        <v>128.4</v>
      </c>
      <c r="AD110" s="70">
        <v>128.19999999999999</v>
      </c>
      <c r="AE110" s="70">
        <v>129.1</v>
      </c>
      <c r="AF110" s="70">
        <v>129.9</v>
      </c>
      <c r="AG110" s="69"/>
      <c r="AH110" s="12">
        <f t="shared" si="56"/>
        <v>1268</v>
      </c>
      <c r="AI110" s="11">
        <f t="shared" si="57"/>
        <v>123</v>
      </c>
    </row>
    <row r="111" spans="1:64" x14ac:dyDescent="0.25">
      <c r="A111" s="22" t="s">
        <v>151</v>
      </c>
      <c r="B111" s="70">
        <v>134</v>
      </c>
      <c r="C111" s="70">
        <v>134.1</v>
      </c>
      <c r="D111" s="70">
        <v>134.1</v>
      </c>
      <c r="E111" s="70">
        <v>134.5</v>
      </c>
      <c r="F111" s="70">
        <v>133.19999999999999</v>
      </c>
      <c r="G111" s="70">
        <v>132.4</v>
      </c>
      <c r="H111" s="70">
        <v>131.1</v>
      </c>
      <c r="I111" s="70">
        <v>130</v>
      </c>
      <c r="J111" s="70">
        <v>131.5</v>
      </c>
      <c r="K111" s="70">
        <v>131.5</v>
      </c>
      <c r="L111" s="70">
        <v>131.5</v>
      </c>
      <c r="M111" s="70">
        <v>130.1</v>
      </c>
      <c r="N111" s="70">
        <v>129</v>
      </c>
      <c r="O111" s="70">
        <v>129.69999999999999</v>
      </c>
      <c r="P111" s="70">
        <v>130</v>
      </c>
      <c r="Q111" s="70">
        <v>129.80000000000001</v>
      </c>
      <c r="R111" s="70">
        <v>129</v>
      </c>
      <c r="S111" s="70">
        <v>130.6</v>
      </c>
      <c r="T111" s="70">
        <v>126.6</v>
      </c>
      <c r="U111" s="70">
        <v>127.7</v>
      </c>
      <c r="V111" s="70">
        <v>127.7</v>
      </c>
      <c r="W111" s="70">
        <v>130.6</v>
      </c>
      <c r="X111" s="70">
        <v>132.1</v>
      </c>
      <c r="Y111" s="70">
        <v>132.1</v>
      </c>
      <c r="Z111" s="70">
        <v>133.5</v>
      </c>
      <c r="AA111" s="70">
        <v>133.5</v>
      </c>
      <c r="AB111" s="70">
        <v>133.5</v>
      </c>
      <c r="AC111" s="70">
        <v>132.4</v>
      </c>
      <c r="AD111" s="70">
        <v>132.4</v>
      </c>
      <c r="AE111" s="70">
        <v>133.4</v>
      </c>
      <c r="AF111" s="70">
        <v>134</v>
      </c>
      <c r="AG111" s="69"/>
      <c r="AH111" s="12">
        <f t="shared" si="56"/>
        <v>134.5</v>
      </c>
      <c r="AI111" s="11">
        <f t="shared" si="57"/>
        <v>126.6</v>
      </c>
    </row>
    <row r="112" spans="1:64" x14ac:dyDescent="0.25">
      <c r="A112" s="22" t="s">
        <v>150</v>
      </c>
      <c r="B112" s="70">
        <v>130.80000000000001</v>
      </c>
      <c r="C112" s="70">
        <v>130</v>
      </c>
      <c r="D112" s="70">
        <v>131.80000000000001</v>
      </c>
      <c r="E112" s="70">
        <v>130.69999999999999</v>
      </c>
      <c r="F112" s="70">
        <v>130.1</v>
      </c>
      <c r="G112" s="70">
        <v>129.9</v>
      </c>
      <c r="H112" s="70">
        <v>129.30000000000001</v>
      </c>
      <c r="I112" s="70">
        <v>128.6</v>
      </c>
      <c r="J112" s="70">
        <v>125.2</v>
      </c>
      <c r="K112" s="70">
        <v>125.2</v>
      </c>
      <c r="L112" s="70">
        <v>125.2</v>
      </c>
      <c r="M112" s="70">
        <v>130.9</v>
      </c>
      <c r="N112" s="70">
        <v>127.9</v>
      </c>
      <c r="O112" s="70">
        <v>126.9</v>
      </c>
      <c r="P112" s="70">
        <v>129.30000000000001</v>
      </c>
      <c r="Q112" s="70">
        <v>128.80000000000001</v>
      </c>
      <c r="R112" s="70">
        <v>127.3</v>
      </c>
      <c r="S112" s="70">
        <v>128.6</v>
      </c>
      <c r="T112" s="70">
        <v>125.4</v>
      </c>
      <c r="U112" s="70">
        <v>125.6</v>
      </c>
      <c r="V112" s="70">
        <v>125.6</v>
      </c>
      <c r="W112" s="70">
        <v>127.1</v>
      </c>
      <c r="X112" s="70">
        <v>126.5</v>
      </c>
      <c r="Y112" s="70">
        <v>126.5</v>
      </c>
      <c r="Z112" s="70">
        <v>123.7</v>
      </c>
      <c r="AA112" s="70">
        <v>123.7</v>
      </c>
      <c r="AB112" s="70">
        <v>123.7</v>
      </c>
      <c r="AC112" s="70">
        <v>129.4</v>
      </c>
      <c r="AD112" s="70">
        <v>129.30000000000001</v>
      </c>
      <c r="AE112" s="70">
        <v>132.1</v>
      </c>
      <c r="AF112" s="70">
        <v>130.9</v>
      </c>
      <c r="AG112" s="69"/>
      <c r="AH112" s="12">
        <f t="shared" si="56"/>
        <v>132.1</v>
      </c>
      <c r="AI112" s="11">
        <f t="shared" si="57"/>
        <v>123.7</v>
      </c>
    </row>
    <row r="113" spans="1:35" x14ac:dyDescent="0.25">
      <c r="A113" s="72" t="s">
        <v>149</v>
      </c>
      <c r="B113" s="70">
        <v>129.6</v>
      </c>
      <c r="C113" s="70">
        <v>130.6</v>
      </c>
      <c r="D113" s="70">
        <v>131.4</v>
      </c>
      <c r="E113" s="70">
        <v>131.69999999999999</v>
      </c>
      <c r="F113" s="70">
        <v>130.80000000000001</v>
      </c>
      <c r="G113" s="70">
        <v>130.30000000000001</v>
      </c>
      <c r="H113" s="70">
        <v>129.19999999999999</v>
      </c>
      <c r="I113" s="70">
        <v>128.4</v>
      </c>
      <c r="J113" s="70">
        <v>128.30000000000001</v>
      </c>
      <c r="K113" s="70">
        <v>128.30000000000001</v>
      </c>
      <c r="L113" s="70">
        <v>128.30000000000001</v>
      </c>
      <c r="M113" s="70">
        <v>129.19999999999999</v>
      </c>
      <c r="N113" s="70">
        <v>126.3</v>
      </c>
      <c r="O113" s="70">
        <v>126</v>
      </c>
      <c r="P113" s="70">
        <v>129.30000000000001</v>
      </c>
      <c r="Q113" s="70">
        <v>127.9</v>
      </c>
      <c r="R113" s="70">
        <v>127</v>
      </c>
      <c r="S113" s="70">
        <v>128.6</v>
      </c>
      <c r="T113" s="70">
        <v>125.7</v>
      </c>
      <c r="U113" s="70">
        <v>124.2</v>
      </c>
      <c r="V113" s="70">
        <v>124.2</v>
      </c>
      <c r="W113" s="70">
        <v>124.6</v>
      </c>
      <c r="X113" s="70">
        <v>133.80000000000001</v>
      </c>
      <c r="Y113" s="70">
        <v>133.80000000000001</v>
      </c>
      <c r="Z113" s="70">
        <v>123.2</v>
      </c>
      <c r="AA113" s="70">
        <v>123.2</v>
      </c>
      <c r="AB113" s="70">
        <v>123.2</v>
      </c>
      <c r="AC113" s="70">
        <v>126.4</v>
      </c>
      <c r="AD113" s="70">
        <v>129.9</v>
      </c>
      <c r="AE113" s="70">
        <v>132.1</v>
      </c>
      <c r="AF113" s="70">
        <v>131</v>
      </c>
      <c r="AG113" s="69"/>
      <c r="AH113" s="12">
        <f t="shared" si="56"/>
        <v>133.80000000000001</v>
      </c>
      <c r="AI113" s="11">
        <f t="shared" si="57"/>
        <v>123.2</v>
      </c>
    </row>
    <row r="114" spans="1:35" x14ac:dyDescent="0.25">
      <c r="A114" s="72" t="s">
        <v>148</v>
      </c>
      <c r="B114" s="56">
        <v>136.19999999999999</v>
      </c>
      <c r="C114" s="56">
        <v>135.80000000000001</v>
      </c>
      <c r="D114" s="56">
        <v>134</v>
      </c>
      <c r="E114" s="56">
        <v>136.80000000000001</v>
      </c>
      <c r="F114" s="56">
        <v>134.96</v>
      </c>
      <c r="G114" s="56">
        <v>133.6</v>
      </c>
      <c r="H114" s="56">
        <v>131.1</v>
      </c>
      <c r="I114" s="56">
        <v>129</v>
      </c>
      <c r="J114" s="56">
        <v>134.30000000000001</v>
      </c>
      <c r="K114" s="56">
        <v>134.30000000000001</v>
      </c>
      <c r="L114" s="56">
        <v>134.30000000000001</v>
      </c>
      <c r="M114" s="56">
        <v>130.69999999999999</v>
      </c>
      <c r="N114" s="56">
        <v>131.6</v>
      </c>
      <c r="O114" s="56">
        <v>132.80000000000001</v>
      </c>
      <c r="P114" s="56">
        <v>134.30000000000001</v>
      </c>
      <c r="Q114" s="56">
        <v>132.80000000000001</v>
      </c>
      <c r="R114" s="56">
        <v>130.9</v>
      </c>
      <c r="S114" s="56">
        <v>134.6</v>
      </c>
      <c r="T114" s="56">
        <v>129.69999999999999</v>
      </c>
      <c r="U114" s="56">
        <v>129.80000000000001</v>
      </c>
      <c r="V114" s="56">
        <v>129.80000000000001</v>
      </c>
      <c r="W114" s="56">
        <v>134.80000000000001</v>
      </c>
      <c r="X114" s="56">
        <v>125.9</v>
      </c>
      <c r="Y114" s="56">
        <v>125.9</v>
      </c>
      <c r="Z114" s="56">
        <v>136.5</v>
      </c>
      <c r="AA114" s="56">
        <v>136.5</v>
      </c>
      <c r="AB114" s="56">
        <v>136.5</v>
      </c>
      <c r="AC114" s="56">
        <v>135.69999999999999</v>
      </c>
      <c r="AD114" s="56">
        <v>134.30000000000001</v>
      </c>
      <c r="AE114" s="56">
        <v>134.9</v>
      </c>
      <c r="AF114" s="56">
        <v>135.80000000000001</v>
      </c>
      <c r="AG114" s="71"/>
      <c r="AH114" s="12">
        <f t="shared" si="56"/>
        <v>136.80000000000001</v>
      </c>
      <c r="AI114" s="11">
        <f t="shared" si="57"/>
        <v>125.9</v>
      </c>
    </row>
    <row r="115" spans="1:35" x14ac:dyDescent="0.25">
      <c r="A115" s="22" t="s">
        <v>147</v>
      </c>
      <c r="B115" s="70">
        <v>127.5</v>
      </c>
      <c r="C115" s="70">
        <v>130.19999999999999</v>
      </c>
      <c r="D115" s="70">
        <v>131.69999999999999</v>
      </c>
      <c r="E115" s="70">
        <v>133.6</v>
      </c>
      <c r="F115" s="70">
        <v>133.1</v>
      </c>
      <c r="G115" s="70">
        <v>132</v>
      </c>
      <c r="H115" s="70">
        <v>126.9</v>
      </c>
      <c r="I115" s="70">
        <v>131.4</v>
      </c>
      <c r="J115" s="70">
        <v>133.9</v>
      </c>
      <c r="K115" s="70">
        <v>133.9</v>
      </c>
      <c r="L115" s="70">
        <v>133.9</v>
      </c>
      <c r="M115" s="70">
        <v>132.9</v>
      </c>
      <c r="N115" s="70">
        <v>130.6</v>
      </c>
      <c r="O115" s="70">
        <v>128.34</v>
      </c>
      <c r="P115" s="70">
        <v>129.80000000000001</v>
      </c>
      <c r="Q115" s="70">
        <v>127.5</v>
      </c>
      <c r="R115" s="70">
        <v>130.6</v>
      </c>
      <c r="S115" s="70">
        <v>129.4</v>
      </c>
      <c r="T115" s="70">
        <v>129.6</v>
      </c>
      <c r="U115" s="70">
        <v>128.6</v>
      </c>
      <c r="V115" s="70">
        <v>128.6</v>
      </c>
      <c r="W115" s="70">
        <v>121.8</v>
      </c>
      <c r="X115" s="70">
        <v>125.8</v>
      </c>
      <c r="Y115" s="70">
        <v>125.8</v>
      </c>
      <c r="Z115" s="70">
        <v>134.6</v>
      </c>
      <c r="AA115" s="70">
        <v>134.6</v>
      </c>
      <c r="AB115" s="70">
        <v>134.6</v>
      </c>
      <c r="AC115" s="70">
        <v>132.80000000000001</v>
      </c>
      <c r="AD115" s="70">
        <v>132.30000000000001</v>
      </c>
      <c r="AE115" s="70">
        <v>132.9</v>
      </c>
      <c r="AF115" s="70">
        <v>133.80000000000001</v>
      </c>
      <c r="AG115" s="69"/>
      <c r="AH115" s="12">
        <f t="shared" si="56"/>
        <v>134.6</v>
      </c>
      <c r="AI115" s="11">
        <f t="shared" si="57"/>
        <v>121.8</v>
      </c>
    </row>
    <row r="116" spans="1:35" ht="15.75" thickBot="1" x14ac:dyDescent="0.3">
      <c r="A116" s="22" t="s">
        <v>146</v>
      </c>
      <c r="B116" s="67">
        <v>66.8</v>
      </c>
      <c r="C116" s="67">
        <v>67.2</v>
      </c>
      <c r="D116" s="67">
        <v>67</v>
      </c>
      <c r="E116" s="67">
        <v>67.2</v>
      </c>
      <c r="F116" s="67">
        <v>67</v>
      </c>
      <c r="G116" s="67">
        <v>66.099999999999994</v>
      </c>
      <c r="H116" s="67">
        <v>65.7</v>
      </c>
      <c r="I116" s="67">
        <v>65.099999999999994</v>
      </c>
      <c r="J116" s="67">
        <v>65.599999999999994</v>
      </c>
      <c r="K116" s="67">
        <v>65.599999999999994</v>
      </c>
      <c r="L116" s="67">
        <v>65.599999999999994</v>
      </c>
      <c r="M116" s="67">
        <v>65.2</v>
      </c>
      <c r="N116" s="67">
        <v>64.599999999999994</v>
      </c>
      <c r="O116" s="67">
        <v>64.900000000000006</v>
      </c>
      <c r="P116" s="67">
        <v>65</v>
      </c>
      <c r="Q116" s="67">
        <v>65</v>
      </c>
      <c r="R116" s="67">
        <v>64.8</v>
      </c>
      <c r="S116" s="67">
        <v>65.400000000000006</v>
      </c>
      <c r="T116" s="67">
        <v>63.1</v>
      </c>
      <c r="U116" s="67">
        <v>63.9</v>
      </c>
      <c r="V116" s="67">
        <v>63.9</v>
      </c>
      <c r="W116" s="67">
        <v>65.3</v>
      </c>
      <c r="X116" s="67">
        <v>66</v>
      </c>
      <c r="Y116" s="67">
        <v>66</v>
      </c>
      <c r="Z116" s="67">
        <v>66.7</v>
      </c>
      <c r="AA116" s="67">
        <v>66.7</v>
      </c>
      <c r="AB116" s="67">
        <v>66.7</v>
      </c>
      <c r="AC116" s="67">
        <v>66.099999999999994</v>
      </c>
      <c r="AD116" s="67">
        <v>66.400000000000006</v>
      </c>
      <c r="AE116" s="67">
        <v>66.8</v>
      </c>
      <c r="AF116" s="67">
        <v>67.2</v>
      </c>
      <c r="AG116" s="66"/>
      <c r="AH116" s="12">
        <f t="shared" si="56"/>
        <v>67.2</v>
      </c>
      <c r="AI116" s="11">
        <f t="shared" si="57"/>
        <v>63.1</v>
      </c>
    </row>
    <row r="117" spans="1:35" ht="16.5" thickBot="1" x14ac:dyDescent="0.3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183"/>
      <c r="AC117" s="67"/>
      <c r="AD117" s="67"/>
      <c r="AE117" s="67"/>
      <c r="AF117" s="67"/>
      <c r="AG117" s="66"/>
      <c r="AH117" s="12">
        <f t="shared" si="56"/>
        <v>0</v>
      </c>
      <c r="AI117" s="11">
        <f t="shared" si="57"/>
        <v>0</v>
      </c>
    </row>
    <row r="118" spans="1:35" ht="15.75" thickBot="1" x14ac:dyDescent="0.3">
      <c r="A118" s="65" t="s">
        <v>144</v>
      </c>
      <c r="B118" s="64">
        <f t="shared" ref="B118:O118" si="124">SUM(B22,B28,B31:B32,B66,B68:B69,B71,B73,B119:B123,B155,B161,B167,B176,B178,B190,B197,B200:B201,B208,B210,B212,B216:B218,B220:B222,B227,B233:B234,B236:B238,B246,B251)</f>
        <v>125.38</v>
      </c>
      <c r="C118" s="64">
        <f t="shared" si="124"/>
        <v>118.88000000000002</v>
      </c>
      <c r="D118" s="64">
        <f t="shared" si="124"/>
        <v>113.48000000000002</v>
      </c>
      <c r="E118" s="64">
        <f t="shared" si="124"/>
        <v>74.98</v>
      </c>
      <c r="F118" s="64">
        <f t="shared" si="124"/>
        <v>99.280000000000015</v>
      </c>
      <c r="G118" s="64">
        <f t="shared" si="124"/>
        <v>112.98000000000002</v>
      </c>
      <c r="H118" s="64">
        <f t="shared" si="124"/>
        <v>113.38000000000001</v>
      </c>
      <c r="I118" s="64">
        <f t="shared" si="124"/>
        <v>144.74</v>
      </c>
      <c r="J118" s="64">
        <f t="shared" si="124"/>
        <v>212.74</v>
      </c>
      <c r="K118" s="64">
        <f t="shared" si="124"/>
        <v>285.14</v>
      </c>
      <c r="L118" s="64">
        <f t="shared" si="124"/>
        <v>233.34000000000003</v>
      </c>
      <c r="M118" s="64">
        <f t="shared" si="124"/>
        <v>275.04000000000002</v>
      </c>
      <c r="N118" s="64">
        <f t="shared" si="124"/>
        <v>283.04000000000002</v>
      </c>
      <c r="O118" s="64">
        <f t="shared" si="124"/>
        <v>273.84000000000003</v>
      </c>
      <c r="P118" s="64">
        <v>42</v>
      </c>
      <c r="Q118" s="64">
        <f t="shared" ref="Q118:R118" si="125">SUM(Q22,Q28,Q31:Q32,Q66,Q68:Q69,Q71,Q73,Q119:Q123,Q155,Q161,Q167,Q176,Q178,Q190,Q197,Q200:Q201,Q208,Q210,Q212,Q216:Q218,Q220:Q222,Q227,Q233:Q234,Q236:Q238,Q246,Q251)</f>
        <v>249.34000000000003</v>
      </c>
      <c r="R118" s="64">
        <f t="shared" si="125"/>
        <v>176.24</v>
      </c>
      <c r="S118" s="64">
        <f t="shared" ref="S118:T118" si="126">SUM(S22,S28,S31:S32,S66,S68:S69,S71,S73,S119:S123,S155,S161,S167,S176,S178,S190,S197,S200:S201,S208,S210,S212,S216:S218,S220:S222,S227,S233:S234,S236:S238,S246,S251)</f>
        <v>235.64000000000004</v>
      </c>
      <c r="T118" s="64">
        <f t="shared" si="126"/>
        <v>250.73999999999998</v>
      </c>
      <c r="U118" s="64">
        <f t="shared" ref="U118:V118" si="127">SUM(U22,U28,U31:U32,U66,U68:U69,U71,U73,U119:U123,U155,U161,U167,U176,U178,U190,U197,U200:U201,U208,U210,U212,U216:U218,U220:U222,U227,U233:U234,U236:U238,U246,U251)</f>
        <v>245.44</v>
      </c>
      <c r="V118" s="64">
        <f t="shared" si="127"/>
        <v>247.14</v>
      </c>
      <c r="W118" s="64">
        <f t="shared" ref="W118:X118" si="128">SUM(W22,W28,W31:W32,W66,W68:W69,W71,W73,W119:W123,W155,W161,W167,W176,W178,W190,W197,W200:W201,W208,W210,W212,W216:W218,W220:W222,W227,W233:W234,W236:W238,W246,W251)</f>
        <v>253.45</v>
      </c>
      <c r="X118" s="64">
        <f t="shared" si="128"/>
        <v>241.44</v>
      </c>
      <c r="Y118" s="64">
        <f t="shared" ref="Y118:Z118" si="129">SUM(Y22,Y28,Y31:Y32,Y66,Y68:Y69,Y71,Y73,Y119:Y123,Y155,Y161,Y167,Y176,Y178,Y190,Y197,Y200:Y201,Y208,Y210,Y212,Y216:Y218,Y220:Y222,Y227,Y233:Y234,Y236:Y238,Y246,Y251)</f>
        <v>241.14</v>
      </c>
      <c r="Z118" s="64">
        <f t="shared" si="129"/>
        <v>338.14</v>
      </c>
      <c r="AA118" s="64">
        <f t="shared" ref="AA118:AC118" si="130">SUM(AA22,AA28,AA31:AA32,AA66,AA68:AA69,AA71,AA73,AA119:AA123,AA155,AA161,AA167,AA176,AA178,AA190,AA197,AA200:AA201,AA208,AA210,AA212,AA216:AA218,AA220:AA222,AA227,AA233:AA234,AA236:AA238,AA246,AA251)</f>
        <v>322.54000000000002</v>
      </c>
      <c r="AB118" s="64">
        <f t="shared" si="130"/>
        <v>324.33999999999997</v>
      </c>
      <c r="AC118" s="64">
        <f t="shared" si="130"/>
        <v>268.54000000000002</v>
      </c>
      <c r="AD118" s="64">
        <f t="shared" ref="AD118:AF118" si="131">SUM(AD22,AD28,AD31:AD32,AD66,AD68:AD69,AD71,AD73,AD119:AD123,AD155,AD161,AD167,AD176,AD178,AD190,AD197,AD200:AD201,AD208,AD210,AD212,AD216:AD218,AD220:AD222,AD227,AD233:AD234,AD236:AD238,AD246,AD251)</f>
        <v>229.44000000000003</v>
      </c>
      <c r="AE118" s="64">
        <f t="shared" si="131"/>
        <v>194.54000000000002</v>
      </c>
      <c r="AF118" s="64">
        <f t="shared" si="131"/>
        <v>156.04000000000002</v>
      </c>
      <c r="AG118" s="63"/>
      <c r="AH118" s="12">
        <f t="shared" si="56"/>
        <v>338.14</v>
      </c>
      <c r="AI118" s="11">
        <f t="shared" si="57"/>
        <v>42</v>
      </c>
    </row>
    <row r="119" spans="1:35" x14ac:dyDescent="0.25">
      <c r="A119" s="59" t="s">
        <v>143</v>
      </c>
      <c r="B119" s="62">
        <v>9.1999999999999993</v>
      </c>
      <c r="C119" s="62">
        <v>7.4</v>
      </c>
      <c r="D119" s="62">
        <v>0</v>
      </c>
      <c r="E119" s="62">
        <v>0.8</v>
      </c>
      <c r="F119" s="62">
        <v>-2.6</v>
      </c>
      <c r="G119" s="62">
        <v>-7.7</v>
      </c>
      <c r="H119" s="62">
        <v>-9.1</v>
      </c>
      <c r="I119" s="62">
        <v>-1</v>
      </c>
      <c r="J119" s="62">
        <v>13.3</v>
      </c>
      <c r="K119" s="62">
        <v>4.7</v>
      </c>
      <c r="L119" s="62">
        <v>-1.3</v>
      </c>
      <c r="M119" s="62">
        <v>1.4</v>
      </c>
      <c r="N119" s="62">
        <v>3.5</v>
      </c>
      <c r="O119" s="62">
        <v>-0.7</v>
      </c>
      <c r="P119" s="62">
        <v>-0.1</v>
      </c>
      <c r="Q119" s="62">
        <v>-3</v>
      </c>
      <c r="R119" s="62">
        <v>-5.3</v>
      </c>
      <c r="S119" s="62">
        <v>-3.8</v>
      </c>
      <c r="T119" s="62">
        <v>3.3</v>
      </c>
      <c r="U119" s="62">
        <v>4.7</v>
      </c>
      <c r="V119" s="62">
        <v>5.8</v>
      </c>
      <c r="W119" s="62">
        <v>9.4</v>
      </c>
      <c r="X119" s="62">
        <v>0.4</v>
      </c>
      <c r="Y119" s="62">
        <v>0.4</v>
      </c>
      <c r="Z119" s="62">
        <v>17.7</v>
      </c>
      <c r="AA119" s="62">
        <v>33.9</v>
      </c>
      <c r="AB119" s="62">
        <v>33.9</v>
      </c>
      <c r="AC119" s="62">
        <v>41.8</v>
      </c>
      <c r="AD119" s="62">
        <v>44</v>
      </c>
      <c r="AE119" s="62">
        <v>34.799999999999997</v>
      </c>
      <c r="AF119" s="62">
        <v>36.5</v>
      </c>
      <c r="AG119" s="55">
        <v>75</v>
      </c>
      <c r="AH119" s="12">
        <f t="shared" si="56"/>
        <v>44</v>
      </c>
      <c r="AI119" s="11">
        <f t="shared" si="57"/>
        <v>-9.1</v>
      </c>
    </row>
    <row r="120" spans="1:35" x14ac:dyDescent="0.25">
      <c r="A120" s="57" t="s">
        <v>142</v>
      </c>
      <c r="B120" s="61">
        <v>21.3</v>
      </c>
      <c r="C120" s="61">
        <v>18.7</v>
      </c>
      <c r="D120" s="61">
        <v>8.1999999999999993</v>
      </c>
      <c r="E120" s="61">
        <v>7.8</v>
      </c>
      <c r="F120" s="61">
        <v>2.6</v>
      </c>
      <c r="G120" s="61">
        <v>-4.9000000000000004</v>
      </c>
      <c r="H120" s="61">
        <v>-4.4000000000000004</v>
      </c>
      <c r="I120" s="61">
        <v>1</v>
      </c>
      <c r="J120" s="61">
        <v>15</v>
      </c>
      <c r="K120" s="61">
        <v>0.9</v>
      </c>
      <c r="L120" s="61">
        <v>-7.5</v>
      </c>
      <c r="M120" s="61">
        <v>-3.4</v>
      </c>
      <c r="N120" s="61">
        <v>-1</v>
      </c>
      <c r="O120" s="61">
        <v>-4.5999999999999996</v>
      </c>
      <c r="P120" s="61">
        <v>-3.2</v>
      </c>
      <c r="Q120" s="61">
        <v>-7.5</v>
      </c>
      <c r="R120" s="61">
        <v>-11.7</v>
      </c>
      <c r="S120" s="61">
        <v>-10.7</v>
      </c>
      <c r="T120" s="61">
        <v>2.7</v>
      </c>
      <c r="U120" s="61">
        <v>3.7</v>
      </c>
      <c r="V120" s="61">
        <v>6.4</v>
      </c>
      <c r="W120" s="61">
        <v>11.4</v>
      </c>
      <c r="X120" s="61">
        <v>7.6</v>
      </c>
      <c r="Y120" s="61">
        <v>7.6</v>
      </c>
      <c r="Z120" s="61">
        <v>29.7</v>
      </c>
      <c r="AA120" s="61">
        <v>54.6</v>
      </c>
      <c r="AB120" s="61">
        <v>54.6</v>
      </c>
      <c r="AC120" s="61">
        <v>64.099999999999994</v>
      </c>
      <c r="AD120" s="61">
        <v>68.7</v>
      </c>
      <c r="AE120" s="61">
        <v>56.5</v>
      </c>
      <c r="AF120" s="61">
        <v>60</v>
      </c>
      <c r="AG120" s="55">
        <v>240</v>
      </c>
      <c r="AH120" s="12">
        <f t="shared" si="56"/>
        <v>68.7</v>
      </c>
      <c r="AI120" s="11">
        <f t="shared" si="57"/>
        <v>-11.7</v>
      </c>
    </row>
    <row r="121" spans="1:35" x14ac:dyDescent="0.25">
      <c r="A121" s="57" t="s">
        <v>141</v>
      </c>
      <c r="B121" s="61">
        <v>-52</v>
      </c>
      <c r="C121" s="61">
        <v>-51</v>
      </c>
      <c r="D121" s="61">
        <v>-37</v>
      </c>
      <c r="E121" s="61">
        <v>-73.5</v>
      </c>
      <c r="F121" s="61">
        <v>-62.6</v>
      </c>
      <c r="G121" s="61">
        <v>-41.4</v>
      </c>
      <c r="H121" s="61">
        <v>-43</v>
      </c>
      <c r="I121" s="61">
        <v>-41.6</v>
      </c>
      <c r="J121" s="61">
        <v>-15.6</v>
      </c>
      <c r="K121" s="61">
        <f>-2.1+12.3</f>
        <v>10.200000000000001</v>
      </c>
      <c r="L121" s="61">
        <v>6</v>
      </c>
      <c r="M121" s="61">
        <f>19.3+14.4</f>
        <v>33.700000000000003</v>
      </c>
      <c r="N121" s="61">
        <v>37</v>
      </c>
      <c r="O121" s="61">
        <f>21+18</f>
        <v>39</v>
      </c>
      <c r="P121" s="61">
        <v>37.5</v>
      </c>
      <c r="Q121" s="61">
        <f>21+18</f>
        <v>39</v>
      </c>
      <c r="R121" s="61">
        <v>41</v>
      </c>
      <c r="S121" s="61">
        <v>41</v>
      </c>
      <c r="T121" s="61">
        <v>22</v>
      </c>
      <c r="U121" s="61">
        <v>18.899999999999999</v>
      </c>
      <c r="V121" s="61">
        <v>9.3000000000000007</v>
      </c>
      <c r="W121" s="61">
        <v>4.3099999999999996</v>
      </c>
      <c r="X121" s="61">
        <v>0</v>
      </c>
      <c r="Y121" s="61">
        <v>0</v>
      </c>
      <c r="Z121" s="61">
        <v>-5</v>
      </c>
      <c r="AA121" s="61">
        <v>-61</v>
      </c>
      <c r="AB121" s="61">
        <v>-61</v>
      </c>
      <c r="AC121" s="61">
        <v>-108.2</v>
      </c>
      <c r="AD121" s="61">
        <v>-114.6</v>
      </c>
      <c r="AE121" s="61">
        <v>-88</v>
      </c>
      <c r="AF121" s="61">
        <v>-100</v>
      </c>
      <c r="AG121" s="55">
        <v>240</v>
      </c>
      <c r="AH121" s="12">
        <f t="shared" si="56"/>
        <v>41</v>
      </c>
      <c r="AI121" s="11">
        <f t="shared" si="57"/>
        <v>-114.6</v>
      </c>
    </row>
    <row r="122" spans="1:35" ht="15.75" thickBot="1" x14ac:dyDescent="0.3">
      <c r="A122" s="57" t="s">
        <v>140</v>
      </c>
      <c r="B122" s="61">
        <v>27.5</v>
      </c>
      <c r="C122" s="61">
        <v>28</v>
      </c>
      <c r="D122" s="61">
        <v>29</v>
      </c>
      <c r="E122" s="61">
        <v>29</v>
      </c>
      <c r="F122" s="61">
        <v>32</v>
      </c>
      <c r="G122" s="61">
        <v>30.8</v>
      </c>
      <c r="H122" s="61">
        <v>28.9</v>
      </c>
      <c r="I122" s="61">
        <v>26.3</v>
      </c>
      <c r="J122" s="61">
        <v>12.5</v>
      </c>
      <c r="K122" s="61">
        <v>81.599999999999994</v>
      </c>
      <c r="L122" s="61">
        <v>34.9</v>
      </c>
      <c r="M122" s="61">
        <v>25.6</v>
      </c>
      <c r="N122" s="61">
        <v>21.1</v>
      </c>
      <c r="O122" s="61">
        <v>24.5</v>
      </c>
      <c r="P122" s="61">
        <v>20.3</v>
      </c>
      <c r="Q122" s="61">
        <v>20.7</v>
      </c>
      <c r="R122" s="61">
        <v>22.3</v>
      </c>
      <c r="S122" s="61">
        <v>24.3</v>
      </c>
      <c r="T122" s="61">
        <v>6.1</v>
      </c>
      <c r="U122" s="61">
        <v>-3.9</v>
      </c>
      <c r="V122" s="61">
        <v>-1</v>
      </c>
      <c r="W122" s="61">
        <v>-1.1000000000000001</v>
      </c>
      <c r="X122" s="61">
        <v>0.9</v>
      </c>
      <c r="Y122" s="61">
        <v>0.9</v>
      </c>
      <c r="Z122" s="61">
        <v>35.4</v>
      </c>
      <c r="AA122" s="61">
        <v>31.9</v>
      </c>
      <c r="AB122" s="61">
        <v>31.9</v>
      </c>
      <c r="AC122" s="61">
        <v>28.9</v>
      </c>
      <c r="AD122" s="61">
        <v>24.7</v>
      </c>
      <c r="AE122" s="61">
        <v>24.8</v>
      </c>
      <c r="AF122" s="61">
        <v>22.3</v>
      </c>
      <c r="AG122" s="55">
        <v>60</v>
      </c>
      <c r="AH122" s="12">
        <f t="shared" si="56"/>
        <v>81.599999999999994</v>
      </c>
      <c r="AI122" s="11">
        <f t="shared" si="57"/>
        <v>-3.9</v>
      </c>
    </row>
    <row r="123" spans="1:35" x14ac:dyDescent="0.25">
      <c r="A123" s="59" t="s">
        <v>139</v>
      </c>
      <c r="B123" s="58">
        <v>7.6</v>
      </c>
      <c r="C123" s="58">
        <v>0.4</v>
      </c>
      <c r="D123" s="58">
        <v>-2.1</v>
      </c>
      <c r="E123" s="58">
        <v>-6.7</v>
      </c>
      <c r="F123" s="58">
        <v>12.3</v>
      </c>
      <c r="G123" s="58">
        <v>18.600000000000001</v>
      </c>
      <c r="H123" s="58">
        <v>23.8</v>
      </c>
      <c r="I123" s="58">
        <v>41</v>
      </c>
      <c r="J123" s="58">
        <v>67.2</v>
      </c>
      <c r="K123" s="58">
        <v>67.2</v>
      </c>
      <c r="L123" s="58">
        <v>80.7</v>
      </c>
      <c r="M123" s="58">
        <v>97.2</v>
      </c>
      <c r="N123" s="58">
        <v>101.1</v>
      </c>
      <c r="O123" s="58">
        <v>93.3</v>
      </c>
      <c r="P123" s="58">
        <v>81.7</v>
      </c>
      <c r="Q123" s="58">
        <v>73.8</v>
      </c>
      <c r="R123" s="58">
        <v>63.2</v>
      </c>
      <c r="S123" s="58">
        <v>62.8</v>
      </c>
      <c r="T123" s="58">
        <v>99</v>
      </c>
      <c r="U123" s="58">
        <v>105.5</v>
      </c>
      <c r="V123" s="58">
        <v>114.8</v>
      </c>
      <c r="W123" s="58">
        <v>117.7</v>
      </c>
      <c r="X123" s="58">
        <v>121.6</v>
      </c>
      <c r="Y123" s="58">
        <v>121.6</v>
      </c>
      <c r="Z123" s="58">
        <v>149.69999999999999</v>
      </c>
      <c r="AA123" s="58">
        <v>155.5</v>
      </c>
      <c r="AB123" s="58">
        <v>155.5</v>
      </c>
      <c r="AC123" s="58">
        <v>128.30000000000001</v>
      </c>
      <c r="AD123" s="58">
        <v>91</v>
      </c>
      <c r="AE123" s="58">
        <v>50.8</v>
      </c>
      <c r="AF123" s="58">
        <v>22</v>
      </c>
      <c r="AG123" s="60">
        <v>120</v>
      </c>
      <c r="AH123" s="12">
        <f t="shared" si="56"/>
        <v>155.5</v>
      </c>
      <c r="AI123" s="11">
        <f t="shared" si="57"/>
        <v>-6.7</v>
      </c>
    </row>
    <row r="124" spans="1:35" x14ac:dyDescent="0.25">
      <c r="A124" s="57" t="s">
        <v>138</v>
      </c>
      <c r="B124" s="58">
        <v>27</v>
      </c>
      <c r="C124" s="58">
        <v>24</v>
      </c>
      <c r="D124" s="58">
        <v>22</v>
      </c>
      <c r="E124" s="58">
        <v>19</v>
      </c>
      <c r="F124" s="58">
        <v>21.6</v>
      </c>
      <c r="G124" s="58">
        <v>31.6</v>
      </c>
      <c r="H124" s="58">
        <v>34.1</v>
      </c>
      <c r="I124" s="58">
        <v>43</v>
      </c>
      <c r="J124" s="58">
        <v>56</v>
      </c>
      <c r="K124" s="58">
        <v>56</v>
      </c>
      <c r="L124" s="58">
        <v>62.5</v>
      </c>
      <c r="M124" s="58">
        <v>70.3</v>
      </c>
      <c r="N124" s="58">
        <v>72.8</v>
      </c>
      <c r="O124" s="58">
        <v>68.2</v>
      </c>
      <c r="P124" s="58">
        <v>62.5</v>
      </c>
      <c r="Q124" s="58">
        <v>58.4</v>
      </c>
      <c r="R124" s="58">
        <v>53</v>
      </c>
      <c r="S124" s="58">
        <v>49.3</v>
      </c>
      <c r="T124" s="58">
        <v>65.5</v>
      </c>
      <c r="U124" s="58">
        <v>68.400000000000006</v>
      </c>
      <c r="V124" s="58">
        <v>72.599999999999994</v>
      </c>
      <c r="W124" s="58">
        <v>73.599999999999994</v>
      </c>
      <c r="X124" s="58">
        <v>76.2</v>
      </c>
      <c r="Y124" s="58">
        <v>76.2</v>
      </c>
      <c r="Z124" s="58">
        <v>87.5</v>
      </c>
      <c r="AA124" s="58">
        <v>90.7</v>
      </c>
      <c r="AB124" s="58">
        <v>90.7</v>
      </c>
      <c r="AC124" s="58">
        <v>84.6</v>
      </c>
      <c r="AD124" s="58">
        <v>66.7</v>
      </c>
      <c r="AE124" s="58">
        <v>46.6</v>
      </c>
      <c r="AF124" s="58">
        <v>32</v>
      </c>
      <c r="AG124" s="60"/>
      <c r="AH124" s="12">
        <f t="shared" si="56"/>
        <v>90.7</v>
      </c>
      <c r="AI124" s="11">
        <f t="shared" si="57"/>
        <v>19</v>
      </c>
    </row>
    <row r="125" spans="1:35" x14ac:dyDescent="0.25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56"/>
        <v>0</v>
      </c>
      <c r="AI125" s="11">
        <f t="shared" si="57"/>
        <v>0</v>
      </c>
    </row>
    <row r="126" spans="1:35" ht="15.75" thickBot="1" x14ac:dyDescent="0.3">
      <c r="A126" s="57" t="s">
        <v>136</v>
      </c>
      <c r="B126" s="58">
        <v>52</v>
      </c>
      <c r="C126" s="58">
        <v>56</v>
      </c>
      <c r="D126" s="58">
        <v>66.099999999999994</v>
      </c>
      <c r="E126" s="58">
        <v>66.3</v>
      </c>
      <c r="F126" s="58">
        <v>76</v>
      </c>
      <c r="G126" s="58">
        <v>103.4</v>
      </c>
      <c r="H126" s="58">
        <v>103.6</v>
      </c>
      <c r="I126" s="58">
        <v>94.7</v>
      </c>
      <c r="J126" s="58">
        <v>60.2</v>
      </c>
      <c r="K126" s="58">
        <v>60.2</v>
      </c>
      <c r="L126" s="58">
        <v>92.2</v>
      </c>
      <c r="M126" s="58">
        <v>91.4</v>
      </c>
      <c r="N126" s="58">
        <v>105.2</v>
      </c>
      <c r="O126" s="58">
        <v>95</v>
      </c>
      <c r="P126" s="58">
        <v>91</v>
      </c>
      <c r="Q126" s="58">
        <v>98.9</v>
      </c>
      <c r="R126" s="58">
        <v>90.6</v>
      </c>
      <c r="S126" s="58">
        <v>89.2</v>
      </c>
      <c r="T126" s="58">
        <v>96.7</v>
      </c>
      <c r="U126" s="58">
        <v>96.8</v>
      </c>
      <c r="V126" s="58">
        <v>84.1</v>
      </c>
      <c r="W126" s="58">
        <v>84.6</v>
      </c>
      <c r="X126" s="58">
        <v>67.2</v>
      </c>
      <c r="Y126" s="58">
        <v>67.2</v>
      </c>
      <c r="Z126" s="58">
        <v>39.1</v>
      </c>
      <c r="AA126" s="58">
        <v>27.9</v>
      </c>
      <c r="AB126" s="58">
        <v>27.9</v>
      </c>
      <c r="AC126" s="58">
        <v>23.8</v>
      </c>
      <c r="AD126" s="58">
        <v>22</v>
      </c>
      <c r="AE126" s="58">
        <v>13.9</v>
      </c>
      <c r="AF126" s="58">
        <v>-88</v>
      </c>
      <c r="AG126" s="55"/>
      <c r="AH126" s="12">
        <f>MAX(B126:AF126)</f>
        <v>105.2</v>
      </c>
      <c r="AI126" s="11">
        <f>MIN(B126:AF126)</f>
        <v>-88</v>
      </c>
    </row>
    <row r="127" spans="1:35" x14ac:dyDescent="0.25">
      <c r="A127" s="59" t="s">
        <v>135</v>
      </c>
      <c r="B127" s="58">
        <v>-102</v>
      </c>
      <c r="C127" s="58">
        <v>-105</v>
      </c>
      <c r="D127" s="58">
        <v>-98</v>
      </c>
      <c r="E127" s="58">
        <v>-99.3</v>
      </c>
      <c r="F127" s="58">
        <v>-79</v>
      </c>
      <c r="G127" s="58">
        <v>-78.8</v>
      </c>
      <c r="H127" s="58">
        <v>-76.3</v>
      </c>
      <c r="I127" s="58">
        <v>-90.9</v>
      </c>
      <c r="J127" s="58">
        <v>-14.7</v>
      </c>
      <c r="K127" s="58">
        <v>-14.7</v>
      </c>
      <c r="L127" s="58">
        <v>-15.8</v>
      </c>
      <c r="M127" s="58">
        <v>23.1</v>
      </c>
      <c r="N127" s="58">
        <v>25.5</v>
      </c>
      <c r="O127" s="58">
        <v>22.4</v>
      </c>
      <c r="P127" s="58">
        <v>16.899999999999999</v>
      </c>
      <c r="Q127" s="58">
        <v>13.2</v>
      </c>
      <c r="R127" s="58">
        <v>5.8</v>
      </c>
      <c r="S127" s="58">
        <v>7.5</v>
      </c>
      <c r="T127" s="58">
        <v>25.6</v>
      </c>
      <c r="U127" s="58">
        <v>28.3</v>
      </c>
      <c r="V127" s="58">
        <v>33.4</v>
      </c>
      <c r="W127" s="58">
        <v>34.6</v>
      </c>
      <c r="X127" s="58">
        <v>20.8</v>
      </c>
      <c r="Y127" s="58">
        <v>20.8</v>
      </c>
      <c r="Z127" s="58">
        <v>-83</v>
      </c>
      <c r="AA127" s="58">
        <v>-145.5</v>
      </c>
      <c r="AB127" s="58">
        <v>-145.5</v>
      </c>
      <c r="AC127" s="58">
        <v>-66.900000000000006</v>
      </c>
      <c r="AD127" s="58">
        <v>-144.1</v>
      </c>
      <c r="AE127" s="58">
        <v>-60</v>
      </c>
      <c r="AF127" s="58">
        <v>-88</v>
      </c>
      <c r="AG127" s="55"/>
      <c r="AH127" s="12">
        <f>MAX(B127:AF127)</f>
        <v>34.6</v>
      </c>
      <c r="AI127" s="11">
        <f>MIN(B127:AF127)</f>
        <v>-145.5</v>
      </c>
    </row>
    <row r="128" spans="1:35" x14ac:dyDescent="0.25">
      <c r="A128" s="57" t="s">
        <v>134</v>
      </c>
      <c r="B128" s="56">
        <v>-50</v>
      </c>
      <c r="C128" s="56">
        <v>-45</v>
      </c>
      <c r="D128" s="56">
        <v>-43.1</v>
      </c>
      <c r="E128" s="56">
        <v>-41.5</v>
      </c>
      <c r="F128" s="56">
        <v>-42</v>
      </c>
      <c r="G128" s="56">
        <v>-42.8</v>
      </c>
      <c r="H128" s="56">
        <v>-44.4</v>
      </c>
      <c r="I128" s="56">
        <v>47.7</v>
      </c>
      <c r="J128" s="56">
        <v>-54.9</v>
      </c>
      <c r="K128" s="56">
        <v>-54.9</v>
      </c>
      <c r="L128" s="56">
        <v>-51.8</v>
      </c>
      <c r="M128" s="56">
        <v>-45.1</v>
      </c>
      <c r="N128" s="56">
        <v>-48.5</v>
      </c>
      <c r="O128" s="56">
        <v>-37</v>
      </c>
      <c r="P128" s="56">
        <v>-34.799999999999997</v>
      </c>
      <c r="Q128" s="56">
        <v>-37.299999999999997</v>
      </c>
      <c r="R128" s="56">
        <v>-37.5</v>
      </c>
      <c r="S128" s="56">
        <v>-35.299999999999997</v>
      </c>
      <c r="T128" s="56">
        <v>-35.799999999999997</v>
      </c>
      <c r="U128" s="56">
        <v>-50.1</v>
      </c>
      <c r="V128" s="56">
        <v>-58.6</v>
      </c>
      <c r="W128" s="56">
        <v>-62.8</v>
      </c>
      <c r="X128" s="56">
        <v>-68.099999999999994</v>
      </c>
      <c r="Y128" s="56">
        <v>-68.099999999999994</v>
      </c>
      <c r="Z128" s="56"/>
      <c r="AA128" s="56"/>
      <c r="AB128" s="56"/>
      <c r="AC128" s="56">
        <v>-66.5</v>
      </c>
      <c r="AD128" s="56">
        <v>-61.2</v>
      </c>
      <c r="AE128" s="56">
        <v>-53.9</v>
      </c>
      <c r="AF128" s="56">
        <v>-49</v>
      </c>
      <c r="AG128" s="55"/>
      <c r="AH128" s="12">
        <f>MAX(B128:AF128)</f>
        <v>47.7</v>
      </c>
      <c r="AI128" s="11">
        <f>MIN(B128:AF128)</f>
        <v>-68.099999999999994</v>
      </c>
    </row>
    <row r="129" spans="1:37" x14ac:dyDescent="0.25">
      <c r="A129" s="57" t="s">
        <v>133</v>
      </c>
      <c r="B129" s="56">
        <v>91</v>
      </c>
      <c r="C129" s="56">
        <v>92.1</v>
      </c>
      <c r="D129" s="56">
        <v>91</v>
      </c>
      <c r="E129" s="56">
        <v>84.7</v>
      </c>
      <c r="F129" s="56">
        <v>80.2</v>
      </c>
      <c r="G129" s="56">
        <v>77</v>
      </c>
      <c r="H129" s="56">
        <v>76.2</v>
      </c>
      <c r="I129" s="56">
        <v>78.900000000000006</v>
      </c>
      <c r="J129" s="56">
        <v>112.7</v>
      </c>
      <c r="K129" s="56">
        <v>112.7</v>
      </c>
      <c r="L129" s="56">
        <v>66.400000000000006</v>
      </c>
      <c r="M129" s="56">
        <v>59.4</v>
      </c>
      <c r="N129" s="56">
        <v>59</v>
      </c>
      <c r="O129" s="56">
        <v>76.599999999999994</v>
      </c>
      <c r="P129" s="56">
        <v>78.599999999999994</v>
      </c>
      <c r="Q129" s="56">
        <v>77.5</v>
      </c>
      <c r="R129" s="56">
        <v>80</v>
      </c>
      <c r="S129" s="56">
        <v>90.7</v>
      </c>
      <c r="T129" s="56">
        <v>69.3</v>
      </c>
      <c r="U129" s="56">
        <v>53.5</v>
      </c>
      <c r="V129" s="56">
        <v>49.8</v>
      </c>
      <c r="W129" s="56">
        <v>58.8</v>
      </c>
      <c r="X129" s="56">
        <v>57.1</v>
      </c>
      <c r="Y129" s="56">
        <v>57.1</v>
      </c>
      <c r="Z129" s="56">
        <v>47.5</v>
      </c>
      <c r="AA129" s="56">
        <v>98.6</v>
      </c>
      <c r="AB129" s="56">
        <v>98.6</v>
      </c>
      <c r="AC129" s="56">
        <v>99.6</v>
      </c>
      <c r="AD129" s="56">
        <v>107.6</v>
      </c>
      <c r="AE129" s="56">
        <v>108</v>
      </c>
      <c r="AF129" s="56">
        <v>99</v>
      </c>
      <c r="AG129" s="55"/>
      <c r="AH129" s="12">
        <f>MAX(B129:AF129)</f>
        <v>112.7</v>
      </c>
      <c r="AI129" s="11">
        <f>MIN(B129:AF129)</f>
        <v>47.5</v>
      </c>
    </row>
    <row r="130" spans="1:37" ht="15.75" thickBot="1" x14ac:dyDescent="0.3">
      <c r="A130" s="57" t="s">
        <v>132</v>
      </c>
      <c r="B130" s="56">
        <v>101</v>
      </c>
      <c r="C130" s="56">
        <v>102.4</v>
      </c>
      <c r="D130" s="56">
        <v>101</v>
      </c>
      <c r="E130" s="56">
        <v>94.7</v>
      </c>
      <c r="F130" s="56">
        <v>86.9</v>
      </c>
      <c r="G130" s="56">
        <v>87.2</v>
      </c>
      <c r="H130" s="56">
        <v>86.5</v>
      </c>
      <c r="I130" s="56">
        <v>87.9</v>
      </c>
      <c r="J130" s="56">
        <v>114.8</v>
      </c>
      <c r="K130" s="56">
        <v>50.5</v>
      </c>
      <c r="L130" s="56">
        <v>64.5</v>
      </c>
      <c r="M130" s="56">
        <v>56</v>
      </c>
      <c r="N130" s="56">
        <v>53.5</v>
      </c>
      <c r="O130" s="56">
        <v>76.7</v>
      </c>
      <c r="P130" s="56">
        <v>77.7</v>
      </c>
      <c r="Q130" s="56">
        <v>76.400000000000006</v>
      </c>
      <c r="R130" s="56">
        <v>79.3</v>
      </c>
      <c r="S130" s="56">
        <v>93.8</v>
      </c>
      <c r="T130" s="56">
        <v>71.3</v>
      </c>
      <c r="U130" s="56">
        <v>57.9</v>
      </c>
      <c r="V130" s="56">
        <v>52.5</v>
      </c>
      <c r="W130" s="56">
        <v>63.2</v>
      </c>
      <c r="X130" s="56">
        <v>62.8</v>
      </c>
      <c r="Y130" s="56">
        <v>62.8</v>
      </c>
      <c r="Z130" s="56">
        <v>58.8</v>
      </c>
      <c r="AA130" s="56"/>
      <c r="AB130" s="56"/>
      <c r="AC130" s="56">
        <v>112.2</v>
      </c>
      <c r="AD130" s="56">
        <v>118.3</v>
      </c>
      <c r="AE130" s="56">
        <v>115</v>
      </c>
      <c r="AF130" s="56">
        <v>109</v>
      </c>
      <c r="AG130" s="55"/>
      <c r="AH130" s="12">
        <f>MAX(B130:AF130)</f>
        <v>118.3</v>
      </c>
      <c r="AI130" s="11">
        <f>MIN(B130:AF130)</f>
        <v>50.5</v>
      </c>
    </row>
    <row r="131" spans="1:37" x14ac:dyDescent="0.25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25">
      <c r="A132" s="47" t="s">
        <v>130</v>
      </c>
      <c r="B132" s="51">
        <v>1983.49</v>
      </c>
      <c r="C132" s="51">
        <v>1983.31</v>
      </c>
      <c r="D132" s="51">
        <v>1983.13</v>
      </c>
      <c r="E132" s="51">
        <v>1983</v>
      </c>
      <c r="F132" s="51">
        <v>1982.91</v>
      </c>
      <c r="G132" s="51">
        <v>1982.84</v>
      </c>
      <c r="H132" s="51"/>
      <c r="I132" s="51">
        <v>1982.66</v>
      </c>
      <c r="J132" s="51"/>
      <c r="K132" s="51">
        <v>1982.89</v>
      </c>
      <c r="L132" s="51"/>
      <c r="M132" s="51">
        <v>1983.29</v>
      </c>
      <c r="N132" s="51">
        <v>1983.6</v>
      </c>
      <c r="O132" s="51">
        <v>1983.9</v>
      </c>
      <c r="P132" s="51">
        <v>1984.25</v>
      </c>
      <c r="Q132" s="51">
        <v>1984.5</v>
      </c>
      <c r="R132" s="51">
        <v>1984.8</v>
      </c>
      <c r="S132" s="51">
        <v>1985.04</v>
      </c>
      <c r="T132" s="51">
        <v>1985.32</v>
      </c>
      <c r="U132" s="51">
        <v>1985.53</v>
      </c>
      <c r="V132" s="51">
        <v>1985.78</v>
      </c>
      <c r="W132" s="51"/>
      <c r="X132" s="51">
        <v>1986.02</v>
      </c>
      <c r="Y132" s="51"/>
      <c r="Z132" s="51">
        <v>1986.1</v>
      </c>
      <c r="AA132" s="51"/>
      <c r="AB132" s="51">
        <v>1985.2</v>
      </c>
      <c r="AC132" s="51"/>
      <c r="AD132" s="51">
        <v>1984.62</v>
      </c>
      <c r="AE132" s="51">
        <v>1984.3</v>
      </c>
      <c r="AF132" s="50">
        <v>1984.2</v>
      </c>
      <c r="AG132" s="44"/>
      <c r="AH132" s="12"/>
      <c r="AI132" s="11"/>
    </row>
    <row r="133" spans="1:37" x14ac:dyDescent="0.25">
      <c r="A133" s="47" t="s">
        <v>129</v>
      </c>
      <c r="B133" s="49">
        <v>519.27</v>
      </c>
      <c r="C133" s="49">
        <v>519.26</v>
      </c>
      <c r="D133" s="49">
        <v>519.30999999999995</v>
      </c>
      <c r="E133" s="49">
        <v>519.6</v>
      </c>
      <c r="F133" s="49">
        <v>519.86</v>
      </c>
      <c r="G133" s="49">
        <v>520.14</v>
      </c>
      <c r="H133" s="49"/>
      <c r="I133" s="49">
        <v>520.41999999999996</v>
      </c>
      <c r="J133" s="49"/>
      <c r="K133" s="49">
        <v>520.52</v>
      </c>
      <c r="L133" s="49"/>
      <c r="M133" s="49">
        <v>520.86</v>
      </c>
      <c r="N133" s="49">
        <v>521.16999999999996</v>
      </c>
      <c r="O133" s="49">
        <v>521.49</v>
      </c>
      <c r="P133" s="49">
        <v>521.76</v>
      </c>
      <c r="Q133" s="49">
        <v>522.16999999999996</v>
      </c>
      <c r="R133" s="49">
        <v>522.63</v>
      </c>
      <c r="S133" s="49">
        <v>523.02</v>
      </c>
      <c r="T133" s="49">
        <v>523.20000000000005</v>
      </c>
      <c r="U133" s="49">
        <v>523.23</v>
      </c>
      <c r="V133" s="49">
        <v>523.29</v>
      </c>
      <c r="W133" s="49"/>
      <c r="X133" s="49">
        <v>523.34</v>
      </c>
      <c r="Y133" s="49"/>
      <c r="Z133" s="49"/>
      <c r="AA133" s="49"/>
      <c r="AB133" s="49">
        <v>522.88</v>
      </c>
      <c r="AC133" s="49"/>
      <c r="AD133" s="49">
        <v>522.4</v>
      </c>
      <c r="AE133" s="49">
        <v>521.92999999999995</v>
      </c>
      <c r="AF133" s="48">
        <v>521.53</v>
      </c>
      <c r="AG133" s="44"/>
      <c r="AH133" s="12"/>
      <c r="AI133" s="11"/>
    </row>
    <row r="134" spans="1:37" x14ac:dyDescent="0.25">
      <c r="A134" s="47" t="s">
        <v>128</v>
      </c>
      <c r="B134" s="49">
        <v>621.67999999999995</v>
      </c>
      <c r="C134" s="49">
        <v>622.04</v>
      </c>
      <c r="D134" s="49">
        <v>622.29</v>
      </c>
      <c r="E134" s="49">
        <v>622.67999999999995</v>
      </c>
      <c r="F134" s="49">
        <v>623.24</v>
      </c>
      <c r="G134" s="49">
        <v>623.35</v>
      </c>
      <c r="H134" s="49"/>
      <c r="I134" s="49">
        <v>623.42999999999995</v>
      </c>
      <c r="J134" s="49"/>
      <c r="K134" s="49">
        <v>623.69000000000005</v>
      </c>
      <c r="L134" s="49"/>
      <c r="M134" s="49">
        <v>624.09</v>
      </c>
      <c r="N134" s="49">
        <v>624.32000000000005</v>
      </c>
      <c r="O134" s="49">
        <v>624.54999999999995</v>
      </c>
      <c r="P134" s="49">
        <v>624.75</v>
      </c>
      <c r="Q134" s="49">
        <v>625</v>
      </c>
      <c r="R134" s="49">
        <v>625.15</v>
      </c>
      <c r="S134" s="49">
        <v>625.29999999999995</v>
      </c>
      <c r="T134" s="49">
        <v>625.41</v>
      </c>
      <c r="U134" s="49">
        <v>625.44000000000005</v>
      </c>
      <c r="V134" s="49">
        <v>625.36</v>
      </c>
      <c r="W134" s="49"/>
      <c r="X134" s="49">
        <v>625.08000000000004</v>
      </c>
      <c r="Y134" s="49"/>
      <c r="Z134" s="49"/>
      <c r="AA134" s="49"/>
      <c r="AB134" s="49"/>
      <c r="AC134" s="49"/>
      <c r="AD134" s="49">
        <v>624</v>
      </c>
      <c r="AE134" s="49">
        <v>623.74</v>
      </c>
      <c r="AF134" s="48">
        <v>623.41999999999996</v>
      </c>
      <c r="AG134" s="44"/>
      <c r="AH134" s="12"/>
      <c r="AI134" s="11"/>
    </row>
    <row r="135" spans="1:37" x14ac:dyDescent="0.25">
      <c r="A135" s="47" t="s">
        <v>127</v>
      </c>
      <c r="B135" s="49">
        <v>334.19</v>
      </c>
      <c r="C135" s="49">
        <v>334.13</v>
      </c>
      <c r="D135" s="49">
        <v>334.27</v>
      </c>
      <c r="E135" s="49">
        <v>334.47</v>
      </c>
      <c r="F135" s="49">
        <v>334.73</v>
      </c>
      <c r="G135" s="49">
        <v>335.08</v>
      </c>
      <c r="H135" s="49"/>
      <c r="I135" s="49">
        <v>335.21</v>
      </c>
      <c r="J135" s="49"/>
      <c r="K135" s="49">
        <v>335.24</v>
      </c>
      <c r="L135" s="49"/>
      <c r="M135" s="49">
        <v>335.24</v>
      </c>
      <c r="N135" s="49">
        <v>335.36</v>
      </c>
      <c r="O135" s="49">
        <v>335.45</v>
      </c>
      <c r="P135" s="49">
        <v>335.58</v>
      </c>
      <c r="Q135" s="49">
        <v>335.84</v>
      </c>
      <c r="R135" s="49">
        <v>336.13</v>
      </c>
      <c r="S135" s="49">
        <v>336.36</v>
      </c>
      <c r="T135" s="49">
        <v>336.56</v>
      </c>
      <c r="U135" s="49">
        <v>336.79</v>
      </c>
      <c r="V135" s="49">
        <v>337.05</v>
      </c>
      <c r="W135" s="49"/>
      <c r="X135" s="49">
        <v>337.24</v>
      </c>
      <c r="Y135" s="49"/>
      <c r="Z135" s="49">
        <v>337.05</v>
      </c>
      <c r="AA135" s="49"/>
      <c r="AB135" s="49">
        <v>336.8</v>
      </c>
      <c r="AC135" s="49"/>
      <c r="AD135" s="49">
        <v>336.47</v>
      </c>
      <c r="AE135" s="49">
        <v>336.26</v>
      </c>
      <c r="AF135" s="48">
        <v>336.33</v>
      </c>
      <c r="AG135" s="44"/>
      <c r="AH135" s="12"/>
      <c r="AI135" s="11"/>
    </row>
    <row r="136" spans="1:37" x14ac:dyDescent="0.25">
      <c r="A136" s="47" t="s">
        <v>126</v>
      </c>
      <c r="B136" s="49">
        <v>882.5</v>
      </c>
      <c r="C136" s="49">
        <v>883.1</v>
      </c>
      <c r="D136" s="49">
        <v>883.4</v>
      </c>
      <c r="E136" s="49">
        <v>883.7</v>
      </c>
      <c r="F136" s="49">
        <v>884</v>
      </c>
      <c r="G136" s="49">
        <v>884.4</v>
      </c>
      <c r="H136" s="49"/>
      <c r="I136" s="49">
        <v>884.6</v>
      </c>
      <c r="J136" s="49"/>
      <c r="K136" s="49">
        <v>884.8</v>
      </c>
      <c r="L136" s="49"/>
      <c r="M136" s="49">
        <v>885.5</v>
      </c>
      <c r="N136" s="49">
        <v>886.3</v>
      </c>
      <c r="O136" s="49">
        <v>887.1</v>
      </c>
      <c r="P136" s="49">
        <v>887</v>
      </c>
      <c r="Q136" s="49">
        <v>886.9</v>
      </c>
      <c r="R136" s="49">
        <v>886.7</v>
      </c>
      <c r="S136" s="49">
        <v>886.2</v>
      </c>
      <c r="T136" s="49">
        <v>885.8</v>
      </c>
      <c r="U136" s="49">
        <v>885.8</v>
      </c>
      <c r="V136" s="49">
        <v>885.5</v>
      </c>
      <c r="W136" s="49"/>
      <c r="X136" s="49">
        <v>885.3</v>
      </c>
      <c r="Y136" s="49"/>
      <c r="Z136" s="49"/>
      <c r="AA136" s="49"/>
      <c r="AB136" s="49">
        <v>882.6</v>
      </c>
      <c r="AC136" s="49"/>
      <c r="AD136" s="49">
        <v>882.5</v>
      </c>
      <c r="AE136" s="49">
        <v>882</v>
      </c>
      <c r="AF136" s="48">
        <v>882.1</v>
      </c>
      <c r="AG136" s="44"/>
      <c r="AH136" s="12"/>
      <c r="AI136" s="11"/>
    </row>
    <row r="137" spans="1:37" ht="15.75" thickBot="1" x14ac:dyDescent="0.3">
      <c r="A137" s="47" t="s">
        <v>125</v>
      </c>
      <c r="B137" s="46">
        <v>1507.52</v>
      </c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>
        <v>1507.3</v>
      </c>
      <c r="N137" s="46"/>
      <c r="O137" s="46"/>
      <c r="P137" s="46"/>
      <c r="Q137" s="46">
        <v>1507.21</v>
      </c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.75" thickBot="1" x14ac:dyDescent="0.3">
      <c r="A138" s="185" t="s">
        <v>124</v>
      </c>
      <c r="B138" s="2"/>
      <c r="C138" s="2"/>
      <c r="D138" s="2"/>
      <c r="E138" s="2"/>
      <c r="F138" s="186" t="s">
        <v>123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187"/>
      <c r="AB138" s="187"/>
      <c r="AC138" s="2"/>
      <c r="AD138" s="2"/>
      <c r="AE138" s="2"/>
      <c r="AF138" s="2"/>
      <c r="AG138" s="26"/>
      <c r="AH138" s="12"/>
      <c r="AI138" s="11"/>
      <c r="AK138" s="19"/>
    </row>
    <row r="139" spans="1:37" x14ac:dyDescent="0.25">
      <c r="A139" s="25" t="s">
        <v>122</v>
      </c>
      <c r="B139" s="24"/>
      <c r="C139" s="7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188">
        <v>9.94</v>
      </c>
      <c r="AH139" s="12"/>
      <c r="AI139" s="11"/>
      <c r="AK139" s="19"/>
    </row>
    <row r="140" spans="1:37" x14ac:dyDescent="0.25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25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25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25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25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25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25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25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25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25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25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25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25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25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25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25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25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25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25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25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25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25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25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25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25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25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25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25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25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25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25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25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25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25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25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25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25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25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25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25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25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25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25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25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25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25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25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25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25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25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25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25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25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25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25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25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25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25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25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25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25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25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25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25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25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25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25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25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25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25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25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25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25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25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25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25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25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25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25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25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25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25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25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25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25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25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25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25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25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25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25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25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25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25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25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25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25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25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25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25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25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25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25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.75" thickBot="1" x14ac:dyDescent="0.3">
      <c r="A243" s="189" t="s">
        <v>18</v>
      </c>
      <c r="B243" s="190"/>
      <c r="C243" s="191"/>
      <c r="D243" s="190"/>
      <c r="E243" s="190"/>
      <c r="F243" s="190"/>
      <c r="G243" s="190"/>
      <c r="H243" s="190"/>
      <c r="I243" s="190"/>
      <c r="J243" s="190"/>
      <c r="K243" s="190"/>
      <c r="L243" s="190"/>
      <c r="M243" s="190"/>
      <c r="N243" s="190"/>
      <c r="O243" s="190"/>
      <c r="P243" s="190"/>
      <c r="Q243" s="190"/>
      <c r="R243" s="190"/>
      <c r="S243" s="190"/>
      <c r="T243" s="190"/>
      <c r="U243" s="190"/>
      <c r="V243" s="190"/>
      <c r="W243" s="190"/>
      <c r="X243" s="190"/>
      <c r="Y243" s="190"/>
      <c r="Z243" s="190"/>
      <c r="AA243" s="190"/>
      <c r="AB243" s="190"/>
      <c r="AC243" s="190"/>
      <c r="AD243" s="190"/>
      <c r="AE243" s="190"/>
      <c r="AF243" s="190"/>
      <c r="AG243" s="192">
        <v>0.97899999999999998</v>
      </c>
      <c r="AH243" s="12"/>
      <c r="AI243" s="11"/>
      <c r="AK243" s="19"/>
    </row>
    <row r="244" spans="1:37" ht="15.75" thickBot="1" x14ac:dyDescent="0.3">
      <c r="A244" s="31" t="s">
        <v>17</v>
      </c>
      <c r="B244" s="30">
        <f t="shared" ref="B244:AG244" si="132">SUM(B139:B243)</f>
        <v>0</v>
      </c>
      <c r="C244" s="14">
        <f t="shared" si="132"/>
        <v>0</v>
      </c>
      <c r="D244" s="14">
        <f t="shared" si="132"/>
        <v>0</v>
      </c>
      <c r="E244" s="14">
        <f t="shared" si="132"/>
        <v>0</v>
      </c>
      <c r="F244" s="14">
        <f t="shared" si="132"/>
        <v>0</v>
      </c>
      <c r="G244" s="14">
        <f t="shared" si="132"/>
        <v>0</v>
      </c>
      <c r="H244" s="14">
        <f t="shared" si="132"/>
        <v>0</v>
      </c>
      <c r="I244" s="14">
        <f t="shared" si="132"/>
        <v>0</v>
      </c>
      <c r="J244" s="14">
        <f t="shared" si="132"/>
        <v>0</v>
      </c>
      <c r="K244" s="14">
        <f t="shared" si="132"/>
        <v>0</v>
      </c>
      <c r="L244" s="14">
        <f t="shared" si="132"/>
        <v>0</v>
      </c>
      <c r="M244" s="14">
        <f t="shared" si="132"/>
        <v>0</v>
      </c>
      <c r="N244" s="14">
        <f t="shared" si="132"/>
        <v>0</v>
      </c>
      <c r="O244" s="14">
        <f t="shared" si="132"/>
        <v>0</v>
      </c>
      <c r="P244" s="14">
        <f t="shared" si="132"/>
        <v>0</v>
      </c>
      <c r="Q244" s="14">
        <f t="shared" si="132"/>
        <v>0</v>
      </c>
      <c r="R244" s="14">
        <f t="shared" si="132"/>
        <v>0</v>
      </c>
      <c r="S244" s="14">
        <f t="shared" si="132"/>
        <v>0</v>
      </c>
      <c r="T244" s="14">
        <f t="shared" si="132"/>
        <v>0</v>
      </c>
      <c r="U244" s="14">
        <f t="shared" si="132"/>
        <v>0</v>
      </c>
      <c r="V244" s="14">
        <f t="shared" si="132"/>
        <v>0</v>
      </c>
      <c r="W244" s="14">
        <f t="shared" si="132"/>
        <v>0</v>
      </c>
      <c r="X244" s="14">
        <f t="shared" si="132"/>
        <v>0</v>
      </c>
      <c r="Y244" s="14">
        <f t="shared" si="132"/>
        <v>0</v>
      </c>
      <c r="Z244" s="14">
        <f t="shared" si="132"/>
        <v>0</v>
      </c>
      <c r="AA244" s="14">
        <f>SUM(AA138:AA243)</f>
        <v>0</v>
      </c>
      <c r="AB244" s="14">
        <f t="shared" si="132"/>
        <v>0</v>
      </c>
      <c r="AC244" s="14">
        <f t="shared" si="132"/>
        <v>0</v>
      </c>
      <c r="AD244" s="14">
        <f t="shared" si="132"/>
        <v>0</v>
      </c>
      <c r="AE244" s="14">
        <f t="shared" si="132"/>
        <v>0</v>
      </c>
      <c r="AF244" s="29">
        <f t="shared" si="132"/>
        <v>0</v>
      </c>
      <c r="AG244" s="28">
        <f t="shared" si="132"/>
        <v>412.72299999999984</v>
      </c>
      <c r="AH244" s="12"/>
      <c r="AI244" s="11"/>
      <c r="AK244" s="19"/>
    </row>
    <row r="245" spans="1:37" ht="15.75" thickBot="1" x14ac:dyDescent="0.3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25">
      <c r="A246" s="25" t="s">
        <v>16</v>
      </c>
      <c r="B246" s="24">
        <f t="shared" ref="B246:B251" si="133">AF246</f>
        <v>0.3</v>
      </c>
      <c r="C246" s="24">
        <v>0.3</v>
      </c>
      <c r="D246" s="24">
        <f t="shared" ref="D246:AF251" si="134">C246</f>
        <v>0.3</v>
      </c>
      <c r="E246" s="24">
        <f t="shared" si="134"/>
        <v>0.3</v>
      </c>
      <c r="F246" s="24">
        <f t="shared" si="134"/>
        <v>0.3</v>
      </c>
      <c r="G246" s="24">
        <f t="shared" si="134"/>
        <v>0.3</v>
      </c>
      <c r="H246" s="24">
        <f t="shared" si="134"/>
        <v>0.3</v>
      </c>
      <c r="I246" s="24">
        <f t="shared" si="134"/>
        <v>0.3</v>
      </c>
      <c r="J246" s="24">
        <f t="shared" si="134"/>
        <v>0.3</v>
      </c>
      <c r="K246" s="24">
        <f t="shared" si="134"/>
        <v>0.3</v>
      </c>
      <c r="L246" s="24">
        <f t="shared" si="134"/>
        <v>0.3</v>
      </c>
      <c r="M246" s="24">
        <f t="shared" si="134"/>
        <v>0.3</v>
      </c>
      <c r="N246" s="24">
        <f t="shared" si="134"/>
        <v>0.3</v>
      </c>
      <c r="O246" s="24">
        <f t="shared" si="134"/>
        <v>0.3</v>
      </c>
      <c r="P246" s="24">
        <f t="shared" si="134"/>
        <v>0.3</v>
      </c>
      <c r="Q246" s="24">
        <f t="shared" si="134"/>
        <v>0.3</v>
      </c>
      <c r="R246" s="24">
        <f t="shared" si="134"/>
        <v>0.3</v>
      </c>
      <c r="S246" s="24">
        <f t="shared" si="134"/>
        <v>0.3</v>
      </c>
      <c r="T246" s="24">
        <f t="shared" si="134"/>
        <v>0.3</v>
      </c>
      <c r="U246" s="24">
        <f t="shared" si="134"/>
        <v>0.3</v>
      </c>
      <c r="V246" s="24">
        <f t="shared" si="134"/>
        <v>0.3</v>
      </c>
      <c r="W246" s="24">
        <f t="shared" si="134"/>
        <v>0.3</v>
      </c>
      <c r="X246" s="24">
        <f t="shared" si="134"/>
        <v>0.3</v>
      </c>
      <c r="Y246" s="24">
        <f t="shared" si="134"/>
        <v>0.3</v>
      </c>
      <c r="Z246" s="24">
        <f t="shared" si="134"/>
        <v>0.3</v>
      </c>
      <c r="AA246" s="24">
        <f t="shared" si="134"/>
        <v>0.3</v>
      </c>
      <c r="AB246" s="24">
        <f t="shared" si="134"/>
        <v>0.3</v>
      </c>
      <c r="AC246" s="24">
        <f t="shared" si="134"/>
        <v>0.3</v>
      </c>
      <c r="AD246" s="24">
        <f t="shared" si="134"/>
        <v>0.3</v>
      </c>
      <c r="AE246" s="24">
        <f t="shared" si="134"/>
        <v>0.3</v>
      </c>
      <c r="AF246" s="24">
        <f t="shared" si="134"/>
        <v>0.3</v>
      </c>
      <c r="AG246" s="23">
        <v>2.4</v>
      </c>
      <c r="AH246" s="12"/>
      <c r="AI246" s="11"/>
      <c r="AK246" s="19"/>
    </row>
    <row r="247" spans="1:37" x14ac:dyDescent="0.25">
      <c r="A247" s="22" t="s">
        <v>15</v>
      </c>
      <c r="B247" s="21">
        <f t="shared" si="133"/>
        <v>0.4</v>
      </c>
      <c r="C247" s="21">
        <v>0.4</v>
      </c>
      <c r="D247" s="21">
        <f t="shared" si="134"/>
        <v>0.4</v>
      </c>
      <c r="E247" s="21">
        <f t="shared" si="134"/>
        <v>0.4</v>
      </c>
      <c r="F247" s="21">
        <f t="shared" si="134"/>
        <v>0.4</v>
      </c>
      <c r="G247" s="21">
        <f t="shared" si="134"/>
        <v>0.4</v>
      </c>
      <c r="H247" s="21">
        <f t="shared" si="134"/>
        <v>0.4</v>
      </c>
      <c r="I247" s="21">
        <f t="shared" si="134"/>
        <v>0.4</v>
      </c>
      <c r="J247" s="21">
        <f t="shared" si="134"/>
        <v>0.4</v>
      </c>
      <c r="K247" s="21">
        <f t="shared" si="134"/>
        <v>0.4</v>
      </c>
      <c r="L247" s="21">
        <f t="shared" si="134"/>
        <v>0.4</v>
      </c>
      <c r="M247" s="21">
        <f t="shared" si="134"/>
        <v>0.4</v>
      </c>
      <c r="N247" s="21">
        <f t="shared" si="134"/>
        <v>0.4</v>
      </c>
      <c r="O247" s="21">
        <f t="shared" si="134"/>
        <v>0.4</v>
      </c>
      <c r="P247" s="21">
        <f t="shared" si="134"/>
        <v>0.4</v>
      </c>
      <c r="Q247" s="21">
        <f t="shared" si="134"/>
        <v>0.4</v>
      </c>
      <c r="R247" s="21">
        <f t="shared" si="134"/>
        <v>0.4</v>
      </c>
      <c r="S247" s="21">
        <f t="shared" si="134"/>
        <v>0.4</v>
      </c>
      <c r="T247" s="21">
        <f t="shared" si="134"/>
        <v>0.4</v>
      </c>
      <c r="U247" s="21">
        <f t="shared" si="134"/>
        <v>0.4</v>
      </c>
      <c r="V247" s="21">
        <f t="shared" si="134"/>
        <v>0.4</v>
      </c>
      <c r="W247" s="21">
        <f t="shared" si="134"/>
        <v>0.4</v>
      </c>
      <c r="X247" s="21">
        <f t="shared" si="134"/>
        <v>0.4</v>
      </c>
      <c r="Y247" s="21">
        <f t="shared" si="134"/>
        <v>0.4</v>
      </c>
      <c r="Z247" s="21">
        <f t="shared" si="134"/>
        <v>0.4</v>
      </c>
      <c r="AA247" s="21">
        <f t="shared" si="134"/>
        <v>0.4</v>
      </c>
      <c r="AB247" s="21">
        <f t="shared" si="134"/>
        <v>0.4</v>
      </c>
      <c r="AC247" s="21">
        <f t="shared" si="134"/>
        <v>0.4</v>
      </c>
      <c r="AD247" s="21">
        <f t="shared" si="134"/>
        <v>0.4</v>
      </c>
      <c r="AE247" s="21">
        <f t="shared" si="134"/>
        <v>0.4</v>
      </c>
      <c r="AF247" s="21">
        <f t="shared" si="134"/>
        <v>0.4</v>
      </c>
      <c r="AG247" s="20">
        <v>2</v>
      </c>
      <c r="AH247" s="12"/>
      <c r="AI247" s="11"/>
      <c r="AK247" s="19"/>
    </row>
    <row r="248" spans="1:37" x14ac:dyDescent="0.25">
      <c r="A248" s="22" t="s">
        <v>14</v>
      </c>
      <c r="B248" s="21">
        <f t="shared" si="133"/>
        <v>1.5</v>
      </c>
      <c r="C248" s="21">
        <v>1.5</v>
      </c>
      <c r="D248" s="21">
        <f t="shared" si="134"/>
        <v>1.5</v>
      </c>
      <c r="E248" s="21">
        <f t="shared" si="134"/>
        <v>1.5</v>
      </c>
      <c r="F248" s="21">
        <f t="shared" si="134"/>
        <v>1.5</v>
      </c>
      <c r="G248" s="21">
        <f t="shared" si="134"/>
        <v>1.5</v>
      </c>
      <c r="H248" s="21">
        <f t="shared" si="134"/>
        <v>1.5</v>
      </c>
      <c r="I248" s="21">
        <f t="shared" si="134"/>
        <v>1.5</v>
      </c>
      <c r="J248" s="21">
        <f t="shared" si="134"/>
        <v>1.5</v>
      </c>
      <c r="K248" s="21">
        <f t="shared" si="134"/>
        <v>1.5</v>
      </c>
      <c r="L248" s="21">
        <f t="shared" si="134"/>
        <v>1.5</v>
      </c>
      <c r="M248" s="21">
        <f t="shared" si="134"/>
        <v>1.5</v>
      </c>
      <c r="N248" s="21">
        <f t="shared" si="134"/>
        <v>1.5</v>
      </c>
      <c r="O248" s="21">
        <f t="shared" si="134"/>
        <v>1.5</v>
      </c>
      <c r="P248" s="21">
        <f t="shared" si="134"/>
        <v>1.5</v>
      </c>
      <c r="Q248" s="21">
        <f t="shared" si="134"/>
        <v>1.5</v>
      </c>
      <c r="R248" s="21">
        <f t="shared" si="134"/>
        <v>1.5</v>
      </c>
      <c r="S248" s="21">
        <f t="shared" si="134"/>
        <v>1.5</v>
      </c>
      <c r="T248" s="21">
        <f t="shared" si="134"/>
        <v>1.5</v>
      </c>
      <c r="U248" s="21">
        <f t="shared" si="134"/>
        <v>1.5</v>
      </c>
      <c r="V248" s="21">
        <f t="shared" si="134"/>
        <v>1.5</v>
      </c>
      <c r="W248" s="21">
        <f t="shared" si="134"/>
        <v>1.5</v>
      </c>
      <c r="X248" s="21">
        <f t="shared" si="134"/>
        <v>1.5</v>
      </c>
      <c r="Y248" s="21">
        <f t="shared" si="134"/>
        <v>1.5</v>
      </c>
      <c r="Z248" s="21">
        <f t="shared" si="134"/>
        <v>1.5</v>
      </c>
      <c r="AA248" s="21">
        <f t="shared" si="134"/>
        <v>1.5</v>
      </c>
      <c r="AB248" s="21">
        <f t="shared" si="134"/>
        <v>1.5</v>
      </c>
      <c r="AC248" s="21">
        <f t="shared" si="134"/>
        <v>1.5</v>
      </c>
      <c r="AD248" s="21">
        <f t="shared" si="134"/>
        <v>1.5</v>
      </c>
      <c r="AE248" s="21">
        <f t="shared" si="134"/>
        <v>1.5</v>
      </c>
      <c r="AF248" s="21">
        <f t="shared" si="134"/>
        <v>1.5</v>
      </c>
      <c r="AG248" s="20">
        <v>1.5</v>
      </c>
      <c r="AH248" s="12"/>
      <c r="AI248" s="11"/>
      <c r="AK248" s="19"/>
    </row>
    <row r="249" spans="1:37" x14ac:dyDescent="0.25">
      <c r="A249" s="22" t="s">
        <v>13</v>
      </c>
      <c r="B249" s="21">
        <f t="shared" si="133"/>
        <v>0.3</v>
      </c>
      <c r="C249" s="21">
        <v>0.3</v>
      </c>
      <c r="D249" s="21">
        <f t="shared" si="134"/>
        <v>0.3</v>
      </c>
      <c r="E249" s="21">
        <f t="shared" si="134"/>
        <v>0.3</v>
      </c>
      <c r="F249" s="21">
        <f t="shared" si="134"/>
        <v>0.3</v>
      </c>
      <c r="G249" s="21">
        <f t="shared" si="134"/>
        <v>0.3</v>
      </c>
      <c r="H249" s="21">
        <f t="shared" si="134"/>
        <v>0.3</v>
      </c>
      <c r="I249" s="21">
        <f t="shared" si="134"/>
        <v>0.3</v>
      </c>
      <c r="J249" s="21">
        <f t="shared" si="134"/>
        <v>0.3</v>
      </c>
      <c r="K249" s="21">
        <f t="shared" si="134"/>
        <v>0.3</v>
      </c>
      <c r="L249" s="21">
        <f t="shared" si="134"/>
        <v>0.3</v>
      </c>
      <c r="M249" s="21">
        <f t="shared" si="134"/>
        <v>0.3</v>
      </c>
      <c r="N249" s="21">
        <f t="shared" si="134"/>
        <v>0.3</v>
      </c>
      <c r="O249" s="21">
        <f t="shared" si="134"/>
        <v>0.3</v>
      </c>
      <c r="P249" s="21">
        <f t="shared" si="134"/>
        <v>0.3</v>
      </c>
      <c r="Q249" s="21">
        <f t="shared" si="134"/>
        <v>0.3</v>
      </c>
      <c r="R249" s="21">
        <f t="shared" si="134"/>
        <v>0.3</v>
      </c>
      <c r="S249" s="21">
        <f t="shared" si="134"/>
        <v>0.3</v>
      </c>
      <c r="T249" s="21">
        <f t="shared" si="134"/>
        <v>0.3</v>
      </c>
      <c r="U249" s="21">
        <f t="shared" si="134"/>
        <v>0.3</v>
      </c>
      <c r="V249" s="21">
        <f t="shared" si="134"/>
        <v>0.3</v>
      </c>
      <c r="W249" s="21">
        <f t="shared" si="134"/>
        <v>0.3</v>
      </c>
      <c r="X249" s="21">
        <f t="shared" si="134"/>
        <v>0.3</v>
      </c>
      <c r="Y249" s="21">
        <f t="shared" si="134"/>
        <v>0.3</v>
      </c>
      <c r="Z249" s="21">
        <f t="shared" si="134"/>
        <v>0.3</v>
      </c>
      <c r="AA249" s="21">
        <f t="shared" si="134"/>
        <v>0.3</v>
      </c>
      <c r="AB249" s="21">
        <f t="shared" si="134"/>
        <v>0.3</v>
      </c>
      <c r="AC249" s="21">
        <f t="shared" si="134"/>
        <v>0.3</v>
      </c>
      <c r="AD249" s="21">
        <f t="shared" si="134"/>
        <v>0.3</v>
      </c>
      <c r="AE249" s="21">
        <f t="shared" si="134"/>
        <v>0.3</v>
      </c>
      <c r="AF249" s="21">
        <f t="shared" si="134"/>
        <v>0.3</v>
      </c>
      <c r="AG249" s="20">
        <v>1</v>
      </c>
      <c r="AH249" s="12"/>
      <c r="AI249" s="11"/>
      <c r="AK249" s="19"/>
    </row>
    <row r="250" spans="1:37" x14ac:dyDescent="0.25">
      <c r="A250" s="22" t="s">
        <v>12</v>
      </c>
      <c r="B250" s="21">
        <f t="shared" si="133"/>
        <v>0.4</v>
      </c>
      <c r="C250" s="21">
        <v>0.4</v>
      </c>
      <c r="D250" s="21">
        <f t="shared" si="134"/>
        <v>0.4</v>
      </c>
      <c r="E250" s="21">
        <f t="shared" si="134"/>
        <v>0.4</v>
      </c>
      <c r="F250" s="21">
        <f t="shared" si="134"/>
        <v>0.4</v>
      </c>
      <c r="G250" s="21">
        <f t="shared" si="134"/>
        <v>0.4</v>
      </c>
      <c r="H250" s="21">
        <f t="shared" si="134"/>
        <v>0.4</v>
      </c>
      <c r="I250" s="21">
        <f t="shared" si="134"/>
        <v>0.4</v>
      </c>
      <c r="J250" s="21">
        <f t="shared" si="134"/>
        <v>0.4</v>
      </c>
      <c r="K250" s="21">
        <f t="shared" si="134"/>
        <v>0.4</v>
      </c>
      <c r="L250" s="21">
        <f t="shared" si="134"/>
        <v>0.4</v>
      </c>
      <c r="M250" s="21">
        <f t="shared" si="134"/>
        <v>0.4</v>
      </c>
      <c r="N250" s="21">
        <f t="shared" si="134"/>
        <v>0.4</v>
      </c>
      <c r="O250" s="21">
        <f t="shared" si="134"/>
        <v>0.4</v>
      </c>
      <c r="P250" s="21">
        <f t="shared" si="134"/>
        <v>0.4</v>
      </c>
      <c r="Q250" s="21">
        <f t="shared" si="134"/>
        <v>0.4</v>
      </c>
      <c r="R250" s="21">
        <f t="shared" si="134"/>
        <v>0.4</v>
      </c>
      <c r="S250" s="21">
        <f t="shared" si="134"/>
        <v>0.4</v>
      </c>
      <c r="T250" s="21">
        <f t="shared" si="134"/>
        <v>0.4</v>
      </c>
      <c r="U250" s="21">
        <f t="shared" si="134"/>
        <v>0.4</v>
      </c>
      <c r="V250" s="21">
        <f t="shared" si="134"/>
        <v>0.4</v>
      </c>
      <c r="W250" s="21">
        <f t="shared" si="134"/>
        <v>0.4</v>
      </c>
      <c r="X250" s="21">
        <f t="shared" si="134"/>
        <v>0.4</v>
      </c>
      <c r="Y250" s="21">
        <f t="shared" si="134"/>
        <v>0.4</v>
      </c>
      <c r="Z250" s="21">
        <f t="shared" si="134"/>
        <v>0.4</v>
      </c>
      <c r="AA250" s="21">
        <f t="shared" si="134"/>
        <v>0.4</v>
      </c>
      <c r="AB250" s="21">
        <f t="shared" si="134"/>
        <v>0.4</v>
      </c>
      <c r="AC250" s="21">
        <f t="shared" si="134"/>
        <v>0.4</v>
      </c>
      <c r="AD250" s="21">
        <f t="shared" si="134"/>
        <v>0.4</v>
      </c>
      <c r="AE250" s="21">
        <f t="shared" si="134"/>
        <v>0.4</v>
      </c>
      <c r="AF250" s="21">
        <f t="shared" si="134"/>
        <v>0.4</v>
      </c>
      <c r="AG250" s="20">
        <v>1</v>
      </c>
      <c r="AH250" s="12"/>
      <c r="AI250" s="11"/>
      <c r="AK250" s="19"/>
    </row>
    <row r="251" spans="1:37" ht="15.75" thickBot="1" x14ac:dyDescent="0.3">
      <c r="A251" s="18" t="s">
        <v>11</v>
      </c>
      <c r="B251" s="17">
        <f t="shared" si="133"/>
        <v>0.64</v>
      </c>
      <c r="C251" s="17">
        <v>0.64</v>
      </c>
      <c r="D251" s="17">
        <f t="shared" si="134"/>
        <v>0.64</v>
      </c>
      <c r="E251" s="17">
        <f t="shared" si="134"/>
        <v>0.64</v>
      </c>
      <c r="F251" s="17">
        <f t="shared" si="134"/>
        <v>0.64</v>
      </c>
      <c r="G251" s="17">
        <f t="shared" si="134"/>
        <v>0.64</v>
      </c>
      <c r="H251" s="17">
        <f t="shared" si="134"/>
        <v>0.64</v>
      </c>
      <c r="I251" s="17">
        <f t="shared" si="134"/>
        <v>0.64</v>
      </c>
      <c r="J251" s="17">
        <f t="shared" si="134"/>
        <v>0.64</v>
      </c>
      <c r="K251" s="17">
        <f t="shared" si="134"/>
        <v>0.64</v>
      </c>
      <c r="L251" s="17">
        <f t="shared" si="134"/>
        <v>0.64</v>
      </c>
      <c r="M251" s="17">
        <f t="shared" si="134"/>
        <v>0.64</v>
      </c>
      <c r="N251" s="17">
        <f t="shared" si="134"/>
        <v>0.64</v>
      </c>
      <c r="O251" s="17">
        <f t="shared" si="134"/>
        <v>0.64</v>
      </c>
      <c r="P251" s="17">
        <f t="shared" si="134"/>
        <v>0.64</v>
      </c>
      <c r="Q251" s="17">
        <f t="shared" si="134"/>
        <v>0.64</v>
      </c>
      <c r="R251" s="17">
        <f t="shared" si="134"/>
        <v>0.64</v>
      </c>
      <c r="S251" s="17">
        <f t="shared" si="134"/>
        <v>0.64</v>
      </c>
      <c r="T251" s="17">
        <f t="shared" si="134"/>
        <v>0.64</v>
      </c>
      <c r="U251" s="17">
        <f t="shared" si="134"/>
        <v>0.64</v>
      </c>
      <c r="V251" s="17">
        <f t="shared" si="134"/>
        <v>0.64</v>
      </c>
      <c r="W251" s="17">
        <f t="shared" si="134"/>
        <v>0.64</v>
      </c>
      <c r="X251" s="17">
        <f t="shared" si="134"/>
        <v>0.64</v>
      </c>
      <c r="Y251" s="17">
        <f t="shared" si="134"/>
        <v>0.64</v>
      </c>
      <c r="Z251" s="17">
        <f t="shared" si="134"/>
        <v>0.64</v>
      </c>
      <c r="AA251" s="17">
        <f t="shared" si="134"/>
        <v>0.64</v>
      </c>
      <c r="AB251" s="17">
        <f t="shared" si="134"/>
        <v>0.64</v>
      </c>
      <c r="AC251" s="17">
        <f t="shared" si="134"/>
        <v>0.64</v>
      </c>
      <c r="AD251" s="17">
        <f t="shared" si="134"/>
        <v>0.64</v>
      </c>
      <c r="AE251" s="17">
        <f t="shared" si="134"/>
        <v>0.64</v>
      </c>
      <c r="AF251" s="17">
        <f t="shared" si="134"/>
        <v>0.64</v>
      </c>
      <c r="AG251" s="16">
        <v>0.66</v>
      </c>
      <c r="AH251" s="12"/>
      <c r="AI251" s="11"/>
    </row>
    <row r="252" spans="1:37" ht="15.75" thickBot="1" x14ac:dyDescent="0.3">
      <c r="A252" s="15" t="s">
        <v>10</v>
      </c>
      <c r="B252" s="14">
        <f t="shared" ref="B252:AG252" si="135">SUM(B246:B251)</f>
        <v>3.54</v>
      </c>
      <c r="C252" s="14">
        <f t="shared" si="135"/>
        <v>3.54</v>
      </c>
      <c r="D252" s="14">
        <f t="shared" si="135"/>
        <v>3.54</v>
      </c>
      <c r="E252" s="14">
        <f t="shared" si="135"/>
        <v>3.54</v>
      </c>
      <c r="F252" s="14">
        <f t="shared" si="135"/>
        <v>3.54</v>
      </c>
      <c r="G252" s="14">
        <f t="shared" si="135"/>
        <v>3.54</v>
      </c>
      <c r="H252" s="14">
        <f t="shared" si="135"/>
        <v>3.54</v>
      </c>
      <c r="I252" s="14">
        <f t="shared" si="135"/>
        <v>3.54</v>
      </c>
      <c r="J252" s="14">
        <f t="shared" si="135"/>
        <v>3.54</v>
      </c>
      <c r="K252" s="14">
        <f t="shared" si="135"/>
        <v>3.54</v>
      </c>
      <c r="L252" s="14">
        <f t="shared" si="135"/>
        <v>3.54</v>
      </c>
      <c r="M252" s="14">
        <f t="shared" si="135"/>
        <v>3.54</v>
      </c>
      <c r="N252" s="14">
        <f t="shared" si="135"/>
        <v>3.54</v>
      </c>
      <c r="O252" s="14">
        <f t="shared" si="135"/>
        <v>3.54</v>
      </c>
      <c r="P252" s="14">
        <f t="shared" si="135"/>
        <v>3.54</v>
      </c>
      <c r="Q252" s="14">
        <f t="shared" si="135"/>
        <v>3.54</v>
      </c>
      <c r="R252" s="14">
        <f t="shared" si="135"/>
        <v>3.54</v>
      </c>
      <c r="S252" s="14">
        <f t="shared" si="135"/>
        <v>3.54</v>
      </c>
      <c r="T252" s="14">
        <f t="shared" si="135"/>
        <v>3.54</v>
      </c>
      <c r="U252" s="14">
        <f t="shared" si="135"/>
        <v>3.54</v>
      </c>
      <c r="V252" s="14">
        <f t="shared" si="135"/>
        <v>3.54</v>
      </c>
      <c r="W252" s="14">
        <f t="shared" si="135"/>
        <v>3.54</v>
      </c>
      <c r="X252" s="14">
        <f t="shared" si="135"/>
        <v>3.54</v>
      </c>
      <c r="Y252" s="14">
        <f t="shared" si="135"/>
        <v>3.54</v>
      </c>
      <c r="Z252" s="14">
        <f t="shared" si="135"/>
        <v>3.54</v>
      </c>
      <c r="AA252" s="14">
        <f t="shared" si="135"/>
        <v>3.54</v>
      </c>
      <c r="AB252" s="14">
        <f t="shared" si="135"/>
        <v>3.54</v>
      </c>
      <c r="AC252" s="14">
        <f t="shared" si="135"/>
        <v>3.54</v>
      </c>
      <c r="AD252" s="14">
        <f t="shared" si="135"/>
        <v>3.54</v>
      </c>
      <c r="AE252" s="14">
        <f t="shared" si="135"/>
        <v>3.54</v>
      </c>
      <c r="AF252" s="14">
        <f t="shared" si="135"/>
        <v>3.54</v>
      </c>
      <c r="AG252" s="13">
        <f t="shared" si="135"/>
        <v>8.56</v>
      </c>
      <c r="AH252" s="12"/>
      <c r="AI252" s="11"/>
    </row>
    <row r="253" spans="1:37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25">
      <c r="A256" s="9" t="s">
        <v>9</v>
      </c>
      <c r="B256" s="8">
        <f>MAX(G99:N99)</f>
        <v>1582.3900000000003</v>
      </c>
      <c r="C256" s="7">
        <f>INDEX(G9:N9,1,MATCH(MAX(G99:N99),G99:N99,0))</f>
        <v>0.375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25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2080/10/15)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25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25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25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25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25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25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25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25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25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25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25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25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25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25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2381" priority="89">
      <formula>$AH11=0</formula>
    </cfRule>
  </conditionalFormatting>
  <conditionalFormatting sqref="A132:A253">
    <cfRule type="expression" dxfId="2380" priority="90">
      <formula>$AH132=0</formula>
    </cfRule>
  </conditionalFormatting>
  <conditionalFormatting sqref="B8">
    <cfRule type="expression" dxfId="2379" priority="146">
      <formula>C$9&lt;8/24</formula>
    </cfRule>
    <cfRule type="expression" dxfId="2378" priority="145">
      <formula>AND(C$9&gt;=8/24,C$9&lt;14/24)</formula>
    </cfRule>
    <cfRule type="expression" dxfId="2377" priority="144">
      <formula>AND(C$9&gt;=14/24,C$9&lt;20/24)</formula>
    </cfRule>
    <cfRule type="expression" dxfId="2376" priority="147">
      <formula>C$9&gt;=20/24</formula>
    </cfRule>
  </conditionalFormatting>
  <conditionalFormatting sqref="B53:Y57">
    <cfRule type="expression" dxfId="2375" priority="53">
      <formula>B$9&lt;8/24</formula>
    </cfRule>
  </conditionalFormatting>
  <conditionalFormatting sqref="B9:AF10 F11:H11 B11:E52 F12:J52 K13:Y52 B59:D68 C63:D74 E67:H74 B69:AF74 B77:AF80 B81:AE85 AF81:AF91 AC86:AE91 B86:AA99 AB91 AC92:AF96 AB93:AB95 AB97:AG97 AF98 AB99:AF99 AB101:AF108 B101:AA117 AB109:AB116 AC109:AF117 B119:AF137 B244:AF244 B246:B252">
    <cfRule type="expression" dxfId="2374" priority="42">
      <formula>AND(B$9&gt;=14/24,B$9&lt;20/24)</formula>
    </cfRule>
    <cfRule type="expression" dxfId="2373" priority="43">
      <formula>AND(B$9&gt;=8/24,B$9&lt;14/24)</formula>
    </cfRule>
    <cfRule type="expression" dxfId="2372" priority="44">
      <formula>B$9&lt;8/24</formula>
    </cfRule>
  </conditionalFormatting>
  <conditionalFormatting sqref="D246:AF252">
    <cfRule type="expression" dxfId="2371" priority="130">
      <formula>AND(D$9&gt;=14/24,D$9&lt;20/24)</formula>
    </cfRule>
    <cfRule type="expression" dxfId="2370" priority="132">
      <formula>D$9&lt;8/24</formula>
    </cfRule>
    <cfRule type="expression" dxfId="2369" priority="131">
      <formula>AND(D$9&gt;=8/24,D$9&lt;14/24)</formula>
    </cfRule>
    <cfRule type="expression" dxfId="2368" priority="129">
      <formula>D$9&gt;=20/24</formula>
    </cfRule>
  </conditionalFormatting>
  <conditionalFormatting sqref="E11:H55 B11:D61 L13:Y55 I19:K55 I12:J18 K13:K18 Z56:AF57 E57:P61 Q57:Y80 AB58:AF61 Z58:AA80 AB62:AG62 B62:P80 AB63:AF80 AG80">
    <cfRule type="expression" dxfId="2367" priority="40">
      <formula>B11&gt;$AG11</formula>
    </cfRule>
  </conditionalFormatting>
  <conditionalFormatting sqref="E63:I67 J64:J67 K67:Q67">
    <cfRule type="expression" dxfId="2366" priority="56">
      <formula>AND(E$9&gt;=8/24,E$9&lt;14/24)</formula>
    </cfRule>
    <cfRule type="expression" dxfId="2365" priority="57">
      <formula>E$9&lt;8/24</formula>
    </cfRule>
    <cfRule type="expression" dxfId="2364" priority="55">
      <formula>AND(E$9&gt;=14/24,E$9&lt;20/24)</formula>
    </cfRule>
    <cfRule type="expression" dxfId="2363" priority="54">
      <formula>E$9&gt;=20/24</formula>
    </cfRule>
  </conditionalFormatting>
  <conditionalFormatting sqref="E11:P11 Q11:Y12 Z11:AF52 K12:P12">
    <cfRule type="expression" dxfId="2362" priority="62">
      <formula>E$9&lt;8/24</formula>
    </cfRule>
    <cfRule type="expression" dxfId="2361" priority="61">
      <formula>AND(E$9&gt;=8/24,E$9&lt;14/24)</formula>
    </cfRule>
    <cfRule type="expression" dxfId="2360" priority="60">
      <formula>AND(E$9&gt;=14/24,E$9&lt;20/24)</formula>
    </cfRule>
    <cfRule type="expression" dxfId="2359" priority="58">
      <formula>E11&gt;$AG11</formula>
    </cfRule>
    <cfRule type="expression" dxfId="2358" priority="59">
      <formula>E$9&gt;=20/24</formula>
    </cfRule>
  </conditionalFormatting>
  <conditionalFormatting sqref="E68:Q68">
    <cfRule type="expression" dxfId="2357" priority="52">
      <formula>E$9&lt;8/24</formula>
    </cfRule>
    <cfRule type="expression" dxfId="2356" priority="51">
      <formula>AND(E$9&gt;=8/24,E$9&lt;14/24)</formula>
    </cfRule>
    <cfRule type="expression" dxfId="2355" priority="50">
      <formula>AND(E$9&gt;=14/24,E$9&lt;20/24)</formula>
    </cfRule>
    <cfRule type="expression" dxfId="2354" priority="49">
      <formula>E$9&gt;=20/24</formula>
    </cfRule>
  </conditionalFormatting>
  <conditionalFormatting sqref="E56:Y56">
    <cfRule type="expression" dxfId="2353" priority="45">
      <formula>E56&gt;$AG56</formula>
    </cfRule>
  </conditionalFormatting>
  <conditionalFormatting sqref="E56:Y57">
    <cfRule type="expression" dxfId="2352" priority="46">
      <formula>E$9&gt;=20/24</formula>
    </cfRule>
    <cfRule type="expression" dxfId="2351" priority="47">
      <formula>AND(E$9&gt;=14/24,E$9&lt;20/24)</formula>
    </cfRule>
    <cfRule type="expression" dxfId="2350" priority="48">
      <formula>AND(E$9&gt;=8/24,E$9&lt;14/24)</formula>
    </cfRule>
  </conditionalFormatting>
  <conditionalFormatting sqref="E59:AF62">
    <cfRule type="expression" dxfId="2349" priority="67">
      <formula>E$9&gt;=20/24</formula>
    </cfRule>
    <cfRule type="expression" dxfId="2348" priority="70">
      <formula>E$9&lt;8/24</formula>
    </cfRule>
    <cfRule type="expression" dxfId="2347" priority="68">
      <formula>AND(E$9&gt;=14/24,E$9&lt;20/24)</formula>
    </cfRule>
    <cfRule type="expression" dxfId="2346" priority="69">
      <formula>AND(E$9&gt;=8/24,E$9&lt;14/24)</formula>
    </cfRule>
  </conditionalFormatting>
  <conditionalFormatting sqref="F11:H11 B11:E52 F12:J52 K13:Y52 B59:D68 C63:D74 E67:H74 B69:AF74 B77:AF80 B9:AF10 B81:AE85 AF81:AF91 AC86:AE91 B86:AA99 AB91 AC92:AF96 AB93:AB95 AB97:AG97 AF98 AB99:AF99 AB101:AF108 B101:AA117 AB109:AB116 AC109:AF117 B119:AF137 B244:AF244 B246:B252">
    <cfRule type="expression" dxfId="2345" priority="41">
      <formula>B$9&gt;=20/24</formula>
    </cfRule>
  </conditionalFormatting>
  <conditionalFormatting sqref="F63:L65">
    <cfRule type="expression" dxfId="2344" priority="81">
      <formula>F$9&gt;=20/24</formula>
    </cfRule>
    <cfRule type="expression" dxfId="2343" priority="84">
      <formula>F$9&lt;8/24</formula>
    </cfRule>
    <cfRule type="expression" dxfId="2342" priority="83">
      <formula>AND(F$9&gt;=8/24,F$9&lt;14/24)</formula>
    </cfRule>
    <cfRule type="expression" dxfId="2341" priority="82">
      <formula>AND(F$9&gt;=14/24,F$9&lt;20/24)</formula>
    </cfRule>
  </conditionalFormatting>
  <conditionalFormatting sqref="L68:Y68">
    <cfRule type="expression" dxfId="2340" priority="78">
      <formula>AND(L$9&gt;=14/24,L$9&lt;20/24)</formula>
    </cfRule>
    <cfRule type="expression" dxfId="2339" priority="79">
      <formula>AND(L$9&gt;=8/24,L$9&lt;14/24)</formula>
    </cfRule>
    <cfRule type="expression" dxfId="2338" priority="80">
      <formula>L$9&lt;8/24</formula>
    </cfRule>
    <cfRule type="expression" dxfId="2337" priority="77">
      <formula>L$9&gt;=20/24</formula>
    </cfRule>
  </conditionalFormatting>
  <conditionalFormatting sqref="M8 S8 AB8">
    <cfRule type="expression" dxfId="2336" priority="138">
      <formula>N$9&lt;8/24</formula>
    </cfRule>
    <cfRule type="expression" dxfId="2335" priority="137">
      <formula>AND(N$9&gt;=8/24,N$9&lt;14/24)</formula>
    </cfRule>
    <cfRule type="expression" dxfId="2334" priority="136">
      <formula>AND(N$9&gt;=14/24,N$9&lt;20/24)</formula>
    </cfRule>
  </conditionalFormatting>
  <conditionalFormatting sqref="M63:Y67">
    <cfRule type="expression" dxfId="2333" priority="88">
      <formula>M$9&lt;8/24</formula>
    </cfRule>
    <cfRule type="expression" dxfId="2332" priority="87">
      <formula>AND(M$9&gt;=8/24,M$9&lt;14/24)</formula>
    </cfRule>
    <cfRule type="expression" dxfId="2331" priority="86">
      <formula>AND(M$9&gt;=14/24,M$9&lt;20/24)</formula>
    </cfRule>
    <cfRule type="expression" dxfId="2330" priority="85">
      <formula>M$9&gt;=20/24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329" priority="135">
      <formula>N$9&gt;=20/24</formula>
    </cfRule>
  </conditionalFormatting>
  <conditionalFormatting sqref="S8">
    <cfRule type="expression" dxfId="2328" priority="123">
      <formula>AND(U$9&gt;=14/24,U$9&lt;20/24)</formula>
    </cfRule>
    <cfRule type="expression" dxfId="2327" priority="122">
      <formula>U$9&gt;=20/24</formula>
    </cfRule>
    <cfRule type="expression" dxfId="2326" priority="124">
      <formula>AND(U$9&gt;=8/24,U$9&lt;14/24)</formula>
    </cfRule>
    <cfRule type="expression" dxfId="2325" priority="125">
      <formula>U$9&lt;8/24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Z53:AF54 E53:Y55 B53:D57">
    <cfRule type="expression" dxfId="2324" priority="39">
      <formula>AND(B$9&gt;=8/24,B$9&lt;14/24)</formula>
    </cfRule>
    <cfRule type="expression" dxfId="2323" priority="37">
      <formula>B$9&gt;=20/24</formula>
    </cfRule>
    <cfRule type="expression" dxfId="2322" priority="38">
      <formula>AND(B$9&gt;=14/24,B$9&lt;20/24)</formula>
    </cfRule>
  </conditionalFormatting>
  <conditionalFormatting sqref="Z53:AF55">
    <cfRule type="expression" dxfId="2321" priority="76">
      <formula>Z53&gt;$AG53</formula>
    </cfRule>
  </conditionalFormatting>
  <conditionalFormatting sqref="Z53:AF57">
    <cfRule type="expression" dxfId="2320" priority="75">
      <formula>Z$9&lt;8/24</formula>
    </cfRule>
  </conditionalFormatting>
  <conditionalFormatting sqref="Z55:AF57">
    <cfRule type="expression" dxfId="2319" priority="66">
      <formula>AND(Z$9&gt;=8/24,Z$9&lt;14/24)</formula>
    </cfRule>
    <cfRule type="expression" dxfId="2318" priority="65">
      <formula>AND(Z$9&gt;=14/24,Z$9&lt;20/24)</formula>
    </cfRule>
    <cfRule type="expression" dxfId="2317" priority="64">
      <formula>Z$9&gt;=20/24</formula>
    </cfRule>
  </conditionalFormatting>
  <conditionalFormatting sqref="Z63:AF68">
    <cfRule type="expression" dxfId="2316" priority="73">
      <formula>AND(Z$9&gt;=8/24,Z$9&lt;14/24)</formula>
    </cfRule>
    <cfRule type="expression" dxfId="2315" priority="72">
      <formula>AND(Z$9&gt;=14/24,Z$9&lt;20/24)</formula>
    </cfRule>
    <cfRule type="expression" dxfId="2314" priority="71">
      <formula>Z$9&gt;=20/24</formula>
    </cfRule>
    <cfRule type="expression" dxfId="2313" priority="74">
      <formula>Z$9&lt;8/24</formula>
    </cfRule>
  </conditionalFormatting>
  <conditionalFormatting sqref="AB8">
    <cfRule type="expression" dxfId="2312" priority="120">
      <formula>AND(AD$9&gt;=8/24,AD$9&lt;14/24)</formula>
    </cfRule>
    <cfRule type="expression" dxfId="2311" priority="121">
      <formula>AD$9&lt;8/24</formula>
    </cfRule>
    <cfRule type="expression" dxfId="2310" priority="118">
      <formula>AD$9&gt;=20/24</formula>
    </cfRule>
    <cfRule type="expression" dxfId="2309" priority="119">
      <formula>AND(AD$9&gt;=14/24,AD$9&lt;20/24)</formula>
    </cfRule>
  </conditionalFormatting>
  <conditionalFormatting sqref="AG58">
    <cfRule type="expression" dxfId="2308" priority="113">
      <formula>AG58&gt;$AG58</formula>
    </cfRule>
  </conditionalFormatting>
  <conditionalFormatting sqref="AG62">
    <cfRule type="expression" dxfId="2307" priority="96">
      <formula>AG$9&gt;=20/24</formula>
    </cfRule>
    <cfRule type="expression" dxfId="2306" priority="97">
      <formula>AND(AG$9&gt;=14/24,AG$9&lt;20/24)</formula>
    </cfRule>
    <cfRule type="expression" dxfId="2305" priority="98">
      <formula>AND(AG$9&gt;=8/24,AG$9&lt;14/24)</formula>
    </cfRule>
    <cfRule type="expression" dxfId="2304" priority="99">
      <formula>AG$9&lt;8/24</formula>
    </cfRule>
  </conditionalFormatting>
  <conditionalFormatting sqref="AG75:AG76">
    <cfRule type="expression" dxfId="2303" priority="91">
      <formula>AG75&gt;$AG75</formula>
    </cfRule>
  </conditionalFormatting>
  <conditionalFormatting sqref="AG80">
    <cfRule type="expression" dxfId="2302" priority="94">
      <formula>AND(AG$9&gt;=8/24,AG$9&lt;14/24)</formula>
    </cfRule>
    <cfRule type="expression" dxfId="2301" priority="92">
      <formula>AG$9&gt;=20/24</formula>
    </cfRule>
    <cfRule type="expression" dxfId="2300" priority="93">
      <formula>AND(AG$9&gt;=14/24,AG$9&lt;20/24)</formula>
    </cfRule>
    <cfRule type="expression" dxfId="2299" priority="95">
      <formula>AG$9&lt;8/24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298" priority="142">
      <formula>AJ$9&lt;8/24</formula>
    </cfRule>
    <cfRule type="expression" dxfId="2297" priority="141">
      <formula>AND(AJ$9&gt;=8/24,AJ$9&lt;14/24)</formula>
    </cfRule>
    <cfRule type="expression" dxfId="2296" priority="140">
      <formula>AND(AJ$9&gt;=14/24,AJ$9&lt;20/24)</formula>
    </cfRule>
    <cfRule type="expression" dxfId="2295" priority="139">
      <formula>AJ$9&gt;=20/24</formula>
    </cfRule>
  </conditionalFormatting>
  <conditionalFormatting sqref="AL88:AN88 AL94:AN94">
    <cfRule type="expression" dxfId="2294" priority="106">
      <formula>AL$9&gt;=20/24</formula>
    </cfRule>
    <cfRule type="expression" dxfId="2293" priority="107">
      <formula>AND(AL$9&gt;=14/24,AL$9&lt;20/24)</formula>
    </cfRule>
    <cfRule type="expression" dxfId="2292" priority="108">
      <formula>AND(AL$9&gt;=8/24,AL$9&lt;14/24)</formula>
    </cfRule>
    <cfRule type="expression" dxfId="2291" priority="109">
      <formula>AL$9&lt;8/24</formula>
    </cfRule>
  </conditionalFormatting>
  <conditionalFormatting sqref="AM15:AM21 AN16:AR21">
    <cfRule type="expression" dxfId="2290" priority="14">
      <formula>AND(AX$9&gt;=14/24,AX$9&lt;20/24)</formula>
    </cfRule>
    <cfRule type="expression" dxfId="2289" priority="13">
      <formula>AX$9&gt;=20/24</formula>
    </cfRule>
    <cfRule type="expression" dxfId="2288" priority="15">
      <formula>AND(AX$9&gt;=8/24,AX$9&lt;14/24)</formula>
    </cfRule>
    <cfRule type="expression" dxfId="2287" priority="16">
      <formula>AX$9&lt;8/24</formula>
    </cfRule>
  </conditionalFormatting>
  <conditionalFormatting sqref="AN89:AN92">
    <cfRule type="expression" dxfId="2286" priority="104">
      <formula>AND(AN$9&gt;=8/24,AN$9&lt;14/24)</formula>
    </cfRule>
    <cfRule type="expression" dxfId="2285" priority="102">
      <formula>AN$9&gt;=20/24</formula>
    </cfRule>
    <cfRule type="expression" dxfId="2284" priority="105">
      <formula>AN$9&lt;8/24</formula>
    </cfRule>
    <cfRule type="expression" dxfId="2283" priority="103">
      <formula>AND(AN$9&gt;=14/24,AN$9&lt;20/24)</formula>
    </cfRule>
  </conditionalFormatting>
  <conditionalFormatting sqref="AN15:AR15">
    <cfRule type="expression" dxfId="2282" priority="2">
      <formula>AND(U$9&gt;=14/24,U$9&lt;20/24)</formula>
    </cfRule>
    <cfRule type="expression" dxfId="2281" priority="3">
      <formula>AND(U$9&gt;=8/24,U$9&lt;14/24)</formula>
    </cfRule>
    <cfRule type="expression" dxfId="2280" priority="4">
      <formula>U$9&lt;8/24</formula>
    </cfRule>
    <cfRule type="expression" dxfId="2279" priority="1">
      <formula>U$9&gt;=20/24</formula>
    </cfRule>
  </conditionalFormatting>
  <conditionalFormatting sqref="AS15">
    <cfRule type="expression" dxfId="2278" priority="9">
      <formula>AA$9&gt;=20/24</formula>
    </cfRule>
    <cfRule type="expression" dxfId="2277" priority="10">
      <formula>AND(AA$9&gt;=14/24,AA$9&lt;20/24)</formula>
    </cfRule>
    <cfRule type="expression" dxfId="2276" priority="11">
      <formula>AND(AA$9&gt;=8/24,AA$9&lt;14/24)</formula>
    </cfRule>
    <cfRule type="expression" dxfId="2275" priority="12">
      <formula>AA$9&lt;8/24</formula>
    </cfRule>
  </conditionalFormatting>
  <conditionalFormatting sqref="AS16:AS21">
    <cfRule type="expression" dxfId="2274" priority="19">
      <formula>AND(BE$9&gt;=8/24,BE$9&lt;14/24)</formula>
    </cfRule>
    <cfRule type="expression" dxfId="2273" priority="17">
      <formula>BE$9&gt;=20/24</formula>
    </cfRule>
    <cfRule type="expression" dxfId="2272" priority="18">
      <formula>AND(BE$9&gt;=14/24,BE$9&lt;20/24)</formula>
    </cfRule>
    <cfRule type="expression" dxfId="2271" priority="20">
      <formula>BE$9&lt;8/24</formula>
    </cfRule>
  </conditionalFormatting>
  <conditionalFormatting sqref="AT15 AX15:BJ15">
    <cfRule type="expression" dxfId="2270" priority="21">
      <formula>AC$9&gt;=20/24</formula>
    </cfRule>
    <cfRule type="expression" dxfId="2269" priority="22">
      <formula>AND(AC$9&gt;=14/24,AC$9&lt;20/24)</formula>
    </cfRule>
    <cfRule type="expression" dxfId="2268" priority="23">
      <formula>AND(AC$9&gt;=8/24,AC$9&lt;14/24)</formula>
    </cfRule>
    <cfRule type="expression" dxfId="2267" priority="24">
      <formula>AC$9&lt;8/24</formula>
    </cfRule>
  </conditionalFormatting>
  <conditionalFormatting sqref="AT16:AT21">
    <cfRule type="expression" dxfId="2266" priority="28">
      <formula>BG$9&lt;8/24</formula>
    </cfRule>
    <cfRule type="expression" dxfId="2265" priority="27">
      <formula>AND(BG$9&gt;=8/24,BG$9&lt;14/24)</formula>
    </cfRule>
    <cfRule type="expression" dxfId="2264" priority="25">
      <formula>BG$9&gt;=20/24</formula>
    </cfRule>
    <cfRule type="expression" dxfId="2263" priority="26">
      <formula>AND(BG$9&gt;=14/24,BG$9&lt;20/24)</formula>
    </cfRule>
  </conditionalFormatting>
  <conditionalFormatting sqref="AU15:AV15">
    <cfRule type="expression" dxfId="2262" priority="29">
      <formula>AE$9&gt;=20/24</formula>
    </cfRule>
    <cfRule type="expression" dxfId="2261" priority="30">
      <formula>AND(AE$9&gt;=14/24,AE$9&lt;20/24)</formula>
    </cfRule>
    <cfRule type="expression" dxfId="2260" priority="31">
      <formula>AND(AE$9&gt;=8/24,AE$9&lt;14/24)</formula>
    </cfRule>
    <cfRule type="expression" dxfId="2259" priority="32">
      <formula>AE$9&lt;8/24</formula>
    </cfRule>
  </conditionalFormatting>
  <conditionalFormatting sqref="AU16:BJ21">
    <cfRule type="expression" dxfId="2258" priority="36">
      <formula>BI$9&lt;8/24</formula>
    </cfRule>
    <cfRule type="expression" dxfId="2257" priority="35">
      <formula>AND(BI$9&gt;=8/24,BI$9&lt;14/24)</formula>
    </cfRule>
    <cfRule type="expression" dxfId="2256" priority="33">
      <formula>BI$9&gt;=20/24</formula>
    </cfRule>
    <cfRule type="expression" dxfId="2255" priority="34">
      <formula>AND(BI$9&gt;=14/24,BI$9&lt;20/24)</formula>
    </cfRule>
  </conditionalFormatting>
  <conditionalFormatting sqref="AW15">
    <cfRule type="expression" dxfId="2254" priority="5">
      <formula>B$9&gt;=20/24</formula>
    </cfRule>
    <cfRule type="expression" dxfId="2253" priority="8">
      <formula>B$9&lt;8/24</formula>
    </cfRule>
    <cfRule type="expression" dxfId="2252" priority="7">
      <formula>AND(B$9&gt;=8/24,B$9&lt;14/24)</formula>
    </cfRule>
    <cfRule type="expression" dxfId="2251" priority="6">
      <formula>AND(B$9&gt;=14/24,B$9&lt;20/24)</formula>
    </cfRule>
  </conditionalFormatting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0D1AB-B7AD-4F75-84BD-83421803DC03}">
  <dimension ref="A1:CJ294"/>
  <sheetViews>
    <sheetView zoomScale="106" workbookViewId="0">
      <pane xSplit="1" ySplit="10" topLeftCell="B79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97" sqref="A97:AF10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20.25" hidden="1" x14ac:dyDescent="0.2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9.5" hidden="1" thickBot="1" x14ac:dyDescent="0.3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3">
      <c r="A4" s="162" t="s">
        <v>273</v>
      </c>
      <c r="B4" s="205" t="str">
        <f ca="1">"2080/"&amp;"10/"&amp;INT(MID(CELL("filename",D6),FIND("]",CELL("filename",D6))+1,200))</f>
        <v>2080/10/16</v>
      </c>
      <c r="C4" s="205"/>
      <c r="D4" s="205"/>
      <c r="E4" s="206" t="str">
        <f ca="1">"2080/"&amp;"10/"&amp;INT(MID(CELL("filename",G6),FIND("]",CELL("filename",G6))+1,200))</f>
        <v>2080/10/16</v>
      </c>
      <c r="F4" s="206"/>
      <c r="G4" s="206"/>
      <c r="H4" s="206" t="str">
        <f ca="1">TEXT(E4,"dddd")</f>
        <v>Wednesday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3">
      <c r="A5" s="158"/>
      <c r="B5" s="161">
        <f t="shared" ref="B5:AE5" si="0">C92</f>
        <v>155</v>
      </c>
      <c r="C5" s="161">
        <f t="shared" si="0"/>
        <v>145</v>
      </c>
      <c r="D5" s="161">
        <f t="shared" si="0"/>
        <v>111.7</v>
      </c>
      <c r="E5" s="161">
        <f t="shared" si="0"/>
        <v>99.5</v>
      </c>
      <c r="F5" s="161">
        <f t="shared" si="0"/>
        <v>175.3</v>
      </c>
      <c r="G5" s="161">
        <f t="shared" si="0"/>
        <v>160.5</v>
      </c>
      <c r="H5" s="161">
        <f t="shared" si="0"/>
        <v>184.7</v>
      </c>
      <c r="I5" s="161">
        <f t="shared" si="0"/>
        <v>615</v>
      </c>
      <c r="J5" s="161">
        <f t="shared" si="0"/>
        <v>810.7</v>
      </c>
      <c r="K5" s="161">
        <f t="shared" si="0"/>
        <v>877.70100000000014</v>
      </c>
      <c r="L5" s="161">
        <f t="shared" si="0"/>
        <v>900.99999999999989</v>
      </c>
      <c r="M5" s="161">
        <f t="shared" si="0"/>
        <v>895.7</v>
      </c>
      <c r="N5" s="161">
        <f t="shared" si="0"/>
        <v>905.30000000000007</v>
      </c>
      <c r="O5" s="161">
        <f t="shared" si="0"/>
        <v>900.69999999999993</v>
      </c>
      <c r="P5" s="161">
        <f t="shared" si="0"/>
        <v>892.9</v>
      </c>
      <c r="Q5" s="161">
        <f t="shared" si="0"/>
        <v>850.6</v>
      </c>
      <c r="R5" s="161">
        <f t="shared" si="0"/>
        <v>783.2</v>
      </c>
      <c r="S5" s="161">
        <f t="shared" si="0"/>
        <v>845</v>
      </c>
      <c r="T5" s="161">
        <f t="shared" si="0"/>
        <v>800.50000000000011</v>
      </c>
      <c r="U5" s="161">
        <f t="shared" si="0"/>
        <v>794.50000000000011</v>
      </c>
      <c r="V5" s="161">
        <f t="shared" si="0"/>
        <v>786</v>
      </c>
      <c r="W5" s="161">
        <f t="shared" si="0"/>
        <v>775</v>
      </c>
      <c r="X5" s="161">
        <f t="shared" si="0"/>
        <v>582.79999999999995</v>
      </c>
      <c r="Y5" s="161">
        <f t="shared" si="0"/>
        <v>397.6</v>
      </c>
      <c r="Z5" s="161">
        <f t="shared" si="0"/>
        <v>244.6</v>
      </c>
      <c r="AA5" s="161">
        <f t="shared" si="0"/>
        <v>314.7</v>
      </c>
      <c r="AB5" s="161">
        <f t="shared" si="0"/>
        <v>330.3</v>
      </c>
      <c r="AC5" s="161">
        <f t="shared" si="0"/>
        <v>145.10000000000002</v>
      </c>
      <c r="AD5" s="161">
        <f t="shared" si="0"/>
        <v>151.79999999999998</v>
      </c>
      <c r="AE5" s="161">
        <f t="shared" si="0"/>
        <v>185.10000000000002</v>
      </c>
      <c r="AF5" s="161">
        <f>B92</f>
        <v>129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3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1808MW at 9:00hr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5" thickBot="1" x14ac:dyDescent="0.3">
      <c r="A7" s="151" t="str">
        <f>"Base Load="&amp;ROUND(MIN($B$7:$AF$7),0)</f>
        <v>Base Load=1456</v>
      </c>
      <c r="B7" s="150">
        <f t="shared" ref="B7:AF7" si="1">B100</f>
        <v>1531.99</v>
      </c>
      <c r="C7" s="150">
        <f t="shared" si="1"/>
        <v>1542.99</v>
      </c>
      <c r="D7" s="150">
        <f t="shared" si="1"/>
        <v>1491.99</v>
      </c>
      <c r="E7" s="150">
        <f t="shared" si="1"/>
        <v>1467.39</v>
      </c>
      <c r="F7" s="150">
        <f t="shared" si="1"/>
        <v>1455.99</v>
      </c>
      <c r="G7" s="150">
        <f t="shared" si="1"/>
        <v>1475.19</v>
      </c>
      <c r="H7" s="150">
        <f t="shared" si="1"/>
        <v>1471.4900000000002</v>
      </c>
      <c r="I7" s="150">
        <f t="shared" si="1"/>
        <v>1505.2900000000002</v>
      </c>
      <c r="J7" s="150">
        <f t="shared" si="1"/>
        <v>1524.79</v>
      </c>
      <c r="K7" s="150">
        <f t="shared" si="1"/>
        <v>1665.89</v>
      </c>
      <c r="L7" s="150">
        <f t="shared" si="1"/>
        <v>1756.8910000000001</v>
      </c>
      <c r="M7" s="150">
        <f t="shared" si="1"/>
        <v>1802.4899999999998</v>
      </c>
      <c r="N7" s="150">
        <f t="shared" si="1"/>
        <v>1807.79</v>
      </c>
      <c r="O7" s="150">
        <f t="shared" si="1"/>
        <v>1830.69</v>
      </c>
      <c r="P7" s="150">
        <f t="shared" si="1"/>
        <v>1833.29</v>
      </c>
      <c r="Q7" s="150">
        <f t="shared" si="1"/>
        <v>1817.19</v>
      </c>
      <c r="R7" s="150">
        <f t="shared" si="1"/>
        <v>1749.99</v>
      </c>
      <c r="S7" s="150">
        <f t="shared" si="1"/>
        <v>1698.29</v>
      </c>
      <c r="T7" s="150">
        <f t="shared" si="1"/>
        <v>1751.09</v>
      </c>
      <c r="U7" s="150">
        <f t="shared" si="1"/>
        <v>1695.5900000000001</v>
      </c>
      <c r="V7" s="150">
        <f t="shared" si="1"/>
        <v>1676.4900000000002</v>
      </c>
      <c r="W7" s="150">
        <f t="shared" si="1"/>
        <v>1632.19</v>
      </c>
      <c r="X7" s="150">
        <f t="shared" si="1"/>
        <v>1604.39</v>
      </c>
      <c r="Y7" s="150">
        <f t="shared" si="1"/>
        <v>1750.95</v>
      </c>
      <c r="Z7" s="150">
        <f t="shared" si="1"/>
        <v>1927.25</v>
      </c>
      <c r="AA7" s="150">
        <f t="shared" si="1"/>
        <v>1918.8899999999999</v>
      </c>
      <c r="AB7" s="150">
        <f t="shared" si="1"/>
        <v>1874.0900000000001</v>
      </c>
      <c r="AC7" s="150">
        <f t="shared" si="1"/>
        <v>1876.89</v>
      </c>
      <c r="AD7" s="150">
        <f t="shared" si="1"/>
        <v>1777.29</v>
      </c>
      <c r="AE7" s="150">
        <f t="shared" si="1"/>
        <v>1697.99</v>
      </c>
      <c r="AF7" s="150">
        <f t="shared" si="1"/>
        <v>1648.79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7.25" thickTop="1" thickBot="1" x14ac:dyDescent="0.3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1927.25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2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1927.25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.75" thickBot="1" x14ac:dyDescent="0.3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25">
      <c r="A11" s="89" t="s">
        <v>264</v>
      </c>
      <c r="B11" s="102">
        <v>21.5</v>
      </c>
      <c r="C11" s="102">
        <v>21.5</v>
      </c>
      <c r="D11" s="102">
        <v>21.5</v>
      </c>
      <c r="E11" s="102">
        <v>20.100000000000001</v>
      </c>
      <c r="F11" s="102">
        <v>20.100000000000001</v>
      </c>
      <c r="G11" s="102">
        <v>19.3</v>
      </c>
      <c r="H11" s="102">
        <v>19.5</v>
      </c>
      <c r="I11" s="102">
        <v>19.5</v>
      </c>
      <c r="J11" s="102">
        <v>19.5</v>
      </c>
      <c r="K11" s="102">
        <v>17.8</v>
      </c>
      <c r="L11" s="102">
        <v>20</v>
      </c>
      <c r="M11" s="102">
        <v>16.899999999999999</v>
      </c>
      <c r="N11" s="102">
        <v>18.899999999999999</v>
      </c>
      <c r="O11" s="102">
        <v>17.399999999999999</v>
      </c>
      <c r="P11" s="102">
        <v>18.899999999999999</v>
      </c>
      <c r="Q11" s="102">
        <v>19.7</v>
      </c>
      <c r="R11" s="102">
        <v>20.399999999999999</v>
      </c>
      <c r="S11" s="102">
        <v>20.399999999999999</v>
      </c>
      <c r="T11" s="102">
        <v>20.399999999999999</v>
      </c>
      <c r="U11" s="102">
        <v>20.399999999999999</v>
      </c>
      <c r="V11" s="102">
        <v>20.399999999999999</v>
      </c>
      <c r="W11" s="102">
        <v>20.399999999999999</v>
      </c>
      <c r="X11" s="102">
        <v>20.399999999999999</v>
      </c>
      <c r="Y11" s="102">
        <v>20.399999999999999</v>
      </c>
      <c r="Z11" s="102">
        <v>20.399999999999999</v>
      </c>
      <c r="AA11" s="102">
        <v>20.399999999999999</v>
      </c>
      <c r="AB11" s="102">
        <v>20.399999999999999</v>
      </c>
      <c r="AC11" s="102">
        <v>20.399999999999999</v>
      </c>
      <c r="AD11" s="102">
        <v>20.399999999999999</v>
      </c>
      <c r="AE11" s="102">
        <v>20.399999999999999</v>
      </c>
      <c r="AF11" s="102">
        <v>20.399999999999999</v>
      </c>
      <c r="AG11" s="140">
        <v>86</v>
      </c>
      <c r="AH11" s="12">
        <f t="shared" ref="AH11:AH16" si="2">MAX(B11:AF11)</f>
        <v>21.5</v>
      </c>
      <c r="AI11" s="11">
        <f t="shared" ref="AI11:AI16" si="3">MIN(B11:AF11)</f>
        <v>16.899999999999999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25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>
        <v>11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>
        <v>11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16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25">
      <c r="A13" s="89" t="s">
        <v>262</v>
      </c>
      <c r="B13" s="102">
        <v>16.399999999999999</v>
      </c>
      <c r="C13" s="102">
        <v>16.399999999999999</v>
      </c>
      <c r="D13" s="102">
        <v>16.399999999999999</v>
      </c>
      <c r="E13" s="102">
        <v>15</v>
      </c>
      <c r="F13" s="102">
        <v>15</v>
      </c>
      <c r="G13" s="102">
        <v>15</v>
      </c>
      <c r="H13" s="102">
        <v>15</v>
      </c>
      <c r="I13" s="102">
        <v>15</v>
      </c>
      <c r="J13" s="102">
        <v>15</v>
      </c>
      <c r="K13" s="102">
        <v>12.9</v>
      </c>
      <c r="L13" s="102">
        <v>12.9</v>
      </c>
      <c r="M13" s="102">
        <v>12.9</v>
      </c>
      <c r="N13" s="102">
        <v>12.9</v>
      </c>
      <c r="O13" s="102">
        <v>12.9</v>
      </c>
      <c r="P13" s="102">
        <v>12.9</v>
      </c>
      <c r="Q13" s="102">
        <v>12.9</v>
      </c>
      <c r="R13" s="102">
        <v>12.9</v>
      </c>
      <c r="S13" s="102">
        <v>12.9</v>
      </c>
      <c r="T13" s="102">
        <v>12.9</v>
      </c>
      <c r="U13" s="102">
        <v>12.9</v>
      </c>
      <c r="V13" s="102">
        <v>12.9</v>
      </c>
      <c r="W13" s="102">
        <v>12.9</v>
      </c>
      <c r="X13" s="102">
        <v>12.9</v>
      </c>
      <c r="Y13" s="102">
        <v>12.9</v>
      </c>
      <c r="Z13" s="102">
        <v>12.9</v>
      </c>
      <c r="AA13" s="102">
        <v>12.9</v>
      </c>
      <c r="AB13" s="102">
        <v>12.9</v>
      </c>
      <c r="AC13" s="102">
        <v>12.9</v>
      </c>
      <c r="AD13" s="102">
        <v>12.9</v>
      </c>
      <c r="AE13" s="102">
        <v>12.9</v>
      </c>
      <c r="AF13" s="102">
        <v>12.9</v>
      </c>
      <c r="AG13" s="130">
        <v>54</v>
      </c>
      <c r="AH13" s="12">
        <f t="shared" si="2"/>
        <v>16.399999999999999</v>
      </c>
      <c r="AI13" s="11">
        <f t="shared" si="3"/>
        <v>12.9</v>
      </c>
      <c r="AK13" s="19"/>
      <c r="AL13" s="6" t="str">
        <f ca="1">"Daily Load Curve(Excluding of Export) of Nepal ("&amp;A4&amp;" "&amp;B4&amp;")"</f>
        <v>Daily Load Curve(Excluding of Export) of Nepal (Nepali Date: 2080/10/16)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.75" thickBot="1" x14ac:dyDescent="0.3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.75" thickTop="1" x14ac:dyDescent="0.25">
      <c r="A15" s="89" t="s">
        <v>260</v>
      </c>
      <c r="B15" s="102">
        <v>41.4</v>
      </c>
      <c r="C15" s="102">
        <v>41.4</v>
      </c>
      <c r="D15" s="102">
        <v>41.4</v>
      </c>
      <c r="E15" s="102">
        <v>43.8</v>
      </c>
      <c r="F15" s="102">
        <v>43.8</v>
      </c>
      <c r="G15" s="102">
        <v>43.6</v>
      </c>
      <c r="H15" s="102">
        <v>43.6</v>
      </c>
      <c r="I15" s="102">
        <v>43.6</v>
      </c>
      <c r="J15" s="102">
        <v>43.6</v>
      </c>
      <c r="K15" s="102">
        <v>42.3</v>
      </c>
      <c r="L15" s="102">
        <v>42.3</v>
      </c>
      <c r="M15" s="102">
        <v>42.1</v>
      </c>
      <c r="N15" s="102">
        <v>42.1</v>
      </c>
      <c r="O15" s="102">
        <v>42.1</v>
      </c>
      <c r="P15" s="102">
        <v>42.1</v>
      </c>
      <c r="Q15" s="102">
        <v>42.1</v>
      </c>
      <c r="R15" s="102">
        <v>42.1</v>
      </c>
      <c r="S15" s="102">
        <v>42.1</v>
      </c>
      <c r="T15" s="102">
        <v>42.1</v>
      </c>
      <c r="U15" s="102">
        <v>42.1</v>
      </c>
      <c r="V15" s="102">
        <v>42.1</v>
      </c>
      <c r="W15" s="102">
        <v>42.1</v>
      </c>
      <c r="X15" s="102">
        <v>42.1</v>
      </c>
      <c r="Y15" s="102">
        <v>42.1</v>
      </c>
      <c r="Z15" s="102">
        <v>42.1</v>
      </c>
      <c r="AA15" s="102">
        <v>42.1</v>
      </c>
      <c r="AB15" s="102">
        <v>42.1</v>
      </c>
      <c r="AC15" s="102">
        <v>42.1</v>
      </c>
      <c r="AD15" s="102">
        <v>42.1</v>
      </c>
      <c r="AE15" s="102">
        <v>42.1</v>
      </c>
      <c r="AF15" s="102">
        <v>42.1</v>
      </c>
      <c r="AG15" s="130">
        <v>50</v>
      </c>
      <c r="AH15" s="12">
        <f t="shared" si="2"/>
        <v>43.8</v>
      </c>
      <c r="AI15" s="11">
        <f t="shared" si="3"/>
        <v>41.4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25">
      <c r="A16" s="89" t="s">
        <v>258</v>
      </c>
      <c r="B16" s="102">
        <v>15.1</v>
      </c>
      <c r="C16" s="102">
        <v>15.1</v>
      </c>
      <c r="D16" s="102">
        <v>15.1</v>
      </c>
      <c r="E16" s="102">
        <v>15.1</v>
      </c>
      <c r="F16" s="102">
        <v>15.1</v>
      </c>
      <c r="G16" s="102">
        <v>16.2</v>
      </c>
      <c r="H16" s="102">
        <v>16.2</v>
      </c>
      <c r="I16" s="102">
        <v>16.2</v>
      </c>
      <c r="J16" s="102">
        <v>16.2</v>
      </c>
      <c r="K16" s="102">
        <v>16.2</v>
      </c>
      <c r="L16" s="102">
        <v>16.2</v>
      </c>
      <c r="M16" s="102">
        <v>15.1</v>
      </c>
      <c r="N16" s="102">
        <v>15.1</v>
      </c>
      <c r="O16" s="102">
        <v>15.1</v>
      </c>
      <c r="P16" s="102">
        <v>15.1</v>
      </c>
      <c r="Q16" s="102">
        <v>15.1</v>
      </c>
      <c r="R16" s="102">
        <v>15.1</v>
      </c>
      <c r="S16" s="102">
        <v>15.1</v>
      </c>
      <c r="T16" s="102">
        <v>15.1</v>
      </c>
      <c r="U16" s="102">
        <v>15.1</v>
      </c>
      <c r="V16" s="102">
        <v>15.1</v>
      </c>
      <c r="W16" s="102">
        <v>15.1</v>
      </c>
      <c r="X16" s="102">
        <v>15.1</v>
      </c>
      <c r="Y16" s="102">
        <v>15.1</v>
      </c>
      <c r="Z16" s="102">
        <v>15.1</v>
      </c>
      <c r="AA16" s="102">
        <v>15.1</v>
      </c>
      <c r="AB16" s="102">
        <v>15.1</v>
      </c>
      <c r="AC16" s="102">
        <v>15.1</v>
      </c>
      <c r="AD16" s="102">
        <v>15.1</v>
      </c>
      <c r="AE16" s="102">
        <v>15.1</v>
      </c>
      <c r="AF16" s="102">
        <v>15.1</v>
      </c>
      <c r="AG16" s="130">
        <v>45</v>
      </c>
      <c r="AH16" s="12">
        <f t="shared" si="2"/>
        <v>16.2</v>
      </c>
      <c r="AI16" s="11">
        <f t="shared" si="3"/>
        <v>15.1</v>
      </c>
      <c r="AK16" s="19"/>
      <c r="AL16" s="135" t="s">
        <v>7</v>
      </c>
      <c r="AM16" s="134">
        <f t="shared" ref="AM16:AR16" si="4">B58</f>
        <v>497.95</v>
      </c>
      <c r="AN16" s="134">
        <f t="shared" si="4"/>
        <v>497.95</v>
      </c>
      <c r="AO16" s="134">
        <f t="shared" si="4"/>
        <v>497.95</v>
      </c>
      <c r="AP16" s="134">
        <f t="shared" si="4"/>
        <v>502.74999999999994</v>
      </c>
      <c r="AQ16" s="134">
        <f t="shared" si="4"/>
        <v>502.74999999999994</v>
      </c>
      <c r="AR16" s="134">
        <f t="shared" si="4"/>
        <v>495.15000000000003</v>
      </c>
      <c r="AS16" s="134">
        <f>I58</f>
        <v>495.35</v>
      </c>
      <c r="AT16" s="134">
        <f>K58</f>
        <v>490.25000000000006</v>
      </c>
      <c r="AU16" s="134">
        <f t="shared" ref="AU16:BD16" si="5">M58</f>
        <v>486.75000000000006</v>
      </c>
      <c r="AV16" s="134">
        <f t="shared" si="5"/>
        <v>488.75000000000006</v>
      </c>
      <c r="AW16" s="134">
        <f t="shared" si="5"/>
        <v>487.25000000000006</v>
      </c>
      <c r="AX16" s="134">
        <f t="shared" si="5"/>
        <v>488.75000000000006</v>
      </c>
      <c r="AY16" s="134">
        <f t="shared" si="5"/>
        <v>489.55</v>
      </c>
      <c r="AZ16" s="134">
        <f t="shared" si="5"/>
        <v>490.25000000000006</v>
      </c>
      <c r="BA16" s="134">
        <f t="shared" si="5"/>
        <v>490.25000000000006</v>
      </c>
      <c r="BB16" s="134">
        <f t="shared" si="5"/>
        <v>490.25000000000006</v>
      </c>
      <c r="BC16" s="134">
        <f t="shared" si="5"/>
        <v>490.25000000000006</v>
      </c>
      <c r="BD16" s="134">
        <f t="shared" si="5"/>
        <v>490.25000000000006</v>
      </c>
      <c r="BE16" s="133">
        <f>X58</f>
        <v>490.25000000000006</v>
      </c>
      <c r="BF16" s="133">
        <f>Z58</f>
        <v>490.25000000000006</v>
      </c>
      <c r="BG16" s="133">
        <f>AB58</f>
        <v>490.25000000000006</v>
      </c>
      <c r="BH16" s="133">
        <f>AD58</f>
        <v>490.25000000000006</v>
      </c>
      <c r="BI16" s="133">
        <f>AE58</f>
        <v>490.25000000000006</v>
      </c>
      <c r="BJ16" s="133">
        <f>AF58</f>
        <v>490.25000000000006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25">
      <c r="A17" s="89" t="s">
        <v>257</v>
      </c>
      <c r="B17" s="102">
        <v>16</v>
      </c>
      <c r="C17" s="102">
        <v>16</v>
      </c>
      <c r="D17" s="102">
        <v>16</v>
      </c>
      <c r="E17" s="102">
        <v>16</v>
      </c>
      <c r="F17" s="102">
        <v>16</v>
      </c>
      <c r="G17" s="102">
        <v>16</v>
      </c>
      <c r="H17" s="102">
        <v>16</v>
      </c>
      <c r="I17" s="102">
        <v>16</v>
      </c>
      <c r="J17" s="102">
        <v>16</v>
      </c>
      <c r="K17" s="102">
        <v>16</v>
      </c>
      <c r="L17" s="102">
        <v>16</v>
      </c>
      <c r="M17" s="102">
        <v>16</v>
      </c>
      <c r="N17" s="102">
        <v>16</v>
      </c>
      <c r="O17" s="102">
        <v>16</v>
      </c>
      <c r="P17" s="102">
        <v>16</v>
      </c>
      <c r="Q17" s="102">
        <v>16</v>
      </c>
      <c r="R17" s="102">
        <v>16</v>
      </c>
      <c r="S17" s="102">
        <v>16</v>
      </c>
      <c r="T17" s="102">
        <v>16</v>
      </c>
      <c r="U17" s="102">
        <v>16</v>
      </c>
      <c r="V17" s="102">
        <v>16</v>
      </c>
      <c r="W17" s="102">
        <v>16</v>
      </c>
      <c r="X17" s="102">
        <v>16</v>
      </c>
      <c r="Y17" s="102">
        <v>16</v>
      </c>
      <c r="Z17" s="102">
        <v>16</v>
      </c>
      <c r="AA17" s="102">
        <v>16</v>
      </c>
      <c r="AB17" s="102">
        <v>16</v>
      </c>
      <c r="AC17" s="102">
        <v>16</v>
      </c>
      <c r="AD17" s="102">
        <v>16</v>
      </c>
      <c r="AE17" s="102">
        <v>16</v>
      </c>
      <c r="AF17" s="102">
        <v>16</v>
      </c>
      <c r="AG17" s="130">
        <v>44</v>
      </c>
      <c r="AH17" s="12">
        <f>MAX(B17:AG17)</f>
        <v>44</v>
      </c>
      <c r="AI17" s="11">
        <f>MIN(B17:AG17)</f>
        <v>16</v>
      </c>
      <c r="AK17" s="19"/>
      <c r="AL17" s="135" t="s">
        <v>256</v>
      </c>
      <c r="AM17" s="134">
        <f t="shared" ref="AM17:AR17" si="6">B62</f>
        <v>190</v>
      </c>
      <c r="AN17" s="134">
        <f t="shared" si="6"/>
        <v>190</v>
      </c>
      <c r="AO17" s="134">
        <f t="shared" si="6"/>
        <v>190</v>
      </c>
      <c r="AP17" s="134">
        <f t="shared" si="6"/>
        <v>191.10000000000002</v>
      </c>
      <c r="AQ17" s="134">
        <f t="shared" si="6"/>
        <v>191.3</v>
      </c>
      <c r="AR17" s="134">
        <f t="shared" si="6"/>
        <v>191.3</v>
      </c>
      <c r="AS17" s="134">
        <f>I62</f>
        <v>191.3</v>
      </c>
      <c r="AT17" s="134">
        <f>K62</f>
        <v>40.4</v>
      </c>
      <c r="AU17" s="134">
        <f t="shared" ref="AU17:BD17" si="7">M62</f>
        <v>37.9</v>
      </c>
      <c r="AV17" s="134">
        <f t="shared" si="7"/>
        <v>37.9</v>
      </c>
      <c r="AW17" s="134">
        <f t="shared" si="7"/>
        <v>36.700000000000003</v>
      </c>
      <c r="AX17" s="134">
        <f t="shared" si="7"/>
        <v>31.7</v>
      </c>
      <c r="AY17" s="134">
        <f t="shared" si="7"/>
        <v>28.5</v>
      </c>
      <c r="AZ17" s="134">
        <f t="shared" si="7"/>
        <v>28.6</v>
      </c>
      <c r="BA17" s="134">
        <f t="shared" si="7"/>
        <v>28.6</v>
      </c>
      <c r="BB17" s="134">
        <f t="shared" si="7"/>
        <v>28.6</v>
      </c>
      <c r="BC17" s="134">
        <f t="shared" si="7"/>
        <v>37.4</v>
      </c>
      <c r="BD17" s="134">
        <f t="shared" si="7"/>
        <v>37.4</v>
      </c>
      <c r="BE17" s="133">
        <f>X62</f>
        <v>37.4</v>
      </c>
      <c r="BF17" s="133">
        <f>Z62</f>
        <v>341.3</v>
      </c>
      <c r="BG17" s="133">
        <f>AB62</f>
        <v>312.8</v>
      </c>
      <c r="BH17" s="133">
        <f>AD62</f>
        <v>412.3</v>
      </c>
      <c r="BI17" s="133">
        <f>AE62</f>
        <v>294.8</v>
      </c>
      <c r="BJ17" s="133">
        <f>AF62</f>
        <v>262.39999999999998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25">
      <c r="A18" s="89" t="s">
        <v>255</v>
      </c>
      <c r="B18" s="102">
        <v>11</v>
      </c>
      <c r="C18" s="102">
        <v>11</v>
      </c>
      <c r="D18" s="102">
        <v>11</v>
      </c>
      <c r="E18" s="102">
        <v>11</v>
      </c>
      <c r="F18" s="102">
        <v>11</v>
      </c>
      <c r="G18" s="102">
        <v>9</v>
      </c>
      <c r="H18" s="102">
        <v>9</v>
      </c>
      <c r="I18" s="102">
        <v>9</v>
      </c>
      <c r="J18" s="102">
        <v>9</v>
      </c>
      <c r="K18" s="102">
        <v>9</v>
      </c>
      <c r="L18" s="102">
        <v>9</v>
      </c>
      <c r="M18" s="102">
        <v>9</v>
      </c>
      <c r="N18" s="102">
        <v>9</v>
      </c>
      <c r="O18" s="102">
        <v>9</v>
      </c>
      <c r="P18" s="102">
        <v>9</v>
      </c>
      <c r="Q18" s="102">
        <v>9</v>
      </c>
      <c r="R18" s="102">
        <v>9</v>
      </c>
      <c r="S18" s="102">
        <v>9</v>
      </c>
      <c r="T18" s="102">
        <v>9</v>
      </c>
      <c r="U18" s="102">
        <v>9</v>
      </c>
      <c r="V18" s="102">
        <v>9</v>
      </c>
      <c r="W18" s="102">
        <v>9</v>
      </c>
      <c r="X18" s="102">
        <v>9</v>
      </c>
      <c r="Y18" s="102">
        <v>9</v>
      </c>
      <c r="Z18" s="102">
        <v>9</v>
      </c>
      <c r="AA18" s="102">
        <v>9</v>
      </c>
      <c r="AB18" s="102">
        <v>9</v>
      </c>
      <c r="AC18" s="102">
        <v>9</v>
      </c>
      <c r="AD18" s="102">
        <v>9</v>
      </c>
      <c r="AE18" s="102">
        <v>9</v>
      </c>
      <c r="AF18" s="102">
        <v>9</v>
      </c>
      <c r="AG18" s="130">
        <v>42</v>
      </c>
      <c r="AH18" s="12">
        <f t="shared" ref="AH18:AH81" si="8">MAX(B18:AF18)</f>
        <v>11</v>
      </c>
      <c r="AI18" s="11">
        <f t="shared" ref="AI18:AI81" si="9">MIN(B18:AF18)</f>
        <v>9</v>
      </c>
      <c r="AK18" s="19"/>
      <c r="AL18" s="135" t="s">
        <v>254</v>
      </c>
      <c r="AM18" s="134">
        <f t="shared" ref="AM18:AR18" si="10">B76</f>
        <v>339.03999999999996</v>
      </c>
      <c r="AN18" s="134">
        <f t="shared" si="10"/>
        <v>324.03999999999996</v>
      </c>
      <c r="AO18" s="134">
        <f t="shared" si="10"/>
        <v>283.03999999999996</v>
      </c>
      <c r="AP18" s="134">
        <f t="shared" si="10"/>
        <v>285.64</v>
      </c>
      <c r="AQ18" s="134">
        <f t="shared" si="10"/>
        <v>286.23999999999995</v>
      </c>
      <c r="AR18" s="134">
        <f t="shared" si="10"/>
        <v>236.34000000000003</v>
      </c>
      <c r="AS18" s="134">
        <f>I76</f>
        <v>256.84000000000003</v>
      </c>
      <c r="AT18" s="134">
        <f>K76</f>
        <v>238.44</v>
      </c>
      <c r="AU18" s="134">
        <f t="shared" ref="AU18:BD18" si="11">M76</f>
        <v>281.83999999999997</v>
      </c>
      <c r="AV18" s="134">
        <f t="shared" si="11"/>
        <v>286.64</v>
      </c>
      <c r="AW18" s="134">
        <f t="shared" si="11"/>
        <v>302.74</v>
      </c>
      <c r="AX18" s="134">
        <f t="shared" si="11"/>
        <v>314.44</v>
      </c>
      <c r="AY18" s="134">
        <f t="shared" si="11"/>
        <v>314.24</v>
      </c>
      <c r="AZ18" s="134">
        <f t="shared" si="11"/>
        <v>281.74</v>
      </c>
      <c r="BA18" s="134">
        <f t="shared" si="11"/>
        <v>298.44</v>
      </c>
      <c r="BB18" s="134">
        <f t="shared" si="11"/>
        <v>288.44</v>
      </c>
      <c r="BC18" s="134">
        <f t="shared" si="11"/>
        <v>268.64</v>
      </c>
      <c r="BD18" s="134">
        <f t="shared" si="11"/>
        <v>255.54</v>
      </c>
      <c r="BE18" s="133">
        <f>X76</f>
        <v>203.94</v>
      </c>
      <c r="BF18" s="133">
        <f>Z76</f>
        <v>332.29999999999995</v>
      </c>
      <c r="BG18" s="133">
        <f>AB76</f>
        <v>378.94</v>
      </c>
      <c r="BH18" s="133">
        <f>AD76</f>
        <v>352.24</v>
      </c>
      <c r="BI18" s="133">
        <f>AE76</f>
        <v>333.73999999999995</v>
      </c>
      <c r="BJ18" s="133">
        <f>AF76</f>
        <v>283.64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25">
      <c r="A19" s="89" t="s">
        <v>253</v>
      </c>
      <c r="B19" s="102">
        <v>16.2</v>
      </c>
      <c r="C19" s="102">
        <v>16.2</v>
      </c>
      <c r="D19" s="102">
        <v>16.2</v>
      </c>
      <c r="E19" s="102">
        <v>19.7</v>
      </c>
      <c r="F19" s="102">
        <v>19.7</v>
      </c>
      <c r="G19" s="102">
        <v>17.3</v>
      </c>
      <c r="H19" s="102">
        <v>17.3</v>
      </c>
      <c r="I19" s="102">
        <v>17.3</v>
      </c>
      <c r="J19" s="102">
        <v>17.3</v>
      </c>
      <c r="K19" s="102">
        <v>17.3</v>
      </c>
      <c r="L19" s="102">
        <v>17.3</v>
      </c>
      <c r="M19" s="102">
        <v>16</v>
      </c>
      <c r="N19" s="102">
        <v>16</v>
      </c>
      <c r="O19" s="102">
        <v>16</v>
      </c>
      <c r="P19" s="102">
        <v>16</v>
      </c>
      <c r="Q19" s="102">
        <v>16</v>
      </c>
      <c r="R19" s="102">
        <v>16</v>
      </c>
      <c r="S19" s="102">
        <v>16</v>
      </c>
      <c r="T19" s="102">
        <v>16</v>
      </c>
      <c r="U19" s="102">
        <v>16</v>
      </c>
      <c r="V19" s="102">
        <v>16</v>
      </c>
      <c r="W19" s="102">
        <v>16</v>
      </c>
      <c r="X19" s="102">
        <v>16</v>
      </c>
      <c r="Y19" s="102">
        <v>16</v>
      </c>
      <c r="Z19" s="102">
        <v>16</v>
      </c>
      <c r="AA19" s="102">
        <v>16</v>
      </c>
      <c r="AB19" s="102">
        <v>16</v>
      </c>
      <c r="AC19" s="102">
        <v>16</v>
      </c>
      <c r="AD19" s="102">
        <v>16</v>
      </c>
      <c r="AE19" s="102">
        <v>16</v>
      </c>
      <c r="AF19" s="102">
        <v>16</v>
      </c>
      <c r="AG19" s="130">
        <v>38.46</v>
      </c>
      <c r="AH19" s="12">
        <f t="shared" si="8"/>
        <v>19.7</v>
      </c>
      <c r="AI19" s="11">
        <f t="shared" si="9"/>
        <v>16</v>
      </c>
      <c r="AK19" s="19"/>
      <c r="AL19" s="135" t="s">
        <v>252</v>
      </c>
      <c r="AM19" s="134">
        <f t="shared" ref="AM19:AR19" si="12">B92</f>
        <v>129</v>
      </c>
      <c r="AN19" s="134">
        <f t="shared" si="12"/>
        <v>155</v>
      </c>
      <c r="AO19" s="134">
        <f t="shared" si="12"/>
        <v>145</v>
      </c>
      <c r="AP19" s="134">
        <f t="shared" si="12"/>
        <v>111.7</v>
      </c>
      <c r="AQ19" s="134">
        <f t="shared" si="12"/>
        <v>99.5</v>
      </c>
      <c r="AR19" s="134">
        <f t="shared" si="12"/>
        <v>175.3</v>
      </c>
      <c r="AS19" s="134">
        <f>I92</f>
        <v>184.7</v>
      </c>
      <c r="AT19" s="134">
        <f>K92</f>
        <v>810.7</v>
      </c>
      <c r="AU19" s="134">
        <f t="shared" ref="AU19:BD19" si="13">M92</f>
        <v>900.99999999999989</v>
      </c>
      <c r="AV19" s="134">
        <f t="shared" si="13"/>
        <v>895.7</v>
      </c>
      <c r="AW19" s="134">
        <f t="shared" si="13"/>
        <v>905.30000000000007</v>
      </c>
      <c r="AX19" s="134">
        <f t="shared" si="13"/>
        <v>900.69999999999993</v>
      </c>
      <c r="AY19" s="134">
        <f t="shared" si="13"/>
        <v>892.9</v>
      </c>
      <c r="AZ19" s="134">
        <f t="shared" si="13"/>
        <v>850.6</v>
      </c>
      <c r="BA19" s="134">
        <f t="shared" si="13"/>
        <v>783.2</v>
      </c>
      <c r="BB19" s="134">
        <f t="shared" si="13"/>
        <v>845</v>
      </c>
      <c r="BC19" s="134">
        <f t="shared" si="13"/>
        <v>800.50000000000011</v>
      </c>
      <c r="BD19" s="134">
        <f t="shared" si="13"/>
        <v>794.50000000000011</v>
      </c>
      <c r="BE19" s="133">
        <f>X92</f>
        <v>775</v>
      </c>
      <c r="BF19" s="133">
        <f>Z92</f>
        <v>397.6</v>
      </c>
      <c r="BG19" s="133">
        <f>AB92</f>
        <v>314.7</v>
      </c>
      <c r="BH19" s="133">
        <f>AD92</f>
        <v>145.10000000000002</v>
      </c>
      <c r="BI19" s="133">
        <f>AE92</f>
        <v>151.79999999999998</v>
      </c>
      <c r="BJ19" s="133">
        <f>AF92</f>
        <v>185.10000000000002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25">
      <c r="A20" s="89" t="s">
        <v>251</v>
      </c>
      <c r="B20" s="102">
        <v>14</v>
      </c>
      <c r="C20" s="102">
        <v>14</v>
      </c>
      <c r="D20" s="102">
        <v>14</v>
      </c>
      <c r="E20" s="102">
        <v>14</v>
      </c>
      <c r="F20" s="102">
        <v>14</v>
      </c>
      <c r="G20" s="102">
        <v>14</v>
      </c>
      <c r="H20" s="102">
        <v>14</v>
      </c>
      <c r="I20" s="102">
        <v>14</v>
      </c>
      <c r="J20" s="102">
        <v>14</v>
      </c>
      <c r="K20" s="102">
        <v>14</v>
      </c>
      <c r="L20" s="102">
        <v>14</v>
      </c>
      <c r="M20" s="102">
        <v>14</v>
      </c>
      <c r="N20" s="102">
        <v>14</v>
      </c>
      <c r="O20" s="102">
        <v>14</v>
      </c>
      <c r="P20" s="102">
        <v>14</v>
      </c>
      <c r="Q20" s="102">
        <v>14</v>
      </c>
      <c r="R20" s="102">
        <v>14</v>
      </c>
      <c r="S20" s="102">
        <v>14</v>
      </c>
      <c r="T20" s="102">
        <v>14</v>
      </c>
      <c r="U20" s="102">
        <v>14</v>
      </c>
      <c r="V20" s="102">
        <v>14</v>
      </c>
      <c r="W20" s="102">
        <v>14</v>
      </c>
      <c r="X20" s="102">
        <v>14</v>
      </c>
      <c r="Y20" s="102">
        <v>14</v>
      </c>
      <c r="Z20" s="102">
        <v>14</v>
      </c>
      <c r="AA20" s="102">
        <v>14</v>
      </c>
      <c r="AB20" s="102">
        <v>14</v>
      </c>
      <c r="AC20" s="102">
        <v>14</v>
      </c>
      <c r="AD20" s="102">
        <v>14</v>
      </c>
      <c r="AE20" s="102">
        <v>14</v>
      </c>
      <c r="AF20" s="102">
        <v>14</v>
      </c>
      <c r="AG20" s="130">
        <v>38.46</v>
      </c>
      <c r="AH20" s="12">
        <f t="shared" si="8"/>
        <v>14</v>
      </c>
      <c r="AI20" s="11">
        <f t="shared" si="9"/>
        <v>14</v>
      </c>
      <c r="AK20" s="19"/>
      <c r="AL20" s="135" t="s">
        <v>250</v>
      </c>
      <c r="AM20" s="134">
        <f t="shared" ref="AM20:AR20" si="14">B80</f>
        <v>96</v>
      </c>
      <c r="AN20" s="134">
        <f t="shared" si="14"/>
        <v>96</v>
      </c>
      <c r="AO20" s="134">
        <f t="shared" si="14"/>
        <v>96</v>
      </c>
      <c r="AP20" s="134">
        <f t="shared" si="14"/>
        <v>96.2</v>
      </c>
      <c r="AQ20" s="134">
        <f t="shared" si="14"/>
        <v>96.2</v>
      </c>
      <c r="AR20" s="134">
        <f t="shared" si="14"/>
        <v>97.1</v>
      </c>
      <c r="AS20" s="134">
        <f>I80</f>
        <v>97.1</v>
      </c>
      <c r="AT20" s="134">
        <f>K80</f>
        <v>86.1</v>
      </c>
      <c r="AU20" s="134">
        <f t="shared" ref="AU20:BD20" si="15">M80</f>
        <v>95</v>
      </c>
      <c r="AV20" s="134">
        <f t="shared" si="15"/>
        <v>98.8</v>
      </c>
      <c r="AW20" s="134">
        <f t="shared" si="15"/>
        <v>98.7</v>
      </c>
      <c r="AX20" s="134">
        <f t="shared" si="15"/>
        <v>97.7</v>
      </c>
      <c r="AY20" s="134">
        <f t="shared" si="15"/>
        <v>92</v>
      </c>
      <c r="AZ20" s="134">
        <f t="shared" si="15"/>
        <v>98.8</v>
      </c>
      <c r="BA20" s="134">
        <f t="shared" si="15"/>
        <v>98.8</v>
      </c>
      <c r="BB20" s="134">
        <f t="shared" si="15"/>
        <v>98.8</v>
      </c>
      <c r="BC20" s="134">
        <f t="shared" si="15"/>
        <v>98.8</v>
      </c>
      <c r="BD20" s="134">
        <f t="shared" si="15"/>
        <v>98.8</v>
      </c>
      <c r="BE20" s="133">
        <f>X80</f>
        <v>98.8</v>
      </c>
      <c r="BF20" s="133">
        <f>Z80</f>
        <v>85.8</v>
      </c>
      <c r="BG20" s="133">
        <f>AB80</f>
        <v>97.4</v>
      </c>
      <c r="BH20" s="133">
        <f>AD80</f>
        <v>97.4</v>
      </c>
      <c r="BI20" s="133">
        <f>AE80</f>
        <v>97.4</v>
      </c>
      <c r="BJ20" s="133">
        <f>AF80</f>
        <v>97.4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25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>
        <v>11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>
        <v>11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11</v>
      </c>
      <c r="AG21" s="130">
        <v>36</v>
      </c>
      <c r="AH21" s="12">
        <f t="shared" si="8"/>
        <v>11</v>
      </c>
      <c r="AI21" s="11">
        <f t="shared" si="9"/>
        <v>11</v>
      </c>
      <c r="AK21" s="19"/>
      <c r="AL21" s="135" t="s">
        <v>248</v>
      </c>
      <c r="AM21" s="134">
        <f t="shared" ref="AM21:AR21" si="16">B98</f>
        <v>280</v>
      </c>
      <c r="AN21" s="134">
        <f t="shared" si="16"/>
        <v>280</v>
      </c>
      <c r="AO21" s="134">
        <f t="shared" si="16"/>
        <v>280</v>
      </c>
      <c r="AP21" s="134">
        <f t="shared" si="16"/>
        <v>280</v>
      </c>
      <c r="AQ21" s="134">
        <f t="shared" si="16"/>
        <v>280</v>
      </c>
      <c r="AR21" s="134">
        <f t="shared" si="16"/>
        <v>280</v>
      </c>
      <c r="AS21" s="134">
        <f>I98</f>
        <v>280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280</v>
      </c>
      <c r="BG21" s="133">
        <f>AB98</f>
        <v>280</v>
      </c>
      <c r="BH21" s="133">
        <f>AD98</f>
        <v>280</v>
      </c>
      <c r="BI21" s="133">
        <f>AE98</f>
        <v>330</v>
      </c>
      <c r="BJ21" s="133">
        <f>AF98</f>
        <v>330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25">
      <c r="A22" s="89" t="s">
        <v>247</v>
      </c>
      <c r="B22" s="102">
        <v>10.3</v>
      </c>
      <c r="C22" s="102">
        <v>10.3</v>
      </c>
      <c r="D22" s="102">
        <v>10.3</v>
      </c>
      <c r="E22" s="102">
        <v>9</v>
      </c>
      <c r="F22" s="102">
        <v>9</v>
      </c>
      <c r="G22" s="102">
        <v>9</v>
      </c>
      <c r="H22" s="102">
        <v>9</v>
      </c>
      <c r="I22" s="102">
        <v>9</v>
      </c>
      <c r="J22" s="102">
        <v>9</v>
      </c>
      <c r="K22" s="102">
        <v>9</v>
      </c>
      <c r="L22" s="102">
        <v>9</v>
      </c>
      <c r="M22" s="102">
        <v>9</v>
      </c>
      <c r="N22" s="102">
        <v>9</v>
      </c>
      <c r="O22" s="102">
        <v>9</v>
      </c>
      <c r="P22" s="102">
        <v>9</v>
      </c>
      <c r="Q22" s="102">
        <v>9</v>
      </c>
      <c r="R22" s="102">
        <v>9</v>
      </c>
      <c r="S22" s="102">
        <v>9</v>
      </c>
      <c r="T22" s="102">
        <v>9</v>
      </c>
      <c r="U22" s="102">
        <v>9</v>
      </c>
      <c r="V22" s="102">
        <v>9</v>
      </c>
      <c r="W22" s="102">
        <v>9</v>
      </c>
      <c r="X22" s="102">
        <v>9</v>
      </c>
      <c r="Y22" s="102">
        <v>9</v>
      </c>
      <c r="Z22" s="102">
        <v>9</v>
      </c>
      <c r="AA22" s="102">
        <v>9</v>
      </c>
      <c r="AB22" s="102">
        <v>9</v>
      </c>
      <c r="AC22" s="102">
        <v>9</v>
      </c>
      <c r="AD22" s="102">
        <v>9</v>
      </c>
      <c r="AE22" s="102">
        <v>9</v>
      </c>
      <c r="AF22" s="102">
        <v>9</v>
      </c>
      <c r="AG22" s="88">
        <v>30</v>
      </c>
      <c r="AH22" s="12">
        <f t="shared" si="8"/>
        <v>10.3</v>
      </c>
      <c r="AI22" s="11">
        <f t="shared" si="9"/>
        <v>9</v>
      </c>
      <c r="AK22" s="19"/>
      <c r="AL22" s="132" t="s">
        <v>246</v>
      </c>
      <c r="AM22" s="131">
        <f t="shared" ref="AM22:BJ22" si="18">SUM(AM16:AM21)</f>
        <v>1531.99</v>
      </c>
      <c r="AN22" s="131">
        <f t="shared" si="18"/>
        <v>1542.99</v>
      </c>
      <c r="AO22" s="131">
        <f t="shared" si="18"/>
        <v>1491.99</v>
      </c>
      <c r="AP22" s="131">
        <f t="shared" si="18"/>
        <v>1467.3899999999999</v>
      </c>
      <c r="AQ22" s="131">
        <f t="shared" si="18"/>
        <v>1455.99</v>
      </c>
      <c r="AR22" s="131">
        <f t="shared" si="18"/>
        <v>1475.19</v>
      </c>
      <c r="AS22" s="131">
        <f t="shared" si="18"/>
        <v>1505.29</v>
      </c>
      <c r="AT22" s="131">
        <f t="shared" si="18"/>
        <v>1665.89</v>
      </c>
      <c r="AU22" s="131">
        <f t="shared" si="18"/>
        <v>1802.4899999999998</v>
      </c>
      <c r="AV22" s="131">
        <f t="shared" si="18"/>
        <v>1807.7900000000002</v>
      </c>
      <c r="AW22" s="131">
        <f t="shared" si="18"/>
        <v>1830.6900000000003</v>
      </c>
      <c r="AX22" s="131">
        <f t="shared" si="18"/>
        <v>1833.2900000000002</v>
      </c>
      <c r="AY22" s="131">
        <f t="shared" si="18"/>
        <v>1817.19</v>
      </c>
      <c r="AZ22" s="131">
        <f t="shared" si="18"/>
        <v>1749.99</v>
      </c>
      <c r="BA22" s="131">
        <f t="shared" si="18"/>
        <v>1699.29</v>
      </c>
      <c r="BB22" s="131">
        <f t="shared" si="18"/>
        <v>1751.09</v>
      </c>
      <c r="BC22" s="131">
        <f t="shared" si="18"/>
        <v>1695.5900000000001</v>
      </c>
      <c r="BD22" s="131">
        <f t="shared" si="18"/>
        <v>1676.49</v>
      </c>
      <c r="BE22" s="131">
        <f t="shared" si="18"/>
        <v>1605.39</v>
      </c>
      <c r="BF22" s="131">
        <f t="shared" si="18"/>
        <v>1927.2499999999998</v>
      </c>
      <c r="BG22" s="131">
        <f t="shared" si="18"/>
        <v>1874.0900000000001</v>
      </c>
      <c r="BH22" s="131">
        <f t="shared" si="18"/>
        <v>1777.29</v>
      </c>
      <c r="BI22" s="131">
        <f t="shared" si="18"/>
        <v>1697.99</v>
      </c>
      <c r="BJ22" s="131">
        <f t="shared" si="18"/>
        <v>1648.79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25">
      <c r="A23" s="89" t="s">
        <v>245</v>
      </c>
      <c r="B23" s="102">
        <v>6.4</v>
      </c>
      <c r="C23" s="102">
        <v>6.4</v>
      </c>
      <c r="D23" s="102">
        <v>6.4</v>
      </c>
      <c r="E23" s="102">
        <v>6.4</v>
      </c>
      <c r="F23" s="102">
        <v>6.4</v>
      </c>
      <c r="G23" s="102">
        <v>6.4</v>
      </c>
      <c r="H23" s="102">
        <v>6.4</v>
      </c>
      <c r="I23" s="102">
        <v>6.4</v>
      </c>
      <c r="J23" s="102">
        <v>6.4</v>
      </c>
      <c r="K23" s="102">
        <v>6.4</v>
      </c>
      <c r="L23" s="102">
        <v>6.4</v>
      </c>
      <c r="M23" s="102">
        <v>6.4</v>
      </c>
      <c r="N23" s="102">
        <v>6.4</v>
      </c>
      <c r="O23" s="102">
        <v>6.4</v>
      </c>
      <c r="P23" s="102">
        <v>6.4</v>
      </c>
      <c r="Q23" s="102">
        <v>6.4</v>
      </c>
      <c r="R23" s="102">
        <v>6.4</v>
      </c>
      <c r="S23" s="102">
        <v>6.4</v>
      </c>
      <c r="T23" s="102">
        <v>6.4</v>
      </c>
      <c r="U23" s="102">
        <v>6.4</v>
      </c>
      <c r="V23" s="102">
        <v>6.4</v>
      </c>
      <c r="W23" s="102">
        <v>6.4</v>
      </c>
      <c r="X23" s="102">
        <v>6.4</v>
      </c>
      <c r="Y23" s="102">
        <v>6.4</v>
      </c>
      <c r="Z23" s="102">
        <v>6.4</v>
      </c>
      <c r="AA23" s="102">
        <v>6.4</v>
      </c>
      <c r="AB23" s="102">
        <v>6.4</v>
      </c>
      <c r="AC23" s="102">
        <v>6.4</v>
      </c>
      <c r="AD23" s="102">
        <v>6.4</v>
      </c>
      <c r="AE23" s="102">
        <v>6.4</v>
      </c>
      <c r="AF23" s="102">
        <v>6.4</v>
      </c>
      <c r="AG23" s="130">
        <v>24.2</v>
      </c>
      <c r="AH23" s="12">
        <f t="shared" si="8"/>
        <v>6.4</v>
      </c>
      <c r="AI23" s="11">
        <f t="shared" si="9"/>
        <v>6.4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-1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-1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25">
      <c r="A24" s="89" t="s">
        <v>244</v>
      </c>
      <c r="B24" s="102">
        <v>6.5</v>
      </c>
      <c r="C24" s="102">
        <v>6.5</v>
      </c>
      <c r="D24" s="102">
        <v>6.5</v>
      </c>
      <c r="E24" s="102">
        <v>6.5</v>
      </c>
      <c r="F24" s="102">
        <v>6.5</v>
      </c>
      <c r="G24" s="102">
        <v>6.5</v>
      </c>
      <c r="H24" s="102">
        <v>6.5</v>
      </c>
      <c r="I24" s="102">
        <v>6.5</v>
      </c>
      <c r="J24" s="102">
        <v>6.5</v>
      </c>
      <c r="K24" s="102">
        <v>6.5</v>
      </c>
      <c r="L24" s="102">
        <v>6.5</v>
      </c>
      <c r="M24" s="102">
        <v>6.5</v>
      </c>
      <c r="N24" s="102">
        <v>6.5</v>
      </c>
      <c r="O24" s="102">
        <v>6.5</v>
      </c>
      <c r="P24" s="102">
        <v>6.5</v>
      </c>
      <c r="Q24" s="102">
        <v>6.5</v>
      </c>
      <c r="R24" s="102">
        <v>6.5</v>
      </c>
      <c r="S24" s="102">
        <v>6.5</v>
      </c>
      <c r="T24" s="102">
        <v>6.5</v>
      </c>
      <c r="U24" s="102">
        <v>6.5</v>
      </c>
      <c r="V24" s="102">
        <v>6.5</v>
      </c>
      <c r="W24" s="102">
        <v>6.5</v>
      </c>
      <c r="X24" s="102">
        <v>6.5</v>
      </c>
      <c r="Y24" s="102">
        <v>6.5</v>
      </c>
      <c r="Z24" s="102">
        <v>6.5</v>
      </c>
      <c r="AA24" s="102">
        <v>6.5</v>
      </c>
      <c r="AB24" s="102">
        <v>6.5</v>
      </c>
      <c r="AC24" s="102">
        <v>6.5</v>
      </c>
      <c r="AD24" s="102">
        <v>6.5</v>
      </c>
      <c r="AE24" s="102">
        <v>6.5</v>
      </c>
      <c r="AF24" s="102">
        <v>6.5</v>
      </c>
      <c r="AG24" s="130">
        <v>28</v>
      </c>
      <c r="AH24" s="12">
        <f t="shared" si="8"/>
        <v>6.5</v>
      </c>
      <c r="AI24" s="11">
        <f t="shared" si="9"/>
        <v>6.5</v>
      </c>
      <c r="AK24" s="19"/>
      <c r="AL24" s="132" t="s">
        <v>243</v>
      </c>
      <c r="AM24" s="131">
        <f t="shared" ref="AM24:BJ24" si="21">AM22+AM23</f>
        <v>1531.99</v>
      </c>
      <c r="AN24" s="131">
        <f t="shared" si="21"/>
        <v>1542.99</v>
      </c>
      <c r="AO24" s="131">
        <f t="shared" si="21"/>
        <v>1491.99</v>
      </c>
      <c r="AP24" s="131">
        <f t="shared" si="21"/>
        <v>1467.3899999999999</v>
      </c>
      <c r="AQ24" s="131">
        <f t="shared" si="21"/>
        <v>1455.99</v>
      </c>
      <c r="AR24" s="131">
        <f t="shared" si="21"/>
        <v>1475.19</v>
      </c>
      <c r="AS24" s="131">
        <f t="shared" si="21"/>
        <v>1505.29</v>
      </c>
      <c r="AT24" s="131">
        <f t="shared" si="21"/>
        <v>1665.89</v>
      </c>
      <c r="AU24" s="131">
        <f t="shared" si="21"/>
        <v>1802.4899999999998</v>
      </c>
      <c r="AV24" s="131">
        <f t="shared" si="21"/>
        <v>1807.7900000000002</v>
      </c>
      <c r="AW24" s="131">
        <f t="shared" si="21"/>
        <v>1830.6900000000003</v>
      </c>
      <c r="AX24" s="131">
        <f t="shared" si="21"/>
        <v>1833.2900000000002</v>
      </c>
      <c r="AY24" s="131">
        <f t="shared" si="21"/>
        <v>1817.19</v>
      </c>
      <c r="AZ24" s="131">
        <f t="shared" si="21"/>
        <v>1749.99</v>
      </c>
      <c r="BA24" s="131">
        <f t="shared" si="21"/>
        <v>1698.29</v>
      </c>
      <c r="BB24" s="131">
        <f t="shared" si="21"/>
        <v>1751.09</v>
      </c>
      <c r="BC24" s="131">
        <f t="shared" si="21"/>
        <v>1695.5900000000001</v>
      </c>
      <c r="BD24" s="131">
        <f t="shared" si="21"/>
        <v>1676.49</v>
      </c>
      <c r="BE24" s="131">
        <f t="shared" si="21"/>
        <v>1604.39</v>
      </c>
      <c r="BF24" s="131">
        <f t="shared" si="21"/>
        <v>1927.2499999999998</v>
      </c>
      <c r="BG24" s="131">
        <f t="shared" si="21"/>
        <v>1874.0900000000001</v>
      </c>
      <c r="BH24" s="131">
        <f t="shared" si="21"/>
        <v>1777.29</v>
      </c>
      <c r="BI24" s="131">
        <f t="shared" si="21"/>
        <v>1697.99</v>
      </c>
      <c r="BJ24" s="131">
        <f t="shared" si="21"/>
        <v>1648.79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25">
      <c r="A25" s="89" t="s">
        <v>242</v>
      </c>
      <c r="B25" s="102">
        <v>7.3</v>
      </c>
      <c r="C25" s="102">
        <v>7.3</v>
      </c>
      <c r="D25" s="102">
        <v>7.3</v>
      </c>
      <c r="E25" s="102">
        <v>7.5</v>
      </c>
      <c r="F25" s="102">
        <v>7.5</v>
      </c>
      <c r="G25" s="102">
        <v>6.5</v>
      </c>
      <c r="H25" s="102">
        <v>6.5</v>
      </c>
      <c r="I25" s="102">
        <v>6.5</v>
      </c>
      <c r="J25" s="102">
        <v>6.5</v>
      </c>
      <c r="K25" s="102">
        <v>6.5</v>
      </c>
      <c r="L25" s="102">
        <v>6.5</v>
      </c>
      <c r="M25" s="102">
        <v>6.5</v>
      </c>
      <c r="N25" s="102">
        <v>6.5</v>
      </c>
      <c r="O25" s="102">
        <v>6.5</v>
      </c>
      <c r="P25" s="102">
        <v>6.5</v>
      </c>
      <c r="Q25" s="102">
        <v>6.5</v>
      </c>
      <c r="R25" s="102">
        <v>6.5</v>
      </c>
      <c r="S25" s="102">
        <v>6.5</v>
      </c>
      <c r="T25" s="102">
        <v>6.5</v>
      </c>
      <c r="U25" s="102">
        <v>6.5</v>
      </c>
      <c r="V25" s="102">
        <v>6.5</v>
      </c>
      <c r="W25" s="102">
        <v>6.5</v>
      </c>
      <c r="X25" s="102">
        <v>6.5</v>
      </c>
      <c r="Y25" s="102">
        <v>6.5</v>
      </c>
      <c r="Z25" s="102">
        <v>6.5</v>
      </c>
      <c r="AA25" s="102">
        <v>6.5</v>
      </c>
      <c r="AB25" s="102">
        <v>6.5</v>
      </c>
      <c r="AC25" s="102">
        <v>6.5</v>
      </c>
      <c r="AD25" s="102">
        <v>6.5</v>
      </c>
      <c r="AE25" s="102">
        <v>6.5</v>
      </c>
      <c r="AF25" s="102">
        <v>6.5</v>
      </c>
      <c r="AG25" s="88">
        <v>30</v>
      </c>
      <c r="AH25" s="12">
        <f t="shared" si="8"/>
        <v>7.5</v>
      </c>
      <c r="AI25" s="11">
        <f t="shared" si="9"/>
        <v>6.5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25">
      <c r="A26" s="89" t="s">
        <v>241</v>
      </c>
      <c r="B26" s="102">
        <v>11.2</v>
      </c>
      <c r="C26" s="102">
        <v>11.2</v>
      </c>
      <c r="D26" s="102">
        <v>11.2</v>
      </c>
      <c r="E26" s="102">
        <v>10.7</v>
      </c>
      <c r="F26" s="102">
        <v>10.7</v>
      </c>
      <c r="G26" s="102">
        <v>8.4</v>
      </c>
      <c r="H26" s="102">
        <v>8.4</v>
      </c>
      <c r="I26" s="102">
        <v>8.4</v>
      </c>
      <c r="J26" s="102">
        <v>8.4</v>
      </c>
      <c r="K26" s="102">
        <v>8.4</v>
      </c>
      <c r="L26" s="102">
        <v>8.4</v>
      </c>
      <c r="M26" s="102">
        <v>8.4</v>
      </c>
      <c r="N26" s="102">
        <v>8.4</v>
      </c>
      <c r="O26" s="102">
        <v>8.4</v>
      </c>
      <c r="P26" s="102">
        <v>8.4</v>
      </c>
      <c r="Q26" s="102">
        <v>8.4</v>
      </c>
      <c r="R26" s="102">
        <v>8.4</v>
      </c>
      <c r="S26" s="102">
        <v>8.4</v>
      </c>
      <c r="T26" s="102">
        <v>8.4</v>
      </c>
      <c r="U26" s="102">
        <v>8.4</v>
      </c>
      <c r="V26" s="102">
        <v>8.4</v>
      </c>
      <c r="W26" s="102">
        <v>8.4</v>
      </c>
      <c r="X26" s="102">
        <v>8.4</v>
      </c>
      <c r="Y26" s="102">
        <v>8.4</v>
      </c>
      <c r="Z26" s="102">
        <v>8.4</v>
      </c>
      <c r="AA26" s="102">
        <v>8.4</v>
      </c>
      <c r="AB26" s="102">
        <v>8.4</v>
      </c>
      <c r="AC26" s="102">
        <v>8.4</v>
      </c>
      <c r="AD26" s="102">
        <v>8.4</v>
      </c>
      <c r="AE26" s="102">
        <v>8.4</v>
      </c>
      <c r="AF26" s="102">
        <v>8.4</v>
      </c>
      <c r="AG26" s="130">
        <v>25</v>
      </c>
      <c r="AH26" s="12">
        <f t="shared" si="8"/>
        <v>11.2</v>
      </c>
      <c r="AI26" s="11">
        <f t="shared" si="9"/>
        <v>8.4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25">
      <c r="A27" s="89" t="s">
        <v>240</v>
      </c>
      <c r="B27" s="102">
        <v>8.5</v>
      </c>
      <c r="C27" s="102">
        <v>8.5</v>
      </c>
      <c r="D27" s="102">
        <v>8.5</v>
      </c>
      <c r="E27" s="102">
        <v>8.5</v>
      </c>
      <c r="F27" s="102">
        <v>8.5</v>
      </c>
      <c r="G27" s="102">
        <v>8.5</v>
      </c>
      <c r="H27" s="102">
        <v>8.5</v>
      </c>
      <c r="I27" s="102">
        <v>8.5</v>
      </c>
      <c r="J27" s="102">
        <v>8.5</v>
      </c>
      <c r="K27" s="102">
        <v>8.5</v>
      </c>
      <c r="L27" s="102">
        <v>8.5</v>
      </c>
      <c r="M27" s="102">
        <v>8.5</v>
      </c>
      <c r="N27" s="102">
        <v>8.5</v>
      </c>
      <c r="O27" s="102">
        <v>8.5</v>
      </c>
      <c r="P27" s="102">
        <v>8.5</v>
      </c>
      <c r="Q27" s="102">
        <v>8.5</v>
      </c>
      <c r="R27" s="102">
        <v>8.5</v>
      </c>
      <c r="S27" s="102">
        <v>8.5</v>
      </c>
      <c r="T27" s="102">
        <v>8.5</v>
      </c>
      <c r="U27" s="102">
        <v>8.5</v>
      </c>
      <c r="V27" s="102">
        <v>8.5</v>
      </c>
      <c r="W27" s="102">
        <v>8.5</v>
      </c>
      <c r="X27" s="102">
        <v>8.5</v>
      </c>
      <c r="Y27" s="102">
        <v>8.5</v>
      </c>
      <c r="Z27" s="102">
        <v>8.5</v>
      </c>
      <c r="AA27" s="102">
        <v>8.5</v>
      </c>
      <c r="AB27" s="102">
        <v>8.5</v>
      </c>
      <c r="AC27" s="102">
        <v>8.5</v>
      </c>
      <c r="AD27" s="102">
        <v>8.5</v>
      </c>
      <c r="AE27" s="102">
        <v>8.5</v>
      </c>
      <c r="AF27" s="102">
        <v>8.5</v>
      </c>
      <c r="AG27" s="130">
        <v>25</v>
      </c>
      <c r="AH27" s="12">
        <f t="shared" si="8"/>
        <v>8.5</v>
      </c>
      <c r="AI27" s="11">
        <f t="shared" si="9"/>
        <v>8.5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25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25">
      <c r="A29" s="89" t="s">
        <v>238</v>
      </c>
      <c r="B29" s="102">
        <v>9.8000000000000007</v>
      </c>
      <c r="C29" s="102">
        <v>9.8000000000000007</v>
      </c>
      <c r="D29" s="102">
        <v>9.8000000000000007</v>
      </c>
      <c r="E29" s="102">
        <v>9.1999999999999993</v>
      </c>
      <c r="F29" s="102">
        <v>9.1999999999999993</v>
      </c>
      <c r="G29" s="102">
        <v>9.1999999999999993</v>
      </c>
      <c r="H29" s="102">
        <v>9.1999999999999993</v>
      </c>
      <c r="I29" s="102">
        <v>9.1999999999999993</v>
      </c>
      <c r="J29" s="102">
        <v>9.1999999999999993</v>
      </c>
      <c r="K29" s="102">
        <v>9.1999999999999993</v>
      </c>
      <c r="L29" s="102">
        <v>9.1999999999999993</v>
      </c>
      <c r="M29" s="102">
        <v>9.1999999999999993</v>
      </c>
      <c r="N29" s="102">
        <v>9.1999999999999993</v>
      </c>
      <c r="O29" s="102">
        <v>9.1999999999999993</v>
      </c>
      <c r="P29" s="102">
        <v>9.1999999999999993</v>
      </c>
      <c r="Q29" s="102">
        <v>9.1999999999999993</v>
      </c>
      <c r="R29" s="102">
        <v>9.1999999999999993</v>
      </c>
      <c r="S29" s="102">
        <v>9.1999999999999993</v>
      </c>
      <c r="T29" s="102">
        <v>9.1999999999999993</v>
      </c>
      <c r="U29" s="102">
        <v>9.1999999999999993</v>
      </c>
      <c r="V29" s="102">
        <v>9.1999999999999993</v>
      </c>
      <c r="W29" s="102">
        <v>9.1999999999999993</v>
      </c>
      <c r="X29" s="102">
        <v>9.1999999999999993</v>
      </c>
      <c r="Y29" s="102">
        <v>9.1999999999999993</v>
      </c>
      <c r="Z29" s="102">
        <v>9.1999999999999993</v>
      </c>
      <c r="AA29" s="102">
        <v>9.1999999999999993</v>
      </c>
      <c r="AB29" s="102">
        <v>9.1999999999999993</v>
      </c>
      <c r="AC29" s="102">
        <v>9.1999999999999993</v>
      </c>
      <c r="AD29" s="102">
        <v>9.1999999999999993</v>
      </c>
      <c r="AE29" s="102">
        <v>9.1999999999999993</v>
      </c>
      <c r="AF29" s="102">
        <v>9.1999999999999993</v>
      </c>
      <c r="AG29" s="130">
        <v>25</v>
      </c>
      <c r="AH29" s="12">
        <f t="shared" si="8"/>
        <v>9.8000000000000007</v>
      </c>
      <c r="AI29" s="11">
        <f t="shared" si="9"/>
        <v>9.1999999999999993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25">
      <c r="A30" s="89" t="s">
        <v>237</v>
      </c>
      <c r="B30" s="102">
        <v>5.2</v>
      </c>
      <c r="C30" s="102">
        <v>5.2</v>
      </c>
      <c r="D30" s="102">
        <v>5.2</v>
      </c>
      <c r="E30" s="102">
        <v>5.2</v>
      </c>
      <c r="F30" s="102">
        <v>5.2</v>
      </c>
      <c r="G30" s="102">
        <v>5.2</v>
      </c>
      <c r="H30" s="102">
        <v>5.2</v>
      </c>
      <c r="I30" s="102">
        <v>5.2</v>
      </c>
      <c r="J30" s="102">
        <v>5.2</v>
      </c>
      <c r="K30" s="102">
        <v>5.2</v>
      </c>
      <c r="L30" s="102">
        <v>5.2</v>
      </c>
      <c r="M30" s="102">
        <v>5.2</v>
      </c>
      <c r="N30" s="102">
        <v>5.2</v>
      </c>
      <c r="O30" s="102">
        <v>5.2</v>
      </c>
      <c r="P30" s="102">
        <v>5.2</v>
      </c>
      <c r="Q30" s="102">
        <v>5.2</v>
      </c>
      <c r="R30" s="102">
        <v>5.2</v>
      </c>
      <c r="S30" s="102">
        <v>5.2</v>
      </c>
      <c r="T30" s="102">
        <v>5.2</v>
      </c>
      <c r="U30" s="102">
        <v>5.2</v>
      </c>
      <c r="V30" s="102">
        <v>5.2</v>
      </c>
      <c r="W30" s="102">
        <v>5.2</v>
      </c>
      <c r="X30" s="102">
        <v>5.2</v>
      </c>
      <c r="Y30" s="102">
        <v>5.2</v>
      </c>
      <c r="Z30" s="102">
        <v>5.2</v>
      </c>
      <c r="AA30" s="102">
        <v>5.2</v>
      </c>
      <c r="AB30" s="102">
        <v>5.2</v>
      </c>
      <c r="AC30" s="102">
        <v>5.2</v>
      </c>
      <c r="AD30" s="102">
        <v>5.2</v>
      </c>
      <c r="AE30" s="102">
        <v>5.2</v>
      </c>
      <c r="AF30" s="102">
        <v>5.2</v>
      </c>
      <c r="AG30" s="130">
        <v>23.5</v>
      </c>
      <c r="AH30" s="12">
        <f t="shared" si="8"/>
        <v>5.2</v>
      </c>
      <c r="AI30" s="11">
        <f t="shared" si="9"/>
        <v>5.2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25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25">
      <c r="A32" s="89" t="s">
        <v>235</v>
      </c>
      <c r="B32" s="102">
        <v>2.7</v>
      </c>
      <c r="C32" s="102">
        <v>2.7</v>
      </c>
      <c r="D32" s="102">
        <v>2.7</v>
      </c>
      <c r="E32" s="102">
        <v>2.8</v>
      </c>
      <c r="F32" s="102">
        <v>2.8</v>
      </c>
      <c r="G32" s="102">
        <v>2.8</v>
      </c>
      <c r="H32" s="102">
        <v>2.8</v>
      </c>
      <c r="I32" s="102">
        <v>2.8</v>
      </c>
      <c r="J32" s="102">
        <v>2.8</v>
      </c>
      <c r="K32" s="102">
        <v>2.8</v>
      </c>
      <c r="L32" s="102">
        <v>2.8</v>
      </c>
      <c r="M32" s="102">
        <v>2.8</v>
      </c>
      <c r="N32" s="102">
        <v>2.8</v>
      </c>
      <c r="O32" s="102">
        <v>2.8</v>
      </c>
      <c r="P32" s="102">
        <v>2.8</v>
      </c>
      <c r="Q32" s="102">
        <v>2.8</v>
      </c>
      <c r="R32" s="102">
        <v>2.8</v>
      </c>
      <c r="S32" s="102">
        <v>2.8</v>
      </c>
      <c r="T32" s="102">
        <v>2.8</v>
      </c>
      <c r="U32" s="102">
        <v>2.8</v>
      </c>
      <c r="V32" s="102">
        <v>2.8</v>
      </c>
      <c r="W32" s="102">
        <v>2.8</v>
      </c>
      <c r="X32" s="102">
        <v>2.8</v>
      </c>
      <c r="Y32" s="102">
        <v>2.8</v>
      </c>
      <c r="Z32" s="102">
        <v>2.8</v>
      </c>
      <c r="AA32" s="102">
        <v>2.8</v>
      </c>
      <c r="AB32" s="102">
        <v>2.8</v>
      </c>
      <c r="AC32" s="102">
        <v>2.8</v>
      </c>
      <c r="AD32" s="102">
        <v>2.8</v>
      </c>
      <c r="AE32" s="102">
        <v>2.8</v>
      </c>
      <c r="AF32" s="102">
        <v>2.8</v>
      </c>
      <c r="AG32" s="130">
        <v>22.1</v>
      </c>
      <c r="AH32" s="12">
        <f t="shared" si="8"/>
        <v>2.8</v>
      </c>
      <c r="AI32" s="11">
        <f t="shared" si="9"/>
        <v>2.7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25">
      <c r="A33" s="89" t="s">
        <v>234</v>
      </c>
      <c r="B33" s="102">
        <v>3.7</v>
      </c>
      <c r="C33" s="102">
        <v>3.7</v>
      </c>
      <c r="D33" s="102">
        <v>3.7</v>
      </c>
      <c r="E33" s="102">
        <v>3.8</v>
      </c>
      <c r="F33" s="102">
        <v>3.8</v>
      </c>
      <c r="G33" s="102">
        <v>3.8</v>
      </c>
      <c r="H33" s="102">
        <v>3.8</v>
      </c>
      <c r="I33" s="102">
        <v>3.8</v>
      </c>
      <c r="J33" s="102">
        <v>3.8</v>
      </c>
      <c r="K33" s="102">
        <v>3.8</v>
      </c>
      <c r="L33" s="102">
        <v>3.8</v>
      </c>
      <c r="M33" s="102">
        <v>3.8</v>
      </c>
      <c r="N33" s="102">
        <v>3.8</v>
      </c>
      <c r="O33" s="102">
        <v>3.8</v>
      </c>
      <c r="P33" s="102">
        <v>3.8</v>
      </c>
      <c r="Q33" s="102">
        <v>3.8</v>
      </c>
      <c r="R33" s="102">
        <v>3.8</v>
      </c>
      <c r="S33" s="102">
        <v>3.8</v>
      </c>
      <c r="T33" s="102">
        <v>3.8</v>
      </c>
      <c r="U33" s="102">
        <v>3.8</v>
      </c>
      <c r="V33" s="102">
        <v>3.8</v>
      </c>
      <c r="W33" s="102">
        <v>3.8</v>
      </c>
      <c r="X33" s="102">
        <v>3.8</v>
      </c>
      <c r="Y33" s="102">
        <v>3.8</v>
      </c>
      <c r="Z33" s="102">
        <v>3.8</v>
      </c>
      <c r="AA33" s="102">
        <v>3.8</v>
      </c>
      <c r="AB33" s="102">
        <v>3.8</v>
      </c>
      <c r="AC33" s="102">
        <v>3.8</v>
      </c>
      <c r="AD33" s="102">
        <v>3.8</v>
      </c>
      <c r="AE33" s="102">
        <v>3.8</v>
      </c>
      <c r="AF33" s="102">
        <v>3.8</v>
      </c>
      <c r="AG33" s="130">
        <v>22</v>
      </c>
      <c r="AH33" s="12">
        <f t="shared" si="8"/>
        <v>3.8</v>
      </c>
      <c r="AI33" s="11">
        <f t="shared" si="9"/>
        <v>3.7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25">
      <c r="A34" s="89" t="s">
        <v>233</v>
      </c>
      <c r="B34" s="102">
        <v>4.7</v>
      </c>
      <c r="C34" s="102">
        <v>4.7</v>
      </c>
      <c r="D34" s="102">
        <v>4.7</v>
      </c>
      <c r="E34" s="102">
        <v>8.4</v>
      </c>
      <c r="F34" s="102">
        <v>8.4</v>
      </c>
      <c r="G34" s="102">
        <v>8.4</v>
      </c>
      <c r="H34" s="102">
        <v>8.4</v>
      </c>
      <c r="I34" s="102">
        <v>8.4</v>
      </c>
      <c r="J34" s="102">
        <v>8.4</v>
      </c>
      <c r="K34" s="102">
        <v>8.4</v>
      </c>
      <c r="L34" s="102">
        <v>8.4</v>
      </c>
      <c r="M34" s="102">
        <v>8.4</v>
      </c>
      <c r="N34" s="102">
        <v>8.4</v>
      </c>
      <c r="O34" s="102">
        <v>8.4</v>
      </c>
      <c r="P34" s="102">
        <v>8.4</v>
      </c>
      <c r="Q34" s="102">
        <v>8.4</v>
      </c>
      <c r="R34" s="102">
        <v>8.4</v>
      </c>
      <c r="S34" s="102">
        <v>8.4</v>
      </c>
      <c r="T34" s="102">
        <v>8.4</v>
      </c>
      <c r="U34" s="102">
        <v>8.4</v>
      </c>
      <c r="V34" s="102">
        <v>8.4</v>
      </c>
      <c r="W34" s="102">
        <v>8.4</v>
      </c>
      <c r="X34" s="102">
        <v>8.4</v>
      </c>
      <c r="Y34" s="102">
        <v>8.4</v>
      </c>
      <c r="Z34" s="102">
        <v>8.4</v>
      </c>
      <c r="AA34" s="102">
        <v>8.4</v>
      </c>
      <c r="AB34" s="102">
        <v>8.4</v>
      </c>
      <c r="AC34" s="102">
        <v>8.4</v>
      </c>
      <c r="AD34" s="102">
        <v>8.4</v>
      </c>
      <c r="AE34" s="102">
        <v>8.4</v>
      </c>
      <c r="AF34" s="102">
        <v>8.4</v>
      </c>
      <c r="AG34" s="130">
        <v>22</v>
      </c>
      <c r="AH34" s="12">
        <f t="shared" si="8"/>
        <v>8.4</v>
      </c>
      <c r="AI34" s="11">
        <f t="shared" si="9"/>
        <v>4.7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25">
      <c r="A35" s="89" t="s">
        <v>232</v>
      </c>
      <c r="B35" s="102">
        <v>9</v>
      </c>
      <c r="C35" s="102">
        <v>9</v>
      </c>
      <c r="D35" s="102">
        <v>9</v>
      </c>
      <c r="E35" s="102">
        <v>9</v>
      </c>
      <c r="F35" s="102">
        <v>9</v>
      </c>
      <c r="G35" s="102">
        <v>9</v>
      </c>
      <c r="H35" s="102">
        <v>9</v>
      </c>
      <c r="I35" s="102">
        <v>9</v>
      </c>
      <c r="J35" s="102">
        <v>9</v>
      </c>
      <c r="K35" s="102">
        <v>9</v>
      </c>
      <c r="L35" s="102">
        <v>9</v>
      </c>
      <c r="M35" s="102">
        <v>9</v>
      </c>
      <c r="N35" s="102">
        <v>9</v>
      </c>
      <c r="O35" s="102">
        <v>9</v>
      </c>
      <c r="P35" s="102">
        <v>9</v>
      </c>
      <c r="Q35" s="102">
        <v>9</v>
      </c>
      <c r="R35" s="102">
        <v>9</v>
      </c>
      <c r="S35" s="102">
        <v>9</v>
      </c>
      <c r="T35" s="102">
        <v>9</v>
      </c>
      <c r="U35" s="102">
        <v>9</v>
      </c>
      <c r="V35" s="102">
        <v>9</v>
      </c>
      <c r="W35" s="102">
        <v>9</v>
      </c>
      <c r="X35" s="102">
        <v>9</v>
      </c>
      <c r="Y35" s="102">
        <v>9</v>
      </c>
      <c r="Z35" s="102">
        <v>9</v>
      </c>
      <c r="AA35" s="102">
        <v>9</v>
      </c>
      <c r="AB35" s="102">
        <v>9</v>
      </c>
      <c r="AC35" s="102">
        <v>9</v>
      </c>
      <c r="AD35" s="102">
        <v>9</v>
      </c>
      <c r="AE35" s="102">
        <v>9</v>
      </c>
      <c r="AF35" s="102">
        <v>9</v>
      </c>
      <c r="AG35" s="130">
        <v>20</v>
      </c>
      <c r="AH35" s="12">
        <f t="shared" si="8"/>
        <v>9</v>
      </c>
      <c r="AI35" s="11">
        <f t="shared" si="9"/>
        <v>9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25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25">
      <c r="A37" s="89" t="s">
        <v>230</v>
      </c>
      <c r="B37" s="102">
        <v>5.8</v>
      </c>
      <c r="C37" s="102">
        <v>5.8</v>
      </c>
      <c r="D37" s="102">
        <v>5.8</v>
      </c>
      <c r="E37" s="102">
        <v>5.8</v>
      </c>
      <c r="F37" s="102">
        <v>5.8</v>
      </c>
      <c r="G37" s="102">
        <v>5.8</v>
      </c>
      <c r="H37" s="102">
        <v>5.8</v>
      </c>
      <c r="I37" s="102">
        <v>5.8</v>
      </c>
      <c r="J37" s="102">
        <v>5.8</v>
      </c>
      <c r="K37" s="102">
        <v>5.8</v>
      </c>
      <c r="L37" s="102">
        <v>5.8</v>
      </c>
      <c r="M37" s="102">
        <v>5.8</v>
      </c>
      <c r="N37" s="102">
        <v>5.8</v>
      </c>
      <c r="O37" s="102">
        <v>5.8</v>
      </c>
      <c r="P37" s="102">
        <v>5.8</v>
      </c>
      <c r="Q37" s="102">
        <v>5.8</v>
      </c>
      <c r="R37" s="102">
        <v>5.8</v>
      </c>
      <c r="S37" s="102">
        <v>5.8</v>
      </c>
      <c r="T37" s="102">
        <v>5.8</v>
      </c>
      <c r="U37" s="102">
        <v>5.8</v>
      </c>
      <c r="V37" s="102">
        <v>5.8</v>
      </c>
      <c r="W37" s="102">
        <v>5.8</v>
      </c>
      <c r="X37" s="102">
        <v>5.8</v>
      </c>
      <c r="Y37" s="102">
        <v>5.8</v>
      </c>
      <c r="Z37" s="102">
        <v>5.8</v>
      </c>
      <c r="AA37" s="102">
        <v>5.8</v>
      </c>
      <c r="AB37" s="102">
        <v>5.8</v>
      </c>
      <c r="AC37" s="102">
        <v>5.8</v>
      </c>
      <c r="AD37" s="102">
        <v>5.8</v>
      </c>
      <c r="AE37" s="102">
        <v>5.8</v>
      </c>
      <c r="AF37" s="102">
        <v>5.8</v>
      </c>
      <c r="AG37" s="130">
        <v>18</v>
      </c>
      <c r="AH37" s="12">
        <f t="shared" si="8"/>
        <v>5.8</v>
      </c>
      <c r="AI37" s="11">
        <f t="shared" si="9"/>
        <v>5.8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25">
      <c r="A38" s="89" t="s">
        <v>229</v>
      </c>
      <c r="B38" s="102">
        <v>5.05</v>
      </c>
      <c r="C38" s="102">
        <v>5.05</v>
      </c>
      <c r="D38" s="102">
        <v>5.05</v>
      </c>
      <c r="E38" s="102">
        <v>5.05</v>
      </c>
      <c r="F38" s="102">
        <v>5.05</v>
      </c>
      <c r="G38" s="102">
        <v>5.05</v>
      </c>
      <c r="H38" s="102">
        <v>5.05</v>
      </c>
      <c r="I38" s="102">
        <v>5.05</v>
      </c>
      <c r="J38" s="102">
        <v>5.05</v>
      </c>
      <c r="K38" s="102">
        <v>5.05</v>
      </c>
      <c r="L38" s="102">
        <v>5.05</v>
      </c>
      <c r="M38" s="102">
        <v>5.05</v>
      </c>
      <c r="N38" s="102">
        <v>5.05</v>
      </c>
      <c r="O38" s="102">
        <v>5.05</v>
      </c>
      <c r="P38" s="102">
        <v>5.05</v>
      </c>
      <c r="Q38" s="102">
        <v>5.05</v>
      </c>
      <c r="R38" s="102">
        <v>5.05</v>
      </c>
      <c r="S38" s="102">
        <v>5.05</v>
      </c>
      <c r="T38" s="102">
        <v>5.05</v>
      </c>
      <c r="U38" s="102">
        <v>5.05</v>
      </c>
      <c r="V38" s="102">
        <v>5.05</v>
      </c>
      <c r="W38" s="102">
        <v>5.05</v>
      </c>
      <c r="X38" s="102">
        <v>5.05</v>
      </c>
      <c r="Y38" s="102">
        <v>5.05</v>
      </c>
      <c r="Z38" s="102">
        <v>5.05</v>
      </c>
      <c r="AA38" s="102">
        <v>5.05</v>
      </c>
      <c r="AB38" s="102">
        <v>5.05</v>
      </c>
      <c r="AC38" s="102">
        <v>5.05</v>
      </c>
      <c r="AD38" s="102">
        <v>5.05</v>
      </c>
      <c r="AE38" s="102">
        <v>5.05</v>
      </c>
      <c r="AF38" s="102">
        <v>5.05</v>
      </c>
      <c r="AG38" s="130">
        <v>14.9</v>
      </c>
      <c r="AH38" s="12">
        <f t="shared" si="8"/>
        <v>5.05</v>
      </c>
      <c r="AI38" s="11">
        <f t="shared" si="9"/>
        <v>5.05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25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25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25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25">
      <c r="A42" s="89" t="s">
        <v>225</v>
      </c>
      <c r="B42" s="102">
        <v>5.2</v>
      </c>
      <c r="C42" s="102">
        <v>5.2</v>
      </c>
      <c r="D42" s="102">
        <v>5.2</v>
      </c>
      <c r="E42" s="102">
        <v>5.2</v>
      </c>
      <c r="F42" s="102">
        <v>5.2</v>
      </c>
      <c r="G42" s="102">
        <v>5.2</v>
      </c>
      <c r="H42" s="102">
        <v>5.2</v>
      </c>
      <c r="I42" s="102">
        <v>5.2</v>
      </c>
      <c r="J42" s="102">
        <v>5.2</v>
      </c>
      <c r="K42" s="102">
        <v>5.2</v>
      </c>
      <c r="L42" s="102">
        <v>5.2</v>
      </c>
      <c r="M42" s="102">
        <v>5.2</v>
      </c>
      <c r="N42" s="102">
        <v>5.2</v>
      </c>
      <c r="O42" s="102">
        <v>5.2</v>
      </c>
      <c r="P42" s="102">
        <v>5.2</v>
      </c>
      <c r="Q42" s="102">
        <v>5.2</v>
      </c>
      <c r="R42" s="102">
        <v>5.2</v>
      </c>
      <c r="S42" s="102">
        <v>5.2</v>
      </c>
      <c r="T42" s="102">
        <v>5.2</v>
      </c>
      <c r="U42" s="102">
        <v>5.2</v>
      </c>
      <c r="V42" s="102">
        <v>5.2</v>
      </c>
      <c r="W42" s="102">
        <v>5.2</v>
      </c>
      <c r="X42" s="102">
        <v>5.2</v>
      </c>
      <c r="Y42" s="102">
        <v>5.2</v>
      </c>
      <c r="Z42" s="102">
        <v>5.2</v>
      </c>
      <c r="AA42" s="102">
        <v>5.2</v>
      </c>
      <c r="AB42" s="102">
        <v>5.2</v>
      </c>
      <c r="AC42" s="102">
        <v>5.2</v>
      </c>
      <c r="AD42" s="102">
        <v>5.2</v>
      </c>
      <c r="AE42" s="102">
        <v>5.2</v>
      </c>
      <c r="AF42" s="102">
        <v>5.2</v>
      </c>
      <c r="AG42" s="130">
        <v>13.6</v>
      </c>
      <c r="AH42" s="12">
        <f t="shared" si="8"/>
        <v>5.2</v>
      </c>
      <c r="AI42" s="11">
        <f t="shared" si="9"/>
        <v>5.2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25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25">
      <c r="A44" s="89" t="s">
        <v>223</v>
      </c>
      <c r="B44" s="102">
        <v>3.3</v>
      </c>
      <c r="C44" s="102">
        <v>3.3</v>
      </c>
      <c r="D44" s="102">
        <v>3.3</v>
      </c>
      <c r="E44" s="102">
        <v>3.3</v>
      </c>
      <c r="F44" s="102">
        <v>3.3</v>
      </c>
      <c r="G44" s="102">
        <v>3.3</v>
      </c>
      <c r="H44" s="102">
        <v>3.3</v>
      </c>
      <c r="I44" s="102">
        <v>3.3</v>
      </c>
      <c r="J44" s="102">
        <v>3.3</v>
      </c>
      <c r="K44" s="102">
        <v>3.3</v>
      </c>
      <c r="L44" s="102">
        <v>3.3</v>
      </c>
      <c r="M44" s="102">
        <v>3.3</v>
      </c>
      <c r="N44" s="102">
        <v>3.3</v>
      </c>
      <c r="O44" s="102">
        <v>3.3</v>
      </c>
      <c r="P44" s="102">
        <v>3.3</v>
      </c>
      <c r="Q44" s="102">
        <v>3.3</v>
      </c>
      <c r="R44" s="102">
        <v>3.3</v>
      </c>
      <c r="S44" s="102">
        <v>3.3</v>
      </c>
      <c r="T44" s="102">
        <v>3.3</v>
      </c>
      <c r="U44" s="102">
        <v>3.3</v>
      </c>
      <c r="V44" s="102">
        <v>3.3</v>
      </c>
      <c r="W44" s="102">
        <v>3.3</v>
      </c>
      <c r="X44" s="102">
        <v>3.3</v>
      </c>
      <c r="Y44" s="102">
        <v>3.3</v>
      </c>
      <c r="Z44" s="102">
        <v>3.3</v>
      </c>
      <c r="AA44" s="102">
        <v>3.3</v>
      </c>
      <c r="AB44" s="102">
        <v>3.3</v>
      </c>
      <c r="AC44" s="102">
        <v>3.3</v>
      </c>
      <c r="AD44" s="102">
        <v>3.3</v>
      </c>
      <c r="AE44" s="102">
        <v>3.3</v>
      </c>
      <c r="AF44" s="102">
        <v>3.3</v>
      </c>
      <c r="AG44" s="130">
        <v>12</v>
      </c>
      <c r="AH44" s="12">
        <f t="shared" si="8"/>
        <v>3.3</v>
      </c>
      <c r="AI44" s="11">
        <f t="shared" si="9"/>
        <v>3.3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25">
      <c r="A45" s="89" t="s">
        <v>222</v>
      </c>
      <c r="B45" s="102">
        <v>3.5</v>
      </c>
      <c r="C45" s="102">
        <v>3.5</v>
      </c>
      <c r="D45" s="102">
        <v>3.5</v>
      </c>
      <c r="E45" s="102">
        <v>3.5</v>
      </c>
      <c r="F45" s="102">
        <v>3.5</v>
      </c>
      <c r="G45" s="102">
        <v>3.5</v>
      </c>
      <c r="H45" s="102">
        <v>3.5</v>
      </c>
      <c r="I45" s="102">
        <v>3.5</v>
      </c>
      <c r="J45" s="102">
        <v>3.5</v>
      </c>
      <c r="K45" s="102">
        <v>3.5</v>
      </c>
      <c r="L45" s="102">
        <v>3.5</v>
      </c>
      <c r="M45" s="102">
        <v>3.5</v>
      </c>
      <c r="N45" s="102">
        <v>3.5</v>
      </c>
      <c r="O45" s="102">
        <v>3.5</v>
      </c>
      <c r="P45" s="102">
        <v>3.5</v>
      </c>
      <c r="Q45" s="102">
        <v>3.5</v>
      </c>
      <c r="R45" s="102">
        <v>3.5</v>
      </c>
      <c r="S45" s="102">
        <v>3.5</v>
      </c>
      <c r="T45" s="102">
        <v>3.5</v>
      </c>
      <c r="U45" s="102">
        <v>3.5</v>
      </c>
      <c r="V45" s="102">
        <v>3.5</v>
      </c>
      <c r="W45" s="102">
        <v>3.5</v>
      </c>
      <c r="X45" s="102">
        <v>3.5</v>
      </c>
      <c r="Y45" s="102">
        <v>3.5</v>
      </c>
      <c r="Z45" s="102">
        <v>3.5</v>
      </c>
      <c r="AA45" s="102">
        <v>3.5</v>
      </c>
      <c r="AB45" s="102">
        <v>3.5</v>
      </c>
      <c r="AC45" s="102">
        <v>3.5</v>
      </c>
      <c r="AD45" s="102">
        <v>3.5</v>
      </c>
      <c r="AE45" s="102">
        <v>3.5</v>
      </c>
      <c r="AF45" s="102">
        <v>3.5</v>
      </c>
      <c r="AG45" s="130">
        <v>12</v>
      </c>
      <c r="AH45" s="12">
        <f t="shared" si="8"/>
        <v>3.5</v>
      </c>
      <c r="AI45" s="11">
        <f t="shared" si="9"/>
        <v>3.5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25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25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25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25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25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25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25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25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25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25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25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.75" thickBot="1" x14ac:dyDescent="0.3">
      <c r="A57" s="124" t="s">
        <v>210</v>
      </c>
      <c r="B57" s="122">
        <v>20</v>
      </c>
      <c r="C57" s="122">
        <v>20</v>
      </c>
      <c r="D57" s="122">
        <v>20</v>
      </c>
      <c r="E57" s="122">
        <v>27.5</v>
      </c>
      <c r="F57" s="122">
        <v>27.5</v>
      </c>
      <c r="G57" s="122">
        <v>29.1</v>
      </c>
      <c r="H57" s="122">
        <v>29.1</v>
      </c>
      <c r="I57" s="122">
        <v>29.1</v>
      </c>
      <c r="J57" s="122">
        <v>29.1</v>
      </c>
      <c r="K57" s="122">
        <v>29.1</v>
      </c>
      <c r="L57" s="122">
        <v>25.6</v>
      </c>
      <c r="M57" s="123">
        <f>12.6+9.9</f>
        <v>22.5</v>
      </c>
      <c r="N57" s="123">
        <f>15.1+10.5</f>
        <v>25.6</v>
      </c>
      <c r="O57" s="123">
        <f>15.4+10.1</f>
        <v>25.5</v>
      </c>
      <c r="P57" s="123">
        <f>15.6+10.2</f>
        <v>25.799999999999997</v>
      </c>
      <c r="Q57" s="123">
        <f>16.3+10.6</f>
        <v>26.9</v>
      </c>
      <c r="R57" s="123">
        <f>15.8+9.9</f>
        <v>25.700000000000003</v>
      </c>
      <c r="S57" s="123">
        <f>15.8+9.9</f>
        <v>25.700000000000003</v>
      </c>
      <c r="T57" s="123">
        <f>15.8+9.9</f>
        <v>25.700000000000003</v>
      </c>
      <c r="U57" s="123">
        <v>23.6</v>
      </c>
      <c r="V57" s="123">
        <v>23.6</v>
      </c>
      <c r="W57" s="123">
        <v>23.6</v>
      </c>
      <c r="X57" s="123">
        <v>23.6</v>
      </c>
      <c r="Y57" s="123">
        <v>20.7</v>
      </c>
      <c r="Z57" s="123">
        <v>20.7</v>
      </c>
      <c r="AA57" s="123">
        <v>20.7</v>
      </c>
      <c r="AB57" s="123">
        <v>25</v>
      </c>
      <c r="AC57" s="123">
        <v>25</v>
      </c>
      <c r="AD57" s="123">
        <v>25</v>
      </c>
      <c r="AE57" s="123">
        <v>25</v>
      </c>
      <c r="AF57" s="123">
        <v>33</v>
      </c>
      <c r="AG57" s="86">
        <v>240</v>
      </c>
      <c r="AH57" s="12">
        <f t="shared" si="8"/>
        <v>33</v>
      </c>
      <c r="AI57" s="11">
        <f t="shared" si="9"/>
        <v>20</v>
      </c>
      <c r="AK57" s="19"/>
    </row>
    <row r="58" spans="1:88" ht="15.75" thickBot="1" x14ac:dyDescent="0.3">
      <c r="A58" s="121" t="s">
        <v>209</v>
      </c>
      <c r="B58" s="76">
        <f t="shared" ref="B58:AA58" si="22">SUM(B11:B56)</f>
        <v>497.95</v>
      </c>
      <c r="C58" s="76">
        <f t="shared" si="22"/>
        <v>497.95</v>
      </c>
      <c r="D58" s="76">
        <f t="shared" si="22"/>
        <v>497.95</v>
      </c>
      <c r="E58" s="76">
        <f t="shared" si="22"/>
        <v>502.74999999999994</v>
      </c>
      <c r="F58" s="76">
        <f t="shared" ref="F58" si="23">SUM(F11:F56)</f>
        <v>502.74999999999994</v>
      </c>
      <c r="G58" s="76">
        <f t="shared" si="22"/>
        <v>495.15000000000003</v>
      </c>
      <c r="H58" s="76">
        <f t="shared" si="22"/>
        <v>495.35</v>
      </c>
      <c r="I58" s="76">
        <f t="shared" ref="I58:K58" si="24">SUM(I11:I56)</f>
        <v>495.35</v>
      </c>
      <c r="J58" s="76">
        <f t="shared" si="24"/>
        <v>495.35</v>
      </c>
      <c r="K58" s="76">
        <f t="shared" si="24"/>
        <v>490.25000000000006</v>
      </c>
      <c r="L58" s="76">
        <f t="shared" si="22"/>
        <v>492.45</v>
      </c>
      <c r="M58" s="76">
        <f t="shared" si="22"/>
        <v>486.75000000000006</v>
      </c>
      <c r="N58" s="76">
        <f t="shared" si="22"/>
        <v>488.75000000000006</v>
      </c>
      <c r="O58" s="76">
        <f t="shared" si="22"/>
        <v>487.25000000000006</v>
      </c>
      <c r="P58" s="76">
        <f t="shared" si="22"/>
        <v>488.75000000000006</v>
      </c>
      <c r="Q58" s="76">
        <f t="shared" si="22"/>
        <v>489.55</v>
      </c>
      <c r="R58" s="76">
        <f t="shared" si="22"/>
        <v>490.25000000000006</v>
      </c>
      <c r="S58" s="76">
        <f t="shared" ref="S58:T58" si="25">SUM(S11:S56)</f>
        <v>490.25000000000006</v>
      </c>
      <c r="T58" s="76">
        <f t="shared" si="25"/>
        <v>490.25000000000006</v>
      </c>
      <c r="U58" s="76">
        <f t="shared" si="22"/>
        <v>490.25000000000006</v>
      </c>
      <c r="V58" s="76">
        <f t="shared" ref="V58" si="26">SUM(V11:V56)</f>
        <v>490.25000000000006</v>
      </c>
      <c r="W58" s="76">
        <f t="shared" si="22"/>
        <v>490.25000000000006</v>
      </c>
      <c r="X58" s="76">
        <f t="shared" ref="X58" si="27">SUM(X11:X56)</f>
        <v>490.25000000000006</v>
      </c>
      <c r="Y58" s="76">
        <f t="shared" si="22"/>
        <v>490.25000000000006</v>
      </c>
      <c r="Z58" s="76">
        <f t="shared" si="22"/>
        <v>490.25000000000006</v>
      </c>
      <c r="AA58" s="76">
        <f t="shared" si="22"/>
        <v>490.25000000000006</v>
      </c>
      <c r="AB58" s="76">
        <f t="shared" ref="AB58:AC58" si="28">SUM(AB11:AB56)</f>
        <v>490.25000000000006</v>
      </c>
      <c r="AC58" s="76">
        <f t="shared" si="28"/>
        <v>490.25000000000006</v>
      </c>
      <c r="AD58" s="76">
        <f t="shared" ref="AD58:AE58" si="29">SUM(AD11:AD56)</f>
        <v>490.25000000000006</v>
      </c>
      <c r="AE58" s="76">
        <f t="shared" si="29"/>
        <v>490.25000000000006</v>
      </c>
      <c r="AF58" s="76">
        <f t="shared" ref="AF58" si="30">SUM(AF11:AF56)</f>
        <v>490.25000000000006</v>
      </c>
      <c r="AG58" s="93">
        <f>SUM(AG14:AG56)</f>
        <v>1042.4000000000001</v>
      </c>
      <c r="AH58" s="12">
        <f t="shared" si="8"/>
        <v>502.74999999999994</v>
      </c>
      <c r="AI58" s="11">
        <f t="shared" si="9"/>
        <v>486.75000000000006</v>
      </c>
      <c r="AK58" s="19"/>
    </row>
    <row r="59" spans="1:88" x14ac:dyDescent="0.25">
      <c r="A59" s="120" t="s">
        <v>208</v>
      </c>
      <c r="B59" s="102">
        <v>150</v>
      </c>
      <c r="C59" s="102">
        <v>150</v>
      </c>
      <c r="D59" s="102">
        <v>150</v>
      </c>
      <c r="E59" s="102">
        <v>150.9</v>
      </c>
      <c r="F59" s="102">
        <v>150.9</v>
      </c>
      <c r="G59" s="102">
        <v>150.9</v>
      </c>
      <c r="H59" s="102">
        <v>150.9</v>
      </c>
      <c r="I59" s="102">
        <v>150.9</v>
      </c>
      <c r="J59" s="102">
        <v>50</v>
      </c>
      <c r="K59" s="102">
        <v>0</v>
      </c>
      <c r="L59" s="102">
        <v>0</v>
      </c>
      <c r="M59" s="102">
        <v>0</v>
      </c>
      <c r="N59" s="119">
        <v>0</v>
      </c>
      <c r="O59" s="119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19">
        <v>0</v>
      </c>
      <c r="X59" s="119">
        <v>0</v>
      </c>
      <c r="Y59" s="119">
        <v>60.3</v>
      </c>
      <c r="Z59" s="119">
        <v>300</v>
      </c>
      <c r="AA59" s="119">
        <v>403</v>
      </c>
      <c r="AB59" s="119">
        <v>271.5</v>
      </c>
      <c r="AC59" s="119">
        <v>271.5</v>
      </c>
      <c r="AD59" s="119">
        <v>371</v>
      </c>
      <c r="AE59" s="119">
        <v>253.5</v>
      </c>
      <c r="AF59" s="119">
        <v>221.1</v>
      </c>
      <c r="AG59" s="88">
        <v>456</v>
      </c>
      <c r="AH59" s="12">
        <f t="shared" si="8"/>
        <v>403</v>
      </c>
      <c r="AI59" s="11">
        <f t="shared" si="9"/>
        <v>0</v>
      </c>
      <c r="AK59" s="19"/>
    </row>
    <row r="60" spans="1:88" x14ac:dyDescent="0.25">
      <c r="A60" s="118" t="s">
        <v>207</v>
      </c>
      <c r="B60" s="70">
        <v>19</v>
      </c>
      <c r="C60" s="70">
        <v>19</v>
      </c>
      <c r="D60" s="70">
        <v>19</v>
      </c>
      <c r="E60" s="70">
        <v>19.3</v>
      </c>
      <c r="F60" s="70">
        <v>19.5</v>
      </c>
      <c r="G60" s="70">
        <v>19.5</v>
      </c>
      <c r="H60" s="70">
        <v>19.5</v>
      </c>
      <c r="I60" s="70">
        <v>19.5</v>
      </c>
      <c r="J60" s="70">
        <v>19.5</v>
      </c>
      <c r="K60" s="70">
        <v>19.5</v>
      </c>
      <c r="L60" s="70">
        <v>19.100000000000001</v>
      </c>
      <c r="M60" s="70">
        <v>19.399999999999999</v>
      </c>
      <c r="N60" s="70">
        <v>19.399999999999999</v>
      </c>
      <c r="O60" s="70">
        <v>19.399999999999999</v>
      </c>
      <c r="P60" s="70">
        <v>19.2</v>
      </c>
      <c r="Q60" s="70">
        <v>19.2</v>
      </c>
      <c r="R60" s="70">
        <v>19.2</v>
      </c>
      <c r="S60" s="70">
        <v>19.2</v>
      </c>
      <c r="T60" s="70">
        <v>19.2</v>
      </c>
      <c r="U60" s="70">
        <v>19.2</v>
      </c>
      <c r="V60" s="70">
        <v>19.2</v>
      </c>
      <c r="W60" s="70">
        <v>19.2</v>
      </c>
      <c r="X60" s="70">
        <v>19.2</v>
      </c>
      <c r="Y60" s="70">
        <v>19.2</v>
      </c>
      <c r="Z60" s="70">
        <v>19.2</v>
      </c>
      <c r="AA60" s="70">
        <v>19.2</v>
      </c>
      <c r="AB60" s="70">
        <v>19.2</v>
      </c>
      <c r="AC60" s="70">
        <v>19.2</v>
      </c>
      <c r="AD60" s="70">
        <v>19.2</v>
      </c>
      <c r="AE60" s="70">
        <v>19.2</v>
      </c>
      <c r="AF60" s="70">
        <v>19.2</v>
      </c>
      <c r="AG60" s="86">
        <v>60</v>
      </c>
      <c r="AH60" s="12">
        <f t="shared" si="8"/>
        <v>19.5</v>
      </c>
      <c r="AI60" s="11">
        <f t="shared" si="9"/>
        <v>19</v>
      </c>
      <c r="AK60" s="19"/>
    </row>
    <row r="61" spans="1:88" ht="15.75" thickBot="1" x14ac:dyDescent="0.3">
      <c r="A61" s="117" t="s">
        <v>206</v>
      </c>
      <c r="B61" s="110">
        <v>21</v>
      </c>
      <c r="C61" s="110">
        <v>21</v>
      </c>
      <c r="D61" s="110">
        <v>21</v>
      </c>
      <c r="E61" s="110">
        <v>20.9</v>
      </c>
      <c r="F61" s="110">
        <v>20.9</v>
      </c>
      <c r="G61" s="110">
        <v>20.9</v>
      </c>
      <c r="H61" s="110">
        <v>20.9</v>
      </c>
      <c r="I61" s="110">
        <v>20.9</v>
      </c>
      <c r="J61" s="110">
        <v>20.9</v>
      </c>
      <c r="K61" s="110">
        <v>20.9</v>
      </c>
      <c r="L61" s="110">
        <v>18.5</v>
      </c>
      <c r="M61" s="110">
        <v>18.5</v>
      </c>
      <c r="N61" s="110">
        <v>18.5</v>
      </c>
      <c r="O61" s="110">
        <v>17.3</v>
      </c>
      <c r="P61" s="110">
        <v>12.5</v>
      </c>
      <c r="Q61" s="110">
        <v>9.3000000000000007</v>
      </c>
      <c r="R61" s="110">
        <v>9.4</v>
      </c>
      <c r="S61" s="110">
        <v>9.4</v>
      </c>
      <c r="T61" s="110">
        <v>9.4</v>
      </c>
      <c r="U61" s="110">
        <v>18.2</v>
      </c>
      <c r="V61" s="110">
        <v>18.2</v>
      </c>
      <c r="W61" s="110">
        <v>18.2</v>
      </c>
      <c r="X61" s="110">
        <v>18.2</v>
      </c>
      <c r="Y61" s="110">
        <v>22.1</v>
      </c>
      <c r="Z61" s="110">
        <v>22.1</v>
      </c>
      <c r="AA61" s="110">
        <v>22.1</v>
      </c>
      <c r="AB61" s="110">
        <v>22.1</v>
      </c>
      <c r="AC61" s="110">
        <v>22.1</v>
      </c>
      <c r="AD61" s="110">
        <v>22.1</v>
      </c>
      <c r="AE61" s="110">
        <v>22.1</v>
      </c>
      <c r="AF61" s="110">
        <v>22.1</v>
      </c>
      <c r="AG61" s="109">
        <v>22.1</v>
      </c>
      <c r="AH61" s="12">
        <f t="shared" si="8"/>
        <v>22.1</v>
      </c>
      <c r="AI61" s="11">
        <f t="shared" si="9"/>
        <v>9.3000000000000007</v>
      </c>
      <c r="AK61" s="19"/>
    </row>
    <row r="62" spans="1:88" ht="15.75" thickBot="1" x14ac:dyDescent="0.3">
      <c r="A62" s="116" t="s">
        <v>205</v>
      </c>
      <c r="B62" s="76">
        <f t="shared" ref="B62:AG62" si="31">SUM(B59:B61)</f>
        <v>190</v>
      </c>
      <c r="C62" s="76">
        <f t="shared" si="31"/>
        <v>190</v>
      </c>
      <c r="D62" s="76">
        <f t="shared" si="31"/>
        <v>190</v>
      </c>
      <c r="E62" s="76">
        <f t="shared" si="31"/>
        <v>191.10000000000002</v>
      </c>
      <c r="F62" s="76">
        <f t="shared" ref="F62" si="32">SUM(F59:F61)</f>
        <v>191.3</v>
      </c>
      <c r="G62" s="76">
        <f t="shared" si="31"/>
        <v>191.3</v>
      </c>
      <c r="H62" s="76">
        <f t="shared" si="31"/>
        <v>191.3</v>
      </c>
      <c r="I62" s="76">
        <f t="shared" ref="I62:K62" si="33">SUM(I59:I61)</f>
        <v>191.3</v>
      </c>
      <c r="J62" s="76">
        <f t="shared" si="33"/>
        <v>90.4</v>
      </c>
      <c r="K62" s="76">
        <f t="shared" si="33"/>
        <v>40.4</v>
      </c>
      <c r="L62" s="76">
        <f t="shared" si="31"/>
        <v>37.6</v>
      </c>
      <c r="M62" s="76">
        <f t="shared" si="31"/>
        <v>37.9</v>
      </c>
      <c r="N62" s="76">
        <f t="shared" si="31"/>
        <v>37.9</v>
      </c>
      <c r="O62" s="76">
        <f t="shared" si="31"/>
        <v>36.700000000000003</v>
      </c>
      <c r="P62" s="76">
        <f t="shared" si="31"/>
        <v>31.7</v>
      </c>
      <c r="Q62" s="76">
        <f t="shared" si="31"/>
        <v>28.5</v>
      </c>
      <c r="R62" s="76">
        <f t="shared" si="31"/>
        <v>28.6</v>
      </c>
      <c r="S62" s="76">
        <f t="shared" ref="S62:T62" si="34">SUM(S59:S61)</f>
        <v>28.6</v>
      </c>
      <c r="T62" s="76">
        <f t="shared" si="34"/>
        <v>28.6</v>
      </c>
      <c r="U62" s="76">
        <f t="shared" si="31"/>
        <v>37.4</v>
      </c>
      <c r="V62" s="76">
        <f t="shared" ref="V62" si="35">SUM(V59:V61)</f>
        <v>37.4</v>
      </c>
      <c r="W62" s="76">
        <f t="shared" si="31"/>
        <v>37.4</v>
      </c>
      <c r="X62" s="76">
        <f t="shared" ref="X62" si="36">SUM(X59:X61)</f>
        <v>37.4</v>
      </c>
      <c r="Y62" s="76">
        <f t="shared" si="31"/>
        <v>101.6</v>
      </c>
      <c r="Z62" s="76">
        <f t="shared" si="31"/>
        <v>341.3</v>
      </c>
      <c r="AA62" s="76">
        <f t="shared" si="31"/>
        <v>444.3</v>
      </c>
      <c r="AB62" s="76">
        <f t="shared" ref="AB62:AC62" si="37">SUM(AB59:AB61)</f>
        <v>312.8</v>
      </c>
      <c r="AC62" s="76">
        <f t="shared" si="37"/>
        <v>312.8</v>
      </c>
      <c r="AD62" s="76">
        <f t="shared" ref="AD62:AE62" si="38">SUM(AD59:AD61)</f>
        <v>412.3</v>
      </c>
      <c r="AE62" s="76">
        <f t="shared" si="38"/>
        <v>294.8</v>
      </c>
      <c r="AF62" s="76">
        <f t="shared" ref="AF62" si="39">SUM(AF59:AF61)</f>
        <v>262.39999999999998</v>
      </c>
      <c r="AG62" s="93">
        <f t="shared" si="31"/>
        <v>538.1</v>
      </c>
      <c r="AH62" s="12">
        <f t="shared" si="8"/>
        <v>444.3</v>
      </c>
      <c r="AI62" s="11">
        <f t="shared" si="9"/>
        <v>28.5</v>
      </c>
      <c r="AK62" s="19"/>
    </row>
    <row r="63" spans="1:88" x14ac:dyDescent="0.25">
      <c r="A63" s="89" t="s">
        <v>204</v>
      </c>
      <c r="B63" s="102">
        <v>135</v>
      </c>
      <c r="C63" s="102">
        <v>120</v>
      </c>
      <c r="D63" s="102">
        <v>91</v>
      </c>
      <c r="E63" s="102">
        <v>90.9</v>
      </c>
      <c r="F63" s="102">
        <v>90.9</v>
      </c>
      <c r="G63" s="102">
        <v>71.2</v>
      </c>
      <c r="H63" s="102">
        <v>71.5</v>
      </c>
      <c r="I63" s="102">
        <v>63.4</v>
      </c>
      <c r="J63" s="102">
        <v>60</v>
      </c>
      <c r="K63" s="102">
        <v>40</v>
      </c>
      <c r="L63" s="102">
        <v>40</v>
      </c>
      <c r="M63" s="102">
        <v>39.200000000000003</v>
      </c>
      <c r="N63" s="102">
        <v>39.299999999999997</v>
      </c>
      <c r="O63" s="102">
        <v>62.5</v>
      </c>
      <c r="P63" s="102">
        <v>70.7</v>
      </c>
      <c r="Q63" s="102">
        <v>71.5</v>
      </c>
      <c r="R63" s="102">
        <v>71.3</v>
      </c>
      <c r="S63" s="102">
        <v>71.3</v>
      </c>
      <c r="T63" s="102">
        <v>81</v>
      </c>
      <c r="U63" s="102">
        <v>65</v>
      </c>
      <c r="V63" s="102">
        <v>60</v>
      </c>
      <c r="W63" s="102">
        <v>70</v>
      </c>
      <c r="X63" s="102">
        <v>64.599999999999994</v>
      </c>
      <c r="Y63" s="102">
        <v>61</v>
      </c>
      <c r="Z63" s="102">
        <v>111</v>
      </c>
      <c r="AA63" s="102">
        <v>141</v>
      </c>
      <c r="AB63" s="102">
        <v>136.4</v>
      </c>
      <c r="AC63" s="102">
        <v>121.8</v>
      </c>
      <c r="AD63" s="102">
        <v>121.6</v>
      </c>
      <c r="AE63" s="102">
        <v>98.1</v>
      </c>
      <c r="AF63" s="102">
        <v>91.2</v>
      </c>
      <c r="AG63" s="88">
        <v>144</v>
      </c>
      <c r="AH63" s="12">
        <f t="shared" si="8"/>
        <v>141</v>
      </c>
      <c r="AI63" s="11">
        <f t="shared" si="9"/>
        <v>39.200000000000003</v>
      </c>
      <c r="AK63" s="19"/>
    </row>
    <row r="64" spans="1:88" x14ac:dyDescent="0.25">
      <c r="A64" s="87" t="s">
        <v>203</v>
      </c>
      <c r="B64" s="70">
        <v>56</v>
      </c>
      <c r="C64" s="70">
        <v>56</v>
      </c>
      <c r="D64" s="70">
        <v>43</v>
      </c>
      <c r="E64" s="70">
        <v>43.5</v>
      </c>
      <c r="F64" s="70">
        <v>44</v>
      </c>
      <c r="G64" s="70">
        <v>28.1</v>
      </c>
      <c r="H64" s="70">
        <v>28.3</v>
      </c>
      <c r="I64" s="70">
        <v>28.3</v>
      </c>
      <c r="J64" s="70">
        <v>23.2</v>
      </c>
      <c r="K64" s="70">
        <v>22.3</v>
      </c>
      <c r="L64" s="70">
        <v>57</v>
      </c>
      <c r="M64" s="70">
        <v>58.2</v>
      </c>
      <c r="N64" s="70">
        <v>58.7</v>
      </c>
      <c r="O64" s="70">
        <v>54.5</v>
      </c>
      <c r="P64" s="70">
        <v>54.7</v>
      </c>
      <c r="Q64" s="70">
        <v>55.8</v>
      </c>
      <c r="R64" s="70">
        <v>22.5</v>
      </c>
      <c r="S64" s="70">
        <v>22.5</v>
      </c>
      <c r="T64" s="70">
        <v>24.9</v>
      </c>
      <c r="U64" s="70">
        <v>24.9</v>
      </c>
      <c r="V64" s="70">
        <v>24.9</v>
      </c>
      <c r="W64" s="70">
        <v>0</v>
      </c>
      <c r="X64" s="70">
        <v>0</v>
      </c>
      <c r="Y64" s="70">
        <v>30</v>
      </c>
      <c r="Z64" s="102">
        <v>61</v>
      </c>
      <c r="AA64" s="102">
        <v>61</v>
      </c>
      <c r="AB64" s="102">
        <v>68.5</v>
      </c>
      <c r="AC64" s="102">
        <v>68.5</v>
      </c>
      <c r="AD64" s="102">
        <v>54.6</v>
      </c>
      <c r="AE64" s="102">
        <v>60.1</v>
      </c>
      <c r="AF64" s="102">
        <v>35</v>
      </c>
      <c r="AG64" s="86">
        <v>70</v>
      </c>
      <c r="AH64" s="12">
        <f t="shared" si="8"/>
        <v>68.5</v>
      </c>
      <c r="AI64" s="11">
        <f t="shared" si="9"/>
        <v>0</v>
      </c>
      <c r="AK64" s="19"/>
    </row>
    <row r="65" spans="1:75" x14ac:dyDescent="0.25">
      <c r="A65" s="87" t="s">
        <v>202</v>
      </c>
      <c r="B65" s="70">
        <v>49</v>
      </c>
      <c r="C65" s="70">
        <v>49</v>
      </c>
      <c r="D65" s="70">
        <v>50</v>
      </c>
      <c r="E65" s="70">
        <v>49</v>
      </c>
      <c r="F65" s="70">
        <v>49.1</v>
      </c>
      <c r="G65" s="70">
        <v>33.5</v>
      </c>
      <c r="H65" s="70">
        <v>33.6</v>
      </c>
      <c r="I65" s="70">
        <v>46.8</v>
      </c>
      <c r="J65" s="70">
        <v>46.8</v>
      </c>
      <c r="K65" s="70">
        <v>62.8</v>
      </c>
      <c r="L65" s="70">
        <v>60.9</v>
      </c>
      <c r="M65" s="70">
        <v>66.3</v>
      </c>
      <c r="N65" s="70">
        <v>65.599999999999994</v>
      </c>
      <c r="O65" s="70">
        <v>59.4</v>
      </c>
      <c r="P65" s="70">
        <v>59.2</v>
      </c>
      <c r="Q65" s="70">
        <v>60.5</v>
      </c>
      <c r="R65" s="70">
        <v>60</v>
      </c>
      <c r="S65" s="70">
        <v>68</v>
      </c>
      <c r="T65" s="70">
        <v>56.6</v>
      </c>
      <c r="U65" s="70">
        <v>56.6</v>
      </c>
      <c r="V65" s="70">
        <v>50</v>
      </c>
      <c r="W65" s="70">
        <v>45.4</v>
      </c>
      <c r="X65" s="70">
        <v>35</v>
      </c>
      <c r="Y65" s="70">
        <v>54</v>
      </c>
      <c r="Z65" s="102">
        <v>54</v>
      </c>
      <c r="AA65" s="102">
        <v>54</v>
      </c>
      <c r="AB65" s="102">
        <v>67.7</v>
      </c>
      <c r="AC65" s="102">
        <v>67.7</v>
      </c>
      <c r="AD65" s="102">
        <v>67.900000000000006</v>
      </c>
      <c r="AE65" s="102">
        <v>67.3</v>
      </c>
      <c r="AF65" s="102">
        <v>38.200000000000003</v>
      </c>
      <c r="AG65" s="86">
        <v>69</v>
      </c>
      <c r="AH65" s="12">
        <f t="shared" si="8"/>
        <v>68</v>
      </c>
      <c r="AI65" s="11">
        <f t="shared" si="9"/>
        <v>33.5</v>
      </c>
      <c r="AK65" s="19"/>
    </row>
    <row r="66" spans="1:75" x14ac:dyDescent="0.25">
      <c r="A66" s="87" t="s">
        <v>201</v>
      </c>
      <c r="B66" s="70">
        <v>56</v>
      </c>
      <c r="C66" s="70">
        <v>56</v>
      </c>
      <c r="D66" s="70">
        <v>56</v>
      </c>
      <c r="E66" s="70">
        <v>56.7</v>
      </c>
      <c r="F66" s="70">
        <v>56.7</v>
      </c>
      <c r="G66" s="70">
        <v>58.4</v>
      </c>
      <c r="H66" s="70">
        <v>58.4</v>
      </c>
      <c r="I66" s="70">
        <v>58.4</v>
      </c>
      <c r="J66" s="70">
        <v>58.4</v>
      </c>
      <c r="K66" s="70">
        <v>58.4</v>
      </c>
      <c r="L66" s="122">
        <v>56.7</v>
      </c>
      <c r="M66" s="70">
        <v>56.7</v>
      </c>
      <c r="N66" s="70">
        <v>54.4</v>
      </c>
      <c r="O66" s="70">
        <v>53.1</v>
      </c>
      <c r="P66" s="70">
        <v>55.2</v>
      </c>
      <c r="Q66" s="70">
        <v>50.4</v>
      </c>
      <c r="R66" s="70">
        <v>52.7</v>
      </c>
      <c r="S66" s="70">
        <v>52.7</v>
      </c>
      <c r="T66" s="70">
        <v>48</v>
      </c>
      <c r="U66" s="70">
        <v>48</v>
      </c>
      <c r="V66" s="70">
        <v>48</v>
      </c>
      <c r="W66" s="70">
        <v>48</v>
      </c>
      <c r="X66" s="70">
        <v>48</v>
      </c>
      <c r="Y66" s="70">
        <v>48</v>
      </c>
      <c r="Z66" s="102">
        <v>51</v>
      </c>
      <c r="AA66" s="102">
        <v>51</v>
      </c>
      <c r="AB66" s="102">
        <v>51</v>
      </c>
      <c r="AC66" s="102">
        <v>53.4</v>
      </c>
      <c r="AD66" s="102">
        <v>53.4</v>
      </c>
      <c r="AE66" s="102">
        <v>53.4</v>
      </c>
      <c r="AF66" s="102">
        <v>64.400000000000006</v>
      </c>
      <c r="AG66" s="86">
        <v>60</v>
      </c>
      <c r="AH66" s="12">
        <f t="shared" si="8"/>
        <v>64.400000000000006</v>
      </c>
      <c r="AI66" s="11">
        <f t="shared" si="9"/>
        <v>48</v>
      </c>
      <c r="AK66" s="19"/>
    </row>
    <row r="67" spans="1:75" x14ac:dyDescent="0.25">
      <c r="A67" s="87" t="s">
        <v>200</v>
      </c>
      <c r="B67" s="102">
        <v>0</v>
      </c>
      <c r="C67" s="102">
        <v>0</v>
      </c>
      <c r="D67" s="102">
        <v>0</v>
      </c>
      <c r="E67" s="70">
        <v>0</v>
      </c>
      <c r="F67" s="70">
        <v>0</v>
      </c>
      <c r="G67" s="70">
        <v>0</v>
      </c>
      <c r="H67" s="70">
        <v>10.5</v>
      </c>
      <c r="I67" s="70">
        <v>15</v>
      </c>
      <c r="J67" s="70">
        <v>15</v>
      </c>
      <c r="K67" s="70">
        <v>10</v>
      </c>
      <c r="L67" s="122">
        <v>10</v>
      </c>
      <c r="M67" s="70">
        <v>10.1</v>
      </c>
      <c r="N67" s="70">
        <v>13.7</v>
      </c>
      <c r="O67" s="70">
        <v>15</v>
      </c>
      <c r="P67" s="70">
        <v>15</v>
      </c>
      <c r="Q67" s="70">
        <v>15</v>
      </c>
      <c r="R67" s="70">
        <v>14.9</v>
      </c>
      <c r="S67" s="70">
        <v>29</v>
      </c>
      <c r="T67" s="70">
        <v>25</v>
      </c>
      <c r="U67" s="70">
        <v>25</v>
      </c>
      <c r="V67" s="70">
        <v>23.5</v>
      </c>
      <c r="W67" s="70">
        <v>10.4</v>
      </c>
      <c r="X67" s="70">
        <v>10.4</v>
      </c>
      <c r="Y67" s="70">
        <v>10.4</v>
      </c>
      <c r="Z67" s="102">
        <v>10.4</v>
      </c>
      <c r="AA67" s="102">
        <v>10.4</v>
      </c>
      <c r="AB67" s="102">
        <v>10.4</v>
      </c>
      <c r="AC67" s="102">
        <v>9.8000000000000007</v>
      </c>
      <c r="AD67" s="102">
        <v>9.8000000000000007</v>
      </c>
      <c r="AE67" s="102">
        <v>9.9</v>
      </c>
      <c r="AF67" s="102">
        <v>9.9</v>
      </c>
      <c r="AG67" s="86">
        <v>30</v>
      </c>
      <c r="AH67" s="12">
        <f t="shared" si="8"/>
        <v>29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25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0</v>
      </c>
      <c r="K68" s="102">
        <v>0</v>
      </c>
      <c r="L68" s="70">
        <v>0</v>
      </c>
      <c r="M68" s="70">
        <v>6.4</v>
      </c>
      <c r="N68" s="70">
        <v>10</v>
      </c>
      <c r="O68" s="70">
        <v>13.3</v>
      </c>
      <c r="P68" s="70">
        <v>14.7</v>
      </c>
      <c r="Q68" s="70">
        <v>16.100000000000001</v>
      </c>
      <c r="R68" s="70">
        <v>15.4</v>
      </c>
      <c r="S68" s="70">
        <v>10</v>
      </c>
      <c r="T68" s="70">
        <v>8</v>
      </c>
      <c r="U68" s="70">
        <v>4.2</v>
      </c>
      <c r="V68" s="70">
        <v>4.2</v>
      </c>
      <c r="W68" s="70">
        <v>1</v>
      </c>
      <c r="X68" s="70">
        <v>1</v>
      </c>
      <c r="Y68" s="70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16.100000000000001</v>
      </c>
      <c r="AI68" s="11">
        <f t="shared" si="9"/>
        <v>0</v>
      </c>
      <c r="AK68" s="19"/>
      <c r="AY68" s="1" t="s">
        <v>198</v>
      </c>
      <c r="AZ68" s="78">
        <f>ROUND(C81,0)</f>
        <v>42</v>
      </c>
      <c r="BA68" s="83">
        <f t="shared" ref="BA68:BD72" si="40">D81</f>
        <v>41</v>
      </c>
      <c r="BB68" s="83">
        <f t="shared" si="40"/>
        <v>35.5</v>
      </c>
      <c r="BC68" s="83">
        <f t="shared" si="40"/>
        <v>32.299999999999997</v>
      </c>
      <c r="BD68" s="83">
        <f t="shared" si="40"/>
        <v>32.5</v>
      </c>
      <c r="BE68" s="78">
        <f>I81</f>
        <v>35.9</v>
      </c>
      <c r="BF68" s="78">
        <f>K81</f>
        <v>65</v>
      </c>
      <c r="BG68" s="78">
        <f t="shared" ref="BG68:BP72" si="41">M81</f>
        <v>71.2</v>
      </c>
      <c r="BH68" s="78">
        <f t="shared" si="41"/>
        <v>71.900000000000006</v>
      </c>
      <c r="BI68" s="78">
        <f t="shared" si="41"/>
        <v>68.5</v>
      </c>
      <c r="BJ68" s="78">
        <f t="shared" si="41"/>
        <v>68.3</v>
      </c>
      <c r="BK68" s="78">
        <f t="shared" si="41"/>
        <v>64.599999999999994</v>
      </c>
      <c r="BL68" s="78">
        <f t="shared" si="41"/>
        <v>71.099999999999994</v>
      </c>
      <c r="BM68" s="78">
        <f t="shared" si="41"/>
        <v>69</v>
      </c>
      <c r="BN68" s="78">
        <f t="shared" si="41"/>
        <v>70</v>
      </c>
      <c r="BO68" s="78">
        <f t="shared" si="41"/>
        <v>69</v>
      </c>
      <c r="BP68" s="78">
        <f t="shared" si="41"/>
        <v>69</v>
      </c>
      <c r="BQ68" s="78">
        <f>X81</f>
        <v>64</v>
      </c>
      <c r="BR68" s="78">
        <f>Z81</f>
        <v>68.3</v>
      </c>
      <c r="BS68" s="83">
        <f>AB81</f>
        <v>26.9</v>
      </c>
      <c r="BT68" s="83">
        <f t="shared" ref="BT68:BV72" si="42">AD81</f>
        <v>32.1</v>
      </c>
      <c r="BU68" s="83">
        <f t="shared" si="42"/>
        <v>26.9</v>
      </c>
      <c r="BV68" s="83">
        <f t="shared" si="42"/>
        <v>15.9</v>
      </c>
      <c r="BW68" s="83">
        <f>B81</f>
        <v>42</v>
      </c>
    </row>
    <row r="69" spans="1:75" x14ac:dyDescent="0.25">
      <c r="A69" s="87" t="s">
        <v>197</v>
      </c>
      <c r="B69" s="70">
        <v>15.7</v>
      </c>
      <c r="C69" s="70">
        <v>15.7</v>
      </c>
      <c r="D69" s="70">
        <v>15.7</v>
      </c>
      <c r="E69" s="70">
        <v>15.7</v>
      </c>
      <c r="F69" s="70">
        <v>15.7</v>
      </c>
      <c r="G69" s="70">
        <v>15.8</v>
      </c>
      <c r="H69" s="70">
        <v>15.7</v>
      </c>
      <c r="I69" s="70">
        <v>15.7</v>
      </c>
      <c r="J69" s="70">
        <v>15.7</v>
      </c>
      <c r="K69" s="70">
        <v>15.7</v>
      </c>
      <c r="L69" s="70">
        <v>15.8</v>
      </c>
      <c r="M69" s="70">
        <v>15.7</v>
      </c>
      <c r="N69" s="70">
        <v>15.7</v>
      </c>
      <c r="O69" s="70">
        <v>15.7</v>
      </c>
      <c r="P69" s="70">
        <v>15.7</v>
      </c>
      <c r="Q69" s="70">
        <v>15.7</v>
      </c>
      <c r="R69" s="70">
        <v>15.7</v>
      </c>
      <c r="S69" s="70">
        <v>15.7</v>
      </c>
      <c r="T69" s="70">
        <v>15.7</v>
      </c>
      <c r="U69" s="70">
        <v>15.7</v>
      </c>
      <c r="V69" s="70">
        <v>15.7</v>
      </c>
      <c r="W69" s="70">
        <v>15.7</v>
      </c>
      <c r="X69" s="70">
        <v>15.7</v>
      </c>
      <c r="Y69" s="70">
        <v>15.7</v>
      </c>
      <c r="Z69" s="70">
        <v>15.7</v>
      </c>
      <c r="AA69" s="70">
        <v>15.7</v>
      </c>
      <c r="AB69" s="70">
        <v>15.7</v>
      </c>
      <c r="AC69" s="70">
        <v>15.7</v>
      </c>
      <c r="AD69" s="70">
        <v>15.7</v>
      </c>
      <c r="AE69" s="70">
        <v>15.7</v>
      </c>
      <c r="AF69" s="70">
        <v>15.7</v>
      </c>
      <c r="AG69" s="86">
        <v>24</v>
      </c>
      <c r="AH69" s="12">
        <f t="shared" si="8"/>
        <v>15.8</v>
      </c>
      <c r="AI69" s="11">
        <f t="shared" si="9"/>
        <v>15.7</v>
      </c>
      <c r="AK69" s="19"/>
      <c r="AY69" s="1" t="s">
        <v>196</v>
      </c>
      <c r="AZ69" s="78">
        <f>ROUND(C82,0)</f>
        <v>0</v>
      </c>
      <c r="BA69" s="83">
        <f t="shared" si="40"/>
        <v>0</v>
      </c>
      <c r="BB69" s="83">
        <f t="shared" si="40"/>
        <v>0</v>
      </c>
      <c r="BC69" s="83">
        <f t="shared" si="40"/>
        <v>0</v>
      </c>
      <c r="BD69" s="83">
        <f t="shared" si="40"/>
        <v>0</v>
      </c>
      <c r="BE69" s="78">
        <f>I82</f>
        <v>0</v>
      </c>
      <c r="BF69" s="78">
        <f>K82</f>
        <v>88</v>
      </c>
      <c r="BG69" s="78">
        <f t="shared" si="41"/>
        <v>118</v>
      </c>
      <c r="BH69" s="78">
        <f t="shared" si="41"/>
        <v>101.8</v>
      </c>
      <c r="BI69" s="78">
        <f t="shared" si="41"/>
        <v>110.4</v>
      </c>
      <c r="BJ69" s="78">
        <f t="shared" si="41"/>
        <v>113.2</v>
      </c>
      <c r="BK69" s="78">
        <f t="shared" si="41"/>
        <v>112.9</v>
      </c>
      <c r="BL69" s="78">
        <f t="shared" si="41"/>
        <v>102.6</v>
      </c>
      <c r="BM69" s="78">
        <f t="shared" si="41"/>
        <v>104.7</v>
      </c>
      <c r="BN69" s="78">
        <f t="shared" si="41"/>
        <v>117</v>
      </c>
      <c r="BO69" s="78">
        <f t="shared" si="41"/>
        <v>111.1</v>
      </c>
      <c r="BP69" s="78">
        <f t="shared" si="41"/>
        <v>111.1</v>
      </c>
      <c r="BQ69" s="78">
        <f>X82</f>
        <v>109</v>
      </c>
      <c r="BR69" s="78">
        <f>Z82</f>
        <v>0</v>
      </c>
      <c r="BS69" s="83">
        <f>AB82</f>
        <v>0</v>
      </c>
      <c r="BT69" s="83">
        <f t="shared" si="42"/>
        <v>0</v>
      </c>
      <c r="BU69" s="83">
        <f t="shared" si="42"/>
        <v>0</v>
      </c>
      <c r="BV69" s="83">
        <f t="shared" si="42"/>
        <v>0</v>
      </c>
      <c r="BW69" s="83">
        <f>B82</f>
        <v>0</v>
      </c>
    </row>
    <row r="70" spans="1:75" x14ac:dyDescent="0.25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72</v>
      </c>
      <c r="BA70" s="83">
        <f t="shared" si="40"/>
        <v>62</v>
      </c>
      <c r="BB70" s="83">
        <f t="shared" si="40"/>
        <v>35.9</v>
      </c>
      <c r="BC70" s="83">
        <f t="shared" si="40"/>
        <v>26.2</v>
      </c>
      <c r="BD70" s="83">
        <f t="shared" si="40"/>
        <v>97.8</v>
      </c>
      <c r="BE70" s="78">
        <f>I83</f>
        <v>114.7</v>
      </c>
      <c r="BF70" s="78">
        <f>K83</f>
        <v>446</v>
      </c>
      <c r="BG70" s="78">
        <f t="shared" si="41"/>
        <v>493.6</v>
      </c>
      <c r="BH70" s="78">
        <f t="shared" si="41"/>
        <v>504.3</v>
      </c>
      <c r="BI70" s="78">
        <f t="shared" si="41"/>
        <v>500.5</v>
      </c>
      <c r="BJ70" s="78">
        <f t="shared" si="41"/>
        <v>495</v>
      </c>
      <c r="BK70" s="78">
        <f t="shared" si="41"/>
        <v>498</v>
      </c>
      <c r="BL70" s="78">
        <f t="shared" si="41"/>
        <v>450</v>
      </c>
      <c r="BM70" s="78">
        <f t="shared" si="41"/>
        <v>392</v>
      </c>
      <c r="BN70" s="78">
        <f t="shared" si="41"/>
        <v>425</v>
      </c>
      <c r="BO70" s="78">
        <f t="shared" si="41"/>
        <v>402</v>
      </c>
      <c r="BP70" s="78">
        <f t="shared" si="41"/>
        <v>402</v>
      </c>
      <c r="BQ70" s="78">
        <f>X83</f>
        <v>424</v>
      </c>
      <c r="BR70" s="78">
        <f>Z83</f>
        <v>272</v>
      </c>
      <c r="BS70" s="83">
        <f>AB83</f>
        <v>232.6</v>
      </c>
      <c r="BT70" s="83">
        <f t="shared" si="42"/>
        <v>56.6</v>
      </c>
      <c r="BU70" s="83">
        <f t="shared" si="42"/>
        <v>66.3</v>
      </c>
      <c r="BV70" s="83">
        <f t="shared" si="42"/>
        <v>107.9</v>
      </c>
      <c r="BW70" s="83">
        <f>B83</f>
        <v>46</v>
      </c>
    </row>
    <row r="71" spans="1:75" s="115" customFormat="1" x14ac:dyDescent="0.25">
      <c r="A71" s="87" t="s">
        <v>193</v>
      </c>
      <c r="B71" s="70">
        <v>12.2</v>
      </c>
      <c r="C71" s="70">
        <v>12.2</v>
      </c>
      <c r="D71" s="70">
        <v>12.2</v>
      </c>
      <c r="E71" s="70">
        <v>13.2</v>
      </c>
      <c r="F71" s="70">
        <v>13.2</v>
      </c>
      <c r="G71" s="70">
        <v>12.4</v>
      </c>
      <c r="H71" s="70">
        <v>12.3</v>
      </c>
      <c r="I71" s="70">
        <v>12.3</v>
      </c>
      <c r="J71" s="70">
        <v>12.3</v>
      </c>
      <c r="K71" s="70">
        <v>12.3</v>
      </c>
      <c r="L71" s="70">
        <v>12.3</v>
      </c>
      <c r="M71" s="70">
        <v>12.3</v>
      </c>
      <c r="N71" s="70">
        <v>12.3</v>
      </c>
      <c r="O71" s="70">
        <v>12.3</v>
      </c>
      <c r="P71" s="70">
        <v>12.3</v>
      </c>
      <c r="Q71" s="70">
        <v>12.3</v>
      </c>
      <c r="R71" s="70">
        <v>12.3</v>
      </c>
      <c r="S71" s="70">
        <v>12.3</v>
      </c>
      <c r="T71" s="70">
        <v>12.3</v>
      </c>
      <c r="U71" s="70">
        <v>12.3</v>
      </c>
      <c r="V71" s="70">
        <v>12.3</v>
      </c>
      <c r="W71" s="70">
        <v>12.3</v>
      </c>
      <c r="X71" s="70">
        <v>12.3</v>
      </c>
      <c r="Y71" s="70">
        <v>12.3</v>
      </c>
      <c r="Z71" s="70">
        <v>12.3</v>
      </c>
      <c r="AA71" s="70">
        <v>12.3</v>
      </c>
      <c r="AB71" s="70">
        <v>12.3</v>
      </c>
      <c r="AC71" s="70">
        <v>12.3</v>
      </c>
      <c r="AD71" s="70">
        <v>12.3</v>
      </c>
      <c r="AE71" s="70">
        <v>12.3</v>
      </c>
      <c r="AF71" s="70">
        <v>12.3</v>
      </c>
      <c r="AG71" s="86">
        <v>14.1</v>
      </c>
      <c r="AH71" s="12">
        <f t="shared" si="8"/>
        <v>13.2</v>
      </c>
      <c r="AI71" s="11">
        <f t="shared" si="9"/>
        <v>12.2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40"/>
        <v>0</v>
      </c>
      <c r="BB71" s="83">
        <f t="shared" si="40"/>
        <v>0</v>
      </c>
      <c r="BC71" s="83">
        <f t="shared" si="40"/>
        <v>0</v>
      </c>
      <c r="BD71" s="83">
        <f t="shared" si="40"/>
        <v>0</v>
      </c>
      <c r="BE71" s="78">
        <f>I84</f>
        <v>0</v>
      </c>
      <c r="BF71" s="78">
        <f>K84</f>
        <v>51.4</v>
      </c>
      <c r="BG71" s="78">
        <f t="shared" si="41"/>
        <v>55.4</v>
      </c>
      <c r="BH71" s="78">
        <f t="shared" si="41"/>
        <v>44.2</v>
      </c>
      <c r="BI71" s="78">
        <f t="shared" si="41"/>
        <v>38.700000000000003</v>
      </c>
      <c r="BJ71" s="78">
        <f t="shared" si="41"/>
        <v>48.4</v>
      </c>
      <c r="BK71" s="78">
        <f t="shared" si="41"/>
        <v>54.3</v>
      </c>
      <c r="BL71" s="78">
        <f t="shared" si="41"/>
        <v>58.4</v>
      </c>
      <c r="BM71" s="78">
        <f t="shared" si="41"/>
        <v>49</v>
      </c>
      <c r="BN71" s="78">
        <f t="shared" si="41"/>
        <v>55</v>
      </c>
      <c r="BO71" s="78">
        <f t="shared" si="41"/>
        <v>44.2</v>
      </c>
      <c r="BP71" s="78">
        <f t="shared" si="41"/>
        <v>44.2</v>
      </c>
      <c r="BQ71" s="78">
        <f>X84</f>
        <v>30</v>
      </c>
      <c r="BR71" s="78">
        <f>Z84</f>
        <v>13.5</v>
      </c>
      <c r="BS71" s="83">
        <f>AB84</f>
        <v>13.5</v>
      </c>
      <c r="BT71" s="83">
        <f t="shared" si="42"/>
        <v>14.4</v>
      </c>
      <c r="BU71" s="83">
        <f t="shared" si="42"/>
        <v>14.6</v>
      </c>
      <c r="BV71" s="83">
        <f t="shared" si="42"/>
        <v>15.3</v>
      </c>
      <c r="BW71" s="83">
        <f>B84</f>
        <v>0</v>
      </c>
    </row>
    <row r="72" spans="1:75" x14ac:dyDescent="0.25">
      <c r="A72" s="111" t="s">
        <v>191</v>
      </c>
      <c r="B72" s="70">
        <v>5.2</v>
      </c>
      <c r="C72" s="70">
        <v>5.2</v>
      </c>
      <c r="D72" s="70">
        <v>5.2</v>
      </c>
      <c r="E72" s="70">
        <v>6.7</v>
      </c>
      <c r="F72" s="70">
        <v>6.7</v>
      </c>
      <c r="G72" s="70">
        <v>7</v>
      </c>
      <c r="H72" s="70">
        <v>7</v>
      </c>
      <c r="I72" s="70">
        <v>7</v>
      </c>
      <c r="J72" s="70">
        <v>7</v>
      </c>
      <c r="K72" s="70">
        <v>7</v>
      </c>
      <c r="L72" s="70">
        <v>7</v>
      </c>
      <c r="M72" s="70">
        <v>7</v>
      </c>
      <c r="N72" s="70">
        <v>7</v>
      </c>
      <c r="O72" s="70">
        <v>7</v>
      </c>
      <c r="P72" s="70">
        <v>7</v>
      </c>
      <c r="Q72" s="70">
        <v>7</v>
      </c>
      <c r="R72" s="70">
        <v>7</v>
      </c>
      <c r="S72" s="70">
        <v>7</v>
      </c>
      <c r="T72" s="70">
        <v>7</v>
      </c>
      <c r="U72" s="70">
        <v>7</v>
      </c>
      <c r="V72" s="70">
        <v>7</v>
      </c>
      <c r="W72" s="70">
        <v>7</v>
      </c>
      <c r="X72" s="70">
        <v>7</v>
      </c>
      <c r="Y72" s="70">
        <v>7</v>
      </c>
      <c r="Z72" s="70">
        <v>7</v>
      </c>
      <c r="AA72" s="70">
        <v>7</v>
      </c>
      <c r="AB72" s="70">
        <v>7</v>
      </c>
      <c r="AC72" s="70">
        <v>7</v>
      </c>
      <c r="AD72" s="70">
        <v>7</v>
      </c>
      <c r="AE72" s="70">
        <v>7</v>
      </c>
      <c r="AF72" s="70">
        <v>7</v>
      </c>
      <c r="AG72" s="86">
        <v>14</v>
      </c>
      <c r="AH72" s="12">
        <f t="shared" si="8"/>
        <v>7</v>
      </c>
      <c r="AI72" s="11">
        <f t="shared" si="9"/>
        <v>5.2</v>
      </c>
      <c r="AK72" s="19"/>
      <c r="AY72" s="1" t="s">
        <v>190</v>
      </c>
      <c r="AZ72" s="78">
        <f>ROUND(C85,0)</f>
        <v>0</v>
      </c>
      <c r="BA72" s="83">
        <f t="shared" si="40"/>
        <v>0</v>
      </c>
      <c r="BB72" s="83">
        <f t="shared" si="40"/>
        <v>0</v>
      </c>
      <c r="BC72" s="83">
        <f t="shared" si="40"/>
        <v>0</v>
      </c>
      <c r="BD72" s="83">
        <f t="shared" si="40"/>
        <v>0</v>
      </c>
      <c r="BE72" s="78">
        <f>I85</f>
        <v>0</v>
      </c>
      <c r="BF72" s="78">
        <f>K85</f>
        <v>110.2</v>
      </c>
      <c r="BG72" s="78">
        <f t="shared" si="41"/>
        <v>108.3</v>
      </c>
      <c r="BH72" s="78">
        <f t="shared" si="41"/>
        <v>118.6</v>
      </c>
      <c r="BI72" s="78">
        <f t="shared" si="41"/>
        <v>131.30000000000001</v>
      </c>
      <c r="BJ72" s="78">
        <f t="shared" si="41"/>
        <v>122.8</v>
      </c>
      <c r="BK72" s="78">
        <f t="shared" si="41"/>
        <v>114.1</v>
      </c>
      <c r="BL72" s="78">
        <f t="shared" si="41"/>
        <v>115.8</v>
      </c>
      <c r="BM72" s="78">
        <f t="shared" si="41"/>
        <v>115.8</v>
      </c>
      <c r="BN72" s="78">
        <f t="shared" si="41"/>
        <v>121</v>
      </c>
      <c r="BO72" s="78">
        <f t="shared" si="41"/>
        <v>115.2</v>
      </c>
      <c r="BP72" s="78">
        <f t="shared" si="41"/>
        <v>115.2</v>
      </c>
      <c r="BQ72" s="78">
        <f>X85</f>
        <v>106</v>
      </c>
      <c r="BR72" s="78">
        <f>Z85</f>
        <v>0</v>
      </c>
      <c r="BS72" s="83">
        <f>AB85</f>
        <v>0</v>
      </c>
      <c r="BT72" s="83">
        <f t="shared" si="42"/>
        <v>0</v>
      </c>
      <c r="BU72" s="83">
        <f t="shared" si="42"/>
        <v>0</v>
      </c>
      <c r="BV72" s="83">
        <f t="shared" si="42"/>
        <v>0</v>
      </c>
      <c r="BW72" s="83">
        <f>B85</f>
        <v>0</v>
      </c>
    </row>
    <row r="73" spans="1:75" x14ac:dyDescent="0.25">
      <c r="A73" s="87" t="s">
        <v>189</v>
      </c>
      <c r="B73" s="70">
        <v>4.4000000000000004</v>
      </c>
      <c r="C73" s="70">
        <v>4.4000000000000004</v>
      </c>
      <c r="D73" s="70">
        <v>4.4000000000000004</v>
      </c>
      <c r="E73" s="70">
        <v>4.4000000000000004</v>
      </c>
      <c r="F73" s="70">
        <v>4.4000000000000004</v>
      </c>
      <c r="G73" s="70">
        <v>4.4000000000000004</v>
      </c>
      <c r="H73" s="70">
        <v>4.4000000000000004</v>
      </c>
      <c r="I73" s="70">
        <v>4.4000000000000004</v>
      </c>
      <c r="J73" s="70">
        <v>4.4000000000000004</v>
      </c>
      <c r="K73" s="70">
        <v>4.4000000000000004</v>
      </c>
      <c r="L73" s="70">
        <v>4.4000000000000004</v>
      </c>
      <c r="M73" s="70">
        <v>4.4000000000000004</v>
      </c>
      <c r="N73" s="70">
        <v>4.4000000000000004</v>
      </c>
      <c r="O73" s="70">
        <v>4.4000000000000004</v>
      </c>
      <c r="P73" s="70">
        <v>4.4000000000000004</v>
      </c>
      <c r="Q73" s="70">
        <v>4.4000000000000004</v>
      </c>
      <c r="R73" s="70">
        <v>4.4000000000000004</v>
      </c>
      <c r="S73" s="70">
        <v>4.4000000000000004</v>
      </c>
      <c r="T73" s="70">
        <v>4.4000000000000004</v>
      </c>
      <c r="U73" s="70">
        <v>4.4000000000000004</v>
      </c>
      <c r="V73" s="70">
        <v>4.4000000000000004</v>
      </c>
      <c r="W73" s="70">
        <v>4.4000000000000004</v>
      </c>
      <c r="X73" s="70">
        <v>4.4000000000000004</v>
      </c>
      <c r="Y73" s="70">
        <v>4.4000000000000004</v>
      </c>
      <c r="Z73" s="70">
        <v>4.4000000000000004</v>
      </c>
      <c r="AA73" s="70">
        <v>4.4000000000000004</v>
      </c>
      <c r="AB73" s="70">
        <v>4.4000000000000004</v>
      </c>
      <c r="AC73" s="70">
        <v>4.4000000000000004</v>
      </c>
      <c r="AD73" s="70">
        <v>4.4000000000000004</v>
      </c>
      <c r="AE73" s="70">
        <v>4.4000000000000004</v>
      </c>
      <c r="AF73" s="70">
        <v>4.4000000000000004</v>
      </c>
      <c r="AG73" s="86">
        <v>10.050000000000001</v>
      </c>
      <c r="AH73" s="12">
        <f t="shared" si="8"/>
        <v>4.4000000000000004</v>
      </c>
      <c r="AI73" s="11">
        <f t="shared" si="9"/>
        <v>4.4000000000000004</v>
      </c>
      <c r="AK73" s="19"/>
      <c r="AY73" s="1" t="s">
        <v>188</v>
      </c>
      <c r="AZ73" s="78">
        <f>ROUND(C91,0)</f>
        <v>41</v>
      </c>
      <c r="BA73" s="78">
        <f>D91</f>
        <v>42</v>
      </c>
      <c r="BB73" s="78">
        <f>E91</f>
        <v>40.299999999999997</v>
      </c>
      <c r="BC73" s="78">
        <f>F91</f>
        <v>41</v>
      </c>
      <c r="BD73" s="78">
        <f>G91</f>
        <v>45</v>
      </c>
      <c r="BE73" s="78">
        <f>I91</f>
        <v>34.1</v>
      </c>
      <c r="BF73" s="78">
        <f>K91</f>
        <v>50.1</v>
      </c>
      <c r="BG73" s="78">
        <f t="shared" ref="BG73:BP73" si="43">M91</f>
        <v>54.5</v>
      </c>
      <c r="BH73" s="78">
        <f t="shared" si="43"/>
        <v>54.9</v>
      </c>
      <c r="BI73" s="78">
        <f t="shared" si="43"/>
        <v>55.9</v>
      </c>
      <c r="BJ73" s="78">
        <f t="shared" si="43"/>
        <v>53</v>
      </c>
      <c r="BK73" s="78">
        <f t="shared" si="43"/>
        <v>49</v>
      </c>
      <c r="BL73" s="78">
        <f t="shared" si="43"/>
        <v>52.7</v>
      </c>
      <c r="BM73" s="78">
        <f t="shared" si="43"/>
        <v>52.7</v>
      </c>
      <c r="BN73" s="78">
        <f t="shared" si="43"/>
        <v>57</v>
      </c>
      <c r="BO73" s="78">
        <f t="shared" si="43"/>
        <v>59</v>
      </c>
      <c r="BP73" s="78">
        <f t="shared" si="43"/>
        <v>53</v>
      </c>
      <c r="BQ73" s="78">
        <f>X91</f>
        <v>42</v>
      </c>
      <c r="BR73" s="78">
        <f>Z91</f>
        <v>43.8</v>
      </c>
      <c r="BS73" s="78">
        <f>AB91</f>
        <v>41.7</v>
      </c>
      <c r="BT73" s="78">
        <f>AD91</f>
        <v>42</v>
      </c>
      <c r="BU73" s="78">
        <f>AE91</f>
        <v>44</v>
      </c>
      <c r="BV73" s="78">
        <f>AF91</f>
        <v>46</v>
      </c>
      <c r="BW73" s="78">
        <f>B91</f>
        <v>41</v>
      </c>
    </row>
    <row r="74" spans="1:75" x14ac:dyDescent="0.25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.75" thickBot="1" x14ac:dyDescent="0.3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3.5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</v>
      </c>
      <c r="AK75" s="19"/>
      <c r="AZ75" s="78">
        <f t="shared" ref="AZ75:BW80" si="44">VALUE(AZ68)</f>
        <v>42</v>
      </c>
      <c r="BA75" s="78">
        <f t="shared" si="44"/>
        <v>41</v>
      </c>
      <c r="BB75" s="78">
        <f t="shared" si="44"/>
        <v>35.5</v>
      </c>
      <c r="BC75" s="78">
        <f t="shared" si="44"/>
        <v>32.299999999999997</v>
      </c>
      <c r="BD75" s="78">
        <f t="shared" si="44"/>
        <v>32.5</v>
      </c>
      <c r="BE75" s="78">
        <f t="shared" si="44"/>
        <v>35.9</v>
      </c>
      <c r="BF75" s="78">
        <f t="shared" si="44"/>
        <v>65</v>
      </c>
      <c r="BG75" s="78">
        <f t="shared" si="44"/>
        <v>71.2</v>
      </c>
      <c r="BH75" s="78">
        <f t="shared" si="44"/>
        <v>71.900000000000006</v>
      </c>
      <c r="BI75" s="78">
        <f t="shared" si="44"/>
        <v>68.5</v>
      </c>
      <c r="BJ75" s="78">
        <f t="shared" si="44"/>
        <v>68.3</v>
      </c>
      <c r="BK75" s="78">
        <f t="shared" si="44"/>
        <v>64.599999999999994</v>
      </c>
      <c r="BL75" s="78">
        <f t="shared" si="44"/>
        <v>71.099999999999994</v>
      </c>
      <c r="BM75" s="78">
        <f t="shared" si="44"/>
        <v>69</v>
      </c>
      <c r="BN75" s="78">
        <f t="shared" si="44"/>
        <v>70</v>
      </c>
      <c r="BO75" s="78">
        <f t="shared" si="44"/>
        <v>69</v>
      </c>
      <c r="BP75" s="78">
        <f t="shared" si="44"/>
        <v>69</v>
      </c>
      <c r="BQ75" s="78">
        <f t="shared" si="44"/>
        <v>64</v>
      </c>
      <c r="BR75" s="78">
        <f t="shared" si="44"/>
        <v>68.3</v>
      </c>
      <c r="BS75" s="78">
        <f t="shared" si="44"/>
        <v>26.9</v>
      </c>
      <c r="BT75" s="78">
        <f t="shared" si="44"/>
        <v>32.1</v>
      </c>
      <c r="BU75" s="78">
        <f t="shared" si="44"/>
        <v>26.9</v>
      </c>
      <c r="BV75" s="78">
        <f t="shared" si="44"/>
        <v>15.9</v>
      </c>
      <c r="BW75" s="78">
        <f t="shared" si="44"/>
        <v>42</v>
      </c>
    </row>
    <row r="76" spans="1:75" ht="15.75" thickBot="1" x14ac:dyDescent="0.3">
      <c r="A76" s="77" t="s">
        <v>186</v>
      </c>
      <c r="B76" s="76">
        <f t="shared" ref="B76:AG76" si="45">SUM(B63:B75)</f>
        <v>339.03999999999996</v>
      </c>
      <c r="C76" s="76">
        <f t="shared" si="45"/>
        <v>324.03999999999996</v>
      </c>
      <c r="D76" s="76">
        <f t="shared" si="45"/>
        <v>283.03999999999996</v>
      </c>
      <c r="E76" s="76">
        <f t="shared" si="45"/>
        <v>285.64</v>
      </c>
      <c r="F76" s="76">
        <f t="shared" si="45"/>
        <v>286.23999999999995</v>
      </c>
      <c r="G76" s="76">
        <f t="shared" si="45"/>
        <v>236.34000000000003</v>
      </c>
      <c r="H76" s="76">
        <f t="shared" si="45"/>
        <v>247.24</v>
      </c>
      <c r="I76" s="76">
        <f t="shared" si="45"/>
        <v>256.84000000000003</v>
      </c>
      <c r="J76" s="76">
        <f t="shared" si="45"/>
        <v>248.34</v>
      </c>
      <c r="K76" s="76">
        <f t="shared" si="45"/>
        <v>238.44</v>
      </c>
      <c r="L76" s="76">
        <f t="shared" si="45"/>
        <v>269.64000000000004</v>
      </c>
      <c r="M76" s="76">
        <f t="shared" si="45"/>
        <v>281.83999999999997</v>
      </c>
      <c r="N76" s="76">
        <f t="shared" si="45"/>
        <v>286.64</v>
      </c>
      <c r="O76" s="76">
        <f t="shared" si="45"/>
        <v>302.74</v>
      </c>
      <c r="P76" s="76">
        <f t="shared" si="45"/>
        <v>314.44</v>
      </c>
      <c r="Q76" s="76">
        <f t="shared" si="45"/>
        <v>314.24</v>
      </c>
      <c r="R76" s="76">
        <f t="shared" si="45"/>
        <v>281.74</v>
      </c>
      <c r="S76" s="76">
        <f t="shared" ref="S76:T76" si="46">SUM(S63:S75)</f>
        <v>298.44</v>
      </c>
      <c r="T76" s="76">
        <f t="shared" si="46"/>
        <v>288.44</v>
      </c>
      <c r="U76" s="76">
        <f t="shared" si="45"/>
        <v>268.64</v>
      </c>
      <c r="V76" s="76">
        <f t="shared" ref="V76" si="47">SUM(V63:V75)</f>
        <v>255.54</v>
      </c>
      <c r="W76" s="76">
        <f t="shared" si="45"/>
        <v>219.74</v>
      </c>
      <c r="X76" s="76">
        <f t="shared" ref="X76" si="48">SUM(X63:X75)</f>
        <v>203.94</v>
      </c>
      <c r="Y76" s="76">
        <f t="shared" si="45"/>
        <v>248.3</v>
      </c>
      <c r="Z76" s="76">
        <f t="shared" si="45"/>
        <v>332.29999999999995</v>
      </c>
      <c r="AA76" s="76">
        <f t="shared" si="45"/>
        <v>362.34</v>
      </c>
      <c r="AB76" s="76">
        <f t="shared" ref="AB76:AC76" si="49">SUM(AB63:AB75)</f>
        <v>378.94</v>
      </c>
      <c r="AC76" s="76">
        <f t="shared" si="49"/>
        <v>366.14</v>
      </c>
      <c r="AD76" s="76">
        <f t="shared" ref="AD76:AE76" si="50">SUM(AD63:AD75)</f>
        <v>352.24</v>
      </c>
      <c r="AE76" s="76">
        <f t="shared" si="50"/>
        <v>333.73999999999995</v>
      </c>
      <c r="AF76" s="76">
        <f t="shared" ref="AF76" si="51">SUM(AF63:AF75)</f>
        <v>283.64</v>
      </c>
      <c r="AG76" s="93">
        <f t="shared" si="45"/>
        <v>489.91</v>
      </c>
      <c r="AH76" s="12">
        <f t="shared" si="8"/>
        <v>378.94</v>
      </c>
      <c r="AI76" s="11">
        <f t="shared" si="9"/>
        <v>203.94</v>
      </c>
      <c r="AK76" s="19"/>
      <c r="AZ76" s="78">
        <f t="shared" si="44"/>
        <v>0</v>
      </c>
      <c r="BA76" s="78">
        <f t="shared" si="44"/>
        <v>0</v>
      </c>
      <c r="BB76" s="78">
        <f t="shared" si="44"/>
        <v>0</v>
      </c>
      <c r="BC76" s="78">
        <f t="shared" si="44"/>
        <v>0</v>
      </c>
      <c r="BD76" s="78">
        <f t="shared" si="44"/>
        <v>0</v>
      </c>
      <c r="BE76" s="78">
        <f t="shared" si="44"/>
        <v>0</v>
      </c>
      <c r="BF76" s="78">
        <f t="shared" si="44"/>
        <v>88</v>
      </c>
      <c r="BG76" s="78">
        <f t="shared" si="44"/>
        <v>118</v>
      </c>
      <c r="BH76" s="78">
        <f t="shared" si="44"/>
        <v>101.8</v>
      </c>
      <c r="BI76" s="78">
        <f t="shared" si="44"/>
        <v>110.4</v>
      </c>
      <c r="BJ76" s="78">
        <f t="shared" si="44"/>
        <v>113.2</v>
      </c>
      <c r="BK76" s="78">
        <f t="shared" si="44"/>
        <v>112.9</v>
      </c>
      <c r="BL76" s="78">
        <f t="shared" si="44"/>
        <v>102.6</v>
      </c>
      <c r="BM76" s="78">
        <f t="shared" si="44"/>
        <v>104.7</v>
      </c>
      <c r="BN76" s="78">
        <f t="shared" si="44"/>
        <v>117</v>
      </c>
      <c r="BO76" s="78">
        <f t="shared" si="44"/>
        <v>111.1</v>
      </c>
      <c r="BP76" s="78">
        <f t="shared" si="44"/>
        <v>111.1</v>
      </c>
      <c r="BQ76" s="78">
        <f t="shared" si="44"/>
        <v>109</v>
      </c>
      <c r="BR76" s="78">
        <f t="shared" si="44"/>
        <v>0</v>
      </c>
      <c r="BS76" s="78">
        <f t="shared" si="44"/>
        <v>0</v>
      </c>
      <c r="BT76" s="78">
        <f t="shared" si="44"/>
        <v>0</v>
      </c>
      <c r="BU76" s="78">
        <f t="shared" si="44"/>
        <v>0</v>
      </c>
      <c r="BV76" s="78">
        <f t="shared" si="44"/>
        <v>0</v>
      </c>
      <c r="BW76" s="78">
        <f t="shared" si="44"/>
        <v>0</v>
      </c>
    </row>
    <row r="77" spans="1:75" x14ac:dyDescent="0.25">
      <c r="A77" s="89" t="s">
        <v>185</v>
      </c>
      <c r="B77" s="102">
        <v>59</v>
      </c>
      <c r="C77" s="102">
        <v>59</v>
      </c>
      <c r="D77" s="102">
        <v>59</v>
      </c>
      <c r="E77" s="102">
        <v>59.1</v>
      </c>
      <c r="F77" s="102">
        <v>59.1</v>
      </c>
      <c r="G77" s="102">
        <v>59.3</v>
      </c>
      <c r="H77" s="102">
        <v>59.3</v>
      </c>
      <c r="I77" s="102">
        <v>59.3</v>
      </c>
      <c r="J77" s="102">
        <v>45</v>
      </c>
      <c r="K77" s="102">
        <v>55.2</v>
      </c>
      <c r="L77" s="102">
        <v>48.9</v>
      </c>
      <c r="M77" s="102">
        <v>59.1</v>
      </c>
      <c r="N77" s="102">
        <v>59.6</v>
      </c>
      <c r="O77" s="102">
        <v>59.5</v>
      </c>
      <c r="P77" s="102">
        <v>59.2</v>
      </c>
      <c r="Q77" s="102">
        <v>59.1</v>
      </c>
      <c r="R77" s="102">
        <v>59.5</v>
      </c>
      <c r="S77" s="102">
        <v>59.5</v>
      </c>
      <c r="T77" s="102">
        <v>59.5</v>
      </c>
      <c r="U77" s="102">
        <v>59.5</v>
      </c>
      <c r="V77" s="102">
        <v>59.5</v>
      </c>
      <c r="W77" s="102">
        <v>59.5</v>
      </c>
      <c r="X77" s="102">
        <v>59.5</v>
      </c>
      <c r="Y77" s="102">
        <v>60</v>
      </c>
      <c r="Z77" s="102">
        <v>59.4</v>
      </c>
      <c r="AA77" s="102">
        <v>59.4</v>
      </c>
      <c r="AB77" s="102">
        <v>59.4</v>
      </c>
      <c r="AC77" s="102">
        <v>59.4</v>
      </c>
      <c r="AD77" s="102">
        <v>59.4</v>
      </c>
      <c r="AE77" s="102">
        <v>59.4</v>
      </c>
      <c r="AF77" s="102">
        <v>59.4</v>
      </c>
      <c r="AG77" s="88">
        <v>60</v>
      </c>
      <c r="AH77" s="12">
        <f t="shared" si="8"/>
        <v>60</v>
      </c>
      <c r="AI77" s="11">
        <f t="shared" si="9"/>
        <v>45</v>
      </c>
      <c r="AK77" s="19"/>
      <c r="AZ77" s="78">
        <f t="shared" si="44"/>
        <v>72</v>
      </c>
      <c r="BA77" s="78">
        <f t="shared" si="44"/>
        <v>62</v>
      </c>
      <c r="BB77" s="78">
        <f t="shared" si="44"/>
        <v>35.9</v>
      </c>
      <c r="BC77" s="78">
        <f t="shared" si="44"/>
        <v>26.2</v>
      </c>
      <c r="BD77" s="78">
        <f t="shared" si="44"/>
        <v>97.8</v>
      </c>
      <c r="BE77" s="78">
        <f t="shared" si="44"/>
        <v>114.7</v>
      </c>
      <c r="BF77" s="78">
        <f t="shared" si="44"/>
        <v>446</v>
      </c>
      <c r="BG77" s="78">
        <f t="shared" si="44"/>
        <v>493.6</v>
      </c>
      <c r="BH77" s="78">
        <f t="shared" si="44"/>
        <v>504.3</v>
      </c>
      <c r="BI77" s="78">
        <f t="shared" si="44"/>
        <v>500.5</v>
      </c>
      <c r="BJ77" s="78">
        <f t="shared" si="44"/>
        <v>495</v>
      </c>
      <c r="BK77" s="78">
        <f t="shared" si="44"/>
        <v>498</v>
      </c>
      <c r="BL77" s="78">
        <f t="shared" si="44"/>
        <v>450</v>
      </c>
      <c r="BM77" s="78">
        <f t="shared" si="44"/>
        <v>392</v>
      </c>
      <c r="BN77" s="78">
        <f t="shared" si="44"/>
        <v>425</v>
      </c>
      <c r="BO77" s="78">
        <f t="shared" si="44"/>
        <v>402</v>
      </c>
      <c r="BP77" s="78">
        <f t="shared" si="44"/>
        <v>402</v>
      </c>
      <c r="BQ77" s="78">
        <f t="shared" si="44"/>
        <v>424</v>
      </c>
      <c r="BR77" s="78">
        <f t="shared" si="44"/>
        <v>272</v>
      </c>
      <c r="BS77" s="78">
        <f t="shared" si="44"/>
        <v>232.6</v>
      </c>
      <c r="BT77" s="78">
        <f t="shared" si="44"/>
        <v>56.6</v>
      </c>
      <c r="BU77" s="78">
        <f t="shared" si="44"/>
        <v>66.3</v>
      </c>
      <c r="BV77" s="78">
        <f t="shared" si="44"/>
        <v>107.9</v>
      </c>
      <c r="BW77" s="78">
        <f t="shared" si="44"/>
        <v>46</v>
      </c>
    </row>
    <row r="78" spans="1:75" x14ac:dyDescent="0.25">
      <c r="A78" s="87" t="s">
        <v>184</v>
      </c>
      <c r="B78" s="70">
        <v>27</v>
      </c>
      <c r="C78" s="70">
        <v>27</v>
      </c>
      <c r="D78" s="70">
        <v>27</v>
      </c>
      <c r="E78" s="70">
        <v>27.2</v>
      </c>
      <c r="F78" s="70">
        <v>27.2</v>
      </c>
      <c r="G78" s="70">
        <v>27.7</v>
      </c>
      <c r="H78" s="70">
        <v>27.7</v>
      </c>
      <c r="I78" s="70">
        <v>27.7</v>
      </c>
      <c r="J78" s="70">
        <v>22.5</v>
      </c>
      <c r="K78" s="70">
        <v>22.9</v>
      </c>
      <c r="L78" s="70">
        <v>22.4</v>
      </c>
      <c r="M78" s="70">
        <v>26.3</v>
      </c>
      <c r="N78" s="70">
        <v>28.7</v>
      </c>
      <c r="O78" s="70">
        <v>28.7</v>
      </c>
      <c r="P78" s="70">
        <v>28.2</v>
      </c>
      <c r="Q78" s="70">
        <v>24.1</v>
      </c>
      <c r="R78" s="70">
        <v>28.8</v>
      </c>
      <c r="S78" s="70">
        <v>28.8</v>
      </c>
      <c r="T78" s="70">
        <v>28.8</v>
      </c>
      <c r="U78" s="70">
        <v>28.8</v>
      </c>
      <c r="V78" s="70">
        <v>28.8</v>
      </c>
      <c r="W78" s="70">
        <v>28.8</v>
      </c>
      <c r="X78" s="70">
        <v>28.8</v>
      </c>
      <c r="Y78" s="70">
        <v>13</v>
      </c>
      <c r="Z78" s="70">
        <v>16.399999999999999</v>
      </c>
      <c r="AA78" s="70">
        <v>28</v>
      </c>
      <c r="AB78" s="70">
        <v>28</v>
      </c>
      <c r="AC78" s="70">
        <v>28</v>
      </c>
      <c r="AD78" s="70">
        <v>28</v>
      </c>
      <c r="AE78" s="70">
        <v>28</v>
      </c>
      <c r="AF78" s="70">
        <v>28</v>
      </c>
      <c r="AG78" s="86">
        <v>32</v>
      </c>
      <c r="AH78" s="12">
        <f t="shared" si="8"/>
        <v>28.8</v>
      </c>
      <c r="AI78" s="11">
        <f t="shared" si="9"/>
        <v>13</v>
      </c>
      <c r="AK78" s="19"/>
      <c r="AZ78" s="78">
        <f t="shared" si="44"/>
        <v>0</v>
      </c>
      <c r="BA78" s="78">
        <f t="shared" si="44"/>
        <v>0</v>
      </c>
      <c r="BB78" s="78">
        <f t="shared" si="44"/>
        <v>0</v>
      </c>
      <c r="BC78" s="78">
        <f t="shared" si="44"/>
        <v>0</v>
      </c>
      <c r="BD78" s="78">
        <f t="shared" si="44"/>
        <v>0</v>
      </c>
      <c r="BE78" s="78">
        <f t="shared" si="44"/>
        <v>0</v>
      </c>
      <c r="BF78" s="78">
        <f t="shared" si="44"/>
        <v>51.4</v>
      </c>
      <c r="BG78" s="78">
        <f t="shared" si="44"/>
        <v>55.4</v>
      </c>
      <c r="BH78" s="78">
        <f t="shared" si="44"/>
        <v>44.2</v>
      </c>
      <c r="BI78" s="78">
        <f t="shared" si="44"/>
        <v>38.700000000000003</v>
      </c>
      <c r="BJ78" s="78">
        <f t="shared" si="44"/>
        <v>48.4</v>
      </c>
      <c r="BK78" s="78">
        <f t="shared" si="44"/>
        <v>54.3</v>
      </c>
      <c r="BL78" s="78">
        <f t="shared" si="44"/>
        <v>58.4</v>
      </c>
      <c r="BM78" s="78">
        <f t="shared" si="44"/>
        <v>49</v>
      </c>
      <c r="BN78" s="78">
        <f t="shared" si="44"/>
        <v>55</v>
      </c>
      <c r="BO78" s="78">
        <f t="shared" si="44"/>
        <v>44.2</v>
      </c>
      <c r="BP78" s="78">
        <f t="shared" si="44"/>
        <v>44.2</v>
      </c>
      <c r="BQ78" s="78">
        <f t="shared" si="44"/>
        <v>30</v>
      </c>
      <c r="BR78" s="78">
        <f t="shared" si="44"/>
        <v>13.5</v>
      </c>
      <c r="BS78" s="78">
        <f t="shared" si="44"/>
        <v>13.5</v>
      </c>
      <c r="BT78" s="78">
        <f t="shared" si="44"/>
        <v>14.4</v>
      </c>
      <c r="BU78" s="78">
        <f t="shared" si="44"/>
        <v>14.6</v>
      </c>
      <c r="BV78" s="78">
        <f t="shared" si="44"/>
        <v>15.3</v>
      </c>
      <c r="BW78" s="78">
        <f t="shared" si="44"/>
        <v>0</v>
      </c>
    </row>
    <row r="79" spans="1:75" ht="15.75" thickBot="1" x14ac:dyDescent="0.3">
      <c r="A79" s="111" t="s">
        <v>183</v>
      </c>
      <c r="B79" s="110">
        <v>10</v>
      </c>
      <c r="C79" s="110">
        <v>10</v>
      </c>
      <c r="D79" s="110">
        <v>10</v>
      </c>
      <c r="E79" s="110">
        <v>9.9</v>
      </c>
      <c r="F79" s="110">
        <v>9.9</v>
      </c>
      <c r="G79" s="110">
        <v>10.1</v>
      </c>
      <c r="H79" s="110">
        <v>10.1</v>
      </c>
      <c r="I79" s="110">
        <v>10.1</v>
      </c>
      <c r="J79" s="110">
        <v>8.1999999999999993</v>
      </c>
      <c r="K79" s="110">
        <v>8</v>
      </c>
      <c r="L79" s="110">
        <v>8.1999999999999993</v>
      </c>
      <c r="M79" s="110">
        <v>9.6</v>
      </c>
      <c r="N79" s="110">
        <v>10.5</v>
      </c>
      <c r="O79" s="110">
        <v>10.5</v>
      </c>
      <c r="P79" s="110">
        <v>10.3</v>
      </c>
      <c r="Q79" s="110">
        <v>8.8000000000000007</v>
      </c>
      <c r="R79" s="110">
        <v>10.5</v>
      </c>
      <c r="S79" s="110">
        <v>10.5</v>
      </c>
      <c r="T79" s="110">
        <v>10.5</v>
      </c>
      <c r="U79" s="110">
        <v>10.5</v>
      </c>
      <c r="V79" s="110">
        <v>10.5</v>
      </c>
      <c r="W79" s="110">
        <v>10.5</v>
      </c>
      <c r="X79" s="110">
        <v>10.5</v>
      </c>
      <c r="Y79" s="110">
        <v>5</v>
      </c>
      <c r="Z79" s="110">
        <v>10</v>
      </c>
      <c r="AA79" s="110">
        <v>10</v>
      </c>
      <c r="AB79" s="110">
        <v>10</v>
      </c>
      <c r="AC79" s="110">
        <v>10</v>
      </c>
      <c r="AD79" s="110">
        <v>10</v>
      </c>
      <c r="AE79" s="110">
        <v>10</v>
      </c>
      <c r="AF79" s="110">
        <v>10</v>
      </c>
      <c r="AG79" s="109">
        <v>14</v>
      </c>
      <c r="AH79" s="12">
        <f t="shared" si="8"/>
        <v>10.5</v>
      </c>
      <c r="AI79" s="11">
        <f t="shared" si="9"/>
        <v>5</v>
      </c>
      <c r="AK79" s="19"/>
      <c r="AZ79" s="78">
        <f t="shared" si="44"/>
        <v>0</v>
      </c>
      <c r="BA79" s="78">
        <f t="shared" si="44"/>
        <v>0</v>
      </c>
      <c r="BB79" s="78">
        <f t="shared" si="44"/>
        <v>0</v>
      </c>
      <c r="BC79" s="78">
        <f t="shared" si="44"/>
        <v>0</v>
      </c>
      <c r="BD79" s="78">
        <f t="shared" si="44"/>
        <v>0</v>
      </c>
      <c r="BE79" s="78">
        <f t="shared" si="44"/>
        <v>0</v>
      </c>
      <c r="BF79" s="78">
        <f t="shared" si="44"/>
        <v>110.2</v>
      </c>
      <c r="BG79" s="78">
        <f t="shared" si="44"/>
        <v>108.3</v>
      </c>
      <c r="BH79" s="78">
        <f t="shared" si="44"/>
        <v>118.6</v>
      </c>
      <c r="BI79" s="78">
        <f t="shared" si="44"/>
        <v>131.30000000000001</v>
      </c>
      <c r="BJ79" s="78">
        <f t="shared" si="44"/>
        <v>122.8</v>
      </c>
      <c r="BK79" s="78">
        <f t="shared" si="44"/>
        <v>114.1</v>
      </c>
      <c r="BL79" s="78">
        <f t="shared" si="44"/>
        <v>115.8</v>
      </c>
      <c r="BM79" s="78">
        <f t="shared" si="44"/>
        <v>115.8</v>
      </c>
      <c r="BN79" s="78">
        <f t="shared" si="44"/>
        <v>121</v>
      </c>
      <c r="BO79" s="78">
        <f t="shared" si="44"/>
        <v>115.2</v>
      </c>
      <c r="BP79" s="78">
        <f t="shared" si="44"/>
        <v>115.2</v>
      </c>
      <c r="BQ79" s="78">
        <f t="shared" si="44"/>
        <v>106</v>
      </c>
      <c r="BR79" s="78">
        <f t="shared" si="44"/>
        <v>0</v>
      </c>
      <c r="BS79" s="78">
        <f t="shared" si="44"/>
        <v>0</v>
      </c>
      <c r="BT79" s="78">
        <f t="shared" si="44"/>
        <v>0</v>
      </c>
      <c r="BU79" s="78">
        <f t="shared" si="44"/>
        <v>0</v>
      </c>
      <c r="BV79" s="78">
        <f t="shared" si="44"/>
        <v>0</v>
      </c>
      <c r="BW79" s="78">
        <f t="shared" si="44"/>
        <v>0</v>
      </c>
    </row>
    <row r="80" spans="1:75" ht="15.75" thickBot="1" x14ac:dyDescent="0.3">
      <c r="A80" s="77" t="s">
        <v>182</v>
      </c>
      <c r="B80" s="76">
        <f t="shared" ref="B80:AA80" si="52">B77+B78+B79</f>
        <v>96</v>
      </c>
      <c r="C80" s="76">
        <f t="shared" si="52"/>
        <v>96</v>
      </c>
      <c r="D80" s="76">
        <f t="shared" si="52"/>
        <v>96</v>
      </c>
      <c r="E80" s="76">
        <f t="shared" si="52"/>
        <v>96.2</v>
      </c>
      <c r="F80" s="76">
        <f t="shared" ref="F80" si="53">F77+F78+F79</f>
        <v>96.2</v>
      </c>
      <c r="G80" s="76">
        <f t="shared" si="52"/>
        <v>97.1</v>
      </c>
      <c r="H80" s="76">
        <f t="shared" si="52"/>
        <v>97.1</v>
      </c>
      <c r="I80" s="76">
        <f t="shared" si="52"/>
        <v>97.1</v>
      </c>
      <c r="J80" s="76">
        <f t="shared" si="52"/>
        <v>75.7</v>
      </c>
      <c r="K80" s="76">
        <f t="shared" si="52"/>
        <v>86.1</v>
      </c>
      <c r="L80" s="76">
        <f t="shared" si="52"/>
        <v>79.5</v>
      </c>
      <c r="M80" s="76">
        <f t="shared" si="52"/>
        <v>95</v>
      </c>
      <c r="N80" s="76">
        <f t="shared" si="52"/>
        <v>98.8</v>
      </c>
      <c r="O80" s="76">
        <f t="shared" si="52"/>
        <v>98.7</v>
      </c>
      <c r="P80" s="76">
        <f t="shared" si="52"/>
        <v>97.7</v>
      </c>
      <c r="Q80" s="76">
        <f t="shared" si="52"/>
        <v>92</v>
      </c>
      <c r="R80" s="76">
        <f t="shared" si="52"/>
        <v>98.8</v>
      </c>
      <c r="S80" s="76">
        <f t="shared" ref="S80:T80" si="54">S77+S78+S79</f>
        <v>98.8</v>
      </c>
      <c r="T80" s="76">
        <f t="shared" si="54"/>
        <v>98.8</v>
      </c>
      <c r="U80" s="76">
        <f t="shared" si="52"/>
        <v>98.8</v>
      </c>
      <c r="V80" s="76">
        <f t="shared" ref="V80" si="55">V77+V78+V79</f>
        <v>98.8</v>
      </c>
      <c r="W80" s="76">
        <f t="shared" si="52"/>
        <v>98.8</v>
      </c>
      <c r="X80" s="76">
        <f t="shared" ref="X80" si="56">X77+X78+X79</f>
        <v>98.8</v>
      </c>
      <c r="Y80" s="76">
        <f t="shared" si="52"/>
        <v>78</v>
      </c>
      <c r="Z80" s="76">
        <f t="shared" si="52"/>
        <v>85.8</v>
      </c>
      <c r="AA80" s="76">
        <f t="shared" si="52"/>
        <v>97.4</v>
      </c>
      <c r="AB80" s="76">
        <f t="shared" ref="AB80:AC80" si="57">AB77+AB78+AB79</f>
        <v>97.4</v>
      </c>
      <c r="AC80" s="76">
        <f t="shared" si="57"/>
        <v>97.4</v>
      </c>
      <c r="AD80" s="76">
        <f t="shared" ref="AD80:AE80" si="58">AD77+AD78+AD79</f>
        <v>97.4</v>
      </c>
      <c r="AE80" s="76">
        <f t="shared" si="58"/>
        <v>97.4</v>
      </c>
      <c r="AF80" s="76">
        <f t="shared" ref="AF80" si="59">AF77+AF78+AF79</f>
        <v>97.4</v>
      </c>
      <c r="AG80" s="93">
        <f>SUM(AG77:AG79)</f>
        <v>106</v>
      </c>
      <c r="AH80" s="12">
        <f t="shared" si="8"/>
        <v>98.8</v>
      </c>
      <c r="AI80" s="11">
        <f t="shared" si="9"/>
        <v>75.7</v>
      </c>
      <c r="AK80" s="19"/>
      <c r="AZ80" s="78">
        <f t="shared" si="44"/>
        <v>41</v>
      </c>
      <c r="BA80" s="78">
        <f t="shared" si="44"/>
        <v>42</v>
      </c>
      <c r="BB80" s="78">
        <f t="shared" si="44"/>
        <v>40.299999999999997</v>
      </c>
      <c r="BC80" s="78">
        <f t="shared" si="44"/>
        <v>41</v>
      </c>
      <c r="BD80" s="78">
        <f t="shared" si="44"/>
        <v>45</v>
      </c>
      <c r="BE80" s="78">
        <f t="shared" si="44"/>
        <v>34.1</v>
      </c>
      <c r="BF80" s="78">
        <f t="shared" si="44"/>
        <v>50.1</v>
      </c>
      <c r="BG80" s="78">
        <f t="shared" si="44"/>
        <v>54.5</v>
      </c>
      <c r="BH80" s="78">
        <f t="shared" si="44"/>
        <v>54.9</v>
      </c>
      <c r="BI80" s="78">
        <f t="shared" si="44"/>
        <v>55.9</v>
      </c>
      <c r="BJ80" s="78">
        <f t="shared" si="44"/>
        <v>53</v>
      </c>
      <c r="BK80" s="78">
        <f t="shared" si="44"/>
        <v>49</v>
      </c>
      <c r="BL80" s="78">
        <f t="shared" si="44"/>
        <v>52.7</v>
      </c>
      <c r="BM80" s="78">
        <f t="shared" si="44"/>
        <v>52.7</v>
      </c>
      <c r="BN80" s="78">
        <f t="shared" si="44"/>
        <v>57</v>
      </c>
      <c r="BO80" s="78">
        <f t="shared" si="44"/>
        <v>59</v>
      </c>
      <c r="BP80" s="78">
        <f t="shared" si="44"/>
        <v>53</v>
      </c>
      <c r="BQ80" s="78">
        <f t="shared" si="44"/>
        <v>42</v>
      </c>
      <c r="BR80" s="78">
        <f t="shared" si="44"/>
        <v>43.8</v>
      </c>
      <c r="BS80" s="78">
        <f t="shared" si="44"/>
        <v>41.7</v>
      </c>
      <c r="BT80" s="78">
        <f t="shared" si="44"/>
        <v>42</v>
      </c>
      <c r="BU80" s="78">
        <f t="shared" si="44"/>
        <v>44</v>
      </c>
      <c r="BV80" s="78">
        <f t="shared" si="44"/>
        <v>46</v>
      </c>
      <c r="BW80" s="78">
        <f t="shared" si="44"/>
        <v>41</v>
      </c>
    </row>
    <row r="81" spans="1:64" x14ac:dyDescent="0.25">
      <c r="A81" s="89" t="s">
        <v>157</v>
      </c>
      <c r="B81" s="102">
        <v>42</v>
      </c>
      <c r="C81" s="102">
        <v>42</v>
      </c>
      <c r="D81" s="102">
        <v>41</v>
      </c>
      <c r="E81" s="102">
        <v>35.5</v>
      </c>
      <c r="F81" s="102">
        <v>32.299999999999997</v>
      </c>
      <c r="G81" s="102">
        <v>32.5</v>
      </c>
      <c r="H81" s="102">
        <v>42.5</v>
      </c>
      <c r="I81" s="102">
        <v>35.9</v>
      </c>
      <c r="J81" s="102">
        <v>43</v>
      </c>
      <c r="K81" s="102">
        <v>65</v>
      </c>
      <c r="L81" s="102">
        <v>72.7</v>
      </c>
      <c r="M81" s="102">
        <v>71.2</v>
      </c>
      <c r="N81" s="102">
        <v>71.900000000000006</v>
      </c>
      <c r="O81" s="102">
        <v>68.5</v>
      </c>
      <c r="P81" s="102">
        <v>68.3</v>
      </c>
      <c r="Q81" s="102">
        <v>64.599999999999994</v>
      </c>
      <c r="R81" s="102">
        <v>71.099999999999994</v>
      </c>
      <c r="S81" s="102">
        <v>69</v>
      </c>
      <c r="T81" s="102">
        <v>70</v>
      </c>
      <c r="U81" s="102">
        <v>69</v>
      </c>
      <c r="V81" s="102">
        <v>69</v>
      </c>
      <c r="W81" s="102">
        <v>64</v>
      </c>
      <c r="X81" s="102">
        <v>64</v>
      </c>
      <c r="Y81" s="102">
        <v>64</v>
      </c>
      <c r="Z81" s="102">
        <v>68.3</v>
      </c>
      <c r="AA81" s="102">
        <v>27</v>
      </c>
      <c r="AB81" s="102">
        <v>26.9</v>
      </c>
      <c r="AC81" s="102">
        <v>33.4</v>
      </c>
      <c r="AD81" s="102">
        <v>32.1</v>
      </c>
      <c r="AE81" s="102">
        <v>26.9</v>
      </c>
      <c r="AF81" s="102">
        <v>15.9</v>
      </c>
      <c r="AG81" s="88"/>
      <c r="AH81" s="12">
        <f t="shared" si="8"/>
        <v>72.7</v>
      </c>
      <c r="AI81" s="11">
        <f t="shared" si="9"/>
        <v>15.9</v>
      </c>
      <c r="AK81" s="19"/>
      <c r="AY81" s="78"/>
    </row>
    <row r="82" spans="1:64" x14ac:dyDescent="0.25">
      <c r="A82" s="87" t="s">
        <v>160</v>
      </c>
      <c r="B82" s="70">
        <v>0</v>
      </c>
      <c r="C82" s="70">
        <v>0</v>
      </c>
      <c r="D82" s="70"/>
      <c r="E82" s="70"/>
      <c r="F82" s="70"/>
      <c r="G82" s="70"/>
      <c r="H82" s="70"/>
      <c r="I82" s="70"/>
      <c r="J82" s="70"/>
      <c r="K82" s="70">
        <v>88</v>
      </c>
      <c r="L82" s="70">
        <v>119</v>
      </c>
      <c r="M82" s="70">
        <v>118</v>
      </c>
      <c r="N82" s="70">
        <v>101.8</v>
      </c>
      <c r="O82" s="70">
        <v>110.4</v>
      </c>
      <c r="P82" s="70">
        <v>113.2</v>
      </c>
      <c r="Q82" s="70">
        <v>112.9</v>
      </c>
      <c r="R82" s="70">
        <v>102.6</v>
      </c>
      <c r="S82" s="70">
        <v>104.7</v>
      </c>
      <c r="T82" s="70">
        <v>117</v>
      </c>
      <c r="U82" s="70">
        <v>111.1</v>
      </c>
      <c r="V82" s="70">
        <v>111.1</v>
      </c>
      <c r="W82" s="70">
        <v>107</v>
      </c>
      <c r="X82" s="70">
        <v>109</v>
      </c>
      <c r="Y82" s="70">
        <v>109</v>
      </c>
      <c r="Z82" s="70">
        <v>0</v>
      </c>
      <c r="AA82" s="70">
        <v>0</v>
      </c>
      <c r="AB82" s="70">
        <v>0</v>
      </c>
      <c r="AC82" s="70">
        <v>0</v>
      </c>
      <c r="AD82" s="70">
        <v>0</v>
      </c>
      <c r="AE82" s="70">
        <v>0</v>
      </c>
      <c r="AF82" s="70">
        <v>0</v>
      </c>
      <c r="AG82" s="86"/>
      <c r="AH82" s="12">
        <f t="shared" ref="AH82:AH125" si="60">MAX(B82:AF82)</f>
        <v>119</v>
      </c>
      <c r="AI82" s="11">
        <f t="shared" ref="AI82:AI125" si="61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25">
      <c r="A83" s="87" t="s">
        <v>181</v>
      </c>
      <c r="B83" s="70">
        <v>46</v>
      </c>
      <c r="C83" s="70">
        <v>72</v>
      </c>
      <c r="D83" s="70">
        <v>62</v>
      </c>
      <c r="E83" s="70">
        <v>35.9</v>
      </c>
      <c r="F83" s="70">
        <v>26.2</v>
      </c>
      <c r="G83" s="70">
        <v>97.8</v>
      </c>
      <c r="H83" s="70">
        <v>80.900000000000006</v>
      </c>
      <c r="I83" s="70">
        <v>114.7</v>
      </c>
      <c r="J83" s="70">
        <v>396</v>
      </c>
      <c r="K83" s="70">
        <v>446</v>
      </c>
      <c r="L83" s="70">
        <v>467</v>
      </c>
      <c r="M83" s="70">
        <v>493.6</v>
      </c>
      <c r="N83" s="70">
        <v>504.3</v>
      </c>
      <c r="O83" s="70">
        <v>500.5</v>
      </c>
      <c r="P83" s="70">
        <v>495</v>
      </c>
      <c r="Q83" s="70">
        <v>498</v>
      </c>
      <c r="R83" s="70">
        <v>450</v>
      </c>
      <c r="S83" s="70">
        <v>392</v>
      </c>
      <c r="T83" s="70">
        <v>425</v>
      </c>
      <c r="U83" s="70">
        <v>402</v>
      </c>
      <c r="V83" s="70">
        <v>402</v>
      </c>
      <c r="W83" s="70">
        <v>422</v>
      </c>
      <c r="X83" s="70">
        <v>424</v>
      </c>
      <c r="Y83" s="70">
        <v>257</v>
      </c>
      <c r="Z83" s="70">
        <v>272</v>
      </c>
      <c r="AA83" s="70">
        <v>164</v>
      </c>
      <c r="AB83" s="70">
        <v>232.6</v>
      </c>
      <c r="AC83" s="70">
        <v>241.3</v>
      </c>
      <c r="AD83" s="70">
        <v>56.6</v>
      </c>
      <c r="AE83" s="70">
        <v>66.3</v>
      </c>
      <c r="AF83" s="70">
        <v>107.9</v>
      </c>
      <c r="AG83" s="96"/>
      <c r="AH83" s="12">
        <f t="shared" si="60"/>
        <v>504.3</v>
      </c>
      <c r="AI83" s="11">
        <f t="shared" si="61"/>
        <v>26.2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25">
      <c r="A84" s="87" t="s">
        <v>161</v>
      </c>
      <c r="B84" s="70"/>
      <c r="C84" s="70"/>
      <c r="D84" s="70"/>
      <c r="E84" s="85"/>
      <c r="F84" s="85"/>
      <c r="G84" s="85"/>
      <c r="H84" s="85"/>
      <c r="I84" s="85"/>
      <c r="J84" s="85">
        <v>38</v>
      </c>
      <c r="K84" s="85">
        <v>51.4</v>
      </c>
      <c r="L84" s="85">
        <v>50.7</v>
      </c>
      <c r="M84" s="85">
        <v>55.4</v>
      </c>
      <c r="N84" s="85">
        <v>44.2</v>
      </c>
      <c r="O84" s="85">
        <v>38.700000000000003</v>
      </c>
      <c r="P84" s="85">
        <v>48.4</v>
      </c>
      <c r="Q84" s="85">
        <v>54.3</v>
      </c>
      <c r="R84" s="85">
        <v>58.4</v>
      </c>
      <c r="S84" s="85">
        <v>49</v>
      </c>
      <c r="T84" s="85">
        <v>55</v>
      </c>
      <c r="U84" s="85">
        <v>44.2</v>
      </c>
      <c r="V84" s="85">
        <v>44.2</v>
      </c>
      <c r="W84" s="85">
        <v>43</v>
      </c>
      <c r="X84" s="85">
        <v>30</v>
      </c>
      <c r="Y84" s="85">
        <v>18.7</v>
      </c>
      <c r="Z84" s="85">
        <v>13.5</v>
      </c>
      <c r="AA84" s="85">
        <v>13.6</v>
      </c>
      <c r="AB84" s="85">
        <v>13.5</v>
      </c>
      <c r="AC84" s="85">
        <v>13.8</v>
      </c>
      <c r="AD84" s="85">
        <v>14.4</v>
      </c>
      <c r="AE84" s="85">
        <v>14.6</v>
      </c>
      <c r="AF84" s="85">
        <v>15.3</v>
      </c>
      <c r="AG84" s="96"/>
      <c r="AH84" s="12">
        <f t="shared" si="60"/>
        <v>58.4</v>
      </c>
      <c r="AI84" s="11">
        <f t="shared" si="61"/>
        <v>13.5</v>
      </c>
      <c r="AK84" s="19"/>
      <c r="AY84" s="78"/>
      <c r="BF84" s="83"/>
      <c r="BG84" s="78">
        <f t="array" ref="BG84:BL107">TRANSPOSE(AZ68:BW73)</f>
        <v>42</v>
      </c>
      <c r="BH84" s="78">
        <v>0</v>
      </c>
      <c r="BI84" s="78">
        <v>72</v>
      </c>
      <c r="BJ84" s="78">
        <v>0</v>
      </c>
      <c r="BK84" s="78">
        <v>0</v>
      </c>
      <c r="BL84" s="78">
        <v>41</v>
      </c>
    </row>
    <row r="85" spans="1:64" x14ac:dyDescent="0.25">
      <c r="A85" s="87" t="s">
        <v>180</v>
      </c>
      <c r="B85" s="102"/>
      <c r="C85" s="102"/>
      <c r="D85" s="102"/>
      <c r="E85" s="102"/>
      <c r="F85" s="102"/>
      <c r="G85" s="102"/>
      <c r="H85" s="102"/>
      <c r="I85" s="102"/>
      <c r="J85" s="102">
        <v>88</v>
      </c>
      <c r="K85" s="102">
        <v>110.2</v>
      </c>
      <c r="L85" s="102">
        <v>118.2</v>
      </c>
      <c r="M85" s="102">
        <v>108.3</v>
      </c>
      <c r="N85" s="102">
        <v>118.6</v>
      </c>
      <c r="O85" s="102">
        <v>131.30000000000001</v>
      </c>
      <c r="P85" s="102">
        <v>122.8</v>
      </c>
      <c r="Q85" s="102">
        <v>114.1</v>
      </c>
      <c r="R85" s="102">
        <v>115.8</v>
      </c>
      <c r="S85" s="102">
        <v>115.8</v>
      </c>
      <c r="T85" s="102">
        <v>121</v>
      </c>
      <c r="U85" s="102">
        <v>115.2</v>
      </c>
      <c r="V85" s="102">
        <v>115.2</v>
      </c>
      <c r="W85" s="102">
        <v>103</v>
      </c>
      <c r="X85" s="102">
        <v>106</v>
      </c>
      <c r="Y85" s="102">
        <v>92.1</v>
      </c>
      <c r="Z85" s="102">
        <v>0</v>
      </c>
      <c r="AA85" s="102">
        <v>0</v>
      </c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60"/>
        <v>131.30000000000001</v>
      </c>
      <c r="AI85" s="11">
        <f t="shared" si="61"/>
        <v>0</v>
      </c>
      <c r="AK85" s="19"/>
      <c r="AY85" s="78"/>
      <c r="BF85" s="83"/>
      <c r="BG85" s="78">
        <v>41</v>
      </c>
      <c r="BH85" s="78">
        <v>0</v>
      </c>
      <c r="BI85" s="78">
        <v>62</v>
      </c>
      <c r="BJ85" s="78">
        <v>0</v>
      </c>
      <c r="BK85" s="78">
        <v>0</v>
      </c>
      <c r="BL85" s="78">
        <v>42</v>
      </c>
    </row>
    <row r="86" spans="1:64" x14ac:dyDescent="0.25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60"/>
        <v>0</v>
      </c>
      <c r="AI86" s="11">
        <f t="shared" si="61"/>
        <v>0</v>
      </c>
      <c r="AK86" s="19"/>
      <c r="AY86" s="78"/>
      <c r="BF86" s="83"/>
      <c r="BG86" s="78">
        <v>35.5</v>
      </c>
      <c r="BH86" s="78">
        <v>0</v>
      </c>
      <c r="BI86" s="78">
        <v>35.9</v>
      </c>
      <c r="BJ86" s="78">
        <v>0</v>
      </c>
      <c r="BK86" s="78">
        <v>0</v>
      </c>
      <c r="BL86" s="78">
        <v>40.299999999999997</v>
      </c>
    </row>
    <row r="87" spans="1:64" ht="15.75" thickBot="1" x14ac:dyDescent="0.3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60"/>
        <v>0</v>
      </c>
      <c r="AI87" s="11">
        <f t="shared" si="61"/>
        <v>0</v>
      </c>
      <c r="AK87" s="19"/>
      <c r="AL87" s="108" t="s">
        <v>177</v>
      </c>
      <c r="AM87" s="108"/>
      <c r="AY87" s="78"/>
      <c r="BF87" s="78"/>
      <c r="BG87" s="78">
        <v>32.299999999999997</v>
      </c>
      <c r="BH87" s="78">
        <v>0</v>
      </c>
      <c r="BI87" s="78">
        <v>26.2</v>
      </c>
      <c r="BJ87" s="78">
        <v>0</v>
      </c>
      <c r="BK87" s="78">
        <v>0</v>
      </c>
      <c r="BL87" s="78">
        <v>41</v>
      </c>
    </row>
    <row r="88" spans="1:64" x14ac:dyDescent="0.25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60"/>
        <v>0</v>
      </c>
      <c r="AI88" s="11">
        <f t="shared" si="61"/>
        <v>0</v>
      </c>
      <c r="AK88" s="107"/>
      <c r="AL88" s="106"/>
      <c r="AM88" s="106"/>
      <c r="AN88" s="105"/>
      <c r="AY88" s="78"/>
      <c r="BF88" s="78"/>
      <c r="BG88" s="78">
        <v>32.5</v>
      </c>
      <c r="BH88" s="78">
        <v>0</v>
      </c>
      <c r="BI88" s="78">
        <v>97.8</v>
      </c>
      <c r="BJ88" s="78">
        <v>0</v>
      </c>
      <c r="BK88" s="78">
        <v>0</v>
      </c>
      <c r="BL88" s="78">
        <v>45</v>
      </c>
    </row>
    <row r="89" spans="1:64" x14ac:dyDescent="0.25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60"/>
        <v>0</v>
      </c>
      <c r="AI89" s="11">
        <f t="shared" si="61"/>
        <v>0</v>
      </c>
      <c r="AK89" s="104" t="s">
        <v>174</v>
      </c>
      <c r="AL89" s="70"/>
      <c r="AM89" s="85"/>
      <c r="AN89" s="103"/>
      <c r="AY89" s="78"/>
      <c r="BF89" s="78"/>
      <c r="BG89" s="78">
        <v>35.9</v>
      </c>
      <c r="BH89" s="78">
        <v>0</v>
      </c>
      <c r="BI89" s="78">
        <v>114.7</v>
      </c>
      <c r="BJ89" s="78">
        <v>0</v>
      </c>
      <c r="BK89" s="78">
        <v>0</v>
      </c>
      <c r="BL89" s="78">
        <v>34.1</v>
      </c>
    </row>
    <row r="90" spans="1:64" x14ac:dyDescent="0.25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60"/>
        <v>0</v>
      </c>
      <c r="AI90" s="11">
        <f t="shared" si="61"/>
        <v>0</v>
      </c>
      <c r="AK90" s="104" t="s">
        <v>172</v>
      </c>
      <c r="AL90" s="85"/>
      <c r="AM90" s="85"/>
      <c r="AN90" s="103"/>
      <c r="AY90" s="78"/>
      <c r="BF90" s="78"/>
      <c r="BG90" s="78">
        <v>65</v>
      </c>
      <c r="BH90" s="78">
        <v>88</v>
      </c>
      <c r="BI90" s="78">
        <v>446</v>
      </c>
      <c r="BJ90" s="78">
        <v>51.4</v>
      </c>
      <c r="BK90" s="78">
        <v>110.2</v>
      </c>
      <c r="BL90" s="78">
        <v>50.1</v>
      </c>
    </row>
    <row r="91" spans="1:64" ht="15.75" thickBot="1" x14ac:dyDescent="0.3">
      <c r="A91" s="82" t="s">
        <v>171</v>
      </c>
      <c r="B91" s="97">
        <v>41</v>
      </c>
      <c r="C91" s="97">
        <v>41</v>
      </c>
      <c r="D91" s="97">
        <v>42</v>
      </c>
      <c r="E91" s="97">
        <v>40.299999999999997</v>
      </c>
      <c r="F91" s="97">
        <v>41</v>
      </c>
      <c r="G91" s="97">
        <v>45</v>
      </c>
      <c r="H91" s="97">
        <v>37.1</v>
      </c>
      <c r="I91" s="97">
        <v>34.1</v>
      </c>
      <c r="J91" s="97">
        <v>50</v>
      </c>
      <c r="K91" s="97">
        <v>50.1</v>
      </c>
      <c r="L91" s="97">
        <v>50.100999999999999</v>
      </c>
      <c r="M91" s="97">
        <v>54.5</v>
      </c>
      <c r="N91" s="97">
        <v>54.9</v>
      </c>
      <c r="O91" s="97">
        <v>55.9</v>
      </c>
      <c r="P91" s="97">
        <v>53</v>
      </c>
      <c r="Q91" s="97">
        <v>49</v>
      </c>
      <c r="R91" s="97">
        <v>52.7</v>
      </c>
      <c r="S91" s="97">
        <v>52.7</v>
      </c>
      <c r="T91" s="97">
        <v>57</v>
      </c>
      <c r="U91" s="97">
        <v>59</v>
      </c>
      <c r="V91" s="97">
        <v>53</v>
      </c>
      <c r="W91" s="97">
        <v>47</v>
      </c>
      <c r="X91" s="97">
        <v>42</v>
      </c>
      <c r="Y91" s="97">
        <v>42</v>
      </c>
      <c r="Z91" s="97">
        <v>43.8</v>
      </c>
      <c r="AA91" s="97">
        <v>40</v>
      </c>
      <c r="AB91" s="97">
        <v>41.7</v>
      </c>
      <c r="AC91" s="97">
        <v>41.8</v>
      </c>
      <c r="AD91" s="97">
        <v>42</v>
      </c>
      <c r="AE91" s="97">
        <v>44</v>
      </c>
      <c r="AF91" s="97">
        <v>46</v>
      </c>
      <c r="AG91" s="80"/>
      <c r="AH91" s="12">
        <f t="shared" si="60"/>
        <v>59</v>
      </c>
      <c r="AI91" s="11">
        <f t="shared" si="61"/>
        <v>34.1</v>
      </c>
      <c r="AK91" s="98"/>
      <c r="AL91" s="102"/>
      <c r="AM91" s="102"/>
      <c r="AN91" s="101"/>
      <c r="AY91" s="78"/>
      <c r="BF91" s="78"/>
      <c r="BG91" s="78">
        <v>71.2</v>
      </c>
      <c r="BH91" s="78">
        <v>118</v>
      </c>
      <c r="BI91" s="78">
        <v>493.6</v>
      </c>
      <c r="BJ91" s="78">
        <v>55.4</v>
      </c>
      <c r="BK91" s="78">
        <v>108.3</v>
      </c>
      <c r="BL91" s="78">
        <v>54.5</v>
      </c>
    </row>
    <row r="92" spans="1:64" ht="15.75" thickBot="1" x14ac:dyDescent="0.3">
      <c r="A92" s="77" t="s">
        <v>170</v>
      </c>
      <c r="B92" s="76">
        <f t="shared" ref="B92:AA92" si="62">SUMIF(B81:B91,"&gt;0")</f>
        <v>129</v>
      </c>
      <c r="C92" s="76">
        <f t="shared" si="62"/>
        <v>155</v>
      </c>
      <c r="D92" s="76">
        <f t="shared" si="62"/>
        <v>145</v>
      </c>
      <c r="E92" s="76">
        <f t="shared" si="62"/>
        <v>111.7</v>
      </c>
      <c r="F92" s="76">
        <f t="shared" si="62"/>
        <v>99.5</v>
      </c>
      <c r="G92" s="76">
        <f t="shared" si="62"/>
        <v>175.3</v>
      </c>
      <c r="H92" s="76">
        <f t="shared" si="62"/>
        <v>160.5</v>
      </c>
      <c r="I92" s="76">
        <f t="shared" si="62"/>
        <v>184.7</v>
      </c>
      <c r="J92" s="76">
        <f t="shared" si="62"/>
        <v>615</v>
      </c>
      <c r="K92" s="76">
        <f t="shared" si="62"/>
        <v>810.7</v>
      </c>
      <c r="L92" s="76">
        <f t="shared" si="62"/>
        <v>877.70100000000014</v>
      </c>
      <c r="M92" s="76">
        <f t="shared" si="62"/>
        <v>900.99999999999989</v>
      </c>
      <c r="N92" s="76">
        <f t="shared" si="62"/>
        <v>895.7</v>
      </c>
      <c r="O92" s="76">
        <f t="shared" si="62"/>
        <v>905.30000000000007</v>
      </c>
      <c r="P92" s="76">
        <f t="shared" si="62"/>
        <v>900.69999999999993</v>
      </c>
      <c r="Q92" s="76">
        <f t="shared" si="62"/>
        <v>892.9</v>
      </c>
      <c r="R92" s="76">
        <f t="shared" si="62"/>
        <v>850.6</v>
      </c>
      <c r="S92" s="76">
        <f t="shared" ref="S92:T92" si="63">SUMIF(S81:S91,"&gt;0")</f>
        <v>783.2</v>
      </c>
      <c r="T92" s="76">
        <f t="shared" si="63"/>
        <v>845</v>
      </c>
      <c r="U92" s="76">
        <f t="shared" si="62"/>
        <v>800.50000000000011</v>
      </c>
      <c r="V92" s="76">
        <f t="shared" ref="V92" si="64">SUMIF(V81:V91,"&gt;0")</f>
        <v>794.50000000000011</v>
      </c>
      <c r="W92" s="76">
        <f t="shared" si="62"/>
        <v>786</v>
      </c>
      <c r="X92" s="76">
        <f t="shared" ref="X92" si="65">SUMIF(X81:X91,"&gt;0")</f>
        <v>775</v>
      </c>
      <c r="Y92" s="76">
        <f t="shared" si="62"/>
        <v>582.79999999999995</v>
      </c>
      <c r="Z92" s="76">
        <f t="shared" si="62"/>
        <v>397.6</v>
      </c>
      <c r="AA92" s="76">
        <f t="shared" si="62"/>
        <v>244.6</v>
      </c>
      <c r="AB92" s="76">
        <f t="shared" ref="AB92:AC92" si="66">SUMIF(AB81:AB91,"&gt;0")</f>
        <v>314.7</v>
      </c>
      <c r="AC92" s="76">
        <f t="shared" si="66"/>
        <v>330.3</v>
      </c>
      <c r="AD92" s="76">
        <f t="shared" ref="AD92:AE92" si="67">SUMIF(AD81:AD91,"&gt;0")</f>
        <v>145.10000000000002</v>
      </c>
      <c r="AE92" s="76">
        <f t="shared" si="67"/>
        <v>151.79999999999998</v>
      </c>
      <c r="AF92" s="76">
        <f t="shared" ref="AF92" si="68">SUMIF(AF81:AF91,"&gt;0")</f>
        <v>185.10000000000002</v>
      </c>
      <c r="AG92" s="75">
        <f>SUM(AG81:AG91)</f>
        <v>0</v>
      </c>
      <c r="AH92" s="12">
        <f t="shared" si="60"/>
        <v>905.30000000000007</v>
      </c>
      <c r="AI92" s="11">
        <f t="shared" si="61"/>
        <v>99.5</v>
      </c>
      <c r="AK92" s="98"/>
      <c r="AL92" s="97"/>
      <c r="AM92" s="100"/>
      <c r="AN92" s="220"/>
      <c r="AY92" s="78"/>
      <c r="BF92" s="78"/>
      <c r="BG92" s="78">
        <v>71.900000000000006</v>
      </c>
      <c r="BH92" s="78">
        <v>101.8</v>
      </c>
      <c r="BI92" s="78">
        <v>504.3</v>
      </c>
      <c r="BJ92" s="78">
        <v>44.2</v>
      </c>
      <c r="BK92" s="78">
        <v>118.6</v>
      </c>
      <c r="BL92" s="78">
        <v>54.9</v>
      </c>
    </row>
    <row r="93" spans="1:64" x14ac:dyDescent="0.25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60"/>
        <v>0</v>
      </c>
      <c r="AI93" s="11">
        <f t="shared" si="61"/>
        <v>0</v>
      </c>
      <c r="AK93" s="98"/>
      <c r="AL93" s="97"/>
      <c r="AM93" s="97"/>
      <c r="AN93" s="221"/>
      <c r="BF93" s="78"/>
      <c r="BG93" s="78">
        <v>68.5</v>
      </c>
      <c r="BH93" s="78">
        <v>110.4</v>
      </c>
      <c r="BI93" s="78">
        <v>500.5</v>
      </c>
      <c r="BJ93" s="78">
        <v>38.700000000000003</v>
      </c>
      <c r="BK93" s="78">
        <v>131.30000000000001</v>
      </c>
      <c r="BL93" s="78">
        <v>55.9</v>
      </c>
    </row>
    <row r="94" spans="1:64" ht="15.75" thickBot="1" x14ac:dyDescent="0.3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60"/>
        <v>0</v>
      </c>
      <c r="AI94" s="11">
        <f t="shared" si="61"/>
        <v>0</v>
      </c>
      <c r="AK94" s="95"/>
      <c r="AL94" s="67"/>
      <c r="AM94" s="67"/>
      <c r="AN94" s="94"/>
      <c r="BF94" s="78"/>
      <c r="BG94" s="78">
        <v>68.3</v>
      </c>
      <c r="BH94" s="78">
        <v>113.2</v>
      </c>
      <c r="BI94" s="78">
        <v>495</v>
      </c>
      <c r="BJ94" s="78">
        <v>48.4</v>
      </c>
      <c r="BK94" s="78">
        <v>122.8</v>
      </c>
      <c r="BL94" s="78">
        <v>53</v>
      </c>
    </row>
    <row r="95" spans="1:64" ht="15.75" thickBot="1" x14ac:dyDescent="0.3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60"/>
        <v>0</v>
      </c>
      <c r="AI95" s="11">
        <f t="shared" si="61"/>
        <v>0</v>
      </c>
      <c r="BF95" s="78"/>
      <c r="BG95" s="78">
        <v>64.599999999999994</v>
      </c>
      <c r="BH95" s="78">
        <v>112.9</v>
      </c>
      <c r="BI95" s="78">
        <v>498</v>
      </c>
      <c r="BJ95" s="78">
        <v>54.3</v>
      </c>
      <c r="BK95" s="78">
        <v>114.1</v>
      </c>
      <c r="BL95" s="78">
        <v>49</v>
      </c>
    </row>
    <row r="96" spans="1:64" ht="15.75" thickBot="1" x14ac:dyDescent="0.3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60"/>
        <v>0</v>
      </c>
      <c r="AI96" s="11">
        <f t="shared" si="61"/>
        <v>0</v>
      </c>
      <c r="BF96" s="78"/>
      <c r="BG96" s="78">
        <v>71.099999999999994</v>
      </c>
      <c r="BH96" s="78">
        <v>102.6</v>
      </c>
      <c r="BI96" s="78">
        <v>450</v>
      </c>
      <c r="BJ96" s="78">
        <v>58.4</v>
      </c>
      <c r="BK96" s="78">
        <v>115.8</v>
      </c>
      <c r="BL96" s="78">
        <v>52.7</v>
      </c>
    </row>
    <row r="97" spans="1:64" ht="15.75" thickBot="1" x14ac:dyDescent="0.3">
      <c r="A97" s="77" t="s">
        <v>165</v>
      </c>
      <c r="B97" s="90">
        <f t="shared" ref="B97:AG97" si="69">B58+B62+B80+B76+B92+B96</f>
        <v>1251.99</v>
      </c>
      <c r="C97" s="90">
        <f t="shared" si="69"/>
        <v>1262.99</v>
      </c>
      <c r="D97" s="90">
        <f t="shared" si="69"/>
        <v>1211.99</v>
      </c>
      <c r="E97" s="90">
        <f t="shared" si="69"/>
        <v>1187.3900000000001</v>
      </c>
      <c r="F97" s="90">
        <f t="shared" si="69"/>
        <v>1175.99</v>
      </c>
      <c r="G97" s="90">
        <f t="shared" si="69"/>
        <v>1195.19</v>
      </c>
      <c r="H97" s="90">
        <f t="shared" si="69"/>
        <v>1191.4900000000002</v>
      </c>
      <c r="I97" s="90">
        <f t="shared" si="69"/>
        <v>1225.2900000000002</v>
      </c>
      <c r="J97" s="90">
        <f t="shared" si="69"/>
        <v>1524.79</v>
      </c>
      <c r="K97" s="90">
        <f t="shared" si="69"/>
        <v>1665.89</v>
      </c>
      <c r="L97" s="90">
        <f t="shared" si="69"/>
        <v>1756.8910000000001</v>
      </c>
      <c r="M97" s="90">
        <f t="shared" si="69"/>
        <v>1802.4899999999998</v>
      </c>
      <c r="N97" s="90">
        <f t="shared" si="69"/>
        <v>1807.79</v>
      </c>
      <c r="O97" s="90">
        <f t="shared" si="69"/>
        <v>1830.69</v>
      </c>
      <c r="P97" s="90">
        <f t="shared" si="69"/>
        <v>1833.29</v>
      </c>
      <c r="Q97" s="90">
        <f t="shared" si="69"/>
        <v>1817.19</v>
      </c>
      <c r="R97" s="90">
        <f t="shared" si="69"/>
        <v>1749.99</v>
      </c>
      <c r="S97" s="90">
        <f t="shared" ref="S97:T97" si="70">S58+S62+S80+S76+S92+S96</f>
        <v>1699.29</v>
      </c>
      <c r="T97" s="90">
        <f t="shared" si="70"/>
        <v>1751.09</v>
      </c>
      <c r="U97" s="90">
        <f t="shared" si="69"/>
        <v>1695.5900000000001</v>
      </c>
      <c r="V97" s="90">
        <f t="shared" ref="V97" si="71">V58+V62+V80+V76+V92+V96</f>
        <v>1676.4900000000002</v>
      </c>
      <c r="W97" s="90">
        <f t="shared" si="69"/>
        <v>1632.19</v>
      </c>
      <c r="X97" s="90">
        <f t="shared" ref="X97" si="72">X58+X62+X80+X76+X92+X96</f>
        <v>1605.39</v>
      </c>
      <c r="Y97" s="90">
        <f t="shared" si="69"/>
        <v>1500.95</v>
      </c>
      <c r="Z97" s="90">
        <f t="shared" si="69"/>
        <v>1647.25</v>
      </c>
      <c r="AA97" s="90">
        <f t="shared" si="69"/>
        <v>1638.8899999999999</v>
      </c>
      <c r="AB97" s="90">
        <f t="shared" ref="AB97:AC97" si="73">AB58+AB62+AB80+AB76+AB92+AB96</f>
        <v>1594.0900000000001</v>
      </c>
      <c r="AC97" s="90">
        <f t="shared" si="73"/>
        <v>1596.89</v>
      </c>
      <c r="AD97" s="90">
        <f t="shared" ref="AD97:AE97" si="74">AD58+AD62+AD80+AD76+AD92+AD96</f>
        <v>1497.29</v>
      </c>
      <c r="AE97" s="90">
        <f t="shared" si="74"/>
        <v>1367.99</v>
      </c>
      <c r="AF97" s="90">
        <f t="shared" ref="AF97" si="75">AF58+AF62+AF80+AF76+AF92+AF96</f>
        <v>1318.79</v>
      </c>
      <c r="AG97" s="93">
        <f t="shared" si="69"/>
        <v>2231.81</v>
      </c>
      <c r="AH97" s="12">
        <f t="shared" si="60"/>
        <v>1833.29</v>
      </c>
      <c r="AI97" s="11">
        <f t="shared" si="61"/>
        <v>1175.99</v>
      </c>
      <c r="BF97" s="78"/>
      <c r="BG97" s="78">
        <v>69</v>
      </c>
      <c r="BH97" s="78">
        <v>104.7</v>
      </c>
      <c r="BI97" s="78">
        <v>392</v>
      </c>
      <c r="BJ97" s="78">
        <v>49</v>
      </c>
      <c r="BK97" s="78">
        <v>115.8</v>
      </c>
      <c r="BL97" s="78">
        <v>52.7</v>
      </c>
    </row>
    <row r="98" spans="1:64" ht="15.75" thickBot="1" x14ac:dyDescent="0.3">
      <c r="A98" s="92" t="s">
        <v>164</v>
      </c>
      <c r="B98" s="91">
        <v>280</v>
      </c>
      <c r="C98" s="91">
        <v>280</v>
      </c>
      <c r="D98" s="91">
        <v>280</v>
      </c>
      <c r="E98" s="91">
        <v>280</v>
      </c>
      <c r="F98" s="91">
        <v>280</v>
      </c>
      <c r="G98" s="91">
        <v>280</v>
      </c>
      <c r="H98" s="91">
        <v>280</v>
      </c>
      <c r="I98" s="91">
        <v>280</v>
      </c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>
        <v>250</v>
      </c>
      <c r="Z98" s="91">
        <v>280</v>
      </c>
      <c r="AA98" s="91">
        <v>280</v>
      </c>
      <c r="AB98" s="91">
        <v>280</v>
      </c>
      <c r="AC98" s="91">
        <v>280</v>
      </c>
      <c r="AD98" s="91">
        <v>280</v>
      </c>
      <c r="AE98" s="91">
        <v>330</v>
      </c>
      <c r="AF98" s="91">
        <v>330</v>
      </c>
      <c r="AG98" s="75"/>
      <c r="AH98" s="12">
        <f t="shared" si="60"/>
        <v>330</v>
      </c>
      <c r="AI98" s="11">
        <f t="shared" si="61"/>
        <v>250</v>
      </c>
      <c r="BF98" s="78"/>
      <c r="BG98" s="78">
        <v>70</v>
      </c>
      <c r="BH98" s="78">
        <v>117</v>
      </c>
      <c r="BI98" s="78">
        <v>425</v>
      </c>
      <c r="BJ98" s="78">
        <v>55</v>
      </c>
      <c r="BK98" s="78">
        <v>121</v>
      </c>
      <c r="BL98" s="78">
        <v>57</v>
      </c>
    </row>
    <row r="99" spans="1:64" ht="15.75" thickBot="1" x14ac:dyDescent="0.3">
      <c r="A99" s="77" t="s">
        <v>163</v>
      </c>
      <c r="B99" s="90">
        <f t="shared" ref="B99:AA99" si="76">B97+B98</f>
        <v>1531.99</v>
      </c>
      <c r="C99" s="90">
        <f t="shared" si="76"/>
        <v>1542.99</v>
      </c>
      <c r="D99" s="90">
        <f t="shared" si="76"/>
        <v>1491.99</v>
      </c>
      <c r="E99" s="90">
        <f t="shared" si="76"/>
        <v>1467.39</v>
      </c>
      <c r="F99" s="90">
        <f t="shared" si="76"/>
        <v>1455.99</v>
      </c>
      <c r="G99" s="90">
        <f t="shared" si="76"/>
        <v>1475.19</v>
      </c>
      <c r="H99" s="90">
        <f t="shared" si="76"/>
        <v>1471.4900000000002</v>
      </c>
      <c r="I99" s="90">
        <f t="shared" si="76"/>
        <v>1505.2900000000002</v>
      </c>
      <c r="J99" s="90">
        <f t="shared" si="76"/>
        <v>1524.79</v>
      </c>
      <c r="K99" s="90">
        <f t="shared" si="76"/>
        <v>1665.89</v>
      </c>
      <c r="L99" s="90">
        <f t="shared" si="76"/>
        <v>1756.8910000000001</v>
      </c>
      <c r="M99" s="90">
        <f t="shared" si="76"/>
        <v>1802.4899999999998</v>
      </c>
      <c r="N99" s="90">
        <f t="shared" si="76"/>
        <v>1807.79</v>
      </c>
      <c r="O99" s="90">
        <f t="shared" si="76"/>
        <v>1830.69</v>
      </c>
      <c r="P99" s="90">
        <f t="shared" si="76"/>
        <v>1833.29</v>
      </c>
      <c r="Q99" s="90">
        <f t="shared" si="76"/>
        <v>1817.19</v>
      </c>
      <c r="R99" s="90">
        <f t="shared" si="76"/>
        <v>1749.99</v>
      </c>
      <c r="S99" s="90">
        <f t="shared" ref="S99:T99" si="77">S97+S98</f>
        <v>1699.29</v>
      </c>
      <c r="T99" s="90">
        <f t="shared" si="77"/>
        <v>1751.09</v>
      </c>
      <c r="U99" s="90">
        <f t="shared" si="76"/>
        <v>1695.5900000000001</v>
      </c>
      <c r="V99" s="90">
        <f t="shared" ref="V99" si="78">V97+V98</f>
        <v>1676.4900000000002</v>
      </c>
      <c r="W99" s="90">
        <f t="shared" si="76"/>
        <v>1632.19</v>
      </c>
      <c r="X99" s="90">
        <f t="shared" ref="X99" si="79">X97+X98</f>
        <v>1605.39</v>
      </c>
      <c r="Y99" s="90">
        <f t="shared" si="76"/>
        <v>1750.95</v>
      </c>
      <c r="Z99" s="90">
        <f t="shared" si="76"/>
        <v>1927.25</v>
      </c>
      <c r="AA99" s="90">
        <f t="shared" si="76"/>
        <v>1918.8899999999999</v>
      </c>
      <c r="AB99" s="90">
        <f t="shared" ref="AB99:AC99" si="80">AB97+AB98</f>
        <v>1874.0900000000001</v>
      </c>
      <c r="AC99" s="90">
        <f t="shared" si="80"/>
        <v>1876.89</v>
      </c>
      <c r="AD99" s="90">
        <f t="shared" ref="AD99:AE99" si="81">AD97+AD98</f>
        <v>1777.29</v>
      </c>
      <c r="AE99" s="90">
        <f t="shared" si="81"/>
        <v>1697.99</v>
      </c>
      <c r="AF99" s="90">
        <f t="shared" ref="AF99" si="82">AF97+AF98</f>
        <v>1648.79</v>
      </c>
      <c r="AG99" s="75">
        <f>AG96+AG92+AG80+AG76+AG58+AG98</f>
        <v>1693.71</v>
      </c>
      <c r="AH99" s="12">
        <f t="shared" si="60"/>
        <v>1927.25</v>
      </c>
      <c r="AI99" s="11">
        <f t="shared" si="61"/>
        <v>1455.99</v>
      </c>
      <c r="BF99" s="78"/>
      <c r="BG99" s="78">
        <v>69</v>
      </c>
      <c r="BH99" s="78">
        <v>111.1</v>
      </c>
      <c r="BI99" s="78">
        <v>402</v>
      </c>
      <c r="BJ99" s="78">
        <v>44.2</v>
      </c>
      <c r="BK99" s="78">
        <v>115.2</v>
      </c>
      <c r="BL99" s="78">
        <v>59</v>
      </c>
    </row>
    <row r="100" spans="1:64" ht="15.75" thickBot="1" x14ac:dyDescent="0.3">
      <c r="A100" s="77" t="s">
        <v>162</v>
      </c>
      <c r="B100" s="90">
        <f t="shared" ref="B100:AA100" si="83">B99-(B107)</f>
        <v>1531.99</v>
      </c>
      <c r="C100" s="90">
        <f t="shared" si="83"/>
        <v>1542.99</v>
      </c>
      <c r="D100" s="90">
        <f t="shared" si="83"/>
        <v>1491.99</v>
      </c>
      <c r="E100" s="90">
        <f t="shared" si="83"/>
        <v>1467.39</v>
      </c>
      <c r="F100" s="90">
        <f t="shared" si="83"/>
        <v>1455.99</v>
      </c>
      <c r="G100" s="90">
        <f t="shared" si="83"/>
        <v>1475.19</v>
      </c>
      <c r="H100" s="90">
        <f t="shared" si="83"/>
        <v>1471.4900000000002</v>
      </c>
      <c r="I100" s="90">
        <f t="shared" si="83"/>
        <v>1505.2900000000002</v>
      </c>
      <c r="J100" s="90">
        <f t="shared" si="83"/>
        <v>1524.79</v>
      </c>
      <c r="K100" s="90">
        <f t="shared" si="83"/>
        <v>1665.89</v>
      </c>
      <c r="L100" s="90">
        <f t="shared" si="83"/>
        <v>1756.8910000000001</v>
      </c>
      <c r="M100" s="90">
        <f t="shared" si="83"/>
        <v>1802.4899999999998</v>
      </c>
      <c r="N100" s="90">
        <f t="shared" si="83"/>
        <v>1807.79</v>
      </c>
      <c r="O100" s="90">
        <f t="shared" si="83"/>
        <v>1830.69</v>
      </c>
      <c r="P100" s="90">
        <f t="shared" si="83"/>
        <v>1833.29</v>
      </c>
      <c r="Q100" s="90">
        <f t="shared" si="83"/>
        <v>1817.19</v>
      </c>
      <c r="R100" s="90">
        <f t="shared" si="83"/>
        <v>1749.99</v>
      </c>
      <c r="S100" s="90">
        <f t="shared" ref="S100:T100" si="84">S99-(S107)</f>
        <v>1698.29</v>
      </c>
      <c r="T100" s="90">
        <f t="shared" si="84"/>
        <v>1751.09</v>
      </c>
      <c r="U100" s="90">
        <f t="shared" si="83"/>
        <v>1695.5900000000001</v>
      </c>
      <c r="V100" s="90">
        <f t="shared" ref="V100" si="85">V99-(V107)</f>
        <v>1676.4900000000002</v>
      </c>
      <c r="W100" s="90">
        <f t="shared" si="83"/>
        <v>1632.19</v>
      </c>
      <c r="X100" s="90">
        <f t="shared" ref="X100" si="86">X99-(X107)</f>
        <v>1604.39</v>
      </c>
      <c r="Y100" s="90">
        <f t="shared" si="83"/>
        <v>1750.95</v>
      </c>
      <c r="Z100" s="90">
        <f t="shared" si="83"/>
        <v>1927.25</v>
      </c>
      <c r="AA100" s="90">
        <f t="shared" si="83"/>
        <v>1918.8899999999999</v>
      </c>
      <c r="AB100" s="90">
        <f t="shared" ref="AB100:AC100" si="87">AB99-(AB107)</f>
        <v>1874.0900000000001</v>
      </c>
      <c r="AC100" s="90">
        <f t="shared" si="87"/>
        <v>1876.89</v>
      </c>
      <c r="AD100" s="90">
        <f t="shared" ref="AD100:AE100" si="88">AD99-(AD107)</f>
        <v>1777.29</v>
      </c>
      <c r="AE100" s="90">
        <f t="shared" si="88"/>
        <v>1697.99</v>
      </c>
      <c r="AF100" s="90">
        <f t="shared" ref="AF100" si="89">AF99-(AF107)</f>
        <v>1648.79</v>
      </c>
      <c r="AG100" s="75"/>
      <c r="AH100" s="12">
        <f t="shared" si="60"/>
        <v>1927.25</v>
      </c>
      <c r="AI100" s="11">
        <f t="shared" si="61"/>
        <v>1455.99</v>
      </c>
      <c r="BF100" s="78"/>
      <c r="BG100" s="78">
        <v>69</v>
      </c>
      <c r="BH100" s="78">
        <v>111.1</v>
      </c>
      <c r="BI100" s="78">
        <v>402</v>
      </c>
      <c r="BJ100" s="78">
        <v>44.2</v>
      </c>
      <c r="BK100" s="78">
        <v>115.2</v>
      </c>
      <c r="BL100" s="78">
        <v>53</v>
      </c>
    </row>
    <row r="101" spans="1:64" x14ac:dyDescent="0.25">
      <c r="A101" s="89" t="s">
        <v>161</v>
      </c>
      <c r="B101" s="85">
        <f t="shared" ref="B101:AA101" si="90">IF(B84&lt;0,B84*-1,0)</f>
        <v>0</v>
      </c>
      <c r="C101" s="85">
        <f t="shared" si="90"/>
        <v>0</v>
      </c>
      <c r="D101" s="85">
        <f t="shared" si="90"/>
        <v>0</v>
      </c>
      <c r="E101" s="85">
        <f t="shared" si="90"/>
        <v>0</v>
      </c>
      <c r="F101" s="85">
        <f t="shared" si="90"/>
        <v>0</v>
      </c>
      <c r="G101" s="85">
        <f t="shared" si="90"/>
        <v>0</v>
      </c>
      <c r="H101" s="85">
        <f t="shared" si="90"/>
        <v>0</v>
      </c>
      <c r="I101" s="85">
        <f t="shared" si="90"/>
        <v>0</v>
      </c>
      <c r="J101" s="85">
        <f t="shared" si="90"/>
        <v>0</v>
      </c>
      <c r="K101" s="85">
        <f t="shared" si="90"/>
        <v>0</v>
      </c>
      <c r="L101" s="85">
        <f t="shared" si="90"/>
        <v>0</v>
      </c>
      <c r="M101" s="85">
        <f t="shared" si="90"/>
        <v>0</v>
      </c>
      <c r="N101" s="85">
        <f t="shared" si="90"/>
        <v>0</v>
      </c>
      <c r="O101" s="85">
        <f t="shared" si="90"/>
        <v>0</v>
      </c>
      <c r="P101" s="85">
        <f t="shared" si="90"/>
        <v>0</v>
      </c>
      <c r="Q101" s="85">
        <f t="shared" si="90"/>
        <v>0</v>
      </c>
      <c r="R101" s="85">
        <f t="shared" si="90"/>
        <v>0</v>
      </c>
      <c r="S101" s="85">
        <f t="shared" ref="S101:T101" si="91">IF(S84&lt;0,S84*-1,0)</f>
        <v>0</v>
      </c>
      <c r="T101" s="85">
        <f t="shared" si="91"/>
        <v>0</v>
      </c>
      <c r="U101" s="85">
        <f t="shared" si="90"/>
        <v>0</v>
      </c>
      <c r="V101" s="85">
        <f t="shared" ref="V101" si="92">IF(V84&lt;0,V84*-1,0)</f>
        <v>0</v>
      </c>
      <c r="W101" s="85">
        <f t="shared" si="90"/>
        <v>0</v>
      </c>
      <c r="X101" s="85">
        <f t="shared" ref="X101" si="93">IF(X84&lt;0,X84*-1,0)</f>
        <v>0</v>
      </c>
      <c r="Y101" s="85">
        <f t="shared" si="90"/>
        <v>0</v>
      </c>
      <c r="Z101" s="85">
        <f t="shared" si="90"/>
        <v>0</v>
      </c>
      <c r="AA101" s="85">
        <f t="shared" si="90"/>
        <v>0</v>
      </c>
      <c r="AB101" s="85">
        <f t="shared" ref="AB101:AC101" si="94">IF(AB84&lt;0,AB84*-1,0)</f>
        <v>0</v>
      </c>
      <c r="AC101" s="85">
        <f t="shared" si="94"/>
        <v>0</v>
      </c>
      <c r="AD101" s="85">
        <f t="shared" ref="AD101:AE101" si="95">IF(AD84&lt;0,AD84*-1,0)</f>
        <v>0</v>
      </c>
      <c r="AE101" s="85">
        <f t="shared" si="95"/>
        <v>0</v>
      </c>
      <c r="AF101" s="85">
        <f t="shared" ref="AF101" si="96">IF(AF84&lt;0,AF84*-1,0)</f>
        <v>0</v>
      </c>
      <c r="AG101" s="88"/>
      <c r="AH101" s="12">
        <f t="shared" si="60"/>
        <v>0</v>
      </c>
      <c r="AI101" s="11">
        <f t="shared" si="61"/>
        <v>0</v>
      </c>
      <c r="BF101" s="83"/>
      <c r="BG101" s="78">
        <v>64</v>
      </c>
      <c r="BH101" s="78">
        <v>109</v>
      </c>
      <c r="BI101" s="78">
        <v>424</v>
      </c>
      <c r="BJ101" s="78">
        <v>30</v>
      </c>
      <c r="BK101" s="78">
        <v>106</v>
      </c>
      <c r="BL101" s="78">
        <v>42</v>
      </c>
    </row>
    <row r="102" spans="1:64" x14ac:dyDescent="0.25">
      <c r="A102" s="87" t="s">
        <v>160</v>
      </c>
      <c r="B102" s="85">
        <f t="shared" ref="B102:AA102" si="97">IF(B82&lt;0,B82*-1,0)</f>
        <v>0</v>
      </c>
      <c r="C102" s="85">
        <f t="shared" si="97"/>
        <v>0</v>
      </c>
      <c r="D102" s="85">
        <f t="shared" si="97"/>
        <v>0</v>
      </c>
      <c r="E102" s="85">
        <f t="shared" si="97"/>
        <v>0</v>
      </c>
      <c r="F102" s="85">
        <f t="shared" si="97"/>
        <v>0</v>
      </c>
      <c r="G102" s="85">
        <f t="shared" si="97"/>
        <v>0</v>
      </c>
      <c r="H102" s="85">
        <f t="shared" si="97"/>
        <v>0</v>
      </c>
      <c r="I102" s="85">
        <f t="shared" si="97"/>
        <v>0</v>
      </c>
      <c r="J102" s="85">
        <f t="shared" si="97"/>
        <v>0</v>
      </c>
      <c r="K102" s="85">
        <f t="shared" si="97"/>
        <v>0</v>
      </c>
      <c r="L102" s="85">
        <f t="shared" si="97"/>
        <v>0</v>
      </c>
      <c r="M102" s="85">
        <f t="shared" si="97"/>
        <v>0</v>
      </c>
      <c r="N102" s="85">
        <f t="shared" si="97"/>
        <v>0</v>
      </c>
      <c r="O102" s="85">
        <f t="shared" si="97"/>
        <v>0</v>
      </c>
      <c r="P102" s="85">
        <f t="shared" si="97"/>
        <v>0</v>
      </c>
      <c r="Q102" s="85">
        <f t="shared" si="97"/>
        <v>0</v>
      </c>
      <c r="R102" s="85">
        <f t="shared" si="97"/>
        <v>0</v>
      </c>
      <c r="S102" s="85">
        <f t="shared" ref="S102:T102" si="98">IF(S82&lt;0,S82*-1,0)</f>
        <v>0</v>
      </c>
      <c r="T102" s="85">
        <f t="shared" si="98"/>
        <v>0</v>
      </c>
      <c r="U102" s="85">
        <f t="shared" si="97"/>
        <v>0</v>
      </c>
      <c r="V102" s="85">
        <f t="shared" ref="V102" si="99">IF(V82&lt;0,V82*-1,0)</f>
        <v>0</v>
      </c>
      <c r="W102" s="85">
        <f t="shared" si="97"/>
        <v>0</v>
      </c>
      <c r="X102" s="85">
        <f t="shared" ref="X102" si="100">IF(X82&lt;0,X82*-1,0)</f>
        <v>0</v>
      </c>
      <c r="Y102" s="85">
        <f t="shared" si="97"/>
        <v>0</v>
      </c>
      <c r="Z102" s="85">
        <f t="shared" si="97"/>
        <v>0</v>
      </c>
      <c r="AA102" s="85">
        <f t="shared" si="97"/>
        <v>0</v>
      </c>
      <c r="AB102" s="85">
        <f t="shared" ref="AB102:AC102" si="101">IF(AB82&lt;0,AB82*-1,0)</f>
        <v>0</v>
      </c>
      <c r="AC102" s="85">
        <f t="shared" si="101"/>
        <v>0</v>
      </c>
      <c r="AD102" s="85">
        <f t="shared" ref="AD102:AE102" si="102">IF(AD82&lt;0,AD82*-1,0)</f>
        <v>0</v>
      </c>
      <c r="AE102" s="85">
        <f t="shared" si="102"/>
        <v>0</v>
      </c>
      <c r="AF102" s="85">
        <f t="shared" ref="AF102" si="103">IF(AF82&lt;0,AF82*-1,0)</f>
        <v>0</v>
      </c>
      <c r="AG102" s="86"/>
      <c r="AH102" s="12">
        <f t="shared" si="60"/>
        <v>0</v>
      </c>
      <c r="AI102" s="11">
        <f t="shared" si="61"/>
        <v>0</v>
      </c>
      <c r="BF102" s="83"/>
      <c r="BG102" s="78">
        <v>68.3</v>
      </c>
      <c r="BH102" s="78">
        <v>0</v>
      </c>
      <c r="BI102" s="78">
        <v>272</v>
      </c>
      <c r="BJ102" s="78">
        <v>13.5</v>
      </c>
      <c r="BK102" s="78">
        <v>0</v>
      </c>
      <c r="BL102" s="78">
        <v>43.8</v>
      </c>
    </row>
    <row r="103" spans="1:64" x14ac:dyDescent="0.25">
      <c r="A103" s="82" t="s">
        <v>159</v>
      </c>
      <c r="B103" s="85">
        <f t="shared" ref="B103:AA103" si="104">IF(B85&lt;0,B85*-1,0)</f>
        <v>0</v>
      </c>
      <c r="C103" s="85">
        <f t="shared" si="104"/>
        <v>0</v>
      </c>
      <c r="D103" s="85">
        <f t="shared" si="104"/>
        <v>0</v>
      </c>
      <c r="E103" s="85">
        <f t="shared" si="104"/>
        <v>0</v>
      </c>
      <c r="F103" s="85">
        <f t="shared" si="104"/>
        <v>0</v>
      </c>
      <c r="G103" s="85">
        <f t="shared" si="104"/>
        <v>0</v>
      </c>
      <c r="H103" s="85">
        <f t="shared" si="104"/>
        <v>0</v>
      </c>
      <c r="I103" s="85">
        <f t="shared" si="104"/>
        <v>0</v>
      </c>
      <c r="J103" s="85">
        <f t="shared" si="104"/>
        <v>0</v>
      </c>
      <c r="K103" s="85">
        <f t="shared" si="104"/>
        <v>0</v>
      </c>
      <c r="L103" s="85">
        <f t="shared" si="104"/>
        <v>0</v>
      </c>
      <c r="M103" s="85">
        <f t="shared" si="104"/>
        <v>0</v>
      </c>
      <c r="N103" s="85">
        <f t="shared" si="104"/>
        <v>0</v>
      </c>
      <c r="O103" s="85">
        <f t="shared" si="104"/>
        <v>0</v>
      </c>
      <c r="P103" s="85">
        <f t="shared" si="104"/>
        <v>0</v>
      </c>
      <c r="Q103" s="85">
        <f t="shared" si="104"/>
        <v>0</v>
      </c>
      <c r="R103" s="85">
        <f t="shared" si="104"/>
        <v>0</v>
      </c>
      <c r="S103" s="85">
        <f t="shared" ref="S103:T103" si="105">IF(S85&lt;0,S85*-1,0)</f>
        <v>0</v>
      </c>
      <c r="T103" s="85">
        <f t="shared" si="105"/>
        <v>0</v>
      </c>
      <c r="U103" s="85">
        <f t="shared" si="104"/>
        <v>0</v>
      </c>
      <c r="V103" s="85">
        <f t="shared" ref="V103" si="106">IF(V85&lt;0,V85*-1,0)</f>
        <v>0</v>
      </c>
      <c r="W103" s="85">
        <f t="shared" si="104"/>
        <v>0</v>
      </c>
      <c r="X103" s="85">
        <f t="shared" ref="X103" si="107">IF(X85&lt;0,X85*-1,0)</f>
        <v>0</v>
      </c>
      <c r="Y103" s="85">
        <f t="shared" si="104"/>
        <v>0</v>
      </c>
      <c r="Z103" s="85">
        <f t="shared" si="104"/>
        <v>0</v>
      </c>
      <c r="AA103" s="85">
        <f t="shared" si="104"/>
        <v>0</v>
      </c>
      <c r="AB103" s="85">
        <f t="shared" ref="AB103:AC103" si="108">IF(AB85&lt;0,AB85*-1,0)</f>
        <v>0</v>
      </c>
      <c r="AC103" s="85">
        <f t="shared" si="108"/>
        <v>0</v>
      </c>
      <c r="AD103" s="85">
        <f t="shared" ref="AD103:AE103" si="109">IF(AD85&lt;0,AD85*-1,0)</f>
        <v>0</v>
      </c>
      <c r="AE103" s="85">
        <f t="shared" si="109"/>
        <v>0</v>
      </c>
      <c r="AF103" s="85">
        <f t="shared" ref="AF103" si="110">IF(AF85&lt;0,AF85*-1,0)</f>
        <v>0</v>
      </c>
      <c r="AG103" s="84"/>
      <c r="AH103" s="12">
        <f t="shared" si="60"/>
        <v>0</v>
      </c>
      <c r="AI103" s="11">
        <f t="shared" si="61"/>
        <v>0</v>
      </c>
      <c r="BF103" s="83"/>
      <c r="BG103" s="78">
        <v>26.9</v>
      </c>
      <c r="BH103" s="78">
        <v>0</v>
      </c>
      <c r="BI103" s="78">
        <v>232.6</v>
      </c>
      <c r="BJ103" s="78">
        <v>13.5</v>
      </c>
      <c r="BK103" s="78">
        <v>0</v>
      </c>
      <c r="BL103" s="78">
        <v>41.7</v>
      </c>
    </row>
    <row r="104" spans="1:64" x14ac:dyDescent="0.25">
      <c r="A104" s="82" t="s">
        <v>158</v>
      </c>
      <c r="B104" s="85">
        <f t="shared" ref="B104:AA104" si="111">IF(B83&lt;0,B83*-1,0)</f>
        <v>0</v>
      </c>
      <c r="C104" s="85">
        <f t="shared" si="111"/>
        <v>0</v>
      </c>
      <c r="D104" s="85">
        <f t="shared" si="111"/>
        <v>0</v>
      </c>
      <c r="E104" s="85">
        <f t="shared" si="111"/>
        <v>0</v>
      </c>
      <c r="F104" s="85">
        <f t="shared" si="111"/>
        <v>0</v>
      </c>
      <c r="G104" s="85">
        <f t="shared" si="111"/>
        <v>0</v>
      </c>
      <c r="H104" s="85">
        <f t="shared" si="111"/>
        <v>0</v>
      </c>
      <c r="I104" s="85">
        <f t="shared" si="111"/>
        <v>0</v>
      </c>
      <c r="J104" s="85">
        <f t="shared" si="111"/>
        <v>0</v>
      </c>
      <c r="K104" s="85">
        <f t="shared" si="111"/>
        <v>0</v>
      </c>
      <c r="L104" s="85">
        <f t="shared" si="111"/>
        <v>0</v>
      </c>
      <c r="M104" s="85">
        <f t="shared" si="111"/>
        <v>0</v>
      </c>
      <c r="N104" s="85">
        <f t="shared" si="111"/>
        <v>0</v>
      </c>
      <c r="O104" s="85">
        <f t="shared" si="111"/>
        <v>0</v>
      </c>
      <c r="P104" s="85">
        <f t="shared" si="111"/>
        <v>0</v>
      </c>
      <c r="Q104" s="85">
        <f t="shared" si="111"/>
        <v>0</v>
      </c>
      <c r="R104" s="85">
        <f t="shared" si="111"/>
        <v>0</v>
      </c>
      <c r="S104" s="85">
        <f t="shared" ref="S104:T104" si="112">IF(S83&lt;0,S83*-1,0)</f>
        <v>0</v>
      </c>
      <c r="T104" s="85">
        <f t="shared" si="112"/>
        <v>0</v>
      </c>
      <c r="U104" s="85">
        <f t="shared" si="111"/>
        <v>0</v>
      </c>
      <c r="V104" s="85">
        <f t="shared" ref="V104" si="113">IF(V83&lt;0,V83*-1,0)</f>
        <v>0</v>
      </c>
      <c r="W104" s="85">
        <f t="shared" si="111"/>
        <v>0</v>
      </c>
      <c r="X104" s="85">
        <f t="shared" ref="X104" si="114">IF(X83&lt;0,X83*-1,0)</f>
        <v>0</v>
      </c>
      <c r="Y104" s="85">
        <f t="shared" si="111"/>
        <v>0</v>
      </c>
      <c r="Z104" s="85">
        <f t="shared" si="111"/>
        <v>0</v>
      </c>
      <c r="AA104" s="85">
        <f t="shared" si="111"/>
        <v>0</v>
      </c>
      <c r="AB104" s="85">
        <f t="shared" ref="AB104:AC104" si="115">IF(AB83&lt;0,AB83*-1,0)</f>
        <v>0</v>
      </c>
      <c r="AC104" s="85">
        <f t="shared" si="115"/>
        <v>0</v>
      </c>
      <c r="AD104" s="85">
        <f t="shared" ref="AD104:AE104" si="116">IF(AD83&lt;0,AD83*-1,0)</f>
        <v>0</v>
      </c>
      <c r="AE104" s="85">
        <f t="shared" si="116"/>
        <v>0</v>
      </c>
      <c r="AF104" s="85">
        <f t="shared" ref="AF104" si="117">IF(AF83&lt;0,AF83*-1,0)</f>
        <v>0</v>
      </c>
      <c r="AG104" s="84"/>
      <c r="AH104" s="12">
        <f t="shared" si="60"/>
        <v>0</v>
      </c>
      <c r="AI104" s="11">
        <f t="shared" si="61"/>
        <v>0</v>
      </c>
      <c r="BF104" s="83"/>
      <c r="BG104" s="78">
        <v>32.1</v>
      </c>
      <c r="BH104" s="78">
        <v>0</v>
      </c>
      <c r="BI104" s="78">
        <v>56.6</v>
      </c>
      <c r="BJ104" s="78">
        <v>14.4</v>
      </c>
      <c r="BK104" s="78">
        <v>0</v>
      </c>
      <c r="BL104" s="78">
        <v>42</v>
      </c>
    </row>
    <row r="105" spans="1:64" x14ac:dyDescent="0.25">
      <c r="A105" s="82" t="s">
        <v>157</v>
      </c>
      <c r="B105" s="85">
        <f t="shared" ref="B105:AA105" si="118">IF(B81&lt;0,B81*-1,0)</f>
        <v>0</v>
      </c>
      <c r="C105" s="85">
        <f t="shared" si="118"/>
        <v>0</v>
      </c>
      <c r="D105" s="85">
        <f t="shared" si="118"/>
        <v>0</v>
      </c>
      <c r="E105" s="85">
        <f t="shared" si="118"/>
        <v>0</v>
      </c>
      <c r="F105" s="85">
        <f t="shared" si="118"/>
        <v>0</v>
      </c>
      <c r="G105" s="85">
        <f t="shared" si="118"/>
        <v>0</v>
      </c>
      <c r="H105" s="85">
        <f t="shared" si="118"/>
        <v>0</v>
      </c>
      <c r="I105" s="85">
        <f t="shared" si="118"/>
        <v>0</v>
      </c>
      <c r="J105" s="85">
        <f t="shared" si="118"/>
        <v>0</v>
      </c>
      <c r="K105" s="85">
        <f t="shared" si="118"/>
        <v>0</v>
      </c>
      <c r="L105" s="85">
        <f t="shared" si="118"/>
        <v>0</v>
      </c>
      <c r="M105" s="85">
        <f t="shared" si="118"/>
        <v>0</v>
      </c>
      <c r="N105" s="85">
        <f t="shared" si="118"/>
        <v>0</v>
      </c>
      <c r="O105" s="85">
        <f t="shared" si="118"/>
        <v>0</v>
      </c>
      <c r="P105" s="85">
        <f t="shared" si="118"/>
        <v>0</v>
      </c>
      <c r="Q105" s="85">
        <f t="shared" si="118"/>
        <v>0</v>
      </c>
      <c r="R105" s="85">
        <f t="shared" si="118"/>
        <v>0</v>
      </c>
      <c r="S105" s="85">
        <f t="shared" ref="S105:T105" si="119">IF(S81&lt;0,S81*-1,0)</f>
        <v>0</v>
      </c>
      <c r="T105" s="85">
        <f t="shared" si="119"/>
        <v>0</v>
      </c>
      <c r="U105" s="85">
        <f t="shared" si="118"/>
        <v>0</v>
      </c>
      <c r="V105" s="85">
        <f t="shared" ref="V105" si="120">IF(V81&lt;0,V81*-1,0)</f>
        <v>0</v>
      </c>
      <c r="W105" s="85">
        <f t="shared" si="118"/>
        <v>0</v>
      </c>
      <c r="X105" s="85">
        <f t="shared" ref="X105" si="121">IF(X81&lt;0,X81*-1,0)</f>
        <v>0</v>
      </c>
      <c r="Y105" s="85">
        <f t="shared" si="118"/>
        <v>0</v>
      </c>
      <c r="Z105" s="85">
        <f t="shared" si="118"/>
        <v>0</v>
      </c>
      <c r="AA105" s="85">
        <f t="shared" si="118"/>
        <v>0</v>
      </c>
      <c r="AB105" s="85">
        <f t="shared" ref="AB105:AC105" si="122">IF(AB81&lt;0,AB81*-1,0)</f>
        <v>0</v>
      </c>
      <c r="AC105" s="85">
        <f t="shared" si="122"/>
        <v>0</v>
      </c>
      <c r="AD105" s="85">
        <f t="shared" ref="AD105:AE105" si="123">IF(AD81&lt;0,AD81*-1,0)</f>
        <v>0</v>
      </c>
      <c r="AE105" s="85">
        <f t="shared" si="123"/>
        <v>0</v>
      </c>
      <c r="AF105" s="85">
        <f t="shared" ref="AF105" si="124">IF(AF81&lt;0,AF81*-1,0)</f>
        <v>0</v>
      </c>
      <c r="AG105" s="84"/>
      <c r="AH105" s="12">
        <f t="shared" si="60"/>
        <v>0</v>
      </c>
      <c r="AI105" s="11">
        <f t="shared" si="61"/>
        <v>0</v>
      </c>
      <c r="BF105" s="83"/>
      <c r="BG105" s="78">
        <v>26.9</v>
      </c>
      <c r="BH105" s="78">
        <v>0</v>
      </c>
      <c r="BI105" s="78">
        <v>66.3</v>
      </c>
      <c r="BJ105" s="78">
        <v>14.6</v>
      </c>
      <c r="BK105" s="78">
        <v>0</v>
      </c>
      <c r="BL105" s="78">
        <v>44</v>
      </c>
    </row>
    <row r="106" spans="1:64" ht="15.75" thickBot="1" x14ac:dyDescent="0.3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1</v>
      </c>
      <c r="T106" s="81">
        <v>0</v>
      </c>
      <c r="U106" s="81">
        <v>0</v>
      </c>
      <c r="V106" s="81">
        <v>0</v>
      </c>
      <c r="W106" s="81">
        <v>0</v>
      </c>
      <c r="X106" s="81">
        <v>1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60"/>
        <v>1</v>
      </c>
      <c r="AI106" s="11">
        <f t="shared" si="61"/>
        <v>0</v>
      </c>
      <c r="BG106" s="78">
        <v>15.9</v>
      </c>
      <c r="BH106" s="78">
        <v>0</v>
      </c>
      <c r="BI106" s="78">
        <v>107.9</v>
      </c>
      <c r="BJ106" s="78">
        <v>15.3</v>
      </c>
      <c r="BK106" s="78">
        <v>0</v>
      </c>
      <c r="BL106" s="78">
        <v>46</v>
      </c>
    </row>
    <row r="107" spans="1:64" ht="15.75" thickBot="1" x14ac:dyDescent="0.3">
      <c r="A107" s="79" t="s">
        <v>155</v>
      </c>
      <c r="B107" s="76">
        <f t="shared" ref="B107:AA107" si="125">SUM(B101:B106)</f>
        <v>0</v>
      </c>
      <c r="C107" s="76">
        <f t="shared" si="125"/>
        <v>0</v>
      </c>
      <c r="D107" s="76">
        <f t="shared" si="125"/>
        <v>0</v>
      </c>
      <c r="E107" s="76">
        <f t="shared" si="125"/>
        <v>0</v>
      </c>
      <c r="F107" s="76">
        <f t="shared" si="125"/>
        <v>0</v>
      </c>
      <c r="G107" s="76">
        <f t="shared" si="125"/>
        <v>0</v>
      </c>
      <c r="H107" s="76">
        <f t="shared" si="125"/>
        <v>0</v>
      </c>
      <c r="I107" s="76">
        <f t="shared" si="125"/>
        <v>0</v>
      </c>
      <c r="J107" s="76">
        <f t="shared" si="125"/>
        <v>0</v>
      </c>
      <c r="K107" s="76">
        <f t="shared" si="125"/>
        <v>0</v>
      </c>
      <c r="L107" s="76">
        <f t="shared" si="125"/>
        <v>0</v>
      </c>
      <c r="M107" s="76">
        <f t="shared" si="125"/>
        <v>0</v>
      </c>
      <c r="N107" s="76">
        <f t="shared" si="125"/>
        <v>0</v>
      </c>
      <c r="O107" s="76">
        <f t="shared" si="125"/>
        <v>0</v>
      </c>
      <c r="P107" s="76">
        <f t="shared" si="125"/>
        <v>0</v>
      </c>
      <c r="Q107" s="76">
        <f t="shared" si="125"/>
        <v>0</v>
      </c>
      <c r="R107" s="76">
        <f t="shared" si="125"/>
        <v>0</v>
      </c>
      <c r="S107" s="76">
        <f t="shared" ref="S107:T107" si="126">SUM(S101:S106)</f>
        <v>1</v>
      </c>
      <c r="T107" s="76">
        <f t="shared" si="126"/>
        <v>0</v>
      </c>
      <c r="U107" s="76">
        <f t="shared" si="125"/>
        <v>0</v>
      </c>
      <c r="V107" s="76">
        <f t="shared" ref="V107" si="127">SUM(V101:V106)</f>
        <v>0</v>
      </c>
      <c r="W107" s="76">
        <f t="shared" si="125"/>
        <v>0</v>
      </c>
      <c r="X107" s="76">
        <f t="shared" ref="X107" si="128">SUM(X101:X106)</f>
        <v>1</v>
      </c>
      <c r="Y107" s="76">
        <f t="shared" si="125"/>
        <v>0</v>
      </c>
      <c r="Z107" s="76">
        <f t="shared" si="125"/>
        <v>0</v>
      </c>
      <c r="AA107" s="76">
        <f t="shared" si="125"/>
        <v>0</v>
      </c>
      <c r="AB107" s="76">
        <f t="shared" ref="AB107:AC107" si="129">SUM(AB101:AB106)</f>
        <v>0</v>
      </c>
      <c r="AC107" s="76">
        <f t="shared" si="129"/>
        <v>0</v>
      </c>
      <c r="AD107" s="76">
        <f t="shared" ref="AD107:AE107" si="130">SUM(AD101:AD106)</f>
        <v>0</v>
      </c>
      <c r="AE107" s="76">
        <f t="shared" si="130"/>
        <v>0</v>
      </c>
      <c r="AF107" s="76">
        <f t="shared" ref="AF107" si="131">SUM(AF101:AF106)</f>
        <v>0</v>
      </c>
      <c r="AG107" s="75"/>
      <c r="AH107" s="12">
        <f t="shared" si="60"/>
        <v>1</v>
      </c>
      <c r="AI107" s="11">
        <f t="shared" si="61"/>
        <v>0</v>
      </c>
      <c r="AK107" s="19"/>
      <c r="BG107" s="78">
        <v>42</v>
      </c>
      <c r="BH107" s="78">
        <v>0</v>
      </c>
      <c r="BI107" s="78">
        <v>46</v>
      </c>
      <c r="BJ107" s="78">
        <v>0</v>
      </c>
      <c r="BK107" s="78">
        <v>0</v>
      </c>
      <c r="BL107" s="78">
        <v>41</v>
      </c>
    </row>
    <row r="108" spans="1:64" ht="15.75" thickBot="1" x14ac:dyDescent="0.3">
      <c r="A108" s="77" t="s">
        <v>154</v>
      </c>
      <c r="B108" s="76">
        <f t="shared" ref="B108:AA108" si="132">B92-B107</f>
        <v>129</v>
      </c>
      <c r="C108" s="76">
        <f t="shared" si="132"/>
        <v>155</v>
      </c>
      <c r="D108" s="76">
        <f t="shared" si="132"/>
        <v>145</v>
      </c>
      <c r="E108" s="76">
        <f t="shared" si="132"/>
        <v>111.7</v>
      </c>
      <c r="F108" s="76">
        <f t="shared" si="132"/>
        <v>99.5</v>
      </c>
      <c r="G108" s="76">
        <f t="shared" si="132"/>
        <v>175.3</v>
      </c>
      <c r="H108" s="76">
        <f t="shared" si="132"/>
        <v>160.5</v>
      </c>
      <c r="I108" s="76">
        <f t="shared" si="132"/>
        <v>184.7</v>
      </c>
      <c r="J108" s="76">
        <f t="shared" si="132"/>
        <v>615</v>
      </c>
      <c r="K108" s="76">
        <f t="shared" si="132"/>
        <v>810.7</v>
      </c>
      <c r="L108" s="76">
        <f t="shared" si="132"/>
        <v>877.70100000000014</v>
      </c>
      <c r="M108" s="76">
        <f t="shared" si="132"/>
        <v>900.99999999999989</v>
      </c>
      <c r="N108" s="76">
        <f t="shared" si="132"/>
        <v>895.7</v>
      </c>
      <c r="O108" s="76">
        <f t="shared" si="132"/>
        <v>905.30000000000007</v>
      </c>
      <c r="P108" s="76">
        <f t="shared" si="132"/>
        <v>900.69999999999993</v>
      </c>
      <c r="Q108" s="76">
        <f t="shared" si="132"/>
        <v>892.9</v>
      </c>
      <c r="R108" s="76">
        <f t="shared" si="132"/>
        <v>850.6</v>
      </c>
      <c r="S108" s="76">
        <f t="shared" ref="S108:T108" si="133">S92-S107</f>
        <v>782.2</v>
      </c>
      <c r="T108" s="76">
        <f t="shared" si="133"/>
        <v>845</v>
      </c>
      <c r="U108" s="76">
        <f t="shared" si="132"/>
        <v>800.50000000000011</v>
      </c>
      <c r="V108" s="76">
        <f t="shared" ref="V108" si="134">V92-V107</f>
        <v>794.50000000000011</v>
      </c>
      <c r="W108" s="76">
        <f t="shared" si="132"/>
        <v>786</v>
      </c>
      <c r="X108" s="76">
        <f t="shared" ref="X108" si="135">X92-X107</f>
        <v>774</v>
      </c>
      <c r="Y108" s="76">
        <f t="shared" si="132"/>
        <v>582.79999999999995</v>
      </c>
      <c r="Z108" s="76">
        <f t="shared" si="132"/>
        <v>397.6</v>
      </c>
      <c r="AA108" s="76">
        <f t="shared" si="132"/>
        <v>244.6</v>
      </c>
      <c r="AB108" s="76">
        <f t="shared" ref="AB108:AC108" si="136">AB92-AB107</f>
        <v>314.7</v>
      </c>
      <c r="AC108" s="76">
        <f t="shared" si="136"/>
        <v>330.3</v>
      </c>
      <c r="AD108" s="76">
        <f t="shared" ref="AD108:AE108" si="137">AD92-AD107</f>
        <v>145.10000000000002</v>
      </c>
      <c r="AE108" s="76">
        <f t="shared" si="137"/>
        <v>151.79999999999998</v>
      </c>
      <c r="AF108" s="76">
        <f t="shared" ref="AF108" si="138">AF92-AF107</f>
        <v>185.10000000000002</v>
      </c>
      <c r="AG108" s="75"/>
      <c r="AH108" s="12">
        <f t="shared" si="60"/>
        <v>905.30000000000007</v>
      </c>
      <c r="AI108" s="11">
        <f t="shared" si="61"/>
        <v>99.5</v>
      </c>
    </row>
    <row r="109" spans="1:64" x14ac:dyDescent="0.25">
      <c r="A109" s="25" t="s">
        <v>153</v>
      </c>
      <c r="B109" s="74">
        <v>49.993000000000002</v>
      </c>
      <c r="C109" s="74">
        <v>49.993000000000002</v>
      </c>
      <c r="D109" s="74">
        <v>50.018000000000001</v>
      </c>
      <c r="E109" s="74">
        <v>49.987000000000002</v>
      </c>
      <c r="F109" s="74">
        <v>50.048999999999999</v>
      </c>
      <c r="G109" s="74">
        <v>49.92</v>
      </c>
      <c r="H109" s="74">
        <v>49.98</v>
      </c>
      <c r="I109" s="74">
        <v>49.997999999999998</v>
      </c>
      <c r="J109" s="74">
        <v>49.997999999999998</v>
      </c>
      <c r="K109" s="74">
        <v>50.034999999999997</v>
      </c>
      <c r="L109" s="74">
        <v>50.088999999999999</v>
      </c>
      <c r="M109" s="74">
        <v>50.064999999999998</v>
      </c>
      <c r="N109" s="74">
        <v>50.052999999999997</v>
      </c>
      <c r="O109" s="74">
        <v>50.061</v>
      </c>
      <c r="P109" s="74">
        <v>50.110999999999997</v>
      </c>
      <c r="Q109" s="74">
        <v>49.963000000000001</v>
      </c>
      <c r="R109" s="74">
        <v>50.003</v>
      </c>
      <c r="S109" s="74">
        <v>50.003</v>
      </c>
      <c r="T109" s="74">
        <v>49.98</v>
      </c>
      <c r="U109" s="74">
        <v>50.042000000000002</v>
      </c>
      <c r="V109" s="74">
        <v>50.01</v>
      </c>
      <c r="W109" s="74">
        <v>50.01</v>
      </c>
      <c r="X109" s="74">
        <v>50.07</v>
      </c>
      <c r="Y109" s="74">
        <v>50.07</v>
      </c>
      <c r="Z109" s="74">
        <v>50.067999999999998</v>
      </c>
      <c r="AA109" s="74">
        <v>50.003999999999998</v>
      </c>
      <c r="AB109" s="74">
        <v>50.01</v>
      </c>
      <c r="AC109" s="74">
        <v>49.96</v>
      </c>
      <c r="AD109" s="74">
        <v>50.01</v>
      </c>
      <c r="AE109" s="74">
        <v>50.06</v>
      </c>
      <c r="AF109" s="74">
        <v>49.94</v>
      </c>
      <c r="AG109" s="73"/>
      <c r="AH109" s="12">
        <f t="shared" si="60"/>
        <v>50.110999999999997</v>
      </c>
      <c r="AI109" s="11">
        <f t="shared" si="61"/>
        <v>49.92</v>
      </c>
    </row>
    <row r="110" spans="1:64" x14ac:dyDescent="0.25">
      <c r="A110" s="22" t="s">
        <v>152</v>
      </c>
      <c r="B110" s="70">
        <v>130.6</v>
      </c>
      <c r="C110" s="70">
        <v>130.6</v>
      </c>
      <c r="D110" s="70">
        <v>131</v>
      </c>
      <c r="E110" s="70">
        <v>131.19999999999999</v>
      </c>
      <c r="F110" s="70">
        <v>131.6</v>
      </c>
      <c r="G110" s="70">
        <v>131.9</v>
      </c>
      <c r="H110" s="70">
        <v>131.9</v>
      </c>
      <c r="I110" s="70">
        <v>129.1</v>
      </c>
      <c r="J110" s="70">
        <v>129.1</v>
      </c>
      <c r="K110" s="70">
        <v>125.9</v>
      </c>
      <c r="L110" s="70">
        <v>126.3</v>
      </c>
      <c r="M110" s="70">
        <v>124.4</v>
      </c>
      <c r="N110" s="70">
        <v>125.9</v>
      </c>
      <c r="O110" s="70">
        <v>125.4</v>
      </c>
      <c r="P110" s="70">
        <v>127</v>
      </c>
      <c r="Q110" s="70">
        <v>128.19999999999999</v>
      </c>
      <c r="R110" s="70">
        <v>126.6</v>
      </c>
      <c r="S110" s="70">
        <v>126.6</v>
      </c>
      <c r="T110" s="70">
        <v>128</v>
      </c>
      <c r="U110" s="70">
        <v>127.2</v>
      </c>
      <c r="V110" s="70">
        <v>127.5</v>
      </c>
      <c r="W110" s="70">
        <v>127</v>
      </c>
      <c r="X110" s="70">
        <v>130</v>
      </c>
      <c r="Y110" s="70">
        <v>131.5</v>
      </c>
      <c r="Z110" s="70">
        <v>127.5</v>
      </c>
      <c r="AA110" s="70">
        <v>127.8</v>
      </c>
      <c r="AB110" s="70">
        <v>127.8</v>
      </c>
      <c r="AC110" s="70">
        <v>127.8</v>
      </c>
      <c r="AD110" s="70">
        <v>128.5</v>
      </c>
      <c r="AE110" s="70">
        <v>128.5</v>
      </c>
      <c r="AF110" s="70">
        <v>130.4</v>
      </c>
      <c r="AG110" s="69"/>
      <c r="AH110" s="12">
        <f t="shared" si="60"/>
        <v>131.9</v>
      </c>
      <c r="AI110" s="11">
        <f t="shared" si="61"/>
        <v>124.4</v>
      </c>
    </row>
    <row r="111" spans="1:64" x14ac:dyDescent="0.25">
      <c r="A111" s="22" t="s">
        <v>151</v>
      </c>
      <c r="B111" s="70">
        <v>134.6</v>
      </c>
      <c r="C111" s="70">
        <v>134.6</v>
      </c>
      <c r="D111" s="70">
        <v>135</v>
      </c>
      <c r="E111" s="70">
        <v>135.19999999999999</v>
      </c>
      <c r="F111" s="70">
        <v>135.5</v>
      </c>
      <c r="G111" s="70">
        <v>135.4</v>
      </c>
      <c r="H111" s="70">
        <v>135.19999999999999</v>
      </c>
      <c r="I111" s="70">
        <v>132.9</v>
      </c>
      <c r="J111" s="70">
        <v>132.9</v>
      </c>
      <c r="K111" s="70">
        <v>129.5</v>
      </c>
      <c r="L111" s="70">
        <v>129.9</v>
      </c>
      <c r="M111" s="70">
        <v>127.8</v>
      </c>
      <c r="N111" s="70">
        <v>129.5</v>
      </c>
      <c r="O111" s="70">
        <v>128.9</v>
      </c>
      <c r="P111" s="70">
        <v>130.19999999999999</v>
      </c>
      <c r="Q111" s="70">
        <v>130.69999999999999</v>
      </c>
      <c r="R111" s="70">
        <v>129</v>
      </c>
      <c r="S111" s="70">
        <v>129</v>
      </c>
      <c r="T111" s="70">
        <v>130.69999999999999</v>
      </c>
      <c r="U111" s="70">
        <v>129.69999999999999</v>
      </c>
      <c r="V111" s="70">
        <v>130</v>
      </c>
      <c r="W111" s="70">
        <v>129.5</v>
      </c>
      <c r="X111" s="70">
        <v>132</v>
      </c>
      <c r="Y111" s="70">
        <v>133.30000000000001</v>
      </c>
      <c r="Z111" s="70">
        <v>130.6</v>
      </c>
      <c r="AA111" s="70">
        <v>131.1</v>
      </c>
      <c r="AB111" s="70">
        <v>131.1</v>
      </c>
      <c r="AC111" s="70">
        <v>131.1</v>
      </c>
      <c r="AD111" s="70">
        <v>131.69999999999999</v>
      </c>
      <c r="AE111" s="70">
        <v>131.69999999999999</v>
      </c>
      <c r="AF111" s="70">
        <v>134</v>
      </c>
      <c r="AG111" s="69"/>
      <c r="AH111" s="12">
        <f t="shared" si="60"/>
        <v>135.5</v>
      </c>
      <c r="AI111" s="11">
        <f t="shared" si="61"/>
        <v>127.8</v>
      </c>
    </row>
    <row r="112" spans="1:64" x14ac:dyDescent="0.25">
      <c r="A112" s="22" t="s">
        <v>150</v>
      </c>
      <c r="B112" s="70">
        <v>130.9</v>
      </c>
      <c r="C112" s="70">
        <v>130.9</v>
      </c>
      <c r="D112" s="70">
        <v>133</v>
      </c>
      <c r="E112" s="70">
        <v>132.30000000000001</v>
      </c>
      <c r="F112" s="70">
        <v>130.5</v>
      </c>
      <c r="G112" s="70">
        <v>130.69999999999999</v>
      </c>
      <c r="H112" s="70">
        <v>130.4</v>
      </c>
      <c r="I112" s="70">
        <v>130</v>
      </c>
      <c r="J112" s="70">
        <v>130</v>
      </c>
      <c r="K112" s="70">
        <v>128.30000000000001</v>
      </c>
      <c r="L112" s="70">
        <v>127.8</v>
      </c>
      <c r="M112" s="70">
        <v>124.9</v>
      </c>
      <c r="N112" s="70">
        <v>126.6</v>
      </c>
      <c r="O112" s="70">
        <v>125.1</v>
      </c>
      <c r="P112" s="70">
        <v>124.6</v>
      </c>
      <c r="Q112" s="70">
        <v>127</v>
      </c>
      <c r="R112" s="70">
        <v>128.9</v>
      </c>
      <c r="S112" s="70">
        <v>128.9</v>
      </c>
      <c r="T112" s="70">
        <v>129</v>
      </c>
      <c r="U112" s="70">
        <v>128.5</v>
      </c>
      <c r="V112" s="70">
        <v>130</v>
      </c>
      <c r="W112" s="70">
        <v>128</v>
      </c>
      <c r="X112" s="70">
        <v>130</v>
      </c>
      <c r="Y112" s="70">
        <v>128</v>
      </c>
      <c r="Z112" s="70">
        <v>126.1</v>
      </c>
      <c r="AA112" s="70">
        <v>128.4</v>
      </c>
      <c r="AB112" s="70">
        <v>128.4</v>
      </c>
      <c r="AC112" s="70">
        <v>128.4</v>
      </c>
      <c r="AD112" s="70">
        <v>127.5</v>
      </c>
      <c r="AE112" s="70">
        <v>127.5</v>
      </c>
      <c r="AF112" s="70">
        <v>130.5</v>
      </c>
      <c r="AG112" s="69"/>
      <c r="AH112" s="12">
        <f t="shared" si="60"/>
        <v>133</v>
      </c>
      <c r="AI112" s="11">
        <f t="shared" si="61"/>
        <v>124.6</v>
      </c>
    </row>
    <row r="113" spans="1:35" x14ac:dyDescent="0.25">
      <c r="A113" s="72" t="s">
        <v>149</v>
      </c>
      <c r="B113" s="70">
        <v>131.69999999999999</v>
      </c>
      <c r="C113" s="70">
        <v>131.69999999999999</v>
      </c>
      <c r="D113" s="70">
        <v>133</v>
      </c>
      <c r="E113" s="70">
        <v>134.4</v>
      </c>
      <c r="F113" s="70">
        <v>132.4</v>
      </c>
      <c r="G113" s="70">
        <v>131.6</v>
      </c>
      <c r="H113" s="70">
        <v>131.4</v>
      </c>
      <c r="I113" s="70">
        <v>132.6</v>
      </c>
      <c r="J113" s="70">
        <v>132.6</v>
      </c>
      <c r="K113" s="70">
        <v>125.3</v>
      </c>
      <c r="L113" s="70">
        <v>122.4</v>
      </c>
      <c r="M113" s="70">
        <v>120.7</v>
      </c>
      <c r="N113" s="70">
        <v>123.7</v>
      </c>
      <c r="O113" s="70">
        <v>123.5</v>
      </c>
      <c r="P113" s="70">
        <v>122.7</v>
      </c>
      <c r="Q113" s="70">
        <v>126.8</v>
      </c>
      <c r="R113" s="70">
        <v>128.9</v>
      </c>
      <c r="S113" s="70">
        <v>128.9</v>
      </c>
      <c r="T113" s="70">
        <v>126</v>
      </c>
      <c r="U113" s="70">
        <v>124.9</v>
      </c>
      <c r="V113" s="70">
        <v>126.3</v>
      </c>
      <c r="W113" s="70">
        <v>126</v>
      </c>
      <c r="X113" s="70">
        <v>126.7</v>
      </c>
      <c r="Y113" s="70">
        <v>125.2</v>
      </c>
      <c r="Z113" s="70">
        <v>125</v>
      </c>
      <c r="AA113" s="70">
        <v>127.4</v>
      </c>
      <c r="AB113" s="70">
        <v>127.4</v>
      </c>
      <c r="AC113" s="70">
        <v>127.4</v>
      </c>
      <c r="AD113" s="70">
        <v>123.6</v>
      </c>
      <c r="AE113" s="70">
        <v>123.6</v>
      </c>
      <c r="AF113" s="70">
        <v>130.1</v>
      </c>
      <c r="AG113" s="69"/>
      <c r="AH113" s="12">
        <f t="shared" si="60"/>
        <v>134.4</v>
      </c>
      <c r="AI113" s="11">
        <f t="shared" si="61"/>
        <v>120.7</v>
      </c>
    </row>
    <row r="114" spans="1:35" x14ac:dyDescent="0.25">
      <c r="A114" s="72" t="s">
        <v>148</v>
      </c>
      <c r="B114" s="56">
        <v>135.30000000000001</v>
      </c>
      <c r="C114" s="56">
        <v>135.30000000000001</v>
      </c>
      <c r="D114" s="56">
        <v>134</v>
      </c>
      <c r="E114" s="56">
        <v>135</v>
      </c>
      <c r="F114" s="56">
        <v>135.4</v>
      </c>
      <c r="G114" s="56">
        <v>134.19999999999999</v>
      </c>
      <c r="H114" s="56">
        <v>134.80000000000001</v>
      </c>
      <c r="I114" s="56">
        <v>131.9</v>
      </c>
      <c r="J114" s="56">
        <v>131.9</v>
      </c>
      <c r="K114" s="56">
        <v>130.1</v>
      </c>
      <c r="L114" s="56">
        <v>132.1</v>
      </c>
      <c r="M114" s="56">
        <v>129.6</v>
      </c>
      <c r="N114" s="56">
        <v>133.80000000000001</v>
      </c>
      <c r="O114" s="56">
        <v>132.30000000000001</v>
      </c>
      <c r="P114" s="56">
        <v>135.30000000000001</v>
      </c>
      <c r="Q114" s="56">
        <v>132.1</v>
      </c>
      <c r="R114" s="56">
        <v>131.6</v>
      </c>
      <c r="S114" s="56">
        <v>131.6</v>
      </c>
      <c r="T114" s="56">
        <v>136.6</v>
      </c>
      <c r="U114" s="56">
        <v>134.30000000000001</v>
      </c>
      <c r="V114" s="56">
        <v>132</v>
      </c>
      <c r="W114" s="56">
        <v>130.6</v>
      </c>
      <c r="X114" s="56">
        <v>133.80000000000001</v>
      </c>
      <c r="Y114" s="56">
        <v>134.30000000000001</v>
      </c>
      <c r="Z114" s="56">
        <v>131.6</v>
      </c>
      <c r="AA114" s="56">
        <v>134.5</v>
      </c>
      <c r="AB114" s="56">
        <v>134.5</v>
      </c>
      <c r="AC114" s="56">
        <v>134.5</v>
      </c>
      <c r="AD114" s="56">
        <v>133.30000000000001</v>
      </c>
      <c r="AE114" s="56">
        <v>133.30000000000001</v>
      </c>
      <c r="AF114" s="56">
        <v>137.4</v>
      </c>
      <c r="AG114" s="71"/>
      <c r="AH114" s="12">
        <f t="shared" si="60"/>
        <v>137.4</v>
      </c>
      <c r="AI114" s="11">
        <f t="shared" si="61"/>
        <v>129.6</v>
      </c>
    </row>
    <row r="115" spans="1:35" x14ac:dyDescent="0.25">
      <c r="A115" s="22" t="s">
        <v>147</v>
      </c>
      <c r="B115" s="70">
        <v>133.9</v>
      </c>
      <c r="C115" s="70">
        <v>133.9</v>
      </c>
      <c r="D115" s="70">
        <v>136</v>
      </c>
      <c r="E115" s="70">
        <v>133.6</v>
      </c>
      <c r="F115" s="70">
        <v>135.1</v>
      </c>
      <c r="G115" s="70">
        <v>134.69999999999999</v>
      </c>
      <c r="H115" s="70">
        <v>133.19999999999999</v>
      </c>
      <c r="I115" s="70">
        <v>128.6</v>
      </c>
      <c r="J115" s="70">
        <v>128.6</v>
      </c>
      <c r="K115" s="70">
        <v>129.4</v>
      </c>
      <c r="L115" s="70">
        <v>127</v>
      </c>
      <c r="M115" s="70">
        <v>124</v>
      </c>
      <c r="N115" s="70">
        <v>123.7</v>
      </c>
      <c r="O115" s="70">
        <v>126.9</v>
      </c>
      <c r="P115" s="70">
        <v>126.2</v>
      </c>
      <c r="Q115" s="70">
        <v>129.4</v>
      </c>
      <c r="R115" s="70">
        <v>131.30000000000001</v>
      </c>
      <c r="S115" s="70">
        <v>131.30000000000001</v>
      </c>
      <c r="T115" s="70">
        <v>126</v>
      </c>
      <c r="U115" s="70">
        <v>124.3</v>
      </c>
      <c r="V115" s="70">
        <v>128.5</v>
      </c>
      <c r="W115" s="70">
        <v>126</v>
      </c>
      <c r="X115" s="70">
        <v>128</v>
      </c>
      <c r="Y115" s="70">
        <v>125.6</v>
      </c>
      <c r="Z115" s="70">
        <v>123</v>
      </c>
      <c r="AA115" s="70">
        <v>118</v>
      </c>
      <c r="AB115" s="70">
        <v>118</v>
      </c>
      <c r="AC115" s="70">
        <v>118</v>
      </c>
      <c r="AD115" s="70">
        <v>127</v>
      </c>
      <c r="AE115" s="70">
        <v>127</v>
      </c>
      <c r="AF115" s="70">
        <v>133.1</v>
      </c>
      <c r="AG115" s="69"/>
      <c r="AH115" s="12">
        <f t="shared" si="60"/>
        <v>136</v>
      </c>
      <c r="AI115" s="11">
        <f t="shared" si="61"/>
        <v>118</v>
      </c>
    </row>
    <row r="116" spans="1:35" ht="15.75" thickBot="1" x14ac:dyDescent="0.3">
      <c r="A116" s="22" t="s">
        <v>146</v>
      </c>
      <c r="B116" s="67">
        <v>67.599999999999994</v>
      </c>
      <c r="C116" s="67">
        <v>67.599999999999994</v>
      </c>
      <c r="D116" s="67">
        <v>67.8</v>
      </c>
      <c r="E116" s="67">
        <v>68</v>
      </c>
      <c r="F116" s="67">
        <v>68.099999999999994</v>
      </c>
      <c r="G116" s="67">
        <v>67.8</v>
      </c>
      <c r="H116" s="67">
        <v>67.8</v>
      </c>
      <c r="I116" s="67">
        <v>66.599999999999994</v>
      </c>
      <c r="J116" s="67">
        <v>66.599999999999994</v>
      </c>
      <c r="K116" s="67">
        <v>65</v>
      </c>
      <c r="L116" s="67">
        <v>65.3</v>
      </c>
      <c r="M116" s="67">
        <v>63.8</v>
      </c>
      <c r="N116" s="67">
        <v>64.8</v>
      </c>
      <c r="O116" s="67">
        <v>64.400000000000006</v>
      </c>
      <c r="P116" s="67">
        <v>64.8</v>
      </c>
      <c r="Q116" s="67">
        <v>65.099999999999994</v>
      </c>
      <c r="R116" s="67">
        <v>64.7</v>
      </c>
      <c r="S116" s="67">
        <v>64.7</v>
      </c>
      <c r="T116" s="67">
        <v>65</v>
      </c>
      <c r="U116" s="67">
        <v>64.8</v>
      </c>
      <c r="V116" s="67">
        <v>65</v>
      </c>
      <c r="W116" s="67">
        <v>64.900000000000006</v>
      </c>
      <c r="X116" s="67">
        <v>66</v>
      </c>
      <c r="Y116" s="67">
        <v>66.599999999999994</v>
      </c>
      <c r="Z116" s="67">
        <v>65.400000000000006</v>
      </c>
      <c r="AA116" s="67">
        <v>65.400000000000006</v>
      </c>
      <c r="AB116" s="67">
        <v>65.400000000000006</v>
      </c>
      <c r="AC116" s="67">
        <v>65.400000000000006</v>
      </c>
      <c r="AD116" s="67">
        <v>66</v>
      </c>
      <c r="AE116" s="67">
        <v>66</v>
      </c>
      <c r="AF116" s="67">
        <v>67.2</v>
      </c>
      <c r="AG116" s="66"/>
      <c r="AH116" s="12">
        <f t="shared" si="60"/>
        <v>68.099999999999994</v>
      </c>
      <c r="AI116" s="11">
        <f t="shared" si="61"/>
        <v>63.8</v>
      </c>
    </row>
    <row r="117" spans="1:35" ht="15.75" thickBot="1" x14ac:dyDescent="0.3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60"/>
        <v>0</v>
      </c>
      <c r="AI117" s="11">
        <f t="shared" si="61"/>
        <v>0</v>
      </c>
    </row>
    <row r="118" spans="1:35" ht="15.75" thickBot="1" x14ac:dyDescent="0.3">
      <c r="A118" s="65" t="s">
        <v>144</v>
      </c>
      <c r="B118" s="64">
        <f t="shared" ref="B118:O118" si="139">SUM(B22,B28,B31:B32,B66,B68:B69,B71,B73,B119:B123,B155,B161,B167,B176,B178,B190,B197,B200:B201,B208,B210,B212,B216:B218,B220:B222,B227,B233:B234,B236:B238,B246,B251)</f>
        <v>123.84</v>
      </c>
      <c r="C118" s="64">
        <f t="shared" si="139"/>
        <v>123.84</v>
      </c>
      <c r="D118" s="64">
        <f t="shared" si="139"/>
        <v>119.04</v>
      </c>
      <c r="E118" s="64">
        <f t="shared" si="139"/>
        <v>80.840000000000018</v>
      </c>
      <c r="F118" s="64">
        <f t="shared" si="139"/>
        <v>76.84</v>
      </c>
      <c r="G118" s="64">
        <f t="shared" si="139"/>
        <v>120.63999999999999</v>
      </c>
      <c r="H118" s="64">
        <f t="shared" si="139"/>
        <v>131.54000000000002</v>
      </c>
      <c r="I118" s="64">
        <f t="shared" si="139"/>
        <v>174.69000000000003</v>
      </c>
      <c r="J118" s="64">
        <f t="shared" si="139"/>
        <v>256.54000000000002</v>
      </c>
      <c r="K118" s="64">
        <f t="shared" si="139"/>
        <v>262.04000000000002</v>
      </c>
      <c r="L118" s="64">
        <f t="shared" si="139"/>
        <v>278.64</v>
      </c>
      <c r="M118" s="64">
        <f t="shared" si="139"/>
        <v>311.94</v>
      </c>
      <c r="N118" s="64">
        <f t="shared" si="139"/>
        <v>304.83999999999997</v>
      </c>
      <c r="O118" s="64">
        <f t="shared" si="139"/>
        <v>315.04000000000002</v>
      </c>
      <c r="P118" s="64">
        <v>42</v>
      </c>
      <c r="Q118" s="64">
        <f t="shared" ref="Q118:W118" si="140">SUM(Q22,Q28,Q31:Q32,Q66,Q68:Q69,Q71,Q73,Q119:Q123,Q155,Q161,Q167,Q176,Q178,Q190,Q197,Q200:Q201,Q208,Q210,Q212,Q216:Q218,Q220:Q222,Q227,Q233:Q234,Q236:Q238,Q246,Q251)</f>
        <v>321.64000000000004</v>
      </c>
      <c r="R118" s="64">
        <f t="shared" si="140"/>
        <v>315.94</v>
      </c>
      <c r="S118" s="64">
        <f t="shared" si="140"/>
        <v>310.54000000000002</v>
      </c>
      <c r="T118" s="64">
        <f t="shared" ref="T118" si="141">SUM(T22,T28,T31:T32,T66,T68:T69,T71,T73,T119:T123,T155,T161,T167,T176,T178,T190,T197,T200:T201,T208,T210,T212,T216:T218,T220:T222,T227,T233:T234,T236:T238,T246,T251)</f>
        <v>232.64</v>
      </c>
      <c r="U118" s="64">
        <f t="shared" si="140"/>
        <v>307.83999999999997</v>
      </c>
      <c r="V118" s="64">
        <f t="shared" ref="V118" si="142">SUM(V22,V28,V31:V32,V66,V68:V69,V71,V73,V119:V123,V155,V161,V167,V176,V178,V190,V197,V200:V201,V208,V210,V212,V216:V218,V220:V222,V227,V233:V234,V236:V238,V246,V251)</f>
        <v>293.74</v>
      </c>
      <c r="W118" s="64">
        <f t="shared" si="140"/>
        <v>300.14</v>
      </c>
      <c r="X118" s="64">
        <f t="shared" ref="X118" si="143">SUM(X22,X28,X31:X32,X66,X68:X69,X71,X73,X119:X123,X155,X161,X167,X176,X178,X190,X197,X200:X201,X208,X210,X212,X216:X218,X220:X222,X227,X233:X234,X236:X238,X246,X251)</f>
        <v>293.64</v>
      </c>
      <c r="Y118" s="64">
        <f>SUM(Y20,Y26,Y37:Y38,Y66,Y68:Y69,Y71,Y73,Y119:Y123,Y148,Y154,Y160,Y169,Y171,Y183,Y190,Y193:Y194,Y201,Y203,Y205,Y209:Y211,Y213:Y215,Y220,Y226:Y227,Y229:Y231,Y239,Y244)</f>
        <v>305.25</v>
      </c>
      <c r="Z118" s="64">
        <f>SUM(Z20,Z26,Z37:Z38,Z66,Z68:Z69,Z71,Z73,Z119:Z123,Z148,Z154,Z160,Z169,Z171,Z183,Z190,Z193:Z194,Z201,Z203,Z205,Z209:Z211,Z213:Z215,Z220,Z226:Z227,Z229:Z231,Z239,Z244)</f>
        <v>380.95000000000005</v>
      </c>
      <c r="AA118" s="64">
        <f t="shared" ref="AA118" si="144">SUM(AA22,AA28,AA31:AA32,AA66,AA68:AA69,AA71,AA73,AA119:AA123,AA155,AA161,AA167,AA176,AA178,AA190,AA197,AA200:AA201,AA208,AA210,AA212,AA216:AA218,AA220:AA222,AA227,AA233:AA234,AA236:AA238,AA246,AA251)</f>
        <v>330.04</v>
      </c>
      <c r="AB118" s="64">
        <f t="shared" ref="AB118:AC118" si="145">SUM(AB22,AB28,AB31:AB32,AB66,AB68:AB69,AB71,AB73,AB119:AB123,AB155,AB161,AB167,AB176,AB178,AB190,AB197,AB200:AB201,AB208,AB210,AB212,AB216:AB218,AB220:AB222,AB227,AB233:AB234,AB236:AB238,AB246,AB251)</f>
        <v>330.53999999999996</v>
      </c>
      <c r="AC118" s="64">
        <f t="shared" si="145"/>
        <v>308.14000000000004</v>
      </c>
      <c r="AD118" s="64">
        <f t="shared" ref="AD118:AE118" si="146">SUM(AD22,AD28,AD31:AD32,AD66,AD68:AD69,AD71,AD73,AD119:AD123,AD155,AD161,AD167,AD176,AD178,AD190,AD197,AD200:AD201,AD208,AD210,AD212,AD216:AD218,AD220:AD222,AD227,AD233:AD234,AD236:AD238,AD246,AD251)</f>
        <v>277.64</v>
      </c>
      <c r="AE118" s="64">
        <f t="shared" si="146"/>
        <v>208.33999999999997</v>
      </c>
      <c r="AF118" s="64">
        <f t="shared" ref="AF118" si="147">SUM(AF22,AF28,AF31:AF32,AF66,AF68:AF69,AF71,AF73,AF119:AF123,AF155,AF161,AF167,AF176,AF178,AF190,AF197,AF200:AF201,AF208,AF210,AF212,AF216:AF218,AF220:AF222,AF227,AF233:AF234,AF236:AF238,AF246,AF251)</f>
        <v>165.73999999999998</v>
      </c>
      <c r="AG118" s="63"/>
      <c r="AH118" s="12">
        <f t="shared" si="60"/>
        <v>380.95000000000005</v>
      </c>
      <c r="AI118" s="11">
        <f t="shared" si="61"/>
        <v>42</v>
      </c>
    </row>
    <row r="119" spans="1:35" x14ac:dyDescent="0.25">
      <c r="A119" s="59" t="s">
        <v>143</v>
      </c>
      <c r="B119" s="62">
        <v>25</v>
      </c>
      <c r="C119" s="62">
        <v>25</v>
      </c>
      <c r="D119" s="62">
        <v>25</v>
      </c>
      <c r="E119" s="62">
        <v>28.6</v>
      </c>
      <c r="F119" s="62">
        <v>27.1</v>
      </c>
      <c r="G119" s="62">
        <v>2.2999999999999998</v>
      </c>
      <c r="H119" s="62">
        <v>10.8</v>
      </c>
      <c r="I119" s="62">
        <v>6.2</v>
      </c>
      <c r="J119" s="62">
        <v>4.0999999999999996</v>
      </c>
      <c r="K119" s="62">
        <v>2.5</v>
      </c>
      <c r="L119" s="62">
        <v>8.4</v>
      </c>
      <c r="M119" s="62">
        <v>6.5</v>
      </c>
      <c r="N119" s="62">
        <v>6.5</v>
      </c>
      <c r="O119" s="62">
        <v>13.2</v>
      </c>
      <c r="P119" s="62">
        <v>12.3</v>
      </c>
      <c r="Q119" s="62">
        <v>14.4</v>
      </c>
      <c r="R119" s="62">
        <v>13.5</v>
      </c>
      <c r="S119" s="62">
        <v>13.5</v>
      </c>
      <c r="T119" s="62">
        <v>8</v>
      </c>
      <c r="U119" s="62">
        <v>12.8</v>
      </c>
      <c r="V119" s="62">
        <v>5</v>
      </c>
      <c r="W119" s="62">
        <v>-1</v>
      </c>
      <c r="X119" s="62">
        <v>-8</v>
      </c>
      <c r="Y119" s="62">
        <v>7</v>
      </c>
      <c r="Z119" s="62">
        <v>15.3</v>
      </c>
      <c r="AA119" s="62">
        <v>20.7</v>
      </c>
      <c r="AB119" s="62">
        <v>29.9</v>
      </c>
      <c r="AC119" s="62">
        <v>17.7</v>
      </c>
      <c r="AD119" s="62">
        <v>42.3</v>
      </c>
      <c r="AE119" s="62">
        <v>39.299999999999997</v>
      </c>
      <c r="AF119" s="62">
        <v>17.7</v>
      </c>
      <c r="AG119" s="55">
        <v>75</v>
      </c>
      <c r="AH119" s="12">
        <f t="shared" si="60"/>
        <v>42.3</v>
      </c>
      <c r="AI119" s="11">
        <f t="shared" si="61"/>
        <v>-8</v>
      </c>
    </row>
    <row r="120" spans="1:35" x14ac:dyDescent="0.25">
      <c r="A120" s="57" t="s">
        <v>142</v>
      </c>
      <c r="B120" s="61">
        <v>43</v>
      </c>
      <c r="C120" s="61">
        <v>43</v>
      </c>
      <c r="D120" s="61">
        <v>43</v>
      </c>
      <c r="E120" s="61">
        <v>48.4</v>
      </c>
      <c r="F120" s="61">
        <v>46.9</v>
      </c>
      <c r="G120" s="61">
        <v>10.9</v>
      </c>
      <c r="H120" s="61">
        <v>22.4</v>
      </c>
      <c r="I120" s="61">
        <v>11.8</v>
      </c>
      <c r="J120" s="61">
        <v>2.2999999999999998</v>
      </c>
      <c r="K120" s="61">
        <v>-4.5999999999999996</v>
      </c>
      <c r="L120" s="61">
        <v>5.2</v>
      </c>
      <c r="M120" s="61">
        <v>2.6</v>
      </c>
      <c r="N120" s="61">
        <v>3.9</v>
      </c>
      <c r="O120" s="61">
        <v>12.6</v>
      </c>
      <c r="P120" s="61">
        <v>10.9</v>
      </c>
      <c r="Q120" s="61">
        <v>15.7</v>
      </c>
      <c r="R120" s="61">
        <v>12.3</v>
      </c>
      <c r="S120" s="61">
        <v>12.3</v>
      </c>
      <c r="T120" s="61">
        <v>4.5</v>
      </c>
      <c r="U120" s="61">
        <v>10.199999999999999</v>
      </c>
      <c r="V120" s="61">
        <v>1.4</v>
      </c>
      <c r="W120" s="61">
        <v>-9</v>
      </c>
      <c r="X120" s="61">
        <v>-10.5</v>
      </c>
      <c r="Y120" s="61">
        <v>13.4</v>
      </c>
      <c r="Z120" s="61">
        <v>26</v>
      </c>
      <c r="AA120" s="61">
        <v>33.1</v>
      </c>
      <c r="AB120" s="61">
        <v>44.8</v>
      </c>
      <c r="AC120" s="61">
        <v>30.6</v>
      </c>
      <c r="AD120" s="61">
        <v>64.5</v>
      </c>
      <c r="AE120" s="61">
        <v>62.5</v>
      </c>
      <c r="AF120" s="61">
        <v>31.1</v>
      </c>
      <c r="AG120" s="55">
        <v>240</v>
      </c>
      <c r="AH120" s="12">
        <f t="shared" si="60"/>
        <v>64.5</v>
      </c>
      <c r="AI120" s="11">
        <f t="shared" si="61"/>
        <v>-10.5</v>
      </c>
    </row>
    <row r="121" spans="1:35" x14ac:dyDescent="0.25">
      <c r="A121" s="57" t="s">
        <v>141</v>
      </c>
      <c r="B121" s="61">
        <v>-89</v>
      </c>
      <c r="C121" s="61">
        <v>-89</v>
      </c>
      <c r="D121" s="61">
        <v>-88</v>
      </c>
      <c r="E121" s="61">
        <v>-133.1</v>
      </c>
      <c r="F121" s="61">
        <v>-133.5</v>
      </c>
      <c r="G121" s="61">
        <v>-70.5</v>
      </c>
      <c r="H121" s="61">
        <v>-87.6</v>
      </c>
      <c r="I121" s="61">
        <v>-56.35</v>
      </c>
      <c r="J121" s="61">
        <v>0.3</v>
      </c>
      <c r="K121" s="61">
        <v>4</v>
      </c>
      <c r="L121" s="61">
        <v>-2.6</v>
      </c>
      <c r="M121" s="61">
        <v>31</v>
      </c>
      <c r="N121" s="61">
        <v>31.5</v>
      </c>
      <c r="O121" s="61">
        <v>24.8</v>
      </c>
      <c r="P121" s="61">
        <v>25</v>
      </c>
      <c r="Q121" s="61">
        <v>19.600000000000001</v>
      </c>
      <c r="R121" s="61">
        <f>18+11.3</f>
        <v>29.3</v>
      </c>
      <c r="S121" s="61">
        <f>18+11.3</f>
        <v>29.3</v>
      </c>
      <c r="T121" s="61">
        <v>-31</v>
      </c>
      <c r="U121" s="61">
        <v>37</v>
      </c>
      <c r="V121" s="61">
        <v>43</v>
      </c>
      <c r="W121" s="61">
        <v>55</v>
      </c>
      <c r="X121" s="61">
        <v>59</v>
      </c>
      <c r="Y121" s="61">
        <v>18</v>
      </c>
      <c r="Z121" s="61">
        <v>11</v>
      </c>
      <c r="AA121" s="61">
        <v>-30</v>
      </c>
      <c r="AB121" s="61">
        <v>-34</v>
      </c>
      <c r="AC121" s="61">
        <v>-17</v>
      </c>
      <c r="AD121" s="61">
        <v>-78</v>
      </c>
      <c r="AE121" s="61">
        <v>-90</v>
      </c>
      <c r="AF121" s="61">
        <v>-57</v>
      </c>
      <c r="AG121" s="55">
        <v>240</v>
      </c>
      <c r="AH121" s="12">
        <f t="shared" si="60"/>
        <v>59</v>
      </c>
      <c r="AI121" s="11">
        <f t="shared" si="61"/>
        <v>-133.5</v>
      </c>
    </row>
    <row r="122" spans="1:35" ht="15.75" thickBot="1" x14ac:dyDescent="0.3">
      <c r="A122" s="57" t="s">
        <v>140</v>
      </c>
      <c r="B122" s="61">
        <v>23</v>
      </c>
      <c r="C122" s="61">
        <v>23</v>
      </c>
      <c r="D122" s="61">
        <v>22</v>
      </c>
      <c r="E122" s="61">
        <v>21.8</v>
      </c>
      <c r="F122" s="61">
        <v>22.6</v>
      </c>
      <c r="G122" s="61">
        <v>30.6</v>
      </c>
      <c r="H122" s="61">
        <v>29.1</v>
      </c>
      <c r="I122" s="61">
        <v>33.1</v>
      </c>
      <c r="J122" s="61">
        <v>32</v>
      </c>
      <c r="K122" s="61">
        <v>31.1</v>
      </c>
      <c r="L122" s="61">
        <v>25.9</v>
      </c>
      <c r="M122" s="61">
        <v>30.6</v>
      </c>
      <c r="N122" s="61">
        <v>33.299999999999997</v>
      </c>
      <c r="O122" s="61">
        <v>31</v>
      </c>
      <c r="P122" s="61">
        <v>30.1</v>
      </c>
      <c r="Q122" s="61">
        <v>39.4</v>
      </c>
      <c r="R122" s="61">
        <v>30.1</v>
      </c>
      <c r="S122" s="61">
        <v>30.1</v>
      </c>
      <c r="T122" s="61">
        <v>31</v>
      </c>
      <c r="U122" s="61">
        <v>31.2</v>
      </c>
      <c r="V122" s="61">
        <v>38</v>
      </c>
      <c r="W122" s="61">
        <v>40</v>
      </c>
      <c r="X122" s="61">
        <v>33</v>
      </c>
      <c r="Y122" s="61">
        <v>39</v>
      </c>
      <c r="Z122" s="61">
        <v>41</v>
      </c>
      <c r="AA122" s="61">
        <v>37</v>
      </c>
      <c r="AB122" s="61">
        <v>34.6</v>
      </c>
      <c r="AC122" s="61">
        <v>36</v>
      </c>
      <c r="AD122" s="61">
        <v>27.7</v>
      </c>
      <c r="AE122" s="61">
        <v>24.2</v>
      </c>
      <c r="AF122" s="61">
        <v>26.7</v>
      </c>
      <c r="AG122" s="55">
        <v>60</v>
      </c>
      <c r="AH122" s="12">
        <f t="shared" si="60"/>
        <v>41</v>
      </c>
      <c r="AI122" s="11">
        <f t="shared" si="61"/>
        <v>21.8</v>
      </c>
    </row>
    <row r="123" spans="1:35" x14ac:dyDescent="0.25">
      <c r="A123" s="59" t="s">
        <v>139</v>
      </c>
      <c r="B123" s="58">
        <v>6.6</v>
      </c>
      <c r="C123" s="58">
        <v>6.6</v>
      </c>
      <c r="D123" s="58">
        <v>1.8</v>
      </c>
      <c r="E123" s="58">
        <v>-0.6</v>
      </c>
      <c r="F123" s="58">
        <v>-2</v>
      </c>
      <c r="G123" s="58">
        <v>30.6</v>
      </c>
      <c r="H123" s="58">
        <v>40.299999999999997</v>
      </c>
      <c r="I123" s="58">
        <v>63.4</v>
      </c>
      <c r="J123" s="58">
        <v>101.3</v>
      </c>
      <c r="K123" s="58">
        <v>112.5</v>
      </c>
      <c r="L123" s="58">
        <v>126.8</v>
      </c>
      <c r="M123" s="58">
        <v>120</v>
      </c>
      <c r="N123" s="58">
        <v>107.1</v>
      </c>
      <c r="O123" s="58">
        <v>108.9</v>
      </c>
      <c r="P123" s="58">
        <v>109.3</v>
      </c>
      <c r="Q123" s="58">
        <v>107.9</v>
      </c>
      <c r="R123" s="58">
        <v>104.5</v>
      </c>
      <c r="S123" s="58">
        <v>104.5</v>
      </c>
      <c r="T123" s="58">
        <v>106</v>
      </c>
      <c r="U123" s="58">
        <v>106.3</v>
      </c>
      <c r="V123" s="58">
        <v>96</v>
      </c>
      <c r="W123" s="58">
        <v>108</v>
      </c>
      <c r="X123" s="58">
        <v>113</v>
      </c>
      <c r="Y123" s="58">
        <v>114.2</v>
      </c>
      <c r="Z123" s="58">
        <v>171</v>
      </c>
      <c r="AA123" s="58">
        <v>160.1</v>
      </c>
      <c r="AB123" s="58">
        <v>146.1</v>
      </c>
      <c r="AC123" s="58">
        <v>129.30000000000001</v>
      </c>
      <c r="AD123" s="58">
        <v>109.6</v>
      </c>
      <c r="AE123" s="58">
        <v>60.8</v>
      </c>
      <c r="AF123" s="58">
        <v>24.7</v>
      </c>
      <c r="AG123" s="60">
        <v>120</v>
      </c>
      <c r="AH123" s="12">
        <f t="shared" si="60"/>
        <v>171</v>
      </c>
      <c r="AI123" s="11">
        <f t="shared" si="61"/>
        <v>-2</v>
      </c>
    </row>
    <row r="124" spans="1:35" x14ac:dyDescent="0.25">
      <c r="A124" s="57" t="s">
        <v>138</v>
      </c>
      <c r="B124" s="58">
        <v>24</v>
      </c>
      <c r="C124" s="58">
        <v>24</v>
      </c>
      <c r="D124" s="58">
        <v>22</v>
      </c>
      <c r="E124" s="58">
        <v>20.3</v>
      </c>
      <c r="F124" s="58">
        <v>22.1</v>
      </c>
      <c r="G124" s="58">
        <v>36.6</v>
      </c>
      <c r="H124" s="58">
        <v>41.6</v>
      </c>
      <c r="I124" s="58">
        <v>52.4</v>
      </c>
      <c r="J124" s="58">
        <v>72</v>
      </c>
      <c r="K124" s="58">
        <v>76.7</v>
      </c>
      <c r="L124" s="58">
        <v>81.2</v>
      </c>
      <c r="M124" s="58">
        <v>80.3</v>
      </c>
      <c r="N124" s="58">
        <v>74.400000000000006</v>
      </c>
      <c r="O124" s="58" t="s">
        <v>307</v>
      </c>
      <c r="P124" s="58">
        <v>74</v>
      </c>
      <c r="Q124" s="58">
        <v>73.5</v>
      </c>
      <c r="R124" s="58">
        <v>72.599999999999994</v>
      </c>
      <c r="S124" s="58">
        <v>72.599999999999994</v>
      </c>
      <c r="T124" s="58">
        <v>72</v>
      </c>
      <c r="U124" s="58">
        <v>74</v>
      </c>
      <c r="V124" s="58">
        <v>68</v>
      </c>
      <c r="W124" s="58">
        <v>74</v>
      </c>
      <c r="X124" s="58">
        <v>74</v>
      </c>
      <c r="Y124" s="58">
        <v>77</v>
      </c>
      <c r="Z124" s="58">
        <v>104</v>
      </c>
      <c r="AA124" s="58">
        <v>99</v>
      </c>
      <c r="AB124" s="58">
        <v>86.8</v>
      </c>
      <c r="AC124" s="58">
        <v>79.400000000000006</v>
      </c>
      <c r="AD124" s="58">
        <v>70.8</v>
      </c>
      <c r="AE124" s="58">
        <v>48.9</v>
      </c>
      <c r="AF124" s="58">
        <v>31.9</v>
      </c>
      <c r="AG124" s="60"/>
      <c r="AH124" s="12">
        <f t="shared" si="60"/>
        <v>104</v>
      </c>
      <c r="AI124" s="11">
        <f t="shared" si="61"/>
        <v>20.3</v>
      </c>
    </row>
    <row r="125" spans="1:35" x14ac:dyDescent="0.25">
      <c r="A125" s="57" t="s">
        <v>137</v>
      </c>
      <c r="B125" s="58">
        <v>0</v>
      </c>
      <c r="C125" s="58">
        <v>0</v>
      </c>
      <c r="D125" s="58">
        <v>0</v>
      </c>
      <c r="E125" s="58"/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60"/>
        <v>0</v>
      </c>
      <c r="AI125" s="11">
        <f t="shared" si="61"/>
        <v>0</v>
      </c>
    </row>
    <row r="126" spans="1:35" ht="15.75" thickBot="1" x14ac:dyDescent="0.3">
      <c r="A126" s="57" t="s">
        <v>136</v>
      </c>
      <c r="B126" s="58">
        <v>6.1</v>
      </c>
      <c r="C126" s="58">
        <v>6.1</v>
      </c>
      <c r="D126" s="58">
        <v>9</v>
      </c>
      <c r="E126" s="58">
        <v>2.1</v>
      </c>
      <c r="F126" s="58">
        <v>0.4</v>
      </c>
      <c r="G126" s="58">
        <v>32</v>
      </c>
      <c r="H126" s="58">
        <v>19.600000000000001</v>
      </c>
      <c r="I126" s="58">
        <v>25.4</v>
      </c>
      <c r="J126" s="58">
        <v>103</v>
      </c>
      <c r="K126" s="58">
        <v>105</v>
      </c>
      <c r="L126" s="58">
        <v>103.8</v>
      </c>
      <c r="M126" s="58">
        <v>104.5</v>
      </c>
      <c r="N126" s="58">
        <v>103.7</v>
      </c>
      <c r="O126" s="58">
        <v>99.5</v>
      </c>
      <c r="P126" s="58">
        <v>91</v>
      </c>
      <c r="Q126" s="58">
        <v>80</v>
      </c>
      <c r="R126" s="58">
        <v>82</v>
      </c>
      <c r="S126" s="58">
        <v>82</v>
      </c>
      <c r="T126" s="58">
        <v>98</v>
      </c>
      <c r="U126" s="58">
        <v>91</v>
      </c>
      <c r="V126" s="58">
        <v>91</v>
      </c>
      <c r="W126" s="58">
        <v>101</v>
      </c>
      <c r="X126" s="58">
        <v>94.5</v>
      </c>
      <c r="Y126" s="58">
        <v>49</v>
      </c>
      <c r="Z126" s="58">
        <v>71</v>
      </c>
      <c r="AA126" s="58">
        <v>37</v>
      </c>
      <c r="AB126" s="58">
        <v>44.6</v>
      </c>
      <c r="AC126" s="58">
        <v>58</v>
      </c>
      <c r="AD126" s="58">
        <v>24.1</v>
      </c>
      <c r="AE126" s="58">
        <v>19</v>
      </c>
      <c r="AF126" s="58">
        <v>31.9</v>
      </c>
      <c r="AG126" s="55"/>
      <c r="AH126" s="12">
        <f>MAX(B126:AF126)</f>
        <v>105</v>
      </c>
      <c r="AI126" s="11">
        <f>MIN(B126:AF126)</f>
        <v>0.4</v>
      </c>
    </row>
    <row r="127" spans="1:35" x14ac:dyDescent="0.25">
      <c r="A127" s="59" t="s">
        <v>135</v>
      </c>
      <c r="B127" s="58">
        <v>-94</v>
      </c>
      <c r="C127" s="58">
        <v>-94</v>
      </c>
      <c r="D127" s="58">
        <v>-96</v>
      </c>
      <c r="E127" s="58">
        <v>-14.9</v>
      </c>
      <c r="F127" s="58">
        <v>-96.8</v>
      </c>
      <c r="G127" s="58">
        <v>-81.099999999999994</v>
      </c>
      <c r="H127" s="58">
        <v>-76.2</v>
      </c>
      <c r="I127" s="58">
        <v>-104.5</v>
      </c>
      <c r="J127" s="58">
        <v>-35</v>
      </c>
      <c r="K127" s="58">
        <v>-34.9</v>
      </c>
      <c r="L127" s="58">
        <v>-38.799999999999997</v>
      </c>
      <c r="M127" s="58">
        <v>38.299999999999997</v>
      </c>
      <c r="N127" s="58">
        <v>32.4</v>
      </c>
      <c r="O127" s="58">
        <v>32</v>
      </c>
      <c r="P127" s="58">
        <v>33</v>
      </c>
      <c r="Q127" s="58">
        <v>33.4</v>
      </c>
      <c r="R127" s="58">
        <v>31.4</v>
      </c>
      <c r="S127" s="58">
        <v>31.4</v>
      </c>
      <c r="T127" s="58">
        <v>30</v>
      </c>
      <c r="U127" s="58">
        <v>31</v>
      </c>
      <c r="V127" s="58">
        <v>32</v>
      </c>
      <c r="W127" s="58">
        <v>32</v>
      </c>
      <c r="X127" s="58">
        <v>20</v>
      </c>
      <c r="Y127" s="58">
        <v>7</v>
      </c>
      <c r="Z127" s="58">
        <v>-82.3</v>
      </c>
      <c r="AA127" s="58">
        <v>-111</v>
      </c>
      <c r="AB127" s="58">
        <v>-82.4</v>
      </c>
      <c r="AC127" s="58">
        <v>-89.1</v>
      </c>
      <c r="AD127" s="58">
        <v>-144.9</v>
      </c>
      <c r="AE127" s="58">
        <v>-121.1</v>
      </c>
      <c r="AF127" s="58">
        <v>-120.1</v>
      </c>
      <c r="AG127" s="55"/>
      <c r="AH127" s="12">
        <f>MAX(B127:AF127)</f>
        <v>38.299999999999997</v>
      </c>
      <c r="AI127" s="11">
        <f>MIN(B127:AF127)</f>
        <v>-144.9</v>
      </c>
    </row>
    <row r="128" spans="1:35" x14ac:dyDescent="0.25">
      <c r="A128" s="57" t="s">
        <v>134</v>
      </c>
      <c r="B128" s="56">
        <v>-43</v>
      </c>
      <c r="C128" s="56">
        <v>-43</v>
      </c>
      <c r="D128" s="56">
        <v>-43</v>
      </c>
      <c r="E128" s="56">
        <v>-32.6</v>
      </c>
      <c r="F128" s="56">
        <v>-36</v>
      </c>
      <c r="G128" s="56">
        <v>-36.799999999999997</v>
      </c>
      <c r="H128" s="56">
        <v>-37</v>
      </c>
      <c r="I128" s="56">
        <v>-44</v>
      </c>
      <c r="J128" s="56">
        <v>-50.2</v>
      </c>
      <c r="K128" s="56">
        <v>-56</v>
      </c>
      <c r="L128" s="56">
        <v>-66.8</v>
      </c>
      <c r="M128" s="56">
        <v>-62.5</v>
      </c>
      <c r="N128" s="56">
        <v>-60.6</v>
      </c>
      <c r="O128" s="56">
        <v>-58.5</v>
      </c>
      <c r="P128" s="56">
        <v>-58</v>
      </c>
      <c r="Q128" s="56">
        <v>-58</v>
      </c>
      <c r="R128" s="56">
        <v>-47.5</v>
      </c>
      <c r="S128" s="56">
        <v>-47.5</v>
      </c>
      <c r="T128" s="56">
        <v>-64</v>
      </c>
      <c r="U128" s="56">
        <v>-52.3</v>
      </c>
      <c r="V128" s="56">
        <v>-64</v>
      </c>
      <c r="W128" s="56">
        <v>-68</v>
      </c>
      <c r="X128" s="56">
        <v>-68</v>
      </c>
      <c r="Y128" s="56"/>
      <c r="Z128" s="56"/>
      <c r="AA128" s="56">
        <v>-62.4</v>
      </c>
      <c r="AB128" s="56">
        <v>-63</v>
      </c>
      <c r="AC128" s="56">
        <v>-60.5</v>
      </c>
      <c r="AD128" s="56">
        <v>-55.3</v>
      </c>
      <c r="AE128" s="56">
        <v>-58.7</v>
      </c>
      <c r="AF128" s="56">
        <v>-48.5</v>
      </c>
      <c r="AG128" s="55"/>
      <c r="AH128" s="12">
        <f>MAX(B128:AF128)</f>
        <v>-32.6</v>
      </c>
      <c r="AI128" s="11">
        <f>MIN(B128:AF128)</f>
        <v>-68</v>
      </c>
    </row>
    <row r="129" spans="1:37" x14ac:dyDescent="0.25">
      <c r="A129" s="57" t="s">
        <v>133</v>
      </c>
      <c r="B129" s="56">
        <v>84</v>
      </c>
      <c r="C129" s="56">
        <v>84</v>
      </c>
      <c r="D129" s="56">
        <v>79</v>
      </c>
      <c r="E129" s="56">
        <v>-72.8</v>
      </c>
      <c r="F129" s="56">
        <v>71.7</v>
      </c>
      <c r="G129" s="56">
        <v>66.099999999999994</v>
      </c>
      <c r="H129" s="56">
        <v>60.3</v>
      </c>
      <c r="I129" s="56">
        <v>83.1</v>
      </c>
      <c r="J129" s="56">
        <v>75.599999999999994</v>
      </c>
      <c r="K129" s="56">
        <v>70.5</v>
      </c>
      <c r="L129" s="56">
        <v>75.2</v>
      </c>
      <c r="M129" s="56">
        <v>84.6</v>
      </c>
      <c r="N129" s="56">
        <v>86.4</v>
      </c>
      <c r="O129" s="56">
        <v>98.9</v>
      </c>
      <c r="P129" s="56">
        <v>95.1</v>
      </c>
      <c r="Q129" s="56">
        <v>83</v>
      </c>
      <c r="R129" s="56">
        <v>72.099999999999994</v>
      </c>
      <c r="S129" s="56">
        <v>72.099999999999994</v>
      </c>
      <c r="T129" s="56">
        <v>64</v>
      </c>
      <c r="U129" s="56">
        <v>54</v>
      </c>
      <c r="V129" s="56">
        <v>54</v>
      </c>
      <c r="W129" s="56">
        <v>66</v>
      </c>
      <c r="X129" s="56">
        <v>69</v>
      </c>
      <c r="Y129" s="56">
        <v>49</v>
      </c>
      <c r="Z129" s="56">
        <v>117</v>
      </c>
      <c r="AA129" s="56">
        <v>116</v>
      </c>
      <c r="AB129" s="56">
        <v>116.4</v>
      </c>
      <c r="AC129" s="56">
        <v>117.3</v>
      </c>
      <c r="AD129" s="56">
        <v>112</v>
      </c>
      <c r="AE129" s="56">
        <v>90.2</v>
      </c>
      <c r="AF129" s="56">
        <v>99.7</v>
      </c>
      <c r="AG129" s="55"/>
      <c r="AH129" s="12">
        <f>MAX(B129:AF129)</f>
        <v>117.3</v>
      </c>
      <c r="AI129" s="11">
        <f>MIN(B129:AF129)</f>
        <v>-72.8</v>
      </c>
    </row>
    <row r="130" spans="1:37" ht="15.75" thickBot="1" x14ac:dyDescent="0.3">
      <c r="A130" s="57" t="s">
        <v>132</v>
      </c>
      <c r="B130" s="56">
        <v>94</v>
      </c>
      <c r="C130" s="56">
        <v>94</v>
      </c>
      <c r="D130" s="56">
        <v>91</v>
      </c>
      <c r="E130" s="56">
        <v>84.5</v>
      </c>
      <c r="F130" s="56">
        <v>83.3</v>
      </c>
      <c r="G130" s="56">
        <v>76.099999999999994</v>
      </c>
      <c r="H130" s="56">
        <v>72.3</v>
      </c>
      <c r="I130" s="56">
        <v>91.8</v>
      </c>
      <c r="J130" s="56">
        <v>80.599999999999994</v>
      </c>
      <c r="K130" s="56">
        <v>75.8</v>
      </c>
      <c r="L130" s="56">
        <v>75.2</v>
      </c>
      <c r="M130" s="56">
        <v>80.8</v>
      </c>
      <c r="N130" s="56">
        <v>88.2</v>
      </c>
      <c r="O130" s="56">
        <v>92.7</v>
      </c>
      <c r="P130" s="56">
        <v>93.6</v>
      </c>
      <c r="Q130" s="56">
        <v>89</v>
      </c>
      <c r="R130" s="56">
        <v>70</v>
      </c>
      <c r="S130" s="56">
        <v>70</v>
      </c>
      <c r="T130" s="56">
        <v>64</v>
      </c>
      <c r="U130" s="56">
        <v>59</v>
      </c>
      <c r="V130" s="56">
        <v>66</v>
      </c>
      <c r="W130" s="56">
        <v>69</v>
      </c>
      <c r="X130" s="56">
        <v>73</v>
      </c>
      <c r="Y130" s="56">
        <v>68</v>
      </c>
      <c r="Z130" s="56">
        <v>125</v>
      </c>
      <c r="AA130" s="56">
        <v>124</v>
      </c>
      <c r="AB130" s="56">
        <v>124</v>
      </c>
      <c r="AC130" s="56">
        <v>124.3</v>
      </c>
      <c r="AD130" s="56">
        <v>119.9</v>
      </c>
      <c r="AE130" s="56">
        <v>100</v>
      </c>
      <c r="AF130" s="56">
        <v>107.1</v>
      </c>
      <c r="AG130" s="55"/>
      <c r="AH130" s="12">
        <f>MAX(B130:AF130)</f>
        <v>125</v>
      </c>
      <c r="AI130" s="11">
        <f>MIN(B130:AF130)</f>
        <v>59</v>
      </c>
    </row>
    <row r="131" spans="1:37" x14ac:dyDescent="0.25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25">
      <c r="A132" s="47" t="s">
        <v>130</v>
      </c>
      <c r="B132" s="51">
        <v>1984.05</v>
      </c>
      <c r="C132" s="51">
        <v>1983.93</v>
      </c>
      <c r="D132" s="51">
        <v>1983.78</v>
      </c>
      <c r="E132" s="51">
        <v>1983.62</v>
      </c>
      <c r="F132" s="51">
        <v>1983.42</v>
      </c>
      <c r="G132" s="51">
        <v>1983.22</v>
      </c>
      <c r="H132" s="51"/>
      <c r="I132" s="51">
        <v>1983.03</v>
      </c>
      <c r="J132" s="51"/>
      <c r="K132" s="51">
        <v>1983.2</v>
      </c>
      <c r="L132" s="51"/>
      <c r="M132" s="51">
        <v>1983.55</v>
      </c>
      <c r="N132" s="51">
        <v>1983.88</v>
      </c>
      <c r="O132" s="51">
        <v>1984.19</v>
      </c>
      <c r="P132" s="51">
        <v>1984.46</v>
      </c>
      <c r="Q132" s="51">
        <v>1984.71</v>
      </c>
      <c r="R132" s="51">
        <v>1984.95</v>
      </c>
      <c r="S132" s="51">
        <v>1985.2</v>
      </c>
      <c r="T132" s="51">
        <v>1985.42</v>
      </c>
      <c r="U132" s="51">
        <v>1985.65</v>
      </c>
      <c r="V132" s="51">
        <v>1985.92</v>
      </c>
      <c r="W132" s="51"/>
      <c r="X132" s="51">
        <v>1986.12</v>
      </c>
      <c r="Y132" s="51"/>
      <c r="Z132" s="51">
        <v>1986.22</v>
      </c>
      <c r="AA132" s="51">
        <v>1985.88</v>
      </c>
      <c r="AB132" s="51">
        <v>1985.48</v>
      </c>
      <c r="AC132" s="51"/>
      <c r="AD132" s="51">
        <v>1984.86</v>
      </c>
      <c r="AE132" s="51">
        <v>1984.21</v>
      </c>
      <c r="AF132" s="50">
        <v>1983.84</v>
      </c>
      <c r="AG132" s="44"/>
      <c r="AH132" s="12"/>
      <c r="AI132" s="11"/>
    </row>
    <row r="133" spans="1:37" x14ac:dyDescent="0.25">
      <c r="A133" s="47" t="s">
        <v>129</v>
      </c>
      <c r="B133" s="49">
        <v>521.17999999999995</v>
      </c>
      <c r="C133" s="49">
        <v>520.9</v>
      </c>
      <c r="D133" s="49">
        <v>520.65</v>
      </c>
      <c r="E133" s="49">
        <v>520.48</v>
      </c>
      <c r="F133" s="49">
        <v>520.29999999999995</v>
      </c>
      <c r="G133" s="49">
        <v>520.26</v>
      </c>
      <c r="H133" s="49"/>
      <c r="I133" s="49">
        <v>520.24</v>
      </c>
      <c r="J133" s="49"/>
      <c r="K133" s="49">
        <v>520.29999999999995</v>
      </c>
      <c r="L133" s="49"/>
      <c r="M133" s="49">
        <v>520.52</v>
      </c>
      <c r="N133" s="49">
        <v>520.74</v>
      </c>
      <c r="O133" s="49">
        <v>520.91</v>
      </c>
      <c r="P133" s="49">
        <v>520.92999999999995</v>
      </c>
      <c r="Q133" s="49">
        <v>520.95000000000005</v>
      </c>
      <c r="R133" s="49">
        <v>520.96</v>
      </c>
      <c r="S133" s="49">
        <v>520.94000000000005</v>
      </c>
      <c r="T133" s="49">
        <v>520.9</v>
      </c>
      <c r="U133" s="49">
        <v>520.83000000000004</v>
      </c>
      <c r="V133" s="49">
        <v>520.78</v>
      </c>
      <c r="W133" s="49"/>
      <c r="X133" s="49">
        <v>520.79</v>
      </c>
      <c r="Y133" s="49"/>
      <c r="Z133" s="49">
        <v>520.72</v>
      </c>
      <c r="AA133" s="49"/>
      <c r="AB133" s="49">
        <v>520.16</v>
      </c>
      <c r="AC133" s="49"/>
      <c r="AD133" s="49">
        <v>519.67999999999995</v>
      </c>
      <c r="AE133" s="49">
        <v>519.24</v>
      </c>
      <c r="AF133" s="48">
        <v>518.98</v>
      </c>
      <c r="AG133" s="44"/>
      <c r="AH133" s="12"/>
      <c r="AI133" s="11"/>
    </row>
    <row r="134" spans="1:37" x14ac:dyDescent="0.25">
      <c r="A134" s="47" t="s">
        <v>128</v>
      </c>
      <c r="B134" s="49">
        <v>623.24</v>
      </c>
      <c r="C134" s="49">
        <v>622.97</v>
      </c>
      <c r="D134" s="49">
        <v>622.86</v>
      </c>
      <c r="E134" s="49">
        <v>622.79</v>
      </c>
      <c r="F134" s="49">
        <v>622.69000000000005</v>
      </c>
      <c r="G134" s="49">
        <v>622.87</v>
      </c>
      <c r="H134" s="49"/>
      <c r="I134" s="49">
        <v>623.09</v>
      </c>
      <c r="J134" s="49"/>
      <c r="K134" s="49">
        <v>623.33000000000004</v>
      </c>
      <c r="L134" s="49"/>
      <c r="M134" s="49">
        <v>623.12</v>
      </c>
      <c r="N134" s="49">
        <v>622.82000000000005</v>
      </c>
      <c r="O134" s="49">
        <v>622.59</v>
      </c>
      <c r="P134" s="49">
        <v>622.24</v>
      </c>
      <c r="Q134" s="49">
        <v>621.79999999999995</v>
      </c>
      <c r="R134" s="49">
        <v>621.61</v>
      </c>
      <c r="S134" s="49">
        <v>622.07000000000005</v>
      </c>
      <c r="T134" s="49">
        <v>622.30999999999995</v>
      </c>
      <c r="U134" s="49">
        <v>622.55999999999995</v>
      </c>
      <c r="V134" s="49">
        <v>622.76</v>
      </c>
      <c r="W134" s="49">
        <v>622.96</v>
      </c>
      <c r="X134" s="49">
        <v>623.16999999999996</v>
      </c>
      <c r="Y134" s="49"/>
      <c r="Z134" s="49">
        <v>623.26</v>
      </c>
      <c r="AA134" s="49"/>
      <c r="AB134" s="49">
        <v>622.83000000000004</v>
      </c>
      <c r="AC134" s="49"/>
      <c r="AD134" s="49">
        <v>622.32000000000005</v>
      </c>
      <c r="AE134" s="49">
        <v>621.75</v>
      </c>
      <c r="AF134" s="48">
        <v>621.23</v>
      </c>
      <c r="AG134" s="44"/>
      <c r="AH134" s="12"/>
      <c r="AI134" s="11"/>
    </row>
    <row r="135" spans="1:37" x14ac:dyDescent="0.25">
      <c r="A135" s="47" t="s">
        <v>127</v>
      </c>
      <c r="B135" s="49">
        <v>336.31</v>
      </c>
      <c r="C135" s="49">
        <v>336.54</v>
      </c>
      <c r="D135" s="49">
        <v>336.66</v>
      </c>
      <c r="E135" s="49">
        <v>336.78</v>
      </c>
      <c r="F135" s="49">
        <v>336.84</v>
      </c>
      <c r="G135" s="49">
        <v>336.99</v>
      </c>
      <c r="H135" s="49"/>
      <c r="I135" s="49">
        <v>337.12</v>
      </c>
      <c r="J135" s="49"/>
      <c r="K135" s="49">
        <v>337.04</v>
      </c>
      <c r="L135" s="49"/>
      <c r="M135" s="49">
        <v>336.97</v>
      </c>
      <c r="N135" s="49">
        <v>336.78</v>
      </c>
      <c r="O135" s="49">
        <v>336.54</v>
      </c>
      <c r="P135" s="49">
        <v>336.28</v>
      </c>
      <c r="Q135" s="49">
        <v>336.1</v>
      </c>
      <c r="R135" s="49">
        <v>335.91</v>
      </c>
      <c r="S135" s="49">
        <v>335.87</v>
      </c>
      <c r="T135" s="49">
        <v>335.73</v>
      </c>
      <c r="U135" s="49">
        <v>335.69</v>
      </c>
      <c r="V135" s="49">
        <v>335.68</v>
      </c>
      <c r="W135" s="49"/>
      <c r="X135" s="49">
        <v>335.75</v>
      </c>
      <c r="Y135" s="49"/>
      <c r="Z135" s="49">
        <v>335.44</v>
      </c>
      <c r="AA135" s="49"/>
      <c r="AB135" s="49">
        <v>335.45</v>
      </c>
      <c r="AC135" s="49">
        <v>335.11</v>
      </c>
      <c r="AD135" s="49">
        <v>334.91</v>
      </c>
      <c r="AE135" s="49">
        <v>334.48</v>
      </c>
      <c r="AF135" s="48">
        <v>334.06</v>
      </c>
      <c r="AG135" s="44"/>
      <c r="AH135" s="12"/>
      <c r="AI135" s="11"/>
    </row>
    <row r="136" spans="1:37" x14ac:dyDescent="0.25">
      <c r="A136" s="47" t="s">
        <v>126</v>
      </c>
      <c r="B136" s="49">
        <v>883.3</v>
      </c>
      <c r="C136" s="49">
        <v>884.3</v>
      </c>
      <c r="D136" s="49">
        <v>885.2</v>
      </c>
      <c r="E136" s="49">
        <v>886</v>
      </c>
      <c r="F136" s="49">
        <v>886.8</v>
      </c>
      <c r="G136" s="49">
        <v>887.4</v>
      </c>
      <c r="H136" s="49"/>
      <c r="I136" s="49">
        <v>887.5</v>
      </c>
      <c r="J136" s="49"/>
      <c r="K136" s="49">
        <v>887.4</v>
      </c>
      <c r="L136" s="49"/>
      <c r="M136" s="49">
        <v>887.5</v>
      </c>
      <c r="N136" s="49">
        <v>887.5</v>
      </c>
      <c r="O136" s="49">
        <v>887.3</v>
      </c>
      <c r="P136" s="49">
        <v>887.1</v>
      </c>
      <c r="Q136" s="49">
        <v>886.9</v>
      </c>
      <c r="R136" s="49">
        <v>886.7</v>
      </c>
      <c r="S136" s="49">
        <v>886.8</v>
      </c>
      <c r="T136" s="49">
        <v>885.5</v>
      </c>
      <c r="U136" s="49">
        <v>884.5</v>
      </c>
      <c r="V136" s="49">
        <v>883.3</v>
      </c>
      <c r="W136" s="49"/>
      <c r="X136" s="49">
        <v>882.8</v>
      </c>
      <c r="Y136" s="49"/>
      <c r="Z136" s="49">
        <v>882.7</v>
      </c>
      <c r="AA136" s="49"/>
      <c r="AB136" s="49">
        <v>882.3</v>
      </c>
      <c r="AC136" s="49"/>
      <c r="AD136" s="49">
        <v>882</v>
      </c>
      <c r="AE136" s="49"/>
      <c r="AF136" s="48">
        <v>882.8</v>
      </c>
      <c r="AG136" s="44"/>
      <c r="AH136" s="12"/>
      <c r="AI136" s="11"/>
    </row>
    <row r="137" spans="1:37" ht="15.75" thickBot="1" x14ac:dyDescent="0.3">
      <c r="A137" s="47" t="s">
        <v>125</v>
      </c>
      <c r="B137" s="46">
        <v>1506.99</v>
      </c>
      <c r="C137" s="46"/>
      <c r="D137" s="46"/>
      <c r="E137" s="46"/>
      <c r="F137" s="46"/>
      <c r="G137" s="46"/>
      <c r="H137" s="46"/>
      <c r="I137" s="46">
        <v>1506.79</v>
      </c>
      <c r="J137" s="46"/>
      <c r="K137" s="46"/>
      <c r="L137" s="46"/>
      <c r="M137" s="46"/>
      <c r="N137" s="46"/>
      <c r="O137" s="46"/>
      <c r="P137" s="46"/>
      <c r="Q137" s="46"/>
      <c r="R137" s="46">
        <v>1506.57</v>
      </c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.75" thickBot="1" x14ac:dyDescent="0.3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25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25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25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25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25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25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25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25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25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25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25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25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25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25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25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25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25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25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25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25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25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25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25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25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25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25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25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25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25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25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25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25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25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25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25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25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25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25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25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25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25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25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25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25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25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25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25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25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25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25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25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25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25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25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25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25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25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25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25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25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25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25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25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25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25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25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25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25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25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25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25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25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25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25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25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25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25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25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25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25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25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25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25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25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25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25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25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25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25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25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25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25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25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25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25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25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25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25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25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25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25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25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25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25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.75" thickBot="1" x14ac:dyDescent="0.3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.75" thickBot="1" x14ac:dyDescent="0.3">
      <c r="A244" s="31" t="s">
        <v>17</v>
      </c>
      <c r="B244" s="30">
        <f t="shared" ref="B244:AG244" si="148">SUM(B139:B243)</f>
        <v>0</v>
      </c>
      <c r="C244" s="14">
        <f t="shared" si="148"/>
        <v>0</v>
      </c>
      <c r="D244" s="14">
        <f t="shared" si="148"/>
        <v>0</v>
      </c>
      <c r="E244" s="14">
        <f t="shared" si="148"/>
        <v>0</v>
      </c>
      <c r="F244" s="14">
        <f t="shared" si="148"/>
        <v>0</v>
      </c>
      <c r="G244" s="14">
        <f t="shared" si="148"/>
        <v>0</v>
      </c>
      <c r="H244" s="14">
        <f t="shared" si="148"/>
        <v>0</v>
      </c>
      <c r="I244" s="14">
        <f t="shared" si="148"/>
        <v>0</v>
      </c>
      <c r="J244" s="14">
        <f t="shared" si="148"/>
        <v>0</v>
      </c>
      <c r="K244" s="14">
        <f t="shared" si="148"/>
        <v>0</v>
      </c>
      <c r="L244" s="14">
        <f t="shared" si="148"/>
        <v>0</v>
      </c>
      <c r="M244" s="14">
        <f t="shared" si="148"/>
        <v>0</v>
      </c>
      <c r="N244" s="14">
        <f t="shared" si="148"/>
        <v>0</v>
      </c>
      <c r="O244" s="14">
        <f t="shared" si="148"/>
        <v>0</v>
      </c>
      <c r="P244" s="14">
        <f t="shared" si="148"/>
        <v>0</v>
      </c>
      <c r="Q244" s="14">
        <f t="shared" si="148"/>
        <v>0</v>
      </c>
      <c r="R244" s="14">
        <f t="shared" si="148"/>
        <v>0</v>
      </c>
      <c r="S244" s="14">
        <f t="shared" si="148"/>
        <v>0</v>
      </c>
      <c r="T244" s="14">
        <f t="shared" si="148"/>
        <v>0</v>
      </c>
      <c r="U244" s="14">
        <f t="shared" si="148"/>
        <v>0</v>
      </c>
      <c r="V244" s="14">
        <f t="shared" si="148"/>
        <v>0</v>
      </c>
      <c r="W244" s="14">
        <f t="shared" si="148"/>
        <v>0</v>
      </c>
      <c r="X244" s="14">
        <f t="shared" si="148"/>
        <v>0</v>
      </c>
      <c r="Y244" s="14">
        <f t="shared" si="148"/>
        <v>0</v>
      </c>
      <c r="Z244" s="14">
        <f t="shared" si="148"/>
        <v>0</v>
      </c>
      <c r="AA244" s="14">
        <f t="shared" si="148"/>
        <v>0</v>
      </c>
      <c r="AB244" s="14">
        <f t="shared" si="148"/>
        <v>0</v>
      </c>
      <c r="AC244" s="14">
        <f t="shared" si="148"/>
        <v>0</v>
      </c>
      <c r="AD244" s="14">
        <f t="shared" si="148"/>
        <v>0</v>
      </c>
      <c r="AE244" s="14">
        <f t="shared" si="148"/>
        <v>0</v>
      </c>
      <c r="AF244" s="29">
        <f t="shared" si="148"/>
        <v>0</v>
      </c>
      <c r="AG244" s="28">
        <f t="shared" si="148"/>
        <v>412.72299999999984</v>
      </c>
      <c r="AH244" s="12"/>
      <c r="AI244" s="11"/>
      <c r="AK244" s="19"/>
    </row>
    <row r="245" spans="1:37" ht="15.75" thickBot="1" x14ac:dyDescent="0.3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25">
      <c r="A246" s="25" t="s">
        <v>16</v>
      </c>
      <c r="B246" s="24">
        <f t="shared" ref="B246:B251" si="149">AF246</f>
        <v>0.3</v>
      </c>
      <c r="C246" s="24">
        <v>0.3</v>
      </c>
      <c r="D246" s="24">
        <f t="shared" ref="D246:AF251" si="150">C246</f>
        <v>0.3</v>
      </c>
      <c r="E246" s="24">
        <f t="shared" si="150"/>
        <v>0.3</v>
      </c>
      <c r="F246" s="24">
        <f t="shared" si="150"/>
        <v>0.3</v>
      </c>
      <c r="G246" s="24">
        <f t="shared" si="150"/>
        <v>0.3</v>
      </c>
      <c r="H246" s="24">
        <f t="shared" si="150"/>
        <v>0.3</v>
      </c>
      <c r="I246" s="24">
        <f t="shared" si="150"/>
        <v>0.3</v>
      </c>
      <c r="J246" s="24">
        <f t="shared" si="150"/>
        <v>0.3</v>
      </c>
      <c r="K246" s="24">
        <f t="shared" si="150"/>
        <v>0.3</v>
      </c>
      <c r="L246" s="24">
        <f t="shared" si="150"/>
        <v>0.3</v>
      </c>
      <c r="M246" s="24">
        <f t="shared" si="150"/>
        <v>0.3</v>
      </c>
      <c r="N246" s="24">
        <f t="shared" si="150"/>
        <v>0.3</v>
      </c>
      <c r="O246" s="24">
        <f t="shared" si="150"/>
        <v>0.3</v>
      </c>
      <c r="P246" s="24">
        <f t="shared" si="150"/>
        <v>0.3</v>
      </c>
      <c r="Q246" s="24">
        <f t="shared" si="150"/>
        <v>0.3</v>
      </c>
      <c r="R246" s="24">
        <f t="shared" si="150"/>
        <v>0.3</v>
      </c>
      <c r="S246" s="24">
        <f t="shared" si="150"/>
        <v>0.3</v>
      </c>
      <c r="T246" s="24">
        <f t="shared" si="150"/>
        <v>0.3</v>
      </c>
      <c r="U246" s="24">
        <f t="shared" si="150"/>
        <v>0.3</v>
      </c>
      <c r="V246" s="24">
        <f t="shared" si="150"/>
        <v>0.3</v>
      </c>
      <c r="W246" s="24">
        <f t="shared" si="150"/>
        <v>0.3</v>
      </c>
      <c r="X246" s="24">
        <f t="shared" si="150"/>
        <v>0.3</v>
      </c>
      <c r="Y246" s="24">
        <f t="shared" si="150"/>
        <v>0.3</v>
      </c>
      <c r="Z246" s="24">
        <f t="shared" si="150"/>
        <v>0.3</v>
      </c>
      <c r="AA246" s="24">
        <f t="shared" si="150"/>
        <v>0.3</v>
      </c>
      <c r="AB246" s="24">
        <f t="shared" si="150"/>
        <v>0.3</v>
      </c>
      <c r="AC246" s="24">
        <f t="shared" si="150"/>
        <v>0.3</v>
      </c>
      <c r="AD246" s="24">
        <f t="shared" si="150"/>
        <v>0.3</v>
      </c>
      <c r="AE246" s="24">
        <f t="shared" si="150"/>
        <v>0.3</v>
      </c>
      <c r="AF246" s="24">
        <f t="shared" si="150"/>
        <v>0.3</v>
      </c>
      <c r="AG246" s="23">
        <v>2.4</v>
      </c>
      <c r="AH246" s="12"/>
      <c r="AI246" s="11"/>
      <c r="AK246" s="19"/>
    </row>
    <row r="247" spans="1:37" x14ac:dyDescent="0.25">
      <c r="A247" s="22" t="s">
        <v>15</v>
      </c>
      <c r="B247" s="21">
        <f t="shared" si="149"/>
        <v>0.4</v>
      </c>
      <c r="C247" s="21">
        <v>0.4</v>
      </c>
      <c r="D247" s="21">
        <f t="shared" si="150"/>
        <v>0.4</v>
      </c>
      <c r="E247" s="21">
        <f t="shared" si="150"/>
        <v>0.4</v>
      </c>
      <c r="F247" s="21">
        <f t="shared" si="150"/>
        <v>0.4</v>
      </c>
      <c r="G247" s="21">
        <f t="shared" si="150"/>
        <v>0.4</v>
      </c>
      <c r="H247" s="21">
        <f t="shared" si="150"/>
        <v>0.4</v>
      </c>
      <c r="I247" s="21">
        <f t="shared" si="150"/>
        <v>0.4</v>
      </c>
      <c r="J247" s="21">
        <f t="shared" si="150"/>
        <v>0.4</v>
      </c>
      <c r="K247" s="21">
        <f t="shared" si="150"/>
        <v>0.4</v>
      </c>
      <c r="L247" s="21">
        <f t="shared" si="150"/>
        <v>0.4</v>
      </c>
      <c r="M247" s="21">
        <f t="shared" si="150"/>
        <v>0.4</v>
      </c>
      <c r="N247" s="21">
        <f t="shared" si="150"/>
        <v>0.4</v>
      </c>
      <c r="O247" s="21">
        <f t="shared" si="150"/>
        <v>0.4</v>
      </c>
      <c r="P247" s="21">
        <f t="shared" si="150"/>
        <v>0.4</v>
      </c>
      <c r="Q247" s="21">
        <f t="shared" si="150"/>
        <v>0.4</v>
      </c>
      <c r="R247" s="21">
        <f t="shared" si="150"/>
        <v>0.4</v>
      </c>
      <c r="S247" s="21">
        <f t="shared" si="150"/>
        <v>0.4</v>
      </c>
      <c r="T247" s="21">
        <f t="shared" si="150"/>
        <v>0.4</v>
      </c>
      <c r="U247" s="21">
        <f t="shared" si="150"/>
        <v>0.4</v>
      </c>
      <c r="V247" s="21">
        <f t="shared" si="150"/>
        <v>0.4</v>
      </c>
      <c r="W247" s="21">
        <f t="shared" si="150"/>
        <v>0.4</v>
      </c>
      <c r="X247" s="21">
        <f t="shared" si="150"/>
        <v>0.4</v>
      </c>
      <c r="Y247" s="21">
        <f t="shared" si="150"/>
        <v>0.4</v>
      </c>
      <c r="Z247" s="21">
        <f t="shared" si="150"/>
        <v>0.4</v>
      </c>
      <c r="AA247" s="21">
        <f t="shared" si="150"/>
        <v>0.4</v>
      </c>
      <c r="AB247" s="21">
        <f t="shared" si="150"/>
        <v>0.4</v>
      </c>
      <c r="AC247" s="21">
        <f t="shared" si="150"/>
        <v>0.4</v>
      </c>
      <c r="AD247" s="21">
        <f t="shared" si="150"/>
        <v>0.4</v>
      </c>
      <c r="AE247" s="21">
        <f t="shared" si="150"/>
        <v>0.4</v>
      </c>
      <c r="AF247" s="21">
        <f t="shared" si="150"/>
        <v>0.4</v>
      </c>
      <c r="AG247" s="20">
        <v>2</v>
      </c>
      <c r="AH247" s="12"/>
      <c r="AI247" s="11"/>
      <c r="AK247" s="19"/>
    </row>
    <row r="248" spans="1:37" x14ac:dyDescent="0.25">
      <c r="A248" s="22" t="s">
        <v>14</v>
      </c>
      <c r="B248" s="21">
        <f t="shared" si="149"/>
        <v>1.5</v>
      </c>
      <c r="C248" s="21">
        <v>1.5</v>
      </c>
      <c r="D248" s="21">
        <f t="shared" si="150"/>
        <v>1.5</v>
      </c>
      <c r="E248" s="21">
        <f t="shared" si="150"/>
        <v>1.5</v>
      </c>
      <c r="F248" s="21">
        <f t="shared" si="150"/>
        <v>1.5</v>
      </c>
      <c r="G248" s="21">
        <f t="shared" si="150"/>
        <v>1.5</v>
      </c>
      <c r="H248" s="21">
        <f t="shared" si="150"/>
        <v>1.5</v>
      </c>
      <c r="I248" s="21">
        <f t="shared" si="150"/>
        <v>1.5</v>
      </c>
      <c r="J248" s="21">
        <f t="shared" si="150"/>
        <v>1.5</v>
      </c>
      <c r="K248" s="21">
        <f t="shared" si="150"/>
        <v>1.5</v>
      </c>
      <c r="L248" s="21">
        <f t="shared" si="150"/>
        <v>1.5</v>
      </c>
      <c r="M248" s="21">
        <f t="shared" si="150"/>
        <v>1.5</v>
      </c>
      <c r="N248" s="21">
        <f t="shared" si="150"/>
        <v>1.5</v>
      </c>
      <c r="O248" s="21">
        <f t="shared" si="150"/>
        <v>1.5</v>
      </c>
      <c r="P248" s="21">
        <f t="shared" si="150"/>
        <v>1.5</v>
      </c>
      <c r="Q248" s="21">
        <f t="shared" si="150"/>
        <v>1.5</v>
      </c>
      <c r="R248" s="21">
        <f t="shared" si="150"/>
        <v>1.5</v>
      </c>
      <c r="S248" s="21">
        <f t="shared" si="150"/>
        <v>1.5</v>
      </c>
      <c r="T248" s="21">
        <f t="shared" si="150"/>
        <v>1.5</v>
      </c>
      <c r="U248" s="21">
        <f t="shared" si="150"/>
        <v>1.5</v>
      </c>
      <c r="V248" s="21">
        <f t="shared" si="150"/>
        <v>1.5</v>
      </c>
      <c r="W248" s="21">
        <f t="shared" si="150"/>
        <v>1.5</v>
      </c>
      <c r="X248" s="21">
        <f t="shared" si="150"/>
        <v>1.5</v>
      </c>
      <c r="Y248" s="21">
        <f t="shared" si="150"/>
        <v>1.5</v>
      </c>
      <c r="Z248" s="21">
        <f t="shared" si="150"/>
        <v>1.5</v>
      </c>
      <c r="AA248" s="21">
        <f t="shared" si="150"/>
        <v>1.5</v>
      </c>
      <c r="AB248" s="21">
        <f t="shared" si="150"/>
        <v>1.5</v>
      </c>
      <c r="AC248" s="21">
        <f t="shared" si="150"/>
        <v>1.5</v>
      </c>
      <c r="AD248" s="21">
        <f t="shared" si="150"/>
        <v>1.5</v>
      </c>
      <c r="AE248" s="21">
        <f t="shared" si="150"/>
        <v>1.5</v>
      </c>
      <c r="AF248" s="21">
        <f t="shared" si="150"/>
        <v>1.5</v>
      </c>
      <c r="AG248" s="20">
        <v>1.5</v>
      </c>
      <c r="AH248" s="12"/>
      <c r="AI248" s="11"/>
      <c r="AK248" s="19"/>
    </row>
    <row r="249" spans="1:37" x14ac:dyDescent="0.25">
      <c r="A249" s="22" t="s">
        <v>13</v>
      </c>
      <c r="B249" s="21">
        <f t="shared" si="149"/>
        <v>0.3</v>
      </c>
      <c r="C249" s="21">
        <v>0.3</v>
      </c>
      <c r="D249" s="21">
        <f t="shared" si="150"/>
        <v>0.3</v>
      </c>
      <c r="E249" s="21">
        <f t="shared" si="150"/>
        <v>0.3</v>
      </c>
      <c r="F249" s="21">
        <f t="shared" si="150"/>
        <v>0.3</v>
      </c>
      <c r="G249" s="21">
        <f t="shared" si="150"/>
        <v>0.3</v>
      </c>
      <c r="H249" s="21">
        <f t="shared" si="150"/>
        <v>0.3</v>
      </c>
      <c r="I249" s="21">
        <f t="shared" si="150"/>
        <v>0.3</v>
      </c>
      <c r="J249" s="21">
        <f t="shared" si="150"/>
        <v>0.3</v>
      </c>
      <c r="K249" s="21">
        <f t="shared" si="150"/>
        <v>0.3</v>
      </c>
      <c r="L249" s="21">
        <f t="shared" si="150"/>
        <v>0.3</v>
      </c>
      <c r="M249" s="21">
        <f t="shared" si="150"/>
        <v>0.3</v>
      </c>
      <c r="N249" s="21">
        <f t="shared" si="150"/>
        <v>0.3</v>
      </c>
      <c r="O249" s="21">
        <f t="shared" si="150"/>
        <v>0.3</v>
      </c>
      <c r="P249" s="21">
        <f t="shared" si="150"/>
        <v>0.3</v>
      </c>
      <c r="Q249" s="21">
        <f t="shared" si="150"/>
        <v>0.3</v>
      </c>
      <c r="R249" s="21">
        <f t="shared" si="150"/>
        <v>0.3</v>
      </c>
      <c r="S249" s="21">
        <f t="shared" si="150"/>
        <v>0.3</v>
      </c>
      <c r="T249" s="21">
        <f t="shared" si="150"/>
        <v>0.3</v>
      </c>
      <c r="U249" s="21">
        <f t="shared" si="150"/>
        <v>0.3</v>
      </c>
      <c r="V249" s="21">
        <f t="shared" si="150"/>
        <v>0.3</v>
      </c>
      <c r="W249" s="21">
        <f t="shared" si="150"/>
        <v>0.3</v>
      </c>
      <c r="X249" s="21">
        <f t="shared" si="150"/>
        <v>0.3</v>
      </c>
      <c r="Y249" s="21">
        <f t="shared" si="150"/>
        <v>0.3</v>
      </c>
      <c r="Z249" s="21">
        <f t="shared" si="150"/>
        <v>0.3</v>
      </c>
      <c r="AA249" s="21">
        <f t="shared" si="150"/>
        <v>0.3</v>
      </c>
      <c r="AB249" s="21">
        <f t="shared" si="150"/>
        <v>0.3</v>
      </c>
      <c r="AC249" s="21">
        <f t="shared" si="150"/>
        <v>0.3</v>
      </c>
      <c r="AD249" s="21">
        <f t="shared" si="150"/>
        <v>0.3</v>
      </c>
      <c r="AE249" s="21">
        <f t="shared" si="150"/>
        <v>0.3</v>
      </c>
      <c r="AF249" s="21">
        <f t="shared" si="150"/>
        <v>0.3</v>
      </c>
      <c r="AG249" s="20">
        <v>1</v>
      </c>
      <c r="AH249" s="12"/>
      <c r="AI249" s="11"/>
      <c r="AK249" s="19"/>
    </row>
    <row r="250" spans="1:37" x14ac:dyDescent="0.25">
      <c r="A250" s="22" t="s">
        <v>12</v>
      </c>
      <c r="B250" s="21">
        <f t="shared" si="149"/>
        <v>0.4</v>
      </c>
      <c r="C250" s="21">
        <v>0.4</v>
      </c>
      <c r="D250" s="21">
        <f t="shared" si="150"/>
        <v>0.4</v>
      </c>
      <c r="E250" s="21">
        <f t="shared" si="150"/>
        <v>0.4</v>
      </c>
      <c r="F250" s="21">
        <f t="shared" si="150"/>
        <v>0.4</v>
      </c>
      <c r="G250" s="21">
        <f t="shared" si="150"/>
        <v>0.4</v>
      </c>
      <c r="H250" s="21">
        <f t="shared" si="150"/>
        <v>0.4</v>
      </c>
      <c r="I250" s="21">
        <f t="shared" si="150"/>
        <v>0.4</v>
      </c>
      <c r="J250" s="21">
        <f t="shared" si="150"/>
        <v>0.4</v>
      </c>
      <c r="K250" s="21">
        <f t="shared" si="150"/>
        <v>0.4</v>
      </c>
      <c r="L250" s="21">
        <f t="shared" si="150"/>
        <v>0.4</v>
      </c>
      <c r="M250" s="21">
        <f t="shared" si="150"/>
        <v>0.4</v>
      </c>
      <c r="N250" s="21">
        <f t="shared" si="150"/>
        <v>0.4</v>
      </c>
      <c r="O250" s="21">
        <f t="shared" si="150"/>
        <v>0.4</v>
      </c>
      <c r="P250" s="21">
        <f t="shared" si="150"/>
        <v>0.4</v>
      </c>
      <c r="Q250" s="21">
        <f t="shared" si="150"/>
        <v>0.4</v>
      </c>
      <c r="R250" s="21">
        <f t="shared" si="150"/>
        <v>0.4</v>
      </c>
      <c r="S250" s="21">
        <f t="shared" si="150"/>
        <v>0.4</v>
      </c>
      <c r="T250" s="21">
        <f t="shared" si="150"/>
        <v>0.4</v>
      </c>
      <c r="U250" s="21">
        <f t="shared" si="150"/>
        <v>0.4</v>
      </c>
      <c r="V250" s="21">
        <f t="shared" si="150"/>
        <v>0.4</v>
      </c>
      <c r="W250" s="21">
        <f t="shared" si="150"/>
        <v>0.4</v>
      </c>
      <c r="X250" s="21">
        <f t="shared" si="150"/>
        <v>0.4</v>
      </c>
      <c r="Y250" s="21">
        <f t="shared" si="150"/>
        <v>0.4</v>
      </c>
      <c r="Z250" s="21">
        <f t="shared" si="150"/>
        <v>0.4</v>
      </c>
      <c r="AA250" s="21">
        <f t="shared" si="150"/>
        <v>0.4</v>
      </c>
      <c r="AB250" s="21">
        <f t="shared" si="150"/>
        <v>0.4</v>
      </c>
      <c r="AC250" s="21">
        <f t="shared" si="150"/>
        <v>0.4</v>
      </c>
      <c r="AD250" s="21">
        <f t="shared" si="150"/>
        <v>0.4</v>
      </c>
      <c r="AE250" s="21">
        <f t="shared" si="150"/>
        <v>0.4</v>
      </c>
      <c r="AF250" s="21">
        <f t="shared" si="150"/>
        <v>0.4</v>
      </c>
      <c r="AG250" s="20">
        <v>1</v>
      </c>
      <c r="AH250" s="12"/>
      <c r="AI250" s="11"/>
      <c r="AK250" s="19"/>
    </row>
    <row r="251" spans="1:37" ht="15.75" thickBot="1" x14ac:dyDescent="0.3">
      <c r="A251" s="18" t="s">
        <v>11</v>
      </c>
      <c r="B251" s="17">
        <f t="shared" si="149"/>
        <v>0.64</v>
      </c>
      <c r="C251" s="17">
        <v>0.64</v>
      </c>
      <c r="D251" s="17">
        <f t="shared" si="150"/>
        <v>0.64</v>
      </c>
      <c r="E251" s="17">
        <f t="shared" si="150"/>
        <v>0.64</v>
      </c>
      <c r="F251" s="17">
        <f t="shared" si="150"/>
        <v>0.64</v>
      </c>
      <c r="G251" s="17">
        <f t="shared" si="150"/>
        <v>0.64</v>
      </c>
      <c r="H251" s="17">
        <f t="shared" si="150"/>
        <v>0.64</v>
      </c>
      <c r="I251" s="17">
        <f t="shared" si="150"/>
        <v>0.64</v>
      </c>
      <c r="J251" s="17">
        <f t="shared" si="150"/>
        <v>0.64</v>
      </c>
      <c r="K251" s="17">
        <f t="shared" si="150"/>
        <v>0.64</v>
      </c>
      <c r="L251" s="17">
        <f t="shared" si="150"/>
        <v>0.64</v>
      </c>
      <c r="M251" s="17">
        <f t="shared" si="150"/>
        <v>0.64</v>
      </c>
      <c r="N251" s="17">
        <f t="shared" si="150"/>
        <v>0.64</v>
      </c>
      <c r="O251" s="17">
        <f t="shared" si="150"/>
        <v>0.64</v>
      </c>
      <c r="P251" s="17">
        <f t="shared" si="150"/>
        <v>0.64</v>
      </c>
      <c r="Q251" s="17">
        <f t="shared" si="150"/>
        <v>0.64</v>
      </c>
      <c r="R251" s="17">
        <f t="shared" si="150"/>
        <v>0.64</v>
      </c>
      <c r="S251" s="17">
        <f t="shared" si="150"/>
        <v>0.64</v>
      </c>
      <c r="T251" s="17">
        <f t="shared" si="150"/>
        <v>0.64</v>
      </c>
      <c r="U251" s="17">
        <f t="shared" si="150"/>
        <v>0.64</v>
      </c>
      <c r="V251" s="17">
        <f t="shared" si="150"/>
        <v>0.64</v>
      </c>
      <c r="W251" s="17">
        <f t="shared" si="150"/>
        <v>0.64</v>
      </c>
      <c r="X251" s="17">
        <f t="shared" si="150"/>
        <v>0.64</v>
      </c>
      <c r="Y251" s="17">
        <f t="shared" si="150"/>
        <v>0.64</v>
      </c>
      <c r="Z251" s="17">
        <f t="shared" si="150"/>
        <v>0.64</v>
      </c>
      <c r="AA251" s="17">
        <f t="shared" si="150"/>
        <v>0.64</v>
      </c>
      <c r="AB251" s="17">
        <f t="shared" si="150"/>
        <v>0.64</v>
      </c>
      <c r="AC251" s="17">
        <f t="shared" si="150"/>
        <v>0.64</v>
      </c>
      <c r="AD251" s="17">
        <f t="shared" si="150"/>
        <v>0.64</v>
      </c>
      <c r="AE251" s="17">
        <f t="shared" si="150"/>
        <v>0.64</v>
      </c>
      <c r="AF251" s="17">
        <f t="shared" si="150"/>
        <v>0.64</v>
      </c>
      <c r="AG251" s="16">
        <v>0.66</v>
      </c>
      <c r="AH251" s="12"/>
      <c r="AI251" s="11"/>
    </row>
    <row r="252" spans="1:37" ht="15.75" thickBot="1" x14ac:dyDescent="0.3">
      <c r="A252" s="15" t="s">
        <v>10</v>
      </c>
      <c r="B252" s="14">
        <f t="shared" ref="B252:AG252" si="151">SUM(B246:B251)</f>
        <v>3.54</v>
      </c>
      <c r="C252" s="14">
        <f t="shared" si="151"/>
        <v>3.54</v>
      </c>
      <c r="D252" s="14">
        <f t="shared" si="151"/>
        <v>3.54</v>
      </c>
      <c r="E252" s="14">
        <f t="shared" si="151"/>
        <v>3.54</v>
      </c>
      <c r="F252" s="14">
        <f t="shared" si="151"/>
        <v>3.54</v>
      </c>
      <c r="G252" s="14">
        <f t="shared" si="151"/>
        <v>3.54</v>
      </c>
      <c r="H252" s="14">
        <f t="shared" si="151"/>
        <v>3.54</v>
      </c>
      <c r="I252" s="14">
        <f t="shared" si="151"/>
        <v>3.54</v>
      </c>
      <c r="J252" s="14">
        <f t="shared" si="151"/>
        <v>3.54</v>
      </c>
      <c r="K252" s="14">
        <f t="shared" si="151"/>
        <v>3.54</v>
      </c>
      <c r="L252" s="14">
        <f t="shared" si="151"/>
        <v>3.54</v>
      </c>
      <c r="M252" s="14">
        <f t="shared" si="151"/>
        <v>3.54</v>
      </c>
      <c r="N252" s="14">
        <f t="shared" si="151"/>
        <v>3.54</v>
      </c>
      <c r="O252" s="14">
        <f t="shared" si="151"/>
        <v>3.54</v>
      </c>
      <c r="P252" s="14">
        <f t="shared" si="151"/>
        <v>3.54</v>
      </c>
      <c r="Q252" s="14">
        <f t="shared" si="151"/>
        <v>3.54</v>
      </c>
      <c r="R252" s="14">
        <f t="shared" si="151"/>
        <v>3.54</v>
      </c>
      <c r="S252" s="14">
        <f t="shared" si="151"/>
        <v>3.54</v>
      </c>
      <c r="T252" s="14">
        <f t="shared" si="151"/>
        <v>3.54</v>
      </c>
      <c r="U252" s="14">
        <f t="shared" si="151"/>
        <v>3.54</v>
      </c>
      <c r="V252" s="14">
        <f t="shared" si="151"/>
        <v>3.54</v>
      </c>
      <c r="W252" s="14">
        <f t="shared" si="151"/>
        <v>3.54</v>
      </c>
      <c r="X252" s="14">
        <f t="shared" si="151"/>
        <v>3.54</v>
      </c>
      <c r="Y252" s="14">
        <f t="shared" si="151"/>
        <v>3.54</v>
      </c>
      <c r="Z252" s="14">
        <f t="shared" si="151"/>
        <v>3.54</v>
      </c>
      <c r="AA252" s="14">
        <f t="shared" si="151"/>
        <v>3.54</v>
      </c>
      <c r="AB252" s="14">
        <f t="shared" si="151"/>
        <v>3.54</v>
      </c>
      <c r="AC252" s="14">
        <f t="shared" si="151"/>
        <v>3.54</v>
      </c>
      <c r="AD252" s="14">
        <f t="shared" si="151"/>
        <v>3.54</v>
      </c>
      <c r="AE252" s="14">
        <f t="shared" si="151"/>
        <v>3.54</v>
      </c>
      <c r="AF252" s="14">
        <f t="shared" si="151"/>
        <v>3.54</v>
      </c>
      <c r="AG252" s="13">
        <f t="shared" si="151"/>
        <v>8.56</v>
      </c>
      <c r="AH252" s="12"/>
      <c r="AI252" s="11"/>
    </row>
    <row r="253" spans="1:37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25">
      <c r="A256" s="9" t="s">
        <v>9</v>
      </c>
      <c r="B256" s="8">
        <f>MAX(G99:N99)</f>
        <v>1807.79</v>
      </c>
      <c r="C256" s="7">
        <f>INDEX(G9:N9,1,MATCH(MAX(G99:N99),G99:N99,0))</f>
        <v>0.375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25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2080/10/16)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25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25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25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25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25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25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25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25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25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25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25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25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25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25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2250" priority="89">
      <formula>$AH11=0</formula>
    </cfRule>
  </conditionalFormatting>
  <conditionalFormatting sqref="A132:A253">
    <cfRule type="expression" dxfId="2249" priority="90">
      <formula>$AH132=0</formula>
    </cfRule>
  </conditionalFormatting>
  <conditionalFormatting sqref="B8">
    <cfRule type="expression" dxfId="2248" priority="146">
      <formula>C$9&lt;8/24</formula>
    </cfRule>
    <cfRule type="expression" dxfId="2247" priority="145">
      <formula>AND(C$9&gt;=8/24,C$9&lt;14/24)</formula>
    </cfRule>
    <cfRule type="expression" dxfId="2246" priority="144">
      <formula>AND(C$9&gt;=14/24,C$9&lt;20/24)</formula>
    </cfRule>
    <cfRule type="expression" dxfId="2245" priority="147">
      <formula>C$9&gt;=20/24</formula>
    </cfRule>
  </conditionalFormatting>
  <conditionalFormatting sqref="B11:F52 G12:K52 L13:AF52 B59:D68 C63:D74 B69:AF74 B77:AF99 B9:AF10 B101:AF117 B119:AF137 B244:AF244 B246:B252">
    <cfRule type="expression" dxfId="2244" priority="41">
      <formula>B$9&gt;=20/24</formula>
    </cfRule>
  </conditionalFormatting>
  <conditionalFormatting sqref="B11:F75 G12:K75 M13:AF56 L13:L57 M57:R57 S57:AF80 L58:R75 AG62 B76:R80 AG80">
    <cfRule type="expression" dxfId="2243" priority="40">
      <formula>B11&gt;$AG11</formula>
    </cfRule>
  </conditionalFormatting>
  <conditionalFormatting sqref="B9:AF10 B11:F52 G12:K52 L13:AF52 B59:D68 C63:D74 B69:AF74 B77:AF99 B101:AF117 B119:AF137 B244:AF244 B246:B252">
    <cfRule type="expression" dxfId="2242" priority="42">
      <formula>AND(B$9&gt;=14/24,B$9&lt;20/24)</formula>
    </cfRule>
    <cfRule type="expression" dxfId="2241" priority="43">
      <formula>AND(B$9&gt;=8/24,B$9&lt;14/24)</formula>
    </cfRule>
    <cfRule type="expression" dxfId="2240" priority="44">
      <formula>B$9&lt;8/24</formula>
    </cfRule>
  </conditionalFormatting>
  <conditionalFormatting sqref="B53:AF57">
    <cfRule type="expression" dxfId="2239" priority="53">
      <formula>B$9&lt;8/24</formula>
    </cfRule>
  </conditionalFormatting>
  <conditionalFormatting sqref="D246:AF252">
    <cfRule type="expression" dxfId="2238" priority="132">
      <formula>D$9&lt;8/24</formula>
    </cfRule>
    <cfRule type="expression" dxfId="2237" priority="131">
      <formula>AND(D$9&gt;=8/24,D$9&lt;14/24)</formula>
    </cfRule>
    <cfRule type="expression" dxfId="2236" priority="129">
      <formula>D$9&gt;=20/24</formula>
    </cfRule>
    <cfRule type="expression" dxfId="2235" priority="130">
      <formula>AND(D$9&gt;=14/24,D$9&lt;20/24)</formula>
    </cfRule>
  </conditionalFormatting>
  <conditionalFormatting sqref="E63:K68">
    <cfRule type="expression" dxfId="2234" priority="51">
      <formula>AND(E$9&gt;=8/24,E$9&lt;14/24)</formula>
    </cfRule>
    <cfRule type="expression" dxfId="2233" priority="49">
      <formula>E$9&gt;=20/24</formula>
    </cfRule>
    <cfRule type="expression" dxfId="2232" priority="52">
      <formula>E$9&lt;8/24</formula>
    </cfRule>
    <cfRule type="expression" dxfId="2231" priority="50">
      <formula>AND(E$9&gt;=14/24,E$9&lt;20/24)</formula>
    </cfRule>
  </conditionalFormatting>
  <conditionalFormatting sqref="E11:R11 S11:AF12 L12:R12">
    <cfRule type="expression" dxfId="2230" priority="58">
      <formula>E11&gt;$AG11</formula>
    </cfRule>
    <cfRule type="expression" dxfId="2229" priority="59">
      <formula>E$9&gt;=20/24</formula>
    </cfRule>
    <cfRule type="expression" dxfId="2228" priority="60">
      <formula>AND(E$9&gt;=14/24,E$9&lt;20/24)</formula>
    </cfRule>
    <cfRule type="expression" dxfId="2227" priority="61">
      <formula>AND(E$9&gt;=8/24,E$9&lt;14/24)</formula>
    </cfRule>
    <cfRule type="expression" dxfId="2226" priority="62">
      <formula>E$9&lt;8/24</formula>
    </cfRule>
  </conditionalFormatting>
  <conditionalFormatting sqref="E59:AF62">
    <cfRule type="expression" dxfId="2225" priority="67">
      <formula>E$9&gt;=20/24</formula>
    </cfRule>
    <cfRule type="expression" dxfId="2224" priority="68">
      <formula>AND(E$9&gt;=14/24,E$9&lt;20/24)</formula>
    </cfRule>
    <cfRule type="expression" dxfId="2223" priority="69">
      <formula>AND(E$9&gt;=8/24,E$9&lt;14/24)</formula>
    </cfRule>
    <cfRule type="expression" dxfId="2222" priority="70">
      <formula>E$9&lt;8/24</formula>
    </cfRule>
  </conditionalFormatting>
  <conditionalFormatting sqref="G63:L65">
    <cfRule type="expression" dxfId="2221" priority="84">
      <formula>G$9&lt;8/24</formula>
    </cfRule>
    <cfRule type="expression" dxfId="2220" priority="83">
      <formula>AND(G$9&gt;=8/24,G$9&lt;14/24)</formula>
    </cfRule>
    <cfRule type="expression" dxfId="2219" priority="82">
      <formula>AND(G$9&gt;=14/24,G$9&lt;20/24)</formula>
    </cfRule>
    <cfRule type="expression" dxfId="2218" priority="81">
      <formula>G$9&gt;=20/24</formula>
    </cfRule>
  </conditionalFormatting>
  <conditionalFormatting sqref="L68:Y68">
    <cfRule type="expression" dxfId="2217" priority="77">
      <formula>L$9&gt;=20/24</formula>
    </cfRule>
    <cfRule type="expression" dxfId="2216" priority="78">
      <formula>AND(L$9&gt;=14/24,L$9&lt;20/24)</formula>
    </cfRule>
    <cfRule type="expression" dxfId="2215" priority="79">
      <formula>AND(L$9&gt;=8/24,L$9&lt;14/24)</formula>
    </cfRule>
    <cfRule type="expression" dxfId="2214" priority="80">
      <formula>L$9&lt;8/24</formula>
    </cfRule>
  </conditionalFormatting>
  <conditionalFormatting sqref="M8 S8 AB8">
    <cfRule type="expression" dxfId="2213" priority="138">
      <formula>N$9&lt;8/24</formula>
    </cfRule>
    <cfRule type="expression" dxfId="2212" priority="137">
      <formula>AND(N$9&gt;=8/24,N$9&lt;14/24)</formula>
    </cfRule>
    <cfRule type="expression" dxfId="2211" priority="136">
      <formula>AND(N$9&gt;=14/24,N$9&lt;20/24)</formula>
    </cfRule>
  </conditionalFormatting>
  <conditionalFormatting sqref="M56:R56 S56:AF57 G57:R57">
    <cfRule type="expression" dxfId="2210" priority="48">
      <formula>AND(G$9&gt;=8/24,G$9&lt;14/24)</formula>
    </cfRule>
    <cfRule type="expression" dxfId="2209" priority="47">
      <formula>AND(G$9&gt;=14/24,G$9&lt;20/24)</formula>
    </cfRule>
    <cfRule type="expression" dxfId="2208" priority="46">
      <formula>G$9&gt;=20/24</formula>
    </cfRule>
  </conditionalFormatting>
  <conditionalFormatting sqref="M63:Y67">
    <cfRule type="expression" dxfId="2207" priority="85">
      <formula>M$9&gt;=20/24</formula>
    </cfRule>
    <cfRule type="expression" dxfId="2206" priority="86">
      <formula>AND(M$9&gt;=14/24,M$9&lt;20/24)</formula>
    </cfRule>
    <cfRule type="expression" dxfId="2205" priority="87">
      <formula>AND(M$9&gt;=8/24,M$9&lt;14/24)</formula>
    </cfRule>
    <cfRule type="expression" dxfId="2204" priority="88">
      <formula>M$9&lt;8/24</formula>
    </cfRule>
  </conditionalFormatting>
  <conditionalFormatting sqref="M53:AF55 G53:L56 B53:F57">
    <cfRule type="expression" dxfId="2203" priority="37">
      <formula>B$9&gt;=20/24</formula>
    </cfRule>
    <cfRule type="expression" dxfId="2202" priority="38">
      <formula>AND(B$9&gt;=14/24,B$9&lt;20/24)</formula>
    </cfRule>
    <cfRule type="expression" dxfId="2201" priority="39">
      <formula>AND(B$9&gt;=8/24,B$9&lt;14/24)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200" priority="135">
      <formula>N$9&gt;=20/24</formula>
    </cfRule>
  </conditionalFormatting>
  <conditionalFormatting sqref="S8">
    <cfRule type="expression" dxfId="2199" priority="124">
      <formula>AND(U$9&gt;=8/24,U$9&lt;14/24)</formula>
    </cfRule>
    <cfRule type="expression" dxfId="2198" priority="122">
      <formula>U$9&gt;=20/24</formula>
    </cfRule>
    <cfRule type="expression" dxfId="2197" priority="123">
      <formula>AND(U$9&gt;=14/24,U$9&lt;20/24)</formula>
    </cfRule>
    <cfRule type="expression" dxfId="2196" priority="125">
      <formula>U$9&lt;8/24</formula>
    </cfRule>
  </conditionalFormatting>
  <conditionalFormatting sqref="U63:AF68">
    <cfRule type="expression" dxfId="2195" priority="74">
      <formula>U$9&lt;8/24</formula>
    </cfRule>
    <cfRule type="expression" dxfId="2194" priority="73">
      <formula>AND(U$9&gt;=8/24,U$9&lt;14/24)</formula>
    </cfRule>
    <cfRule type="expression" dxfId="2193" priority="72">
      <formula>AND(U$9&gt;=14/24,U$9&lt;20/24)</formula>
    </cfRule>
    <cfRule type="expression" dxfId="2192" priority="71">
      <formula>U$9&gt;=20/24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2191" priority="121">
      <formula>AD$9&lt;8/24</formula>
    </cfRule>
    <cfRule type="expression" dxfId="2190" priority="120">
      <formula>AND(AD$9&gt;=8/24,AD$9&lt;14/24)</formula>
    </cfRule>
    <cfRule type="expression" dxfId="2189" priority="119">
      <formula>AND(AD$9&gt;=14/24,AD$9&lt;20/24)</formula>
    </cfRule>
    <cfRule type="expression" dxfId="2188" priority="118">
      <formula>AD$9&gt;=20/24</formula>
    </cfRule>
  </conditionalFormatting>
  <conditionalFormatting sqref="AG58">
    <cfRule type="expression" dxfId="2187" priority="113">
      <formula>AG58&gt;$AG58</formula>
    </cfRule>
  </conditionalFormatting>
  <conditionalFormatting sqref="AG62">
    <cfRule type="expression" dxfId="2186" priority="98">
      <formula>AND(AG$9&gt;=8/24,AG$9&lt;14/24)</formula>
    </cfRule>
    <cfRule type="expression" dxfId="2185" priority="99">
      <formula>AG$9&lt;8/24</formula>
    </cfRule>
    <cfRule type="expression" dxfId="2184" priority="96">
      <formula>AG$9&gt;=20/24</formula>
    </cfRule>
    <cfRule type="expression" dxfId="2183" priority="97">
      <formula>AND(AG$9&gt;=14/24,AG$9&lt;20/24)</formula>
    </cfRule>
  </conditionalFormatting>
  <conditionalFormatting sqref="AG75:AG76">
    <cfRule type="expression" dxfId="2182" priority="91">
      <formula>AG75&gt;$AG75</formula>
    </cfRule>
  </conditionalFormatting>
  <conditionalFormatting sqref="AG80">
    <cfRule type="expression" dxfId="2181" priority="94">
      <formula>AND(AG$9&gt;=8/24,AG$9&lt;14/24)</formula>
    </cfRule>
    <cfRule type="expression" dxfId="2180" priority="92">
      <formula>AG$9&gt;=20/24</formula>
    </cfRule>
    <cfRule type="expression" dxfId="2179" priority="93">
      <formula>AND(AG$9&gt;=14/24,AG$9&lt;20/24)</formula>
    </cfRule>
    <cfRule type="expression" dxfId="2178" priority="95">
      <formula>AG$9&lt;8/24</formula>
    </cfRule>
  </conditionalFormatting>
  <conditionalFormatting sqref="AG97">
    <cfRule type="expression" dxfId="2177" priority="117">
      <formula>AG$9&lt;8/24</formula>
    </cfRule>
    <cfRule type="expression" dxfId="2176" priority="116">
      <formula>AND(AG$9&gt;=8/24,AG$9&lt;14/24)</formula>
    </cfRule>
    <cfRule type="expression" dxfId="2175" priority="115">
      <formula>AND(AG$9&gt;=14/24,AG$9&lt;20/24)</formula>
    </cfRule>
    <cfRule type="expression" dxfId="2174" priority="114">
      <formula>AG$9&gt;=20/24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173" priority="139">
      <formula>AJ$9&gt;=20/24</formula>
    </cfRule>
    <cfRule type="expression" dxfId="2172" priority="140">
      <formula>AND(AJ$9&gt;=14/24,AJ$9&lt;20/24)</formula>
    </cfRule>
    <cfRule type="expression" dxfId="2171" priority="141">
      <formula>AND(AJ$9&gt;=8/24,AJ$9&lt;14/24)</formula>
    </cfRule>
    <cfRule type="expression" dxfId="2170" priority="142">
      <formula>AJ$9&lt;8/24</formula>
    </cfRule>
  </conditionalFormatting>
  <conditionalFormatting sqref="AL88:AN88 AL94:AN94">
    <cfRule type="expression" dxfId="2169" priority="107">
      <formula>AND(AL$9&gt;=14/24,AL$9&lt;20/24)</formula>
    </cfRule>
    <cfRule type="expression" dxfId="2168" priority="106">
      <formula>AL$9&gt;=20/24</formula>
    </cfRule>
    <cfRule type="expression" dxfId="2167" priority="108">
      <formula>AND(AL$9&gt;=8/24,AL$9&lt;14/24)</formula>
    </cfRule>
    <cfRule type="expression" dxfId="2166" priority="109">
      <formula>AL$9&lt;8/24</formula>
    </cfRule>
  </conditionalFormatting>
  <conditionalFormatting sqref="AM15:AM21 AN16:AR21">
    <cfRule type="expression" dxfId="2165" priority="16">
      <formula>AX$9&lt;8/24</formula>
    </cfRule>
    <cfRule type="expression" dxfId="2164" priority="15">
      <formula>AND(AX$9&gt;=8/24,AX$9&lt;14/24)</formula>
    </cfRule>
    <cfRule type="expression" dxfId="2163" priority="14">
      <formula>AND(AX$9&gt;=14/24,AX$9&lt;20/24)</formula>
    </cfRule>
    <cfRule type="expression" dxfId="2162" priority="13">
      <formula>AX$9&gt;=20/24</formula>
    </cfRule>
  </conditionalFormatting>
  <conditionalFormatting sqref="AN89:AN92">
    <cfRule type="expression" dxfId="2161" priority="102">
      <formula>AN$9&gt;=20/24</formula>
    </cfRule>
    <cfRule type="expression" dxfId="2160" priority="103">
      <formula>AND(AN$9&gt;=14/24,AN$9&lt;20/24)</formula>
    </cfRule>
    <cfRule type="expression" dxfId="2159" priority="104">
      <formula>AND(AN$9&gt;=8/24,AN$9&lt;14/24)</formula>
    </cfRule>
    <cfRule type="expression" dxfId="2158" priority="105">
      <formula>AN$9&lt;8/24</formula>
    </cfRule>
  </conditionalFormatting>
  <conditionalFormatting sqref="AN15:AR15">
    <cfRule type="expression" dxfId="2157" priority="2">
      <formula>AND(U$9&gt;=14/24,U$9&lt;20/24)</formula>
    </cfRule>
    <cfRule type="expression" dxfId="2156" priority="3">
      <formula>AND(U$9&gt;=8/24,U$9&lt;14/24)</formula>
    </cfRule>
    <cfRule type="expression" dxfId="2155" priority="4">
      <formula>U$9&lt;8/24</formula>
    </cfRule>
    <cfRule type="expression" dxfId="2154" priority="1">
      <formula>U$9&gt;=20/24</formula>
    </cfRule>
  </conditionalFormatting>
  <conditionalFormatting sqref="AS15">
    <cfRule type="expression" dxfId="2153" priority="10">
      <formula>AND(AA$9&gt;=14/24,AA$9&lt;20/24)</formula>
    </cfRule>
    <cfRule type="expression" dxfId="2152" priority="11">
      <formula>AND(AA$9&gt;=8/24,AA$9&lt;14/24)</formula>
    </cfRule>
    <cfRule type="expression" dxfId="2151" priority="12">
      <formula>AA$9&lt;8/24</formula>
    </cfRule>
    <cfRule type="expression" dxfId="2150" priority="9">
      <formula>AA$9&gt;=20/24</formula>
    </cfRule>
  </conditionalFormatting>
  <conditionalFormatting sqref="AS16:AS21">
    <cfRule type="expression" dxfId="2149" priority="20">
      <formula>BE$9&lt;8/24</formula>
    </cfRule>
    <cfRule type="expression" dxfId="2148" priority="19">
      <formula>AND(BE$9&gt;=8/24,BE$9&lt;14/24)</formula>
    </cfRule>
    <cfRule type="expression" dxfId="2147" priority="18">
      <formula>AND(BE$9&gt;=14/24,BE$9&lt;20/24)</formula>
    </cfRule>
    <cfRule type="expression" dxfId="2146" priority="17">
      <formula>BE$9&gt;=20/24</formula>
    </cfRule>
  </conditionalFormatting>
  <conditionalFormatting sqref="AT15 AX15:BJ15">
    <cfRule type="expression" dxfId="2145" priority="24">
      <formula>AC$9&lt;8/24</formula>
    </cfRule>
    <cfRule type="expression" dxfId="2144" priority="23">
      <formula>AND(AC$9&gt;=8/24,AC$9&lt;14/24)</formula>
    </cfRule>
    <cfRule type="expression" dxfId="2143" priority="22">
      <formula>AND(AC$9&gt;=14/24,AC$9&lt;20/24)</formula>
    </cfRule>
    <cfRule type="expression" dxfId="2142" priority="21">
      <formula>AC$9&gt;=20/24</formula>
    </cfRule>
  </conditionalFormatting>
  <conditionalFormatting sqref="AT16:AT21">
    <cfRule type="expression" dxfId="2141" priority="27">
      <formula>AND(BG$9&gt;=8/24,BG$9&lt;14/24)</formula>
    </cfRule>
    <cfRule type="expression" dxfId="2140" priority="26">
      <formula>AND(BG$9&gt;=14/24,BG$9&lt;20/24)</formula>
    </cfRule>
    <cfRule type="expression" dxfId="2139" priority="25">
      <formula>BG$9&gt;=20/24</formula>
    </cfRule>
    <cfRule type="expression" dxfId="2138" priority="28">
      <formula>BG$9&lt;8/24</formula>
    </cfRule>
  </conditionalFormatting>
  <conditionalFormatting sqref="AU15:AV15">
    <cfRule type="expression" dxfId="2137" priority="31">
      <formula>AND(AE$9&gt;=8/24,AE$9&lt;14/24)</formula>
    </cfRule>
    <cfRule type="expression" dxfId="2136" priority="30">
      <formula>AND(AE$9&gt;=14/24,AE$9&lt;20/24)</formula>
    </cfRule>
    <cfRule type="expression" dxfId="2135" priority="29">
      <formula>AE$9&gt;=20/24</formula>
    </cfRule>
    <cfRule type="expression" dxfId="2134" priority="32">
      <formula>AE$9&lt;8/24</formula>
    </cfRule>
  </conditionalFormatting>
  <conditionalFormatting sqref="AU16:BJ21">
    <cfRule type="expression" dxfId="2133" priority="33">
      <formula>BI$9&gt;=20/24</formula>
    </cfRule>
    <cfRule type="expression" dxfId="2132" priority="36">
      <formula>BI$9&lt;8/24</formula>
    </cfRule>
    <cfRule type="expression" dxfId="2131" priority="35">
      <formula>AND(BI$9&gt;=8/24,BI$9&lt;14/24)</formula>
    </cfRule>
    <cfRule type="expression" dxfId="2130" priority="34">
      <formula>AND(BI$9&gt;=14/24,BI$9&lt;20/24)</formula>
    </cfRule>
  </conditionalFormatting>
  <conditionalFormatting sqref="AW15">
    <cfRule type="expression" dxfId="2129" priority="5">
      <formula>B$9&gt;=20/24</formula>
    </cfRule>
    <cfRule type="expression" dxfId="2128" priority="8">
      <formula>B$9&lt;8/24</formula>
    </cfRule>
    <cfRule type="expression" dxfId="2127" priority="7">
      <formula>AND(B$9&gt;=8/24,B$9&lt;14/24)</formula>
    </cfRule>
    <cfRule type="expression" dxfId="2126" priority="6">
      <formula>AND(B$9&gt;=14/24,B$9&lt;20/24)</formula>
    </cfRule>
  </conditionalFormatting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2C3F9-1284-46EE-8EDB-ECD049E087C2}">
  <dimension ref="A1:CJ294"/>
  <sheetViews>
    <sheetView zoomScale="106" workbookViewId="0">
      <pane xSplit="1" ySplit="10" topLeftCell="B76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97" sqref="A97:AF10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20.25" hidden="1" x14ac:dyDescent="0.2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9.5" hidden="1" thickBot="1" x14ac:dyDescent="0.3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3">
      <c r="A4" s="162" t="s">
        <v>273</v>
      </c>
      <c r="B4" s="205" t="str">
        <f ca="1">"2080/"&amp;"10/"&amp;INT(MID(CELL("filename",D6),FIND("]",CELL("filename",D6))+1,200))</f>
        <v>2080/10/17</v>
      </c>
      <c r="C4" s="205"/>
      <c r="D4" s="205"/>
      <c r="E4" s="206" t="str">
        <f ca="1">"2080/"&amp;"10/"&amp;INT(MID(CELL("filename",G6),FIND("]",CELL("filename",G6))+1,200))</f>
        <v>2080/10/17</v>
      </c>
      <c r="F4" s="206"/>
      <c r="G4" s="206"/>
      <c r="H4" s="206" t="str">
        <f ca="1">TEXT(E4,"dddd")</f>
        <v>Thursday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3">
      <c r="A5" s="158"/>
      <c r="B5" s="161">
        <f t="shared" ref="B5:AE5" si="0">C92</f>
        <v>224</v>
      </c>
      <c r="C5" s="161">
        <f t="shared" si="0"/>
        <v>160.69999999999999</v>
      </c>
      <c r="D5" s="161">
        <f t="shared" si="0"/>
        <v>152.80000000000001</v>
      </c>
      <c r="E5" s="161">
        <f t="shared" si="0"/>
        <v>142.9</v>
      </c>
      <c r="F5" s="161">
        <f t="shared" si="0"/>
        <v>225.89999999999998</v>
      </c>
      <c r="G5" s="161">
        <f t="shared" si="0"/>
        <v>221.10000000000002</v>
      </c>
      <c r="H5" s="161">
        <f t="shared" si="0"/>
        <v>354</v>
      </c>
      <c r="I5" s="161">
        <f t="shared" si="0"/>
        <v>709</v>
      </c>
      <c r="J5" s="161">
        <f t="shared" si="0"/>
        <v>824.7</v>
      </c>
      <c r="K5" s="161">
        <f t="shared" si="0"/>
        <v>858.80000000000007</v>
      </c>
      <c r="L5" s="161">
        <f t="shared" si="0"/>
        <v>898.1</v>
      </c>
      <c r="M5" s="161">
        <f t="shared" si="0"/>
        <v>851.86199999999997</v>
      </c>
      <c r="N5" s="161">
        <f t="shared" si="0"/>
        <v>910.2</v>
      </c>
      <c r="O5" s="161">
        <f t="shared" si="0"/>
        <v>937</v>
      </c>
      <c r="P5" s="161">
        <f t="shared" si="0"/>
        <v>917.8</v>
      </c>
      <c r="Q5" s="161">
        <f t="shared" si="0"/>
        <v>921</v>
      </c>
      <c r="R5" s="161">
        <f t="shared" si="0"/>
        <v>893</v>
      </c>
      <c r="S5" s="161">
        <f t="shared" si="0"/>
        <v>922</v>
      </c>
      <c r="T5" s="161">
        <f t="shared" si="0"/>
        <v>877.6</v>
      </c>
      <c r="U5" s="161">
        <f t="shared" si="0"/>
        <v>840.7</v>
      </c>
      <c r="V5" s="161">
        <f t="shared" si="0"/>
        <v>864.5</v>
      </c>
      <c r="W5" s="161">
        <f t="shared" si="0"/>
        <v>786</v>
      </c>
      <c r="X5" s="161">
        <f t="shared" si="0"/>
        <v>431.8</v>
      </c>
      <c r="Y5" s="161">
        <f t="shared" si="0"/>
        <v>331</v>
      </c>
      <c r="Z5" s="161">
        <f t="shared" si="0"/>
        <v>202.49999999999997</v>
      </c>
      <c r="AA5" s="161">
        <f t="shared" si="0"/>
        <v>209.09999999999997</v>
      </c>
      <c r="AB5" s="161">
        <f t="shared" si="0"/>
        <v>237.09999999999997</v>
      </c>
      <c r="AC5" s="161">
        <f t="shared" si="0"/>
        <v>200.5</v>
      </c>
      <c r="AD5" s="161">
        <f t="shared" si="0"/>
        <v>222.8</v>
      </c>
      <c r="AE5" s="161">
        <f t="shared" si="0"/>
        <v>175.9</v>
      </c>
      <c r="AF5" s="161">
        <f>B92</f>
        <v>156.89999999999998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3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1811MW at 8:00hr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5" thickBot="1" x14ac:dyDescent="0.3">
      <c r="A7" s="151" t="str">
        <f>"Base Load="&amp;ROUND(MIN($B$7:$AF$7),0)</f>
        <v>Base Load=1455</v>
      </c>
      <c r="B7" s="150">
        <f t="shared" ref="B7:AF7" si="1">B100</f>
        <v>1594.9900000000002</v>
      </c>
      <c r="C7" s="150">
        <f t="shared" si="1"/>
        <v>1543.79</v>
      </c>
      <c r="D7" s="150">
        <f t="shared" si="1"/>
        <v>1491.59</v>
      </c>
      <c r="E7" s="150">
        <f t="shared" si="1"/>
        <v>1468.79</v>
      </c>
      <c r="F7" s="150">
        <f t="shared" si="1"/>
        <v>1455.19</v>
      </c>
      <c r="G7" s="150">
        <f t="shared" si="1"/>
        <v>1465.19</v>
      </c>
      <c r="H7" s="150">
        <f t="shared" si="1"/>
        <v>1481.9900000000002</v>
      </c>
      <c r="I7" s="150">
        <f t="shared" si="1"/>
        <v>1512.89</v>
      </c>
      <c r="J7" s="150">
        <f t="shared" si="1"/>
        <v>1585.5900000000001</v>
      </c>
      <c r="K7" s="150">
        <f t="shared" si="1"/>
        <v>1672.7900000000002</v>
      </c>
      <c r="L7" s="150">
        <f t="shared" si="1"/>
        <v>1727.4900000000002</v>
      </c>
      <c r="M7" s="150">
        <f t="shared" si="1"/>
        <v>1811.49</v>
      </c>
      <c r="N7" s="150">
        <f t="shared" si="1"/>
        <v>1752.0520000000001</v>
      </c>
      <c r="O7" s="150">
        <f t="shared" si="1"/>
        <v>1822.5900000000001</v>
      </c>
      <c r="P7" s="150">
        <f t="shared" si="1"/>
        <v>1834.0900000000001</v>
      </c>
      <c r="Q7" s="150">
        <f t="shared" si="1"/>
        <v>1818.19</v>
      </c>
      <c r="R7" s="150">
        <f t="shared" si="1"/>
        <v>1827.49</v>
      </c>
      <c r="S7" s="150">
        <f t="shared" si="1"/>
        <v>1783.3899999999999</v>
      </c>
      <c r="T7" s="150">
        <f t="shared" si="1"/>
        <v>1808.59</v>
      </c>
      <c r="U7" s="150">
        <f t="shared" si="1"/>
        <v>1765.3899999999999</v>
      </c>
      <c r="V7" s="150">
        <f t="shared" si="1"/>
        <v>1706.3899999999999</v>
      </c>
      <c r="W7" s="150">
        <f t="shared" si="1"/>
        <v>1703.19</v>
      </c>
      <c r="X7" s="150">
        <f t="shared" si="1"/>
        <v>1605.19</v>
      </c>
      <c r="Y7" s="150">
        <f t="shared" si="1"/>
        <v>1746.25</v>
      </c>
      <c r="Z7" s="150">
        <f t="shared" si="1"/>
        <v>1846.45</v>
      </c>
      <c r="AA7" s="150">
        <f t="shared" si="1"/>
        <v>1905.49</v>
      </c>
      <c r="AB7" s="150">
        <f t="shared" si="1"/>
        <v>1967.8899999999999</v>
      </c>
      <c r="AC7" s="150">
        <f t="shared" si="1"/>
        <v>1909.9899999999998</v>
      </c>
      <c r="AD7" s="150">
        <f t="shared" si="1"/>
        <v>1872.79</v>
      </c>
      <c r="AE7" s="150">
        <f t="shared" si="1"/>
        <v>1822.49</v>
      </c>
      <c r="AF7" s="150">
        <f t="shared" si="1"/>
        <v>1734.99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7.25" thickTop="1" thickBot="1" x14ac:dyDescent="0.3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1967.89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2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1967.89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.75" thickBot="1" x14ac:dyDescent="0.3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25">
      <c r="A11" s="89" t="s">
        <v>264</v>
      </c>
      <c r="B11" s="102">
        <v>20.399999999999999</v>
      </c>
      <c r="C11" s="102">
        <v>20.399999999999999</v>
      </c>
      <c r="D11" s="102">
        <v>20.399999999999999</v>
      </c>
      <c r="E11" s="102">
        <v>20.399999999999999</v>
      </c>
      <c r="F11" s="102">
        <v>20.399999999999999</v>
      </c>
      <c r="G11" s="102">
        <v>20.399999999999999</v>
      </c>
      <c r="H11" s="102">
        <v>20.399999999999999</v>
      </c>
      <c r="I11" s="102">
        <v>20.399999999999999</v>
      </c>
      <c r="J11" s="102">
        <v>20.399999999999999</v>
      </c>
      <c r="K11" s="102">
        <v>20.399999999999999</v>
      </c>
      <c r="L11" s="102">
        <v>20.399999999999999</v>
      </c>
      <c r="M11" s="102">
        <v>21</v>
      </c>
      <c r="N11" s="102">
        <v>21</v>
      </c>
      <c r="O11" s="102">
        <v>21</v>
      </c>
      <c r="P11" s="102">
        <v>21</v>
      </c>
      <c r="Q11" s="102">
        <v>21</v>
      </c>
      <c r="R11" s="102">
        <v>21</v>
      </c>
      <c r="S11" s="102">
        <v>21</v>
      </c>
      <c r="T11" s="102">
        <v>21</v>
      </c>
      <c r="U11" s="102">
        <v>21</v>
      </c>
      <c r="V11" s="102">
        <v>21</v>
      </c>
      <c r="W11" s="102">
        <v>21</v>
      </c>
      <c r="X11" s="102">
        <v>21</v>
      </c>
      <c r="Y11" s="102">
        <v>21</v>
      </c>
      <c r="Z11" s="102">
        <v>21</v>
      </c>
      <c r="AA11" s="102">
        <v>21</v>
      </c>
      <c r="AB11" s="102">
        <v>21.6</v>
      </c>
      <c r="AC11" s="102">
        <v>21.3</v>
      </c>
      <c r="AD11" s="102">
        <v>21.3</v>
      </c>
      <c r="AE11" s="102">
        <v>20</v>
      </c>
      <c r="AF11" s="102">
        <v>20</v>
      </c>
      <c r="AG11" s="140">
        <v>86</v>
      </c>
      <c r="AH11" s="12">
        <f t="shared" ref="AH11:AH16" si="2">MAX(B11:AF11)</f>
        <v>21.6</v>
      </c>
      <c r="AI11" s="11">
        <f t="shared" ref="AI11:AI16" si="3">MIN(B11:AF11)</f>
        <v>20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25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>
        <v>11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>
        <v>11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17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25">
      <c r="A13" s="89" t="s">
        <v>262</v>
      </c>
      <c r="B13" s="102">
        <v>12.9</v>
      </c>
      <c r="C13" s="102">
        <v>12.9</v>
      </c>
      <c r="D13" s="102">
        <v>12.9</v>
      </c>
      <c r="E13" s="102">
        <v>12.9</v>
      </c>
      <c r="F13" s="102">
        <v>12.9</v>
      </c>
      <c r="G13" s="102">
        <v>12.9</v>
      </c>
      <c r="H13" s="102">
        <v>12.9</v>
      </c>
      <c r="I13" s="102">
        <v>12.9</v>
      </c>
      <c r="J13" s="102">
        <v>12.9</v>
      </c>
      <c r="K13" s="102">
        <v>12.9</v>
      </c>
      <c r="L13" s="102">
        <v>12.9</v>
      </c>
      <c r="M13" s="102">
        <v>12.9</v>
      </c>
      <c r="N13" s="102">
        <v>12.9</v>
      </c>
      <c r="O13" s="102">
        <v>12.9</v>
      </c>
      <c r="P13" s="102">
        <v>12.9</v>
      </c>
      <c r="Q13" s="102">
        <v>12.9</v>
      </c>
      <c r="R13" s="102">
        <v>12.9</v>
      </c>
      <c r="S13" s="102">
        <v>12.9</v>
      </c>
      <c r="T13" s="102">
        <v>12.9</v>
      </c>
      <c r="U13" s="102">
        <v>12.9</v>
      </c>
      <c r="V13" s="102">
        <v>14.3</v>
      </c>
      <c r="W13" s="102">
        <v>14.3</v>
      </c>
      <c r="X13" s="102">
        <v>14.3</v>
      </c>
      <c r="Y13" s="102">
        <v>14.3</v>
      </c>
      <c r="Z13" s="102">
        <v>14.3</v>
      </c>
      <c r="AA13" s="102">
        <v>14.3</v>
      </c>
      <c r="AB13" s="102">
        <v>20.9</v>
      </c>
      <c r="AC13" s="102">
        <v>20.9</v>
      </c>
      <c r="AD13" s="102">
        <v>20.9</v>
      </c>
      <c r="AE13" s="102">
        <v>20.9</v>
      </c>
      <c r="AF13" s="102">
        <v>20.9</v>
      </c>
      <c r="AG13" s="130">
        <v>54</v>
      </c>
      <c r="AH13" s="12">
        <f t="shared" si="2"/>
        <v>20.9</v>
      </c>
      <c r="AI13" s="11">
        <f t="shared" si="3"/>
        <v>12.9</v>
      </c>
      <c r="AK13" s="19"/>
      <c r="AL13" s="6" t="str">
        <f ca="1">"Daily Load Curve(Excluding of Export) of Nepal ("&amp;A4&amp;" "&amp;B4&amp;")"</f>
        <v>Daily Load Curve(Excluding of Export) of Nepal (Nepali Date: 2080/10/17)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.75" thickBot="1" x14ac:dyDescent="0.3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.75" thickTop="1" x14ac:dyDescent="0.25">
      <c r="A15" s="89" t="s">
        <v>260</v>
      </c>
      <c r="B15" s="102">
        <v>42.1</v>
      </c>
      <c r="C15" s="102">
        <v>42.1</v>
      </c>
      <c r="D15" s="102">
        <v>42.1</v>
      </c>
      <c r="E15" s="102">
        <v>42.1</v>
      </c>
      <c r="F15" s="102">
        <v>42.1</v>
      </c>
      <c r="G15" s="102">
        <v>42.1</v>
      </c>
      <c r="H15" s="102">
        <v>42.1</v>
      </c>
      <c r="I15" s="102">
        <v>42.1</v>
      </c>
      <c r="J15" s="102">
        <v>42.1</v>
      </c>
      <c r="K15" s="102">
        <v>42.1</v>
      </c>
      <c r="L15" s="102">
        <v>42.1</v>
      </c>
      <c r="M15" s="102">
        <v>49.2</v>
      </c>
      <c r="N15" s="102">
        <v>49.2</v>
      </c>
      <c r="O15" s="102">
        <v>44</v>
      </c>
      <c r="P15" s="102">
        <v>44</v>
      </c>
      <c r="Q15" s="102">
        <v>44</v>
      </c>
      <c r="R15" s="102">
        <v>44</v>
      </c>
      <c r="S15" s="102">
        <v>44</v>
      </c>
      <c r="T15" s="102">
        <v>44</v>
      </c>
      <c r="U15" s="102">
        <v>44</v>
      </c>
      <c r="V15" s="102">
        <v>40.700000000000003</v>
      </c>
      <c r="W15" s="102">
        <v>40.700000000000003</v>
      </c>
      <c r="X15" s="102">
        <v>40.700000000000003</v>
      </c>
      <c r="Y15" s="102">
        <v>40.700000000000003</v>
      </c>
      <c r="Z15" s="123">
        <v>40.700000000000003</v>
      </c>
      <c r="AA15" s="123">
        <v>40.700000000000003</v>
      </c>
      <c r="AB15" s="123">
        <v>40.700000000000003</v>
      </c>
      <c r="AC15" s="123">
        <v>40.700000000000003</v>
      </c>
      <c r="AD15" s="123">
        <v>40.700000000000003</v>
      </c>
      <c r="AE15" s="123">
        <v>49.7</v>
      </c>
      <c r="AF15" s="123">
        <v>49.7</v>
      </c>
      <c r="AG15" s="130">
        <v>50</v>
      </c>
      <c r="AH15" s="12">
        <f t="shared" si="2"/>
        <v>49.7</v>
      </c>
      <c r="AI15" s="11">
        <f t="shared" si="3"/>
        <v>40.700000000000003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25">
      <c r="A16" s="89" t="s">
        <v>258</v>
      </c>
      <c r="B16" s="102">
        <v>15.1</v>
      </c>
      <c r="C16" s="102">
        <v>15.1</v>
      </c>
      <c r="D16" s="102">
        <v>15.1</v>
      </c>
      <c r="E16" s="102">
        <v>15.1</v>
      </c>
      <c r="F16" s="102">
        <v>15.1</v>
      </c>
      <c r="G16" s="102">
        <v>15.1</v>
      </c>
      <c r="H16" s="102">
        <v>15.1</v>
      </c>
      <c r="I16" s="102">
        <v>15.1</v>
      </c>
      <c r="J16" s="102">
        <v>15.1</v>
      </c>
      <c r="K16" s="102">
        <v>15.1</v>
      </c>
      <c r="L16" s="102">
        <v>15.1</v>
      </c>
      <c r="M16" s="102">
        <v>15.1</v>
      </c>
      <c r="N16" s="102">
        <v>15.1</v>
      </c>
      <c r="O16" s="102">
        <v>15.1</v>
      </c>
      <c r="P16" s="102">
        <v>15.1</v>
      </c>
      <c r="Q16" s="102">
        <v>15.1</v>
      </c>
      <c r="R16" s="102">
        <v>15.1</v>
      </c>
      <c r="S16" s="102">
        <v>15.1</v>
      </c>
      <c r="T16" s="102">
        <v>15.1</v>
      </c>
      <c r="U16" s="102">
        <v>15.1</v>
      </c>
      <c r="V16" s="102">
        <v>15.1</v>
      </c>
      <c r="W16" s="102">
        <v>15.1</v>
      </c>
      <c r="X16" s="102">
        <v>15.1</v>
      </c>
      <c r="Y16" s="102">
        <v>15.1</v>
      </c>
      <c r="Z16" s="102">
        <v>15.1</v>
      </c>
      <c r="AA16" s="102">
        <v>15.1</v>
      </c>
      <c r="AB16" s="102">
        <v>15.1</v>
      </c>
      <c r="AC16" s="102">
        <v>15.1</v>
      </c>
      <c r="AD16" s="102">
        <v>15.1</v>
      </c>
      <c r="AE16" s="102">
        <v>15.1</v>
      </c>
      <c r="AF16" s="102">
        <v>15.1</v>
      </c>
      <c r="AG16" s="130">
        <v>45</v>
      </c>
      <c r="AH16" s="12">
        <f t="shared" si="2"/>
        <v>15.1</v>
      </c>
      <c r="AI16" s="11">
        <f t="shared" si="3"/>
        <v>15.1</v>
      </c>
      <c r="AK16" s="19"/>
      <c r="AL16" s="135" t="s">
        <v>7</v>
      </c>
      <c r="AM16" s="134">
        <f t="shared" ref="AM16:AR16" si="4">B58</f>
        <v>490.25000000000006</v>
      </c>
      <c r="AN16" s="134">
        <f t="shared" si="4"/>
        <v>490.25000000000006</v>
      </c>
      <c r="AO16" s="134">
        <f t="shared" si="4"/>
        <v>490.25000000000006</v>
      </c>
      <c r="AP16" s="134">
        <f t="shared" si="4"/>
        <v>490.25000000000006</v>
      </c>
      <c r="AQ16" s="134">
        <f t="shared" si="4"/>
        <v>490.25000000000006</v>
      </c>
      <c r="AR16" s="134">
        <f t="shared" si="4"/>
        <v>490.25000000000006</v>
      </c>
      <c r="AS16" s="134">
        <f>I58</f>
        <v>490.25000000000006</v>
      </c>
      <c r="AT16" s="134">
        <f>K58</f>
        <v>490.25000000000006</v>
      </c>
      <c r="AU16" s="134">
        <f t="shared" ref="AU16:BD16" si="5">M58</f>
        <v>497.95</v>
      </c>
      <c r="AV16" s="134">
        <f t="shared" si="5"/>
        <v>497.95</v>
      </c>
      <c r="AW16" s="134">
        <f t="shared" si="5"/>
        <v>492.75</v>
      </c>
      <c r="AX16" s="134">
        <f t="shared" si="5"/>
        <v>492.75</v>
      </c>
      <c r="AY16" s="134">
        <f t="shared" si="5"/>
        <v>492.75</v>
      </c>
      <c r="AZ16" s="134">
        <f t="shared" si="5"/>
        <v>492.75</v>
      </c>
      <c r="BA16" s="134">
        <f t="shared" si="5"/>
        <v>492.75</v>
      </c>
      <c r="BB16" s="134">
        <f t="shared" si="5"/>
        <v>492.75</v>
      </c>
      <c r="BC16" s="134">
        <f t="shared" si="5"/>
        <v>492.75</v>
      </c>
      <c r="BD16" s="134">
        <f t="shared" si="5"/>
        <v>490.85</v>
      </c>
      <c r="BE16" s="133">
        <f>X58</f>
        <v>490.85</v>
      </c>
      <c r="BF16" s="133">
        <f>Z58</f>
        <v>490.85</v>
      </c>
      <c r="BG16" s="133">
        <f>AB58</f>
        <v>516.15000000000009</v>
      </c>
      <c r="BH16" s="133">
        <f>AD58</f>
        <v>515.85</v>
      </c>
      <c r="BI16" s="133">
        <f>AE58</f>
        <v>529.15</v>
      </c>
      <c r="BJ16" s="133">
        <f>AF58</f>
        <v>529.15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25">
      <c r="A17" s="89" t="s">
        <v>257</v>
      </c>
      <c r="B17" s="102">
        <v>16</v>
      </c>
      <c r="C17" s="102">
        <v>16</v>
      </c>
      <c r="D17" s="102">
        <v>16</v>
      </c>
      <c r="E17" s="102">
        <v>16</v>
      </c>
      <c r="F17" s="102">
        <v>16</v>
      </c>
      <c r="G17" s="102">
        <v>16</v>
      </c>
      <c r="H17" s="102">
        <v>16</v>
      </c>
      <c r="I17" s="102">
        <v>16</v>
      </c>
      <c r="J17" s="102">
        <v>16</v>
      </c>
      <c r="K17" s="102">
        <v>16</v>
      </c>
      <c r="L17" s="102">
        <v>16</v>
      </c>
      <c r="M17" s="102">
        <v>16</v>
      </c>
      <c r="N17" s="102">
        <v>16</v>
      </c>
      <c r="O17" s="102">
        <v>16</v>
      </c>
      <c r="P17" s="102">
        <v>16</v>
      </c>
      <c r="Q17" s="102">
        <v>16</v>
      </c>
      <c r="R17" s="102">
        <v>16</v>
      </c>
      <c r="S17" s="102">
        <v>16</v>
      </c>
      <c r="T17" s="102">
        <v>16</v>
      </c>
      <c r="U17" s="102">
        <v>16</v>
      </c>
      <c r="V17" s="102">
        <v>16</v>
      </c>
      <c r="W17" s="102">
        <v>16</v>
      </c>
      <c r="X17" s="102">
        <v>16</v>
      </c>
      <c r="Y17" s="102">
        <v>16</v>
      </c>
      <c r="Z17" s="102">
        <v>16</v>
      </c>
      <c r="AA17" s="102">
        <v>16</v>
      </c>
      <c r="AB17" s="102">
        <v>16</v>
      </c>
      <c r="AC17" s="102">
        <v>16</v>
      </c>
      <c r="AD17" s="102">
        <v>16</v>
      </c>
      <c r="AE17" s="102">
        <v>16</v>
      </c>
      <c r="AF17" s="102">
        <v>16</v>
      </c>
      <c r="AG17" s="130">
        <v>44</v>
      </c>
      <c r="AH17" s="12">
        <f>MAX(B17:AG17)</f>
        <v>44</v>
      </c>
      <c r="AI17" s="11">
        <f>MIN(B17:AG17)</f>
        <v>16</v>
      </c>
      <c r="AK17" s="19"/>
      <c r="AL17" s="135" t="s">
        <v>256</v>
      </c>
      <c r="AM17" s="134">
        <f t="shared" ref="AM17:AR17" si="6">B62</f>
        <v>262.39999999999998</v>
      </c>
      <c r="AN17" s="134">
        <f t="shared" si="6"/>
        <v>213.29999999999998</v>
      </c>
      <c r="AO17" s="134">
        <f t="shared" si="6"/>
        <v>231.2</v>
      </c>
      <c r="AP17" s="134">
        <f t="shared" si="6"/>
        <v>201.5</v>
      </c>
      <c r="AQ17" s="134">
        <f t="shared" si="6"/>
        <v>185.8</v>
      </c>
      <c r="AR17" s="134">
        <f t="shared" si="6"/>
        <v>140</v>
      </c>
      <c r="AS17" s="134">
        <f>I62</f>
        <v>157.1</v>
      </c>
      <c r="AT17" s="134">
        <f>K62</f>
        <v>40.700000000000003</v>
      </c>
      <c r="AU17" s="134">
        <f t="shared" ref="AU17:BD17" si="7">M62</f>
        <v>37.799999999999997</v>
      </c>
      <c r="AV17" s="134">
        <f t="shared" si="7"/>
        <v>37.4</v>
      </c>
      <c r="AW17" s="134">
        <f t="shared" si="7"/>
        <v>38.1</v>
      </c>
      <c r="AX17" s="134">
        <f t="shared" si="7"/>
        <v>38.1</v>
      </c>
      <c r="AY17" s="134">
        <f t="shared" si="7"/>
        <v>36.099999999999994</v>
      </c>
      <c r="AZ17" s="134">
        <f t="shared" si="7"/>
        <v>34.5</v>
      </c>
      <c r="BA17" s="134">
        <f t="shared" si="7"/>
        <v>34.5</v>
      </c>
      <c r="BB17" s="134">
        <f t="shared" si="7"/>
        <v>34.5</v>
      </c>
      <c r="BC17" s="134">
        <f t="shared" si="7"/>
        <v>34.5</v>
      </c>
      <c r="BD17" s="134">
        <f t="shared" si="7"/>
        <v>34.5</v>
      </c>
      <c r="BE17" s="133">
        <f>X62</f>
        <v>34.5</v>
      </c>
      <c r="BF17" s="133">
        <f>Z62</f>
        <v>348.5</v>
      </c>
      <c r="BG17" s="133">
        <f>AB62</f>
        <v>444.5</v>
      </c>
      <c r="BH17" s="133">
        <f>AD62</f>
        <v>403.7</v>
      </c>
      <c r="BI17" s="133">
        <f>AE62</f>
        <v>343.2</v>
      </c>
      <c r="BJ17" s="133">
        <f>AF62</f>
        <v>312.7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25">
      <c r="A18" s="89" t="s">
        <v>255</v>
      </c>
      <c r="B18" s="102">
        <v>9</v>
      </c>
      <c r="C18" s="102">
        <v>9</v>
      </c>
      <c r="D18" s="102">
        <v>9</v>
      </c>
      <c r="E18" s="102">
        <v>9</v>
      </c>
      <c r="F18" s="102">
        <v>9</v>
      </c>
      <c r="G18" s="102">
        <v>9</v>
      </c>
      <c r="H18" s="102">
        <v>9</v>
      </c>
      <c r="I18" s="102">
        <v>9</v>
      </c>
      <c r="J18" s="102">
        <v>9</v>
      </c>
      <c r="K18" s="102">
        <v>9</v>
      </c>
      <c r="L18" s="102">
        <v>9</v>
      </c>
      <c r="M18" s="102">
        <v>9</v>
      </c>
      <c r="N18" s="102">
        <v>9</v>
      </c>
      <c r="O18" s="102">
        <v>9</v>
      </c>
      <c r="P18" s="102">
        <v>9</v>
      </c>
      <c r="Q18" s="102">
        <v>9</v>
      </c>
      <c r="R18" s="102">
        <v>9</v>
      </c>
      <c r="S18" s="102">
        <v>9</v>
      </c>
      <c r="T18" s="102">
        <v>9</v>
      </c>
      <c r="U18" s="102">
        <v>9</v>
      </c>
      <c r="V18" s="102">
        <v>9</v>
      </c>
      <c r="W18" s="102">
        <v>9</v>
      </c>
      <c r="X18" s="102">
        <v>9</v>
      </c>
      <c r="Y18" s="102">
        <v>9</v>
      </c>
      <c r="Z18" s="102">
        <v>9</v>
      </c>
      <c r="AA18" s="102">
        <v>9</v>
      </c>
      <c r="AB18" s="102">
        <v>15</v>
      </c>
      <c r="AC18" s="102">
        <v>15</v>
      </c>
      <c r="AD18" s="102">
        <v>15</v>
      </c>
      <c r="AE18" s="102">
        <v>15</v>
      </c>
      <c r="AF18" s="102">
        <v>15</v>
      </c>
      <c r="AG18" s="130">
        <v>42</v>
      </c>
      <c r="AH18" s="12">
        <f t="shared" ref="AH18:AH81" si="8">MAX(B18:AF18)</f>
        <v>15</v>
      </c>
      <c r="AI18" s="11">
        <f t="shared" ref="AI18:AI81" si="9">MIN(B18:AF18)</f>
        <v>9</v>
      </c>
      <c r="AK18" s="19"/>
      <c r="AL18" s="135" t="s">
        <v>254</v>
      </c>
      <c r="AM18" s="134">
        <f t="shared" ref="AM18:AR18" si="10">B76</f>
        <v>258.04000000000002</v>
      </c>
      <c r="AN18" s="134">
        <f t="shared" si="10"/>
        <v>238.84</v>
      </c>
      <c r="AO18" s="134">
        <f t="shared" si="10"/>
        <v>232.64</v>
      </c>
      <c r="AP18" s="134">
        <f t="shared" si="10"/>
        <v>247.44</v>
      </c>
      <c r="AQ18" s="134">
        <f t="shared" si="10"/>
        <v>259.24</v>
      </c>
      <c r="AR18" s="134">
        <f t="shared" si="10"/>
        <v>232.04000000000002</v>
      </c>
      <c r="AS18" s="134">
        <f>I76</f>
        <v>234.04000000000002</v>
      </c>
      <c r="AT18" s="134">
        <f>K76</f>
        <v>243.44000000000003</v>
      </c>
      <c r="AU18" s="134">
        <f t="shared" ref="AU18:BD18" si="11">M76</f>
        <v>269.74</v>
      </c>
      <c r="AV18" s="134">
        <f t="shared" si="11"/>
        <v>245.23999999999995</v>
      </c>
      <c r="AW18" s="134">
        <f t="shared" si="11"/>
        <v>282.74000000000007</v>
      </c>
      <c r="AX18" s="134">
        <f t="shared" si="11"/>
        <v>267.44</v>
      </c>
      <c r="AY18" s="134">
        <f t="shared" si="11"/>
        <v>272.74000000000007</v>
      </c>
      <c r="AZ18" s="134">
        <f t="shared" si="11"/>
        <v>280.44</v>
      </c>
      <c r="BA18" s="134">
        <f t="shared" si="11"/>
        <v>264.34000000000003</v>
      </c>
      <c r="BB18" s="134">
        <f t="shared" si="11"/>
        <v>260.54000000000002</v>
      </c>
      <c r="BC18" s="134">
        <f t="shared" si="11"/>
        <v>261.74000000000007</v>
      </c>
      <c r="BD18" s="134">
        <f t="shared" si="11"/>
        <v>241.54</v>
      </c>
      <c r="BE18" s="133">
        <f>X76</f>
        <v>209.64</v>
      </c>
      <c r="BF18" s="133">
        <f>Z76</f>
        <v>362.2</v>
      </c>
      <c r="BG18" s="133">
        <f>AB76</f>
        <v>349.84000000000003</v>
      </c>
      <c r="BH18" s="133">
        <f>AD76</f>
        <v>305.74000000000007</v>
      </c>
      <c r="BI18" s="133">
        <f>AE76</f>
        <v>280.24</v>
      </c>
      <c r="BJ18" s="133">
        <f>AF76</f>
        <v>270.14000000000004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25">
      <c r="A19" s="89" t="s">
        <v>253</v>
      </c>
      <c r="B19" s="102">
        <v>16</v>
      </c>
      <c r="C19" s="102">
        <v>16</v>
      </c>
      <c r="D19" s="102">
        <v>16</v>
      </c>
      <c r="E19" s="102">
        <v>16</v>
      </c>
      <c r="F19" s="102">
        <v>16</v>
      </c>
      <c r="G19" s="102">
        <v>16</v>
      </c>
      <c r="H19" s="102">
        <v>16</v>
      </c>
      <c r="I19" s="102">
        <v>16</v>
      </c>
      <c r="J19" s="102">
        <v>16</v>
      </c>
      <c r="K19" s="102">
        <v>16</v>
      </c>
      <c r="L19" s="102">
        <v>16</v>
      </c>
      <c r="M19" s="102">
        <v>16</v>
      </c>
      <c r="N19" s="102">
        <v>16</v>
      </c>
      <c r="O19" s="102">
        <v>16</v>
      </c>
      <c r="P19" s="102">
        <v>16</v>
      </c>
      <c r="Q19" s="102">
        <v>16</v>
      </c>
      <c r="R19" s="102">
        <v>16</v>
      </c>
      <c r="S19" s="102">
        <v>16</v>
      </c>
      <c r="T19" s="102">
        <v>16</v>
      </c>
      <c r="U19" s="102">
        <v>16</v>
      </c>
      <c r="V19" s="102">
        <v>16</v>
      </c>
      <c r="W19" s="102">
        <v>16</v>
      </c>
      <c r="X19" s="102">
        <v>16</v>
      </c>
      <c r="Y19" s="102">
        <v>16</v>
      </c>
      <c r="Z19" s="102">
        <v>16</v>
      </c>
      <c r="AA19" s="102">
        <v>16</v>
      </c>
      <c r="AB19" s="102">
        <v>16</v>
      </c>
      <c r="AC19" s="102">
        <v>16</v>
      </c>
      <c r="AD19" s="102">
        <v>16</v>
      </c>
      <c r="AE19" s="102">
        <v>15.8</v>
      </c>
      <c r="AF19" s="102">
        <v>15.8</v>
      </c>
      <c r="AG19" s="130">
        <v>38.46</v>
      </c>
      <c r="AH19" s="12">
        <f t="shared" si="8"/>
        <v>16</v>
      </c>
      <c r="AI19" s="11">
        <f t="shared" si="9"/>
        <v>15.8</v>
      </c>
      <c r="AK19" s="19"/>
      <c r="AL19" s="135" t="s">
        <v>252</v>
      </c>
      <c r="AM19" s="134">
        <f t="shared" ref="AM19:AR19" si="12">B92</f>
        <v>156.89999999999998</v>
      </c>
      <c r="AN19" s="134">
        <f t="shared" si="12"/>
        <v>224</v>
      </c>
      <c r="AO19" s="134">
        <f t="shared" si="12"/>
        <v>160.69999999999999</v>
      </c>
      <c r="AP19" s="134">
        <f t="shared" si="12"/>
        <v>152.80000000000001</v>
      </c>
      <c r="AQ19" s="134">
        <f t="shared" si="12"/>
        <v>142.9</v>
      </c>
      <c r="AR19" s="134">
        <f t="shared" si="12"/>
        <v>225.89999999999998</v>
      </c>
      <c r="AS19" s="134">
        <f>I92</f>
        <v>354</v>
      </c>
      <c r="AT19" s="134">
        <f>K92</f>
        <v>824.7</v>
      </c>
      <c r="AU19" s="134">
        <f t="shared" ref="AU19:BD19" si="13">M92</f>
        <v>898.1</v>
      </c>
      <c r="AV19" s="134">
        <f t="shared" si="13"/>
        <v>851.86199999999997</v>
      </c>
      <c r="AW19" s="134">
        <f t="shared" si="13"/>
        <v>910.2</v>
      </c>
      <c r="AX19" s="134">
        <f t="shared" si="13"/>
        <v>937</v>
      </c>
      <c r="AY19" s="134">
        <f t="shared" si="13"/>
        <v>917.8</v>
      </c>
      <c r="AZ19" s="134">
        <f t="shared" si="13"/>
        <v>921</v>
      </c>
      <c r="BA19" s="134">
        <f t="shared" si="13"/>
        <v>893</v>
      </c>
      <c r="BB19" s="134">
        <f t="shared" si="13"/>
        <v>922</v>
      </c>
      <c r="BC19" s="134">
        <f t="shared" si="13"/>
        <v>877.6</v>
      </c>
      <c r="BD19" s="134">
        <f t="shared" si="13"/>
        <v>840.7</v>
      </c>
      <c r="BE19" s="133">
        <f>X92</f>
        <v>786</v>
      </c>
      <c r="BF19" s="133">
        <f>Z92</f>
        <v>331</v>
      </c>
      <c r="BG19" s="133">
        <f>AB92</f>
        <v>209.09999999999997</v>
      </c>
      <c r="BH19" s="133">
        <f>AD92</f>
        <v>200.5</v>
      </c>
      <c r="BI19" s="133">
        <f>AE92</f>
        <v>222.8</v>
      </c>
      <c r="BJ19" s="133">
        <f>AF92</f>
        <v>175.9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25">
      <c r="A20" s="89" t="s">
        <v>251</v>
      </c>
      <c r="B20" s="102">
        <v>14</v>
      </c>
      <c r="C20" s="102">
        <v>14</v>
      </c>
      <c r="D20" s="102">
        <v>14</v>
      </c>
      <c r="E20" s="102">
        <v>14</v>
      </c>
      <c r="F20" s="102">
        <v>14</v>
      </c>
      <c r="G20" s="102">
        <v>14</v>
      </c>
      <c r="H20" s="102">
        <v>14</v>
      </c>
      <c r="I20" s="102">
        <v>14</v>
      </c>
      <c r="J20" s="102">
        <v>14</v>
      </c>
      <c r="K20" s="102">
        <v>14</v>
      </c>
      <c r="L20" s="102">
        <v>14</v>
      </c>
      <c r="M20" s="102">
        <v>14</v>
      </c>
      <c r="N20" s="102">
        <v>14</v>
      </c>
      <c r="O20" s="102">
        <v>14</v>
      </c>
      <c r="P20" s="102">
        <v>14</v>
      </c>
      <c r="Q20" s="102">
        <v>14</v>
      </c>
      <c r="R20" s="102">
        <v>14</v>
      </c>
      <c r="S20" s="102">
        <v>14</v>
      </c>
      <c r="T20" s="102">
        <v>14</v>
      </c>
      <c r="U20" s="102">
        <v>14</v>
      </c>
      <c r="V20" s="102">
        <v>14</v>
      </c>
      <c r="W20" s="102">
        <v>14</v>
      </c>
      <c r="X20" s="102">
        <v>14</v>
      </c>
      <c r="Y20" s="102">
        <v>14</v>
      </c>
      <c r="Z20" s="102">
        <v>14</v>
      </c>
      <c r="AA20" s="102">
        <v>14</v>
      </c>
      <c r="AB20" s="102">
        <v>14</v>
      </c>
      <c r="AC20" s="102">
        <v>14</v>
      </c>
      <c r="AD20" s="102">
        <v>14</v>
      </c>
      <c r="AE20" s="102">
        <v>14</v>
      </c>
      <c r="AF20" s="102">
        <v>14</v>
      </c>
      <c r="AG20" s="130">
        <v>38.46</v>
      </c>
      <c r="AH20" s="12">
        <f t="shared" si="8"/>
        <v>14</v>
      </c>
      <c r="AI20" s="11">
        <f t="shared" si="9"/>
        <v>14</v>
      </c>
      <c r="AK20" s="19"/>
      <c r="AL20" s="135" t="s">
        <v>250</v>
      </c>
      <c r="AM20" s="134">
        <f t="shared" ref="AM20:AR20" si="14">B80</f>
        <v>97.4</v>
      </c>
      <c r="AN20" s="134">
        <f t="shared" si="14"/>
        <v>97.4</v>
      </c>
      <c r="AO20" s="134">
        <f t="shared" si="14"/>
        <v>96.8</v>
      </c>
      <c r="AP20" s="134">
        <f t="shared" si="14"/>
        <v>96.8</v>
      </c>
      <c r="AQ20" s="134">
        <f t="shared" si="14"/>
        <v>97</v>
      </c>
      <c r="AR20" s="134">
        <f t="shared" si="14"/>
        <v>97</v>
      </c>
      <c r="AS20" s="134">
        <f>I80</f>
        <v>97.5</v>
      </c>
      <c r="AT20" s="134">
        <f>K80</f>
        <v>73.7</v>
      </c>
      <c r="AU20" s="134">
        <f t="shared" ref="AU20:BD20" si="15">M80</f>
        <v>97.899999999999991</v>
      </c>
      <c r="AV20" s="134">
        <f t="shared" si="15"/>
        <v>99.6</v>
      </c>
      <c r="AW20" s="134">
        <f t="shared" si="15"/>
        <v>98.800000000000011</v>
      </c>
      <c r="AX20" s="134">
        <f t="shared" si="15"/>
        <v>98.800000000000011</v>
      </c>
      <c r="AY20" s="134">
        <f t="shared" si="15"/>
        <v>98.800000000000011</v>
      </c>
      <c r="AZ20" s="134">
        <f t="shared" si="15"/>
        <v>98.8</v>
      </c>
      <c r="BA20" s="134">
        <f t="shared" si="15"/>
        <v>98.8</v>
      </c>
      <c r="BB20" s="134">
        <f t="shared" si="15"/>
        <v>98.8</v>
      </c>
      <c r="BC20" s="134">
        <f t="shared" si="15"/>
        <v>98.8</v>
      </c>
      <c r="BD20" s="134">
        <f t="shared" si="15"/>
        <v>98.8</v>
      </c>
      <c r="BE20" s="133">
        <f>X80</f>
        <v>84.2</v>
      </c>
      <c r="BF20" s="133">
        <f>Z80</f>
        <v>63.9</v>
      </c>
      <c r="BG20" s="133">
        <f>AB80</f>
        <v>98.300000000000011</v>
      </c>
      <c r="BH20" s="133">
        <f>AD80</f>
        <v>97</v>
      </c>
      <c r="BI20" s="133">
        <f>AE80</f>
        <v>97.1</v>
      </c>
      <c r="BJ20" s="133">
        <f>AF80</f>
        <v>97.1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25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>
        <v>11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>
        <v>11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11</v>
      </c>
      <c r="AG21" s="130">
        <v>36</v>
      </c>
      <c r="AH21" s="12">
        <f t="shared" si="8"/>
        <v>11</v>
      </c>
      <c r="AI21" s="11">
        <f t="shared" si="9"/>
        <v>11</v>
      </c>
      <c r="AK21" s="19"/>
      <c r="AL21" s="135" t="s">
        <v>248</v>
      </c>
      <c r="AM21" s="134">
        <f t="shared" ref="AM21:AR21" si="16">B98</f>
        <v>330</v>
      </c>
      <c r="AN21" s="134">
        <f t="shared" si="16"/>
        <v>280</v>
      </c>
      <c r="AO21" s="134">
        <f t="shared" si="16"/>
        <v>280</v>
      </c>
      <c r="AP21" s="134">
        <f t="shared" si="16"/>
        <v>280</v>
      </c>
      <c r="AQ21" s="134">
        <f t="shared" si="16"/>
        <v>280</v>
      </c>
      <c r="AR21" s="134">
        <f t="shared" si="16"/>
        <v>280</v>
      </c>
      <c r="AS21" s="134">
        <f>I98</f>
        <v>180</v>
      </c>
      <c r="AT21" s="134">
        <f>K98</f>
        <v>0</v>
      </c>
      <c r="AU21" s="134">
        <f t="shared" ref="AU21:BD21" si="17">M98</f>
        <v>10</v>
      </c>
      <c r="AV21" s="134">
        <f t="shared" si="17"/>
        <v>20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250</v>
      </c>
      <c r="BG21" s="133">
        <f>AB98</f>
        <v>350</v>
      </c>
      <c r="BH21" s="133">
        <f>AD98</f>
        <v>350</v>
      </c>
      <c r="BI21" s="133">
        <f>AE98</f>
        <v>350</v>
      </c>
      <c r="BJ21" s="133">
        <f>AF98</f>
        <v>350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25">
      <c r="A22" s="89" t="s">
        <v>247</v>
      </c>
      <c r="B22" s="102">
        <v>9</v>
      </c>
      <c r="C22" s="102">
        <v>9</v>
      </c>
      <c r="D22" s="102">
        <v>9</v>
      </c>
      <c r="E22" s="102">
        <v>9</v>
      </c>
      <c r="F22" s="102">
        <v>9</v>
      </c>
      <c r="G22" s="102">
        <v>9</v>
      </c>
      <c r="H22" s="102">
        <v>9</v>
      </c>
      <c r="I22" s="102">
        <v>9</v>
      </c>
      <c r="J22" s="102">
        <v>9</v>
      </c>
      <c r="K22" s="102">
        <v>9</v>
      </c>
      <c r="L22" s="102">
        <v>9</v>
      </c>
      <c r="M22" s="102">
        <v>9</v>
      </c>
      <c r="N22" s="102">
        <v>9</v>
      </c>
      <c r="O22" s="102">
        <v>9</v>
      </c>
      <c r="P22" s="102">
        <v>9</v>
      </c>
      <c r="Q22" s="102">
        <v>9</v>
      </c>
      <c r="R22" s="102">
        <v>9</v>
      </c>
      <c r="S22" s="102">
        <v>9</v>
      </c>
      <c r="T22" s="102">
        <v>9</v>
      </c>
      <c r="U22" s="102">
        <v>9</v>
      </c>
      <c r="V22" s="102">
        <v>9</v>
      </c>
      <c r="W22" s="102">
        <v>9</v>
      </c>
      <c r="X22" s="102">
        <v>9</v>
      </c>
      <c r="Y22" s="102">
        <v>9</v>
      </c>
      <c r="Z22" s="102">
        <v>9</v>
      </c>
      <c r="AA22" s="102">
        <v>9</v>
      </c>
      <c r="AB22" s="102">
        <v>15</v>
      </c>
      <c r="AC22" s="102">
        <v>15</v>
      </c>
      <c r="AD22" s="102">
        <v>15</v>
      </c>
      <c r="AE22" s="102">
        <v>14.2</v>
      </c>
      <c r="AF22" s="102">
        <v>14.2</v>
      </c>
      <c r="AG22" s="88">
        <v>30</v>
      </c>
      <c r="AH22" s="12">
        <f t="shared" si="8"/>
        <v>15</v>
      </c>
      <c r="AI22" s="11">
        <f t="shared" si="9"/>
        <v>9</v>
      </c>
      <c r="AK22" s="19"/>
      <c r="AL22" s="132" t="s">
        <v>246</v>
      </c>
      <c r="AM22" s="131">
        <f t="shared" ref="AM22:BJ22" si="18">SUM(AM16:AM21)</f>
        <v>1594.9900000000002</v>
      </c>
      <c r="AN22" s="131">
        <f t="shared" si="18"/>
        <v>1543.7900000000002</v>
      </c>
      <c r="AO22" s="131">
        <f t="shared" si="18"/>
        <v>1491.59</v>
      </c>
      <c r="AP22" s="131">
        <f t="shared" si="18"/>
        <v>1468.79</v>
      </c>
      <c r="AQ22" s="131">
        <f t="shared" si="18"/>
        <v>1455.19</v>
      </c>
      <c r="AR22" s="131">
        <f t="shared" si="18"/>
        <v>1465.19</v>
      </c>
      <c r="AS22" s="131">
        <f t="shared" si="18"/>
        <v>1512.89</v>
      </c>
      <c r="AT22" s="131">
        <f t="shared" si="18"/>
        <v>1672.7900000000002</v>
      </c>
      <c r="AU22" s="131">
        <f t="shared" si="18"/>
        <v>1811.4900000000002</v>
      </c>
      <c r="AV22" s="131">
        <f t="shared" si="18"/>
        <v>1752.0519999999997</v>
      </c>
      <c r="AW22" s="131">
        <f t="shared" si="18"/>
        <v>1822.5900000000001</v>
      </c>
      <c r="AX22" s="131">
        <f t="shared" si="18"/>
        <v>1834.09</v>
      </c>
      <c r="AY22" s="131">
        <f t="shared" si="18"/>
        <v>1818.19</v>
      </c>
      <c r="AZ22" s="131">
        <f t="shared" si="18"/>
        <v>1827.49</v>
      </c>
      <c r="BA22" s="131">
        <f t="shared" si="18"/>
        <v>1783.39</v>
      </c>
      <c r="BB22" s="131">
        <f t="shared" si="18"/>
        <v>1808.59</v>
      </c>
      <c r="BC22" s="131">
        <f t="shared" si="18"/>
        <v>1765.39</v>
      </c>
      <c r="BD22" s="131">
        <f t="shared" si="18"/>
        <v>1706.39</v>
      </c>
      <c r="BE22" s="131">
        <f t="shared" si="18"/>
        <v>1605.19</v>
      </c>
      <c r="BF22" s="131">
        <f t="shared" si="18"/>
        <v>1846.45</v>
      </c>
      <c r="BG22" s="131">
        <f t="shared" si="18"/>
        <v>1967.89</v>
      </c>
      <c r="BH22" s="131">
        <f t="shared" si="18"/>
        <v>1872.79</v>
      </c>
      <c r="BI22" s="131">
        <f t="shared" si="18"/>
        <v>1822.4899999999998</v>
      </c>
      <c r="BJ22" s="131">
        <f t="shared" si="18"/>
        <v>1734.99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25">
      <c r="A23" s="89" t="s">
        <v>245</v>
      </c>
      <c r="B23" s="102">
        <v>6.4</v>
      </c>
      <c r="C23" s="102">
        <v>6.4</v>
      </c>
      <c r="D23" s="102">
        <v>6.4</v>
      </c>
      <c r="E23" s="102">
        <v>6.4</v>
      </c>
      <c r="F23" s="102">
        <v>6.4</v>
      </c>
      <c r="G23" s="102">
        <v>6.4</v>
      </c>
      <c r="H23" s="102">
        <v>6.4</v>
      </c>
      <c r="I23" s="102">
        <v>6.4</v>
      </c>
      <c r="J23" s="102">
        <v>6.4</v>
      </c>
      <c r="K23" s="102">
        <v>6.4</v>
      </c>
      <c r="L23" s="102">
        <v>6.4</v>
      </c>
      <c r="M23" s="102">
        <v>6.4</v>
      </c>
      <c r="N23" s="102">
        <v>6.4</v>
      </c>
      <c r="O23" s="102">
        <v>6.4</v>
      </c>
      <c r="P23" s="102">
        <v>6.4</v>
      </c>
      <c r="Q23" s="102">
        <v>6.4</v>
      </c>
      <c r="R23" s="102">
        <v>6.4</v>
      </c>
      <c r="S23" s="102">
        <v>6.4</v>
      </c>
      <c r="T23" s="102">
        <v>6.4</v>
      </c>
      <c r="U23" s="102">
        <v>6.4</v>
      </c>
      <c r="V23" s="102">
        <v>6.4</v>
      </c>
      <c r="W23" s="102">
        <v>6.4</v>
      </c>
      <c r="X23" s="102">
        <v>6.4</v>
      </c>
      <c r="Y23" s="102">
        <v>6.4</v>
      </c>
      <c r="Z23" s="102">
        <v>6.4</v>
      </c>
      <c r="AA23" s="102">
        <v>6.4</v>
      </c>
      <c r="AB23" s="102">
        <v>6.4</v>
      </c>
      <c r="AC23" s="102">
        <v>6.4</v>
      </c>
      <c r="AD23" s="102">
        <v>6.4</v>
      </c>
      <c r="AE23" s="102">
        <v>6.4</v>
      </c>
      <c r="AF23" s="102">
        <v>6.4</v>
      </c>
      <c r="AG23" s="130">
        <v>24.2</v>
      </c>
      <c r="AH23" s="12">
        <f t="shared" si="8"/>
        <v>6.4</v>
      </c>
      <c r="AI23" s="11">
        <f t="shared" si="9"/>
        <v>6.4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25">
      <c r="A24" s="89" t="s">
        <v>244</v>
      </c>
      <c r="B24" s="102">
        <v>6.5</v>
      </c>
      <c r="C24" s="102">
        <v>6.5</v>
      </c>
      <c r="D24" s="102">
        <v>6.5</v>
      </c>
      <c r="E24" s="102">
        <v>6.5</v>
      </c>
      <c r="F24" s="102">
        <v>6.5</v>
      </c>
      <c r="G24" s="102">
        <v>6.5</v>
      </c>
      <c r="H24" s="102">
        <v>6.5</v>
      </c>
      <c r="I24" s="102">
        <v>6.5</v>
      </c>
      <c r="J24" s="102">
        <v>6.5</v>
      </c>
      <c r="K24" s="102">
        <v>6.5</v>
      </c>
      <c r="L24" s="102">
        <v>6.5</v>
      </c>
      <c r="M24" s="102">
        <v>6.5</v>
      </c>
      <c r="N24" s="102">
        <v>6.5</v>
      </c>
      <c r="O24" s="102">
        <v>6.5</v>
      </c>
      <c r="P24" s="102">
        <v>6.5</v>
      </c>
      <c r="Q24" s="102">
        <v>6.5</v>
      </c>
      <c r="R24" s="102">
        <v>6.5</v>
      </c>
      <c r="S24" s="102">
        <v>6.5</v>
      </c>
      <c r="T24" s="102">
        <v>6.5</v>
      </c>
      <c r="U24" s="102">
        <v>6.5</v>
      </c>
      <c r="V24" s="102">
        <v>6.5</v>
      </c>
      <c r="W24" s="102">
        <v>6.5</v>
      </c>
      <c r="X24" s="102">
        <v>6.5</v>
      </c>
      <c r="Y24" s="102">
        <v>6.5</v>
      </c>
      <c r="Z24" s="102">
        <v>6.5</v>
      </c>
      <c r="AA24" s="102">
        <v>6.5</v>
      </c>
      <c r="AB24" s="102">
        <v>6.5</v>
      </c>
      <c r="AC24" s="102">
        <v>6.5</v>
      </c>
      <c r="AD24" s="102">
        <v>6.5</v>
      </c>
      <c r="AE24" s="102">
        <v>5.7</v>
      </c>
      <c r="AF24" s="102">
        <v>5.7</v>
      </c>
      <c r="AG24" s="130">
        <v>28</v>
      </c>
      <c r="AH24" s="12">
        <f t="shared" si="8"/>
        <v>6.5</v>
      </c>
      <c r="AI24" s="11">
        <f t="shared" si="9"/>
        <v>5.7</v>
      </c>
      <c r="AK24" s="19"/>
      <c r="AL24" s="132" t="s">
        <v>243</v>
      </c>
      <c r="AM24" s="131">
        <f t="shared" ref="AM24:BJ24" si="21">AM22+AM23</f>
        <v>1594.9900000000002</v>
      </c>
      <c r="AN24" s="131">
        <f t="shared" si="21"/>
        <v>1543.7900000000002</v>
      </c>
      <c r="AO24" s="131">
        <f t="shared" si="21"/>
        <v>1491.59</v>
      </c>
      <c r="AP24" s="131">
        <f t="shared" si="21"/>
        <v>1468.79</v>
      </c>
      <c r="AQ24" s="131">
        <f t="shared" si="21"/>
        <v>1455.19</v>
      </c>
      <c r="AR24" s="131">
        <f t="shared" si="21"/>
        <v>1465.19</v>
      </c>
      <c r="AS24" s="131">
        <f t="shared" si="21"/>
        <v>1512.89</v>
      </c>
      <c r="AT24" s="131">
        <f t="shared" si="21"/>
        <v>1672.7900000000002</v>
      </c>
      <c r="AU24" s="131">
        <f t="shared" si="21"/>
        <v>1811.4900000000002</v>
      </c>
      <c r="AV24" s="131">
        <f t="shared" si="21"/>
        <v>1752.0519999999997</v>
      </c>
      <c r="AW24" s="131">
        <f t="shared" si="21"/>
        <v>1822.5900000000001</v>
      </c>
      <c r="AX24" s="131">
        <f t="shared" si="21"/>
        <v>1834.09</v>
      </c>
      <c r="AY24" s="131">
        <f t="shared" si="21"/>
        <v>1818.19</v>
      </c>
      <c r="AZ24" s="131">
        <f t="shared" si="21"/>
        <v>1827.49</v>
      </c>
      <c r="BA24" s="131">
        <f t="shared" si="21"/>
        <v>1783.39</v>
      </c>
      <c r="BB24" s="131">
        <f t="shared" si="21"/>
        <v>1808.59</v>
      </c>
      <c r="BC24" s="131">
        <f t="shared" si="21"/>
        <v>1765.39</v>
      </c>
      <c r="BD24" s="131">
        <f t="shared" si="21"/>
        <v>1706.39</v>
      </c>
      <c r="BE24" s="131">
        <f t="shared" si="21"/>
        <v>1605.19</v>
      </c>
      <c r="BF24" s="131">
        <f t="shared" si="21"/>
        <v>1846.45</v>
      </c>
      <c r="BG24" s="131">
        <f t="shared" si="21"/>
        <v>1967.89</v>
      </c>
      <c r="BH24" s="131">
        <f t="shared" si="21"/>
        <v>1872.79</v>
      </c>
      <c r="BI24" s="131">
        <f t="shared" si="21"/>
        <v>1822.4899999999998</v>
      </c>
      <c r="BJ24" s="131">
        <f t="shared" si="21"/>
        <v>1734.99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25">
      <c r="A25" s="89" t="s">
        <v>242</v>
      </c>
      <c r="B25" s="102">
        <v>6.5</v>
      </c>
      <c r="C25" s="102">
        <v>6.5</v>
      </c>
      <c r="D25" s="102">
        <v>6.5</v>
      </c>
      <c r="E25" s="102">
        <v>6.5</v>
      </c>
      <c r="F25" s="102">
        <v>6.5</v>
      </c>
      <c r="G25" s="102">
        <v>6.5</v>
      </c>
      <c r="H25" s="102">
        <v>6.5</v>
      </c>
      <c r="I25" s="102">
        <v>6.5</v>
      </c>
      <c r="J25" s="102">
        <v>6.5</v>
      </c>
      <c r="K25" s="102">
        <v>6.5</v>
      </c>
      <c r="L25" s="102">
        <v>6.5</v>
      </c>
      <c r="M25" s="102">
        <v>6.5</v>
      </c>
      <c r="N25" s="102">
        <v>6.5</v>
      </c>
      <c r="O25" s="102">
        <v>6.5</v>
      </c>
      <c r="P25" s="102">
        <v>6.5</v>
      </c>
      <c r="Q25" s="102">
        <v>6.5</v>
      </c>
      <c r="R25" s="102">
        <v>6.5</v>
      </c>
      <c r="S25" s="102">
        <v>6.5</v>
      </c>
      <c r="T25" s="102">
        <v>6.5</v>
      </c>
      <c r="U25" s="102">
        <v>6.5</v>
      </c>
      <c r="V25" s="102">
        <v>6.5</v>
      </c>
      <c r="W25" s="102">
        <v>6.5</v>
      </c>
      <c r="X25" s="102">
        <v>6.5</v>
      </c>
      <c r="Y25" s="102">
        <v>6.5</v>
      </c>
      <c r="Z25" s="102">
        <v>6.5</v>
      </c>
      <c r="AA25" s="102">
        <v>6.5</v>
      </c>
      <c r="AB25" s="102">
        <v>8.6</v>
      </c>
      <c r="AC25" s="102">
        <v>8.6</v>
      </c>
      <c r="AD25" s="102">
        <v>8.6</v>
      </c>
      <c r="AE25" s="102">
        <v>9</v>
      </c>
      <c r="AF25" s="102">
        <v>9</v>
      </c>
      <c r="AG25" s="88">
        <v>30</v>
      </c>
      <c r="AH25" s="12">
        <f t="shared" si="8"/>
        <v>9</v>
      </c>
      <c r="AI25" s="11">
        <f t="shared" si="9"/>
        <v>6.5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25">
      <c r="A26" s="89" t="s">
        <v>241</v>
      </c>
      <c r="B26" s="102">
        <v>8.4</v>
      </c>
      <c r="C26" s="102">
        <v>8.4</v>
      </c>
      <c r="D26" s="102">
        <v>8.4</v>
      </c>
      <c r="E26" s="102">
        <v>8.4</v>
      </c>
      <c r="F26" s="102">
        <v>8.4</v>
      </c>
      <c r="G26" s="102">
        <v>8.4</v>
      </c>
      <c r="H26" s="102">
        <v>8.4</v>
      </c>
      <c r="I26" s="102">
        <v>8.4</v>
      </c>
      <c r="J26" s="102">
        <v>8.4</v>
      </c>
      <c r="K26" s="102">
        <v>8.4</v>
      </c>
      <c r="L26" s="102">
        <v>8.4</v>
      </c>
      <c r="M26" s="102">
        <v>8.4</v>
      </c>
      <c r="N26" s="102">
        <v>8.4</v>
      </c>
      <c r="O26" s="102">
        <v>8.4</v>
      </c>
      <c r="P26" s="102">
        <v>8.4</v>
      </c>
      <c r="Q26" s="102">
        <v>8.4</v>
      </c>
      <c r="R26" s="102">
        <v>8.4</v>
      </c>
      <c r="S26" s="102">
        <v>8.4</v>
      </c>
      <c r="T26" s="102">
        <v>8.4</v>
      </c>
      <c r="U26" s="102">
        <v>8.4</v>
      </c>
      <c r="V26" s="102">
        <v>8.4</v>
      </c>
      <c r="W26" s="102">
        <v>8.4</v>
      </c>
      <c r="X26" s="102">
        <v>8.4</v>
      </c>
      <c r="Y26" s="102">
        <v>8.4</v>
      </c>
      <c r="Z26" s="102">
        <v>8.4</v>
      </c>
      <c r="AA26" s="102">
        <v>8.4</v>
      </c>
      <c r="AB26" s="102">
        <v>8.4</v>
      </c>
      <c r="AC26" s="102">
        <v>8.4</v>
      </c>
      <c r="AD26" s="102">
        <v>8.4</v>
      </c>
      <c r="AE26" s="102">
        <v>12.6</v>
      </c>
      <c r="AF26" s="102">
        <v>12.6</v>
      </c>
      <c r="AG26" s="130">
        <v>25</v>
      </c>
      <c r="AH26" s="12">
        <f t="shared" si="8"/>
        <v>12.6</v>
      </c>
      <c r="AI26" s="11">
        <f t="shared" si="9"/>
        <v>8.4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25">
      <c r="A27" s="89" t="s">
        <v>240</v>
      </c>
      <c r="B27" s="102">
        <v>8.5</v>
      </c>
      <c r="C27" s="102">
        <v>8.5</v>
      </c>
      <c r="D27" s="102">
        <v>8.5</v>
      </c>
      <c r="E27" s="102">
        <v>8.5</v>
      </c>
      <c r="F27" s="102">
        <v>8.5</v>
      </c>
      <c r="G27" s="102">
        <v>8.5</v>
      </c>
      <c r="H27" s="102">
        <v>8.5</v>
      </c>
      <c r="I27" s="102">
        <v>8.5</v>
      </c>
      <c r="J27" s="102">
        <v>8.5</v>
      </c>
      <c r="K27" s="102">
        <v>8.5</v>
      </c>
      <c r="L27" s="102">
        <v>8.5</v>
      </c>
      <c r="M27" s="102">
        <v>8.5</v>
      </c>
      <c r="N27" s="102">
        <v>8.5</v>
      </c>
      <c r="O27" s="102">
        <v>8.5</v>
      </c>
      <c r="P27" s="102">
        <v>8.5</v>
      </c>
      <c r="Q27" s="102">
        <v>8.5</v>
      </c>
      <c r="R27" s="102">
        <v>8.5</v>
      </c>
      <c r="S27" s="102">
        <v>8.5</v>
      </c>
      <c r="T27" s="102">
        <v>8.5</v>
      </c>
      <c r="U27" s="102">
        <v>8.5</v>
      </c>
      <c r="V27" s="102">
        <v>8.5</v>
      </c>
      <c r="W27" s="102">
        <v>8.5</v>
      </c>
      <c r="X27" s="102">
        <v>8.5</v>
      </c>
      <c r="Y27" s="102">
        <v>8.5</v>
      </c>
      <c r="Z27" s="102">
        <v>8.5</v>
      </c>
      <c r="AA27" s="102">
        <v>8.5</v>
      </c>
      <c r="AB27" s="102">
        <v>8.5</v>
      </c>
      <c r="AC27" s="102">
        <v>8.5</v>
      </c>
      <c r="AD27" s="102">
        <v>8.5</v>
      </c>
      <c r="AE27" s="102">
        <v>8.5</v>
      </c>
      <c r="AF27" s="102">
        <v>8.5</v>
      </c>
      <c r="AG27" s="130">
        <v>25</v>
      </c>
      <c r="AH27" s="12">
        <f t="shared" si="8"/>
        <v>8.5</v>
      </c>
      <c r="AI27" s="11">
        <f t="shared" si="9"/>
        <v>8.5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25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25">
      <c r="A29" s="89" t="s">
        <v>238</v>
      </c>
      <c r="B29" s="102">
        <v>9.1999999999999993</v>
      </c>
      <c r="C29" s="102">
        <v>9.1999999999999993</v>
      </c>
      <c r="D29" s="102">
        <v>9.1999999999999993</v>
      </c>
      <c r="E29" s="102">
        <v>9.1999999999999993</v>
      </c>
      <c r="F29" s="102">
        <v>9.1999999999999993</v>
      </c>
      <c r="G29" s="102">
        <v>9.1999999999999993</v>
      </c>
      <c r="H29" s="102">
        <v>9.1999999999999993</v>
      </c>
      <c r="I29" s="102">
        <v>9.1999999999999993</v>
      </c>
      <c r="J29" s="102">
        <v>9.1999999999999993</v>
      </c>
      <c r="K29" s="102">
        <v>9.1999999999999993</v>
      </c>
      <c r="L29" s="102">
        <v>9.1999999999999993</v>
      </c>
      <c r="M29" s="102">
        <v>9.1999999999999993</v>
      </c>
      <c r="N29" s="102">
        <v>9.1999999999999993</v>
      </c>
      <c r="O29" s="102">
        <v>9.1999999999999993</v>
      </c>
      <c r="P29" s="102">
        <v>9.1999999999999993</v>
      </c>
      <c r="Q29" s="102">
        <v>9.1999999999999993</v>
      </c>
      <c r="R29" s="102">
        <v>9.1999999999999993</v>
      </c>
      <c r="S29" s="102">
        <v>9.1999999999999993</v>
      </c>
      <c r="T29" s="102">
        <v>9.1999999999999993</v>
      </c>
      <c r="U29" s="102">
        <v>9.1999999999999993</v>
      </c>
      <c r="V29" s="102">
        <v>9.1999999999999993</v>
      </c>
      <c r="W29" s="102">
        <v>9.1999999999999993</v>
      </c>
      <c r="X29" s="102">
        <v>9.1999999999999993</v>
      </c>
      <c r="Y29" s="102">
        <v>9.1999999999999993</v>
      </c>
      <c r="Z29" s="102">
        <v>9.1999999999999993</v>
      </c>
      <c r="AA29" s="102">
        <v>9.1999999999999993</v>
      </c>
      <c r="AB29" s="102">
        <v>12</v>
      </c>
      <c r="AC29" s="102">
        <v>12</v>
      </c>
      <c r="AD29" s="102">
        <v>12</v>
      </c>
      <c r="AE29" s="102">
        <v>11.9</v>
      </c>
      <c r="AF29" s="102">
        <v>11.9</v>
      </c>
      <c r="AG29" s="130">
        <v>25</v>
      </c>
      <c r="AH29" s="12">
        <f t="shared" si="8"/>
        <v>12</v>
      </c>
      <c r="AI29" s="11">
        <f t="shared" si="9"/>
        <v>9.1999999999999993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25">
      <c r="A30" s="89" t="s">
        <v>237</v>
      </c>
      <c r="B30" s="102">
        <v>5.2</v>
      </c>
      <c r="C30" s="102">
        <v>5.2</v>
      </c>
      <c r="D30" s="102">
        <v>5.2</v>
      </c>
      <c r="E30" s="102">
        <v>5.2</v>
      </c>
      <c r="F30" s="102">
        <v>5.2</v>
      </c>
      <c r="G30" s="102">
        <v>5.2</v>
      </c>
      <c r="H30" s="102">
        <v>5.2</v>
      </c>
      <c r="I30" s="102">
        <v>5.2</v>
      </c>
      <c r="J30" s="102">
        <v>5.2</v>
      </c>
      <c r="K30" s="102">
        <v>5.2</v>
      </c>
      <c r="L30" s="102">
        <v>5.2</v>
      </c>
      <c r="M30" s="102">
        <v>5.2</v>
      </c>
      <c r="N30" s="102">
        <v>5.2</v>
      </c>
      <c r="O30" s="102">
        <v>5.2</v>
      </c>
      <c r="P30" s="102">
        <v>5.2</v>
      </c>
      <c r="Q30" s="102">
        <v>5.2</v>
      </c>
      <c r="R30" s="102">
        <v>5.2</v>
      </c>
      <c r="S30" s="102">
        <v>5.2</v>
      </c>
      <c r="T30" s="102">
        <v>5.2</v>
      </c>
      <c r="U30" s="102">
        <v>5.2</v>
      </c>
      <c r="V30" s="102">
        <v>5.2</v>
      </c>
      <c r="W30" s="102">
        <v>5.2</v>
      </c>
      <c r="X30" s="102">
        <v>5.2</v>
      </c>
      <c r="Y30" s="102">
        <v>5.2</v>
      </c>
      <c r="Z30" s="102">
        <v>5.2</v>
      </c>
      <c r="AA30" s="102">
        <v>5.2</v>
      </c>
      <c r="AB30" s="102">
        <v>5.2</v>
      </c>
      <c r="AC30" s="102">
        <v>5.2</v>
      </c>
      <c r="AD30" s="102">
        <v>5.2</v>
      </c>
      <c r="AE30" s="102">
        <v>5.9</v>
      </c>
      <c r="AF30" s="102">
        <v>5.9</v>
      </c>
      <c r="AG30" s="130">
        <v>23.5</v>
      </c>
      <c r="AH30" s="12">
        <f t="shared" si="8"/>
        <v>5.9</v>
      </c>
      <c r="AI30" s="11">
        <f t="shared" si="9"/>
        <v>5.2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25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25">
      <c r="A32" s="89" t="s">
        <v>235</v>
      </c>
      <c r="B32" s="102">
        <v>2.8</v>
      </c>
      <c r="C32" s="102">
        <v>2.8</v>
      </c>
      <c r="D32" s="102">
        <v>2.8</v>
      </c>
      <c r="E32" s="102">
        <v>2.8</v>
      </c>
      <c r="F32" s="102">
        <v>2.8</v>
      </c>
      <c r="G32" s="102">
        <v>2.8</v>
      </c>
      <c r="H32" s="102">
        <v>2.8</v>
      </c>
      <c r="I32" s="102">
        <v>2.8</v>
      </c>
      <c r="J32" s="102">
        <v>2.8</v>
      </c>
      <c r="K32" s="102">
        <v>2.8</v>
      </c>
      <c r="L32" s="102">
        <v>2.8</v>
      </c>
      <c r="M32" s="102">
        <v>2.8</v>
      </c>
      <c r="N32" s="102">
        <v>2.8</v>
      </c>
      <c r="O32" s="102">
        <v>2.8</v>
      </c>
      <c r="P32" s="102">
        <v>2.8</v>
      </c>
      <c r="Q32" s="102">
        <v>2.8</v>
      </c>
      <c r="R32" s="102">
        <v>2.8</v>
      </c>
      <c r="S32" s="102">
        <v>2.8</v>
      </c>
      <c r="T32" s="102">
        <v>2.8</v>
      </c>
      <c r="U32" s="102">
        <v>2.8</v>
      </c>
      <c r="V32" s="102">
        <v>2.8</v>
      </c>
      <c r="W32" s="102">
        <v>2.8</v>
      </c>
      <c r="X32" s="102">
        <v>2.8</v>
      </c>
      <c r="Y32" s="102">
        <v>2.8</v>
      </c>
      <c r="Z32" s="102">
        <v>2.8</v>
      </c>
      <c r="AA32" s="102">
        <v>2.8</v>
      </c>
      <c r="AB32" s="102">
        <v>2.8</v>
      </c>
      <c r="AC32" s="102">
        <v>2.8</v>
      </c>
      <c r="AD32" s="102">
        <v>2.8</v>
      </c>
      <c r="AE32" s="102">
        <v>2.8</v>
      </c>
      <c r="AF32" s="102">
        <v>2.8</v>
      </c>
      <c r="AG32" s="130">
        <v>22.1</v>
      </c>
      <c r="AH32" s="12">
        <f t="shared" si="8"/>
        <v>2.8</v>
      </c>
      <c r="AI32" s="11">
        <f t="shared" si="9"/>
        <v>2.8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25">
      <c r="A33" s="89" t="s">
        <v>234</v>
      </c>
      <c r="B33" s="102">
        <v>3.8</v>
      </c>
      <c r="C33" s="102">
        <v>3.8</v>
      </c>
      <c r="D33" s="102">
        <v>3.8</v>
      </c>
      <c r="E33" s="102">
        <v>3.8</v>
      </c>
      <c r="F33" s="102">
        <v>3.8</v>
      </c>
      <c r="G33" s="102">
        <v>3.8</v>
      </c>
      <c r="H33" s="102">
        <v>3.8</v>
      </c>
      <c r="I33" s="102">
        <v>3.8</v>
      </c>
      <c r="J33" s="102">
        <v>3.8</v>
      </c>
      <c r="K33" s="102">
        <v>3.8</v>
      </c>
      <c r="L33" s="102">
        <v>3.8</v>
      </c>
      <c r="M33" s="102">
        <v>3.8</v>
      </c>
      <c r="N33" s="102">
        <v>3.8</v>
      </c>
      <c r="O33" s="102">
        <v>3.8</v>
      </c>
      <c r="P33" s="102">
        <v>3.8</v>
      </c>
      <c r="Q33" s="102">
        <v>3.8</v>
      </c>
      <c r="R33" s="102">
        <v>3.8</v>
      </c>
      <c r="S33" s="102">
        <v>3.8</v>
      </c>
      <c r="T33" s="102">
        <v>3.8</v>
      </c>
      <c r="U33" s="102">
        <v>3.8</v>
      </c>
      <c r="V33" s="102">
        <v>3.8</v>
      </c>
      <c r="W33" s="102">
        <v>3.8</v>
      </c>
      <c r="X33" s="102">
        <v>3.8</v>
      </c>
      <c r="Y33" s="102">
        <v>3.8</v>
      </c>
      <c r="Z33" s="102">
        <v>3.8</v>
      </c>
      <c r="AA33" s="102">
        <v>3.8</v>
      </c>
      <c r="AB33" s="102">
        <v>3.8</v>
      </c>
      <c r="AC33" s="102">
        <v>3.8</v>
      </c>
      <c r="AD33" s="102">
        <v>3.8</v>
      </c>
      <c r="AE33" s="102">
        <v>3.8</v>
      </c>
      <c r="AF33" s="102">
        <v>3.8</v>
      </c>
      <c r="AG33" s="130">
        <v>22</v>
      </c>
      <c r="AH33" s="12">
        <f t="shared" si="8"/>
        <v>3.8</v>
      </c>
      <c r="AI33" s="11">
        <f t="shared" si="9"/>
        <v>3.8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25">
      <c r="A34" s="89" t="s">
        <v>233</v>
      </c>
      <c r="B34" s="102">
        <v>8.4</v>
      </c>
      <c r="C34" s="102">
        <v>8.4</v>
      </c>
      <c r="D34" s="102">
        <v>8.4</v>
      </c>
      <c r="E34" s="102">
        <v>8.4</v>
      </c>
      <c r="F34" s="102">
        <v>8.4</v>
      </c>
      <c r="G34" s="102">
        <v>8.4</v>
      </c>
      <c r="H34" s="102">
        <v>8.4</v>
      </c>
      <c r="I34" s="102">
        <v>8.4</v>
      </c>
      <c r="J34" s="102">
        <v>8.4</v>
      </c>
      <c r="K34" s="102">
        <v>8.4</v>
      </c>
      <c r="L34" s="102">
        <v>8.4</v>
      </c>
      <c r="M34" s="102">
        <v>8.4</v>
      </c>
      <c r="N34" s="102">
        <v>8.4</v>
      </c>
      <c r="O34" s="102">
        <v>8.4</v>
      </c>
      <c r="P34" s="102">
        <v>8.4</v>
      </c>
      <c r="Q34" s="102">
        <v>8.4</v>
      </c>
      <c r="R34" s="102">
        <v>8.4</v>
      </c>
      <c r="S34" s="102">
        <v>8.4</v>
      </c>
      <c r="T34" s="102">
        <v>8.4</v>
      </c>
      <c r="U34" s="102">
        <v>8.4</v>
      </c>
      <c r="V34" s="102">
        <v>8.4</v>
      </c>
      <c r="W34" s="102">
        <v>8.4</v>
      </c>
      <c r="X34" s="102">
        <v>8.4</v>
      </c>
      <c r="Y34" s="102">
        <v>8.4</v>
      </c>
      <c r="Z34" s="102">
        <v>8.4</v>
      </c>
      <c r="AA34" s="102">
        <v>8.4</v>
      </c>
      <c r="AB34" s="102">
        <v>8.4</v>
      </c>
      <c r="AC34" s="102">
        <v>8.4</v>
      </c>
      <c r="AD34" s="102">
        <v>8.4</v>
      </c>
      <c r="AE34" s="102">
        <v>8.5</v>
      </c>
      <c r="AF34" s="102">
        <v>8.5</v>
      </c>
      <c r="AG34" s="130">
        <v>22</v>
      </c>
      <c r="AH34" s="12">
        <f t="shared" si="8"/>
        <v>8.5</v>
      </c>
      <c r="AI34" s="11">
        <f t="shared" si="9"/>
        <v>8.4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25">
      <c r="A35" s="89" t="s">
        <v>232</v>
      </c>
      <c r="B35" s="102">
        <v>9</v>
      </c>
      <c r="C35" s="102">
        <v>9</v>
      </c>
      <c r="D35" s="102">
        <v>9</v>
      </c>
      <c r="E35" s="102">
        <v>9</v>
      </c>
      <c r="F35" s="102">
        <v>9</v>
      </c>
      <c r="G35" s="102">
        <v>9</v>
      </c>
      <c r="H35" s="102">
        <v>9</v>
      </c>
      <c r="I35" s="102">
        <v>9</v>
      </c>
      <c r="J35" s="102">
        <v>9</v>
      </c>
      <c r="K35" s="102">
        <v>9</v>
      </c>
      <c r="L35" s="102">
        <v>9</v>
      </c>
      <c r="M35" s="102">
        <v>9</v>
      </c>
      <c r="N35" s="102">
        <v>9</v>
      </c>
      <c r="O35" s="102">
        <v>9</v>
      </c>
      <c r="P35" s="102">
        <v>9</v>
      </c>
      <c r="Q35" s="102">
        <v>9</v>
      </c>
      <c r="R35" s="102">
        <v>9</v>
      </c>
      <c r="S35" s="102">
        <v>9</v>
      </c>
      <c r="T35" s="102">
        <v>9</v>
      </c>
      <c r="U35" s="102">
        <v>9</v>
      </c>
      <c r="V35" s="102">
        <v>9</v>
      </c>
      <c r="W35" s="102">
        <v>9</v>
      </c>
      <c r="X35" s="102">
        <v>9</v>
      </c>
      <c r="Y35" s="102">
        <v>9</v>
      </c>
      <c r="Z35" s="102">
        <v>9</v>
      </c>
      <c r="AA35" s="102">
        <v>9</v>
      </c>
      <c r="AB35" s="102">
        <v>9</v>
      </c>
      <c r="AC35" s="102">
        <v>9</v>
      </c>
      <c r="AD35" s="102">
        <v>9</v>
      </c>
      <c r="AE35" s="102">
        <v>11.1</v>
      </c>
      <c r="AF35" s="102">
        <v>11.1</v>
      </c>
      <c r="AG35" s="130">
        <v>20</v>
      </c>
      <c r="AH35" s="12">
        <f t="shared" si="8"/>
        <v>11.1</v>
      </c>
      <c r="AI35" s="11">
        <f t="shared" si="9"/>
        <v>9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25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25">
      <c r="A37" s="89" t="s">
        <v>230</v>
      </c>
      <c r="B37" s="102">
        <v>5.8</v>
      </c>
      <c r="C37" s="102">
        <v>5.8</v>
      </c>
      <c r="D37" s="102">
        <v>5.8</v>
      </c>
      <c r="E37" s="102">
        <v>5.8</v>
      </c>
      <c r="F37" s="102">
        <v>5.8</v>
      </c>
      <c r="G37" s="102">
        <v>5.8</v>
      </c>
      <c r="H37" s="102">
        <v>5.8</v>
      </c>
      <c r="I37" s="102">
        <v>5.8</v>
      </c>
      <c r="J37" s="102">
        <v>5.8</v>
      </c>
      <c r="K37" s="102">
        <v>5.8</v>
      </c>
      <c r="L37" s="102">
        <v>5.8</v>
      </c>
      <c r="M37" s="102">
        <v>5.8</v>
      </c>
      <c r="N37" s="102">
        <v>5.8</v>
      </c>
      <c r="O37" s="102">
        <v>5.8</v>
      </c>
      <c r="P37" s="102">
        <v>5.8</v>
      </c>
      <c r="Q37" s="102">
        <v>5.8</v>
      </c>
      <c r="R37" s="102">
        <v>5.8</v>
      </c>
      <c r="S37" s="102">
        <v>5.8</v>
      </c>
      <c r="T37" s="102">
        <v>5.8</v>
      </c>
      <c r="U37" s="102">
        <v>5.8</v>
      </c>
      <c r="V37" s="102">
        <v>5.8</v>
      </c>
      <c r="W37" s="102">
        <v>5.8</v>
      </c>
      <c r="X37" s="102">
        <v>5.8</v>
      </c>
      <c r="Y37" s="102">
        <v>5.8</v>
      </c>
      <c r="Z37" s="102">
        <v>5.8</v>
      </c>
      <c r="AA37" s="102">
        <v>5.8</v>
      </c>
      <c r="AB37" s="102">
        <v>5.8</v>
      </c>
      <c r="AC37" s="102">
        <v>5.8</v>
      </c>
      <c r="AD37" s="102">
        <v>5.8</v>
      </c>
      <c r="AE37" s="102">
        <v>5.8</v>
      </c>
      <c r="AF37" s="102">
        <v>5.8</v>
      </c>
      <c r="AG37" s="130">
        <v>18</v>
      </c>
      <c r="AH37" s="12">
        <f t="shared" si="8"/>
        <v>5.8</v>
      </c>
      <c r="AI37" s="11">
        <f t="shared" si="9"/>
        <v>5.8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25">
      <c r="A38" s="89" t="s">
        <v>229</v>
      </c>
      <c r="B38" s="102">
        <v>5.05</v>
      </c>
      <c r="C38" s="102">
        <v>5.05</v>
      </c>
      <c r="D38" s="102">
        <v>5.05</v>
      </c>
      <c r="E38" s="102">
        <v>5.05</v>
      </c>
      <c r="F38" s="102">
        <v>5.05</v>
      </c>
      <c r="G38" s="102">
        <v>5.05</v>
      </c>
      <c r="H38" s="102">
        <v>5.05</v>
      </c>
      <c r="I38" s="102">
        <v>5.05</v>
      </c>
      <c r="J38" s="102">
        <v>5.05</v>
      </c>
      <c r="K38" s="102">
        <v>5.05</v>
      </c>
      <c r="L38" s="102">
        <v>5.05</v>
      </c>
      <c r="M38" s="102">
        <v>5.05</v>
      </c>
      <c r="N38" s="102">
        <v>5.05</v>
      </c>
      <c r="O38" s="102">
        <v>5.05</v>
      </c>
      <c r="P38" s="102">
        <v>5.05</v>
      </c>
      <c r="Q38" s="102">
        <v>5.05</v>
      </c>
      <c r="R38" s="102">
        <v>5.05</v>
      </c>
      <c r="S38" s="102">
        <v>5.05</v>
      </c>
      <c r="T38" s="102">
        <v>5.05</v>
      </c>
      <c r="U38" s="102">
        <v>5.05</v>
      </c>
      <c r="V38" s="102">
        <v>5.05</v>
      </c>
      <c r="W38" s="102">
        <v>5.05</v>
      </c>
      <c r="X38" s="102">
        <v>5.05</v>
      </c>
      <c r="Y38" s="102">
        <v>5.05</v>
      </c>
      <c r="Z38" s="102">
        <v>5.05</v>
      </c>
      <c r="AA38" s="102">
        <v>5.05</v>
      </c>
      <c r="AB38" s="102">
        <v>5.05</v>
      </c>
      <c r="AC38" s="102">
        <v>5.05</v>
      </c>
      <c r="AD38" s="102">
        <v>5.05</v>
      </c>
      <c r="AE38" s="102">
        <v>5.05</v>
      </c>
      <c r="AF38" s="102">
        <v>5.05</v>
      </c>
      <c r="AG38" s="130">
        <v>14.9</v>
      </c>
      <c r="AH38" s="12">
        <f t="shared" si="8"/>
        <v>5.05</v>
      </c>
      <c r="AI38" s="11">
        <f t="shared" si="9"/>
        <v>5.05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25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25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25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25">
      <c r="A42" s="89" t="s">
        <v>225</v>
      </c>
      <c r="B42" s="102">
        <v>5.2</v>
      </c>
      <c r="C42" s="102">
        <v>5.2</v>
      </c>
      <c r="D42" s="102">
        <v>5.2</v>
      </c>
      <c r="E42" s="102">
        <v>5.2</v>
      </c>
      <c r="F42" s="102">
        <v>5.2</v>
      </c>
      <c r="G42" s="102">
        <v>5.2</v>
      </c>
      <c r="H42" s="102">
        <v>5.2</v>
      </c>
      <c r="I42" s="102">
        <v>5.2</v>
      </c>
      <c r="J42" s="102">
        <v>5.2</v>
      </c>
      <c r="K42" s="102">
        <v>5.2</v>
      </c>
      <c r="L42" s="102">
        <v>5.2</v>
      </c>
      <c r="M42" s="102">
        <v>5.2</v>
      </c>
      <c r="N42" s="102">
        <v>5.2</v>
      </c>
      <c r="O42" s="102">
        <v>5.2</v>
      </c>
      <c r="P42" s="102">
        <v>5.2</v>
      </c>
      <c r="Q42" s="102">
        <v>5.2</v>
      </c>
      <c r="R42" s="102">
        <v>5.2</v>
      </c>
      <c r="S42" s="102">
        <v>5.2</v>
      </c>
      <c r="T42" s="102">
        <v>5.2</v>
      </c>
      <c r="U42" s="102">
        <v>5.2</v>
      </c>
      <c r="V42" s="102">
        <v>5.2</v>
      </c>
      <c r="W42" s="102">
        <v>5.2</v>
      </c>
      <c r="X42" s="102">
        <v>5.2</v>
      </c>
      <c r="Y42" s="102">
        <v>5.2</v>
      </c>
      <c r="Z42" s="102">
        <v>5.2</v>
      </c>
      <c r="AA42" s="102">
        <v>5.2</v>
      </c>
      <c r="AB42" s="102">
        <v>5.2</v>
      </c>
      <c r="AC42" s="102">
        <v>5.2</v>
      </c>
      <c r="AD42" s="102">
        <v>5.2</v>
      </c>
      <c r="AE42" s="102">
        <v>5.2</v>
      </c>
      <c r="AF42" s="102">
        <v>5.2</v>
      </c>
      <c r="AG42" s="130">
        <v>13.6</v>
      </c>
      <c r="AH42" s="12">
        <f t="shared" si="8"/>
        <v>5.2</v>
      </c>
      <c r="AI42" s="11">
        <f t="shared" si="9"/>
        <v>5.2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25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25">
      <c r="A44" s="89" t="s">
        <v>223</v>
      </c>
      <c r="B44" s="102">
        <v>3.3</v>
      </c>
      <c r="C44" s="102">
        <v>3.3</v>
      </c>
      <c r="D44" s="102">
        <v>3.3</v>
      </c>
      <c r="E44" s="102">
        <v>3.3</v>
      </c>
      <c r="F44" s="102">
        <v>3.3</v>
      </c>
      <c r="G44" s="102">
        <v>3.3</v>
      </c>
      <c r="H44" s="102">
        <v>3.3</v>
      </c>
      <c r="I44" s="102">
        <v>3.3</v>
      </c>
      <c r="J44" s="102">
        <v>3.3</v>
      </c>
      <c r="K44" s="102">
        <v>3.3</v>
      </c>
      <c r="L44" s="102">
        <v>3.3</v>
      </c>
      <c r="M44" s="102">
        <v>3.3</v>
      </c>
      <c r="N44" s="102">
        <v>3.3</v>
      </c>
      <c r="O44" s="102">
        <v>3.3</v>
      </c>
      <c r="P44" s="102">
        <v>3.3</v>
      </c>
      <c r="Q44" s="102">
        <v>3.3</v>
      </c>
      <c r="R44" s="102">
        <v>3.3</v>
      </c>
      <c r="S44" s="102">
        <v>3.3</v>
      </c>
      <c r="T44" s="102">
        <v>3.3</v>
      </c>
      <c r="U44" s="102">
        <v>3.3</v>
      </c>
      <c r="V44" s="102">
        <v>3.3</v>
      </c>
      <c r="W44" s="102">
        <v>3.3</v>
      </c>
      <c r="X44" s="102">
        <v>3.3</v>
      </c>
      <c r="Y44" s="102">
        <v>3.3</v>
      </c>
      <c r="Z44" s="102">
        <v>3.3</v>
      </c>
      <c r="AA44" s="102">
        <v>3.3</v>
      </c>
      <c r="AB44" s="102">
        <v>4.5</v>
      </c>
      <c r="AC44" s="102">
        <v>4.5</v>
      </c>
      <c r="AD44" s="102">
        <v>4.5</v>
      </c>
      <c r="AE44" s="102">
        <v>4.5</v>
      </c>
      <c r="AF44" s="102">
        <v>4.5</v>
      </c>
      <c r="AG44" s="130">
        <v>12</v>
      </c>
      <c r="AH44" s="12">
        <f t="shared" si="8"/>
        <v>4.5</v>
      </c>
      <c r="AI44" s="11">
        <f t="shared" si="9"/>
        <v>3.3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25">
      <c r="A45" s="89" t="s">
        <v>222</v>
      </c>
      <c r="B45" s="102">
        <v>3.5</v>
      </c>
      <c r="C45" s="102">
        <v>3.5</v>
      </c>
      <c r="D45" s="102">
        <v>3.5</v>
      </c>
      <c r="E45" s="102">
        <v>3.5</v>
      </c>
      <c r="F45" s="102">
        <v>3.5</v>
      </c>
      <c r="G45" s="102">
        <v>3.5</v>
      </c>
      <c r="H45" s="102">
        <v>3.5</v>
      </c>
      <c r="I45" s="102">
        <v>3.5</v>
      </c>
      <c r="J45" s="102">
        <v>3.5</v>
      </c>
      <c r="K45" s="102">
        <v>3.5</v>
      </c>
      <c r="L45" s="102">
        <v>3.5</v>
      </c>
      <c r="M45" s="102">
        <v>3.5</v>
      </c>
      <c r="N45" s="102">
        <v>3.5</v>
      </c>
      <c r="O45" s="102">
        <v>3.5</v>
      </c>
      <c r="P45" s="102">
        <v>3.5</v>
      </c>
      <c r="Q45" s="102">
        <v>3.5</v>
      </c>
      <c r="R45" s="102">
        <v>3.5</v>
      </c>
      <c r="S45" s="102">
        <v>3.5</v>
      </c>
      <c r="T45" s="102">
        <v>3.5</v>
      </c>
      <c r="U45" s="102">
        <v>3.5</v>
      </c>
      <c r="V45" s="102">
        <v>3.5</v>
      </c>
      <c r="W45" s="102">
        <v>3.5</v>
      </c>
      <c r="X45" s="102">
        <v>3.5</v>
      </c>
      <c r="Y45" s="102">
        <v>3.5</v>
      </c>
      <c r="Z45" s="102">
        <v>3.5</v>
      </c>
      <c r="AA45" s="102">
        <v>3.5</v>
      </c>
      <c r="AB45" s="102">
        <v>3.5</v>
      </c>
      <c r="AC45" s="102">
        <v>3.5</v>
      </c>
      <c r="AD45" s="102">
        <v>3.5</v>
      </c>
      <c r="AE45" s="102">
        <v>3.5</v>
      </c>
      <c r="AF45" s="102">
        <v>3.5</v>
      </c>
      <c r="AG45" s="130">
        <v>12</v>
      </c>
      <c r="AH45" s="12">
        <f t="shared" si="8"/>
        <v>3.5</v>
      </c>
      <c r="AI45" s="11">
        <f t="shared" si="9"/>
        <v>3.5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25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25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25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25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25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25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25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25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25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25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25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.75" thickBot="1" x14ac:dyDescent="0.3">
      <c r="A57" s="124" t="s">
        <v>210</v>
      </c>
      <c r="B57" s="122">
        <v>33</v>
      </c>
      <c r="C57" s="122">
        <v>33</v>
      </c>
      <c r="D57" s="122">
        <f>14.7+19.3</f>
        <v>34</v>
      </c>
      <c r="E57" s="122">
        <f>15+19.4</f>
        <v>34.4</v>
      </c>
      <c r="F57" s="122">
        <f>14.6+19.5</f>
        <v>34.1</v>
      </c>
      <c r="G57" s="122">
        <f>12.8+17</f>
        <v>29.8</v>
      </c>
      <c r="H57" s="122">
        <f>11.5+15.9</f>
        <v>27.4</v>
      </c>
      <c r="I57" s="122">
        <f>11.5+15</f>
        <v>26.5</v>
      </c>
      <c r="J57" s="122">
        <f>13.4+16.6</f>
        <v>30</v>
      </c>
      <c r="K57" s="123">
        <f>13.9+18.4</f>
        <v>32.299999999999997</v>
      </c>
      <c r="L57" s="123">
        <v>28.8</v>
      </c>
      <c r="M57" s="123">
        <v>28.8</v>
      </c>
      <c r="N57" s="123">
        <f t="shared" ref="N57:U57" si="22">11.6+15.4</f>
        <v>27</v>
      </c>
      <c r="O57" s="123">
        <f t="shared" si="22"/>
        <v>27</v>
      </c>
      <c r="P57" s="123">
        <f t="shared" si="22"/>
        <v>27</v>
      </c>
      <c r="Q57" s="123">
        <f t="shared" si="22"/>
        <v>27</v>
      </c>
      <c r="R57" s="123">
        <f t="shared" si="22"/>
        <v>27</v>
      </c>
      <c r="S57" s="123">
        <f t="shared" si="22"/>
        <v>27</v>
      </c>
      <c r="T57" s="123">
        <f t="shared" si="22"/>
        <v>27</v>
      </c>
      <c r="U57" s="123">
        <f t="shared" si="22"/>
        <v>27</v>
      </c>
      <c r="V57" s="123">
        <v>24</v>
      </c>
      <c r="W57" s="123">
        <v>27</v>
      </c>
      <c r="X57" s="123">
        <v>27</v>
      </c>
      <c r="Y57" s="123">
        <v>27</v>
      </c>
      <c r="Z57" s="122">
        <v>18</v>
      </c>
      <c r="AA57" s="122">
        <v>18</v>
      </c>
      <c r="AB57" s="122">
        <f>22.4</f>
        <v>22.4</v>
      </c>
      <c r="AC57" s="122">
        <f>12.9+8.7</f>
        <v>21.6</v>
      </c>
      <c r="AD57" s="122">
        <f>14+9.7</f>
        <v>23.7</v>
      </c>
      <c r="AE57" s="122">
        <f>9.6+12.7</f>
        <v>22.299999999999997</v>
      </c>
      <c r="AF57" s="122">
        <f>9.6+12.7</f>
        <v>22.299999999999997</v>
      </c>
      <c r="AG57" s="86">
        <v>240</v>
      </c>
      <c r="AH57" s="12">
        <f t="shared" si="8"/>
        <v>34.4</v>
      </c>
      <c r="AI57" s="11">
        <f t="shared" si="9"/>
        <v>18</v>
      </c>
      <c r="AK57" s="19"/>
    </row>
    <row r="58" spans="1:88" ht="15.75" thickBot="1" x14ac:dyDescent="0.3">
      <c r="A58" s="121" t="s">
        <v>209</v>
      </c>
      <c r="B58" s="76">
        <f t="shared" ref="B58:C58" si="23">SUM(B11:B56)</f>
        <v>490.25000000000006</v>
      </c>
      <c r="C58" s="76">
        <f t="shared" si="23"/>
        <v>490.25000000000006</v>
      </c>
      <c r="D58" s="76">
        <f t="shared" ref="D58:AD58" si="24">SUM(D11:D56)</f>
        <v>490.25000000000006</v>
      </c>
      <c r="E58" s="76">
        <f t="shared" si="24"/>
        <v>490.25000000000006</v>
      </c>
      <c r="F58" s="76">
        <f t="shared" si="24"/>
        <v>490.25000000000006</v>
      </c>
      <c r="G58" s="76">
        <f t="shared" si="24"/>
        <v>490.25000000000006</v>
      </c>
      <c r="H58" s="76">
        <f t="shared" si="24"/>
        <v>490.25000000000006</v>
      </c>
      <c r="I58" s="76">
        <f t="shared" si="24"/>
        <v>490.25000000000006</v>
      </c>
      <c r="J58" s="76">
        <f t="shared" si="24"/>
        <v>490.25000000000006</v>
      </c>
      <c r="K58" s="76">
        <f t="shared" si="24"/>
        <v>490.25000000000006</v>
      </c>
      <c r="L58" s="76">
        <f t="shared" si="24"/>
        <v>490.25000000000006</v>
      </c>
      <c r="M58" s="76">
        <f t="shared" si="24"/>
        <v>497.95</v>
      </c>
      <c r="N58" s="76">
        <f t="shared" si="24"/>
        <v>497.95</v>
      </c>
      <c r="O58" s="76">
        <f t="shared" si="24"/>
        <v>492.75</v>
      </c>
      <c r="P58" s="76">
        <f t="shared" si="24"/>
        <v>492.75</v>
      </c>
      <c r="Q58" s="76">
        <f t="shared" si="24"/>
        <v>492.75</v>
      </c>
      <c r="R58" s="76">
        <f t="shared" si="24"/>
        <v>492.75</v>
      </c>
      <c r="S58" s="76">
        <f t="shared" si="24"/>
        <v>492.75</v>
      </c>
      <c r="T58" s="76">
        <f t="shared" ref="T58:U58" si="25">SUM(T11:T56)</f>
        <v>492.75</v>
      </c>
      <c r="U58" s="76">
        <f t="shared" si="25"/>
        <v>492.75</v>
      </c>
      <c r="V58" s="76">
        <f t="shared" si="24"/>
        <v>490.85</v>
      </c>
      <c r="W58" s="76">
        <f t="shared" si="24"/>
        <v>490.85</v>
      </c>
      <c r="X58" s="76">
        <f t="shared" ref="X58" si="26">SUM(X11:X56)</f>
        <v>490.85</v>
      </c>
      <c r="Y58" s="76">
        <f t="shared" si="24"/>
        <v>490.85</v>
      </c>
      <c r="Z58" s="76">
        <f t="shared" si="24"/>
        <v>490.85</v>
      </c>
      <c r="AA58" s="76">
        <f t="shared" si="24"/>
        <v>490.85</v>
      </c>
      <c r="AB58" s="76">
        <f t="shared" si="24"/>
        <v>516.15000000000009</v>
      </c>
      <c r="AC58" s="76">
        <f t="shared" si="24"/>
        <v>515.85</v>
      </c>
      <c r="AD58" s="76">
        <f t="shared" si="24"/>
        <v>515.85</v>
      </c>
      <c r="AE58" s="76">
        <f t="shared" ref="AE58:AF58" si="27">SUM(AE11:AE56)</f>
        <v>529.15</v>
      </c>
      <c r="AF58" s="76">
        <f t="shared" si="27"/>
        <v>529.15</v>
      </c>
      <c r="AG58" s="93">
        <f>SUM(AG14:AG56)</f>
        <v>1042.4000000000001</v>
      </c>
      <c r="AH58" s="12">
        <f t="shared" si="8"/>
        <v>529.15</v>
      </c>
      <c r="AI58" s="11">
        <f t="shared" si="9"/>
        <v>490.25000000000006</v>
      </c>
      <c r="AK58" s="19"/>
    </row>
    <row r="59" spans="1:88" x14ac:dyDescent="0.25">
      <c r="A59" s="120" t="s">
        <v>208</v>
      </c>
      <c r="B59" s="102">
        <v>221.1</v>
      </c>
      <c r="C59" s="102">
        <v>172</v>
      </c>
      <c r="D59" s="102">
        <v>190.1</v>
      </c>
      <c r="E59" s="102">
        <v>160</v>
      </c>
      <c r="F59" s="102">
        <v>144.80000000000001</v>
      </c>
      <c r="G59" s="102">
        <v>99.7</v>
      </c>
      <c r="H59" s="102">
        <v>121</v>
      </c>
      <c r="I59" s="102">
        <v>116.7</v>
      </c>
      <c r="J59" s="102">
        <v>0</v>
      </c>
      <c r="K59" s="102">
        <v>0</v>
      </c>
      <c r="L59" s="102">
        <v>0</v>
      </c>
      <c r="M59" s="102">
        <v>0</v>
      </c>
      <c r="N59" s="119">
        <v>0</v>
      </c>
      <c r="O59" s="119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19">
        <v>0</v>
      </c>
      <c r="X59" s="119">
        <v>0</v>
      </c>
      <c r="Y59" s="119">
        <v>292</v>
      </c>
      <c r="Z59" s="119">
        <v>307</v>
      </c>
      <c r="AA59" s="119">
        <v>452</v>
      </c>
      <c r="AB59" s="102">
        <v>403</v>
      </c>
      <c r="AC59" s="102">
        <v>361</v>
      </c>
      <c r="AD59" s="102">
        <v>362</v>
      </c>
      <c r="AE59" s="102">
        <v>301.7</v>
      </c>
      <c r="AF59" s="102">
        <v>272.5</v>
      </c>
      <c r="AG59" s="88">
        <v>456</v>
      </c>
      <c r="AH59" s="12">
        <f t="shared" si="8"/>
        <v>452</v>
      </c>
      <c r="AI59" s="11">
        <f t="shared" si="9"/>
        <v>0</v>
      </c>
      <c r="AK59" s="19"/>
    </row>
    <row r="60" spans="1:88" x14ac:dyDescent="0.25">
      <c r="A60" s="118" t="s">
        <v>207</v>
      </c>
      <c r="B60" s="70">
        <v>19.2</v>
      </c>
      <c r="C60" s="70">
        <v>19.2</v>
      </c>
      <c r="D60" s="70">
        <v>18.7</v>
      </c>
      <c r="E60" s="70">
        <v>19.100000000000001</v>
      </c>
      <c r="F60" s="70">
        <v>18.600000000000001</v>
      </c>
      <c r="G60" s="70">
        <v>18.8</v>
      </c>
      <c r="H60" s="70">
        <v>19.100000000000001</v>
      </c>
      <c r="I60" s="70">
        <v>18.899999999999999</v>
      </c>
      <c r="J60" s="70">
        <v>18.7</v>
      </c>
      <c r="K60" s="70">
        <v>19.2</v>
      </c>
      <c r="L60" s="70">
        <v>19.3</v>
      </c>
      <c r="M60" s="70">
        <v>19.3</v>
      </c>
      <c r="N60" s="70">
        <v>18.899999999999999</v>
      </c>
      <c r="O60" s="70">
        <v>19.600000000000001</v>
      </c>
      <c r="P60" s="70">
        <v>19.600000000000001</v>
      </c>
      <c r="Q60" s="70">
        <v>18.7</v>
      </c>
      <c r="R60" s="70">
        <v>19.2</v>
      </c>
      <c r="S60" s="70">
        <v>19.2</v>
      </c>
      <c r="T60" s="70">
        <v>19.2</v>
      </c>
      <c r="U60" s="70">
        <v>19.2</v>
      </c>
      <c r="V60" s="70">
        <v>19.2</v>
      </c>
      <c r="W60" s="70">
        <v>19.2</v>
      </c>
      <c r="X60" s="70">
        <v>19.2</v>
      </c>
      <c r="Y60" s="70">
        <v>19.2</v>
      </c>
      <c r="Z60" s="70">
        <v>19.2</v>
      </c>
      <c r="AA60" s="70">
        <v>19.2</v>
      </c>
      <c r="AB60" s="70">
        <v>19.2</v>
      </c>
      <c r="AC60" s="70">
        <v>19.2</v>
      </c>
      <c r="AD60" s="70">
        <v>19.2</v>
      </c>
      <c r="AE60" s="70">
        <v>19</v>
      </c>
      <c r="AF60" s="70">
        <v>17.7</v>
      </c>
      <c r="AG60" s="86">
        <v>60</v>
      </c>
      <c r="AH60" s="12">
        <f t="shared" si="8"/>
        <v>19.600000000000001</v>
      </c>
      <c r="AI60" s="11">
        <f t="shared" si="9"/>
        <v>17.7</v>
      </c>
      <c r="AK60" s="19"/>
    </row>
    <row r="61" spans="1:88" ht="15.75" thickBot="1" x14ac:dyDescent="0.3">
      <c r="A61" s="117" t="s">
        <v>206</v>
      </c>
      <c r="B61" s="110">
        <v>22.1</v>
      </c>
      <c r="C61" s="110">
        <v>22.1</v>
      </c>
      <c r="D61" s="110">
        <v>22.4</v>
      </c>
      <c r="E61" s="110">
        <v>22.4</v>
      </c>
      <c r="F61" s="110">
        <v>22.4</v>
      </c>
      <c r="G61" s="110">
        <v>21.5</v>
      </c>
      <c r="H61" s="110">
        <v>21.5</v>
      </c>
      <c r="I61" s="110">
        <v>21.5</v>
      </c>
      <c r="J61" s="110">
        <v>21.5</v>
      </c>
      <c r="K61" s="110">
        <v>21.5</v>
      </c>
      <c r="L61" s="110">
        <v>21.5</v>
      </c>
      <c r="M61" s="110">
        <v>18.5</v>
      </c>
      <c r="N61" s="110">
        <v>18.5</v>
      </c>
      <c r="O61" s="110">
        <v>18.5</v>
      </c>
      <c r="P61" s="110">
        <v>18.5</v>
      </c>
      <c r="Q61" s="110">
        <v>17.399999999999999</v>
      </c>
      <c r="R61" s="110">
        <v>15.3</v>
      </c>
      <c r="S61" s="110">
        <v>15.3</v>
      </c>
      <c r="T61" s="110">
        <v>15.3</v>
      </c>
      <c r="U61" s="110">
        <v>15.3</v>
      </c>
      <c r="V61" s="110">
        <v>15.3</v>
      </c>
      <c r="W61" s="110">
        <v>15.3</v>
      </c>
      <c r="X61" s="110">
        <v>15.3</v>
      </c>
      <c r="Y61" s="110">
        <v>15.3</v>
      </c>
      <c r="Z61" s="110">
        <v>22.3</v>
      </c>
      <c r="AA61" s="110">
        <v>22.3</v>
      </c>
      <c r="AB61" s="110">
        <v>22.3</v>
      </c>
      <c r="AC61" s="110">
        <v>22.5</v>
      </c>
      <c r="AD61" s="110">
        <v>22.5</v>
      </c>
      <c r="AE61" s="110">
        <v>22.5</v>
      </c>
      <c r="AF61" s="110">
        <v>22.5</v>
      </c>
      <c r="AG61" s="109">
        <v>22.1</v>
      </c>
      <c r="AH61" s="12">
        <f t="shared" si="8"/>
        <v>22.5</v>
      </c>
      <c r="AI61" s="11">
        <f t="shared" si="9"/>
        <v>15.3</v>
      </c>
      <c r="AK61" s="19"/>
    </row>
    <row r="62" spans="1:88" ht="15.75" thickBot="1" x14ac:dyDescent="0.3">
      <c r="A62" s="116" t="s">
        <v>205</v>
      </c>
      <c r="B62" s="76">
        <f t="shared" ref="B62:C62" si="28">SUM(B59:B61)</f>
        <v>262.39999999999998</v>
      </c>
      <c r="C62" s="76">
        <f t="shared" si="28"/>
        <v>213.29999999999998</v>
      </c>
      <c r="D62" s="76">
        <f t="shared" ref="D62:AG62" si="29">SUM(D59:D61)</f>
        <v>231.2</v>
      </c>
      <c r="E62" s="76">
        <f t="shared" si="29"/>
        <v>201.5</v>
      </c>
      <c r="F62" s="76">
        <f t="shared" si="29"/>
        <v>185.8</v>
      </c>
      <c r="G62" s="76">
        <f t="shared" si="29"/>
        <v>140</v>
      </c>
      <c r="H62" s="76">
        <f t="shared" si="29"/>
        <v>161.6</v>
      </c>
      <c r="I62" s="76">
        <f t="shared" si="29"/>
        <v>157.1</v>
      </c>
      <c r="J62" s="76">
        <f t="shared" si="29"/>
        <v>40.200000000000003</v>
      </c>
      <c r="K62" s="76">
        <f t="shared" si="29"/>
        <v>40.700000000000003</v>
      </c>
      <c r="L62" s="76">
        <f t="shared" si="29"/>
        <v>40.799999999999997</v>
      </c>
      <c r="M62" s="76">
        <f t="shared" si="29"/>
        <v>37.799999999999997</v>
      </c>
      <c r="N62" s="76">
        <f t="shared" si="29"/>
        <v>37.4</v>
      </c>
      <c r="O62" s="76">
        <f t="shared" si="29"/>
        <v>38.1</v>
      </c>
      <c r="P62" s="76">
        <f t="shared" si="29"/>
        <v>38.1</v>
      </c>
      <c r="Q62" s="76">
        <f t="shared" si="29"/>
        <v>36.099999999999994</v>
      </c>
      <c r="R62" s="76">
        <f t="shared" si="29"/>
        <v>34.5</v>
      </c>
      <c r="S62" s="76">
        <f t="shared" si="29"/>
        <v>34.5</v>
      </c>
      <c r="T62" s="76">
        <f t="shared" ref="T62:U62" si="30">SUM(T59:T61)</f>
        <v>34.5</v>
      </c>
      <c r="U62" s="76">
        <f t="shared" si="30"/>
        <v>34.5</v>
      </c>
      <c r="V62" s="76">
        <f t="shared" si="29"/>
        <v>34.5</v>
      </c>
      <c r="W62" s="76">
        <f t="shared" si="29"/>
        <v>34.5</v>
      </c>
      <c r="X62" s="76">
        <f t="shared" ref="X62" si="31">SUM(X59:X61)</f>
        <v>34.5</v>
      </c>
      <c r="Y62" s="76">
        <f t="shared" si="29"/>
        <v>326.5</v>
      </c>
      <c r="Z62" s="76">
        <f t="shared" si="29"/>
        <v>348.5</v>
      </c>
      <c r="AA62" s="76">
        <f t="shared" si="29"/>
        <v>493.5</v>
      </c>
      <c r="AB62" s="76">
        <f t="shared" si="29"/>
        <v>444.5</v>
      </c>
      <c r="AC62" s="76">
        <f t="shared" si="29"/>
        <v>402.7</v>
      </c>
      <c r="AD62" s="76">
        <f t="shared" si="29"/>
        <v>403.7</v>
      </c>
      <c r="AE62" s="76">
        <f t="shared" ref="AE62" si="32">SUM(AE59:AE61)</f>
        <v>343.2</v>
      </c>
      <c r="AF62" s="76">
        <f t="shared" si="29"/>
        <v>312.7</v>
      </c>
      <c r="AG62" s="93">
        <f t="shared" si="29"/>
        <v>538.1</v>
      </c>
      <c r="AH62" s="12">
        <f t="shared" si="8"/>
        <v>493.5</v>
      </c>
      <c r="AI62" s="11">
        <f t="shared" si="9"/>
        <v>34.5</v>
      </c>
      <c r="AK62" s="19"/>
    </row>
    <row r="63" spans="1:88" x14ac:dyDescent="0.25">
      <c r="A63" s="89" t="s">
        <v>204</v>
      </c>
      <c r="B63" s="102">
        <v>83</v>
      </c>
      <c r="C63" s="102">
        <v>83.5</v>
      </c>
      <c r="D63" s="102">
        <v>71.5</v>
      </c>
      <c r="E63" s="102">
        <v>60.6</v>
      </c>
      <c r="F63" s="102">
        <v>61.2</v>
      </c>
      <c r="G63" s="102">
        <v>60.3</v>
      </c>
      <c r="H63" s="102">
        <v>60.5</v>
      </c>
      <c r="I63" s="102">
        <v>61.5</v>
      </c>
      <c r="J63" s="102">
        <v>48.6</v>
      </c>
      <c r="K63" s="102">
        <v>42.3</v>
      </c>
      <c r="L63" s="102">
        <v>30.7</v>
      </c>
      <c r="M63" s="102">
        <v>40.6</v>
      </c>
      <c r="N63" s="102">
        <v>40.700000000000003</v>
      </c>
      <c r="O63" s="102">
        <v>48.9</v>
      </c>
      <c r="P63" s="102">
        <v>42.4</v>
      </c>
      <c r="Q63" s="102">
        <v>61.9</v>
      </c>
      <c r="R63" s="102">
        <v>62</v>
      </c>
      <c r="S63" s="102">
        <v>62</v>
      </c>
      <c r="T63" s="102">
        <v>61.7</v>
      </c>
      <c r="U63" s="102">
        <v>70</v>
      </c>
      <c r="V63" s="102">
        <v>70</v>
      </c>
      <c r="W63" s="102">
        <v>61.1</v>
      </c>
      <c r="X63" s="102">
        <v>61.1</v>
      </c>
      <c r="Y63" s="102">
        <v>61.1</v>
      </c>
      <c r="Z63" s="102">
        <v>139</v>
      </c>
      <c r="AA63" s="102">
        <v>139</v>
      </c>
      <c r="AB63" s="102">
        <v>122.1</v>
      </c>
      <c r="AC63" s="102">
        <v>83</v>
      </c>
      <c r="AD63" s="102">
        <v>80.900000000000006</v>
      </c>
      <c r="AE63" s="102">
        <v>68.900000000000006</v>
      </c>
      <c r="AF63" s="102">
        <v>68.900000000000006</v>
      </c>
      <c r="AG63" s="88">
        <v>144</v>
      </c>
      <c r="AH63" s="12">
        <f t="shared" si="8"/>
        <v>139</v>
      </c>
      <c r="AI63" s="11">
        <f t="shared" si="9"/>
        <v>30.7</v>
      </c>
      <c r="AK63" s="19"/>
    </row>
    <row r="64" spans="1:88" x14ac:dyDescent="0.25">
      <c r="A64" s="87" t="s">
        <v>203</v>
      </c>
      <c r="B64" s="70">
        <v>30</v>
      </c>
      <c r="C64" s="70">
        <v>33.700000000000003</v>
      </c>
      <c r="D64" s="70">
        <v>33.799999999999997</v>
      </c>
      <c r="E64" s="70">
        <v>33.6</v>
      </c>
      <c r="F64" s="70">
        <v>34.6</v>
      </c>
      <c r="G64" s="70">
        <v>24.9</v>
      </c>
      <c r="H64" s="70">
        <v>24.6</v>
      </c>
      <c r="I64" s="70">
        <v>24.6</v>
      </c>
      <c r="J64" s="70">
        <v>24.8</v>
      </c>
      <c r="K64" s="70">
        <v>46.7</v>
      </c>
      <c r="L64" s="70">
        <v>46.5</v>
      </c>
      <c r="M64" s="70">
        <v>48.9</v>
      </c>
      <c r="N64" s="70">
        <v>46.3</v>
      </c>
      <c r="O64" s="70">
        <v>54.2</v>
      </c>
      <c r="P64" s="70">
        <v>45.8</v>
      </c>
      <c r="Q64" s="70">
        <v>49</v>
      </c>
      <c r="R64" s="70">
        <v>45.5</v>
      </c>
      <c r="S64" s="70">
        <v>45.5</v>
      </c>
      <c r="T64" s="70">
        <v>44</v>
      </c>
      <c r="U64" s="70">
        <v>35</v>
      </c>
      <c r="V64" s="70">
        <v>26</v>
      </c>
      <c r="W64" s="70">
        <v>26</v>
      </c>
      <c r="X64" s="70">
        <v>26</v>
      </c>
      <c r="Y64" s="70">
        <v>26</v>
      </c>
      <c r="Z64" s="70">
        <v>62</v>
      </c>
      <c r="AA64" s="70">
        <v>62</v>
      </c>
      <c r="AB64" s="102">
        <v>61.1</v>
      </c>
      <c r="AC64" s="102">
        <v>49</v>
      </c>
      <c r="AD64" s="102">
        <v>50.2</v>
      </c>
      <c r="AE64" s="102">
        <v>33</v>
      </c>
      <c r="AF64" s="102">
        <v>33.9</v>
      </c>
      <c r="AG64" s="86">
        <v>70</v>
      </c>
      <c r="AH64" s="12">
        <f t="shared" si="8"/>
        <v>62</v>
      </c>
      <c r="AI64" s="11">
        <f t="shared" si="9"/>
        <v>24.6</v>
      </c>
      <c r="AK64" s="19"/>
    </row>
    <row r="65" spans="1:75" x14ac:dyDescent="0.25">
      <c r="A65" s="87" t="s">
        <v>202</v>
      </c>
      <c r="B65" s="70">
        <v>35.799999999999997</v>
      </c>
      <c r="C65" s="70">
        <v>22.3</v>
      </c>
      <c r="D65" s="70">
        <v>22.4</v>
      </c>
      <c r="E65" s="70">
        <v>33.799999999999997</v>
      </c>
      <c r="F65" s="70">
        <v>44.7</v>
      </c>
      <c r="G65" s="70">
        <v>33.1</v>
      </c>
      <c r="H65" s="70">
        <v>32.9</v>
      </c>
      <c r="I65" s="70">
        <v>33.4</v>
      </c>
      <c r="J65" s="70">
        <v>33.299999999999997</v>
      </c>
      <c r="K65" s="70">
        <v>33</v>
      </c>
      <c r="L65" s="70">
        <v>44.4</v>
      </c>
      <c r="M65" s="70">
        <v>62.1</v>
      </c>
      <c r="N65" s="70">
        <v>34</v>
      </c>
      <c r="O65" s="70">
        <v>46.2</v>
      </c>
      <c r="P65" s="70">
        <v>45</v>
      </c>
      <c r="Q65" s="70">
        <v>32.5</v>
      </c>
      <c r="R65" s="70">
        <v>46.7</v>
      </c>
      <c r="S65" s="70">
        <v>34</v>
      </c>
      <c r="T65" s="70">
        <v>34</v>
      </c>
      <c r="U65" s="70">
        <v>34</v>
      </c>
      <c r="V65" s="70">
        <v>34</v>
      </c>
      <c r="W65" s="70">
        <v>17</v>
      </c>
      <c r="X65" s="70">
        <v>17</v>
      </c>
      <c r="Y65" s="70">
        <v>17</v>
      </c>
      <c r="Z65" s="70">
        <v>52</v>
      </c>
      <c r="AA65" s="70">
        <v>61</v>
      </c>
      <c r="AB65" s="102">
        <v>60.4</v>
      </c>
      <c r="AC65" s="102">
        <v>60.9</v>
      </c>
      <c r="AD65" s="102">
        <v>60.5</v>
      </c>
      <c r="AE65" s="102">
        <v>60.4</v>
      </c>
      <c r="AF65" s="102">
        <v>52.8</v>
      </c>
      <c r="AG65" s="86">
        <v>69</v>
      </c>
      <c r="AH65" s="12">
        <f t="shared" si="8"/>
        <v>62.1</v>
      </c>
      <c r="AI65" s="11">
        <f t="shared" si="9"/>
        <v>17</v>
      </c>
      <c r="AK65" s="19"/>
    </row>
    <row r="66" spans="1:75" x14ac:dyDescent="0.25">
      <c r="A66" s="87" t="s">
        <v>201</v>
      </c>
      <c r="B66" s="70">
        <v>54.4</v>
      </c>
      <c r="C66" s="70">
        <v>54.4</v>
      </c>
      <c r="D66" s="70">
        <v>60</v>
      </c>
      <c r="E66" s="70">
        <v>59.5</v>
      </c>
      <c r="F66" s="70">
        <v>59.7</v>
      </c>
      <c r="G66" s="70">
        <v>59.7</v>
      </c>
      <c r="H66" s="70">
        <v>59.7</v>
      </c>
      <c r="I66" s="70">
        <v>59.7</v>
      </c>
      <c r="J66" s="70">
        <v>59.5</v>
      </c>
      <c r="K66" s="122">
        <v>60</v>
      </c>
      <c r="L66" s="122">
        <v>60</v>
      </c>
      <c r="M66" s="122">
        <v>60</v>
      </c>
      <c r="N66" s="70">
        <v>59.7</v>
      </c>
      <c r="O66" s="70">
        <v>59.7</v>
      </c>
      <c r="P66" s="70">
        <v>59.7</v>
      </c>
      <c r="Q66" s="70">
        <v>56.9</v>
      </c>
      <c r="R66" s="70">
        <v>56.4</v>
      </c>
      <c r="S66" s="70">
        <v>56.4</v>
      </c>
      <c r="T66" s="70">
        <v>54.4</v>
      </c>
      <c r="U66" s="70">
        <v>54.4</v>
      </c>
      <c r="V66" s="70">
        <v>52.1</v>
      </c>
      <c r="W66" s="70">
        <v>52.1</v>
      </c>
      <c r="X66" s="70">
        <v>52.1</v>
      </c>
      <c r="Y66" s="70">
        <v>52.1</v>
      </c>
      <c r="Z66" s="70">
        <v>50.4</v>
      </c>
      <c r="AA66" s="70">
        <v>50.4</v>
      </c>
      <c r="AB66" s="102">
        <v>48.1</v>
      </c>
      <c r="AC66" s="102">
        <v>56.4</v>
      </c>
      <c r="AD66" s="102">
        <v>56.1</v>
      </c>
      <c r="AE66" s="102">
        <v>57.2</v>
      </c>
      <c r="AF66" s="102">
        <v>58</v>
      </c>
      <c r="AG66" s="86">
        <v>60</v>
      </c>
      <c r="AH66" s="12">
        <f t="shared" si="8"/>
        <v>60</v>
      </c>
      <c r="AI66" s="11">
        <f t="shared" si="9"/>
        <v>48.1</v>
      </c>
      <c r="AK66" s="19"/>
    </row>
    <row r="67" spans="1:75" x14ac:dyDescent="0.25">
      <c r="A67" s="87" t="s">
        <v>200</v>
      </c>
      <c r="B67" s="102">
        <v>9.9</v>
      </c>
      <c r="C67" s="102">
        <v>0</v>
      </c>
      <c r="D67" s="102">
        <v>0</v>
      </c>
      <c r="E67" s="70">
        <v>15</v>
      </c>
      <c r="F67" s="70">
        <v>14.5</v>
      </c>
      <c r="G67" s="70">
        <v>9.5</v>
      </c>
      <c r="H67" s="70">
        <v>9.8000000000000007</v>
      </c>
      <c r="I67" s="70">
        <v>10</v>
      </c>
      <c r="J67" s="70">
        <v>14.7</v>
      </c>
      <c r="K67" s="70">
        <v>14.5</v>
      </c>
      <c r="L67" s="122">
        <v>9.6999999999999993</v>
      </c>
      <c r="M67" s="122">
        <v>9.6999999999999993</v>
      </c>
      <c r="N67" s="70">
        <v>9.6999999999999993</v>
      </c>
      <c r="O67" s="70">
        <v>14.8</v>
      </c>
      <c r="P67" s="70">
        <v>14.6</v>
      </c>
      <c r="Q67" s="70">
        <v>12</v>
      </c>
      <c r="R67" s="70">
        <v>10.1</v>
      </c>
      <c r="S67" s="70">
        <v>10.1</v>
      </c>
      <c r="T67" s="70">
        <v>10.1</v>
      </c>
      <c r="U67" s="70">
        <v>12</v>
      </c>
      <c r="V67" s="70">
        <v>14</v>
      </c>
      <c r="W67" s="70">
        <v>14</v>
      </c>
      <c r="X67" s="70">
        <v>10</v>
      </c>
      <c r="Y67" s="70">
        <v>10</v>
      </c>
      <c r="Z67" s="70">
        <v>15</v>
      </c>
      <c r="AA67" s="70">
        <v>15</v>
      </c>
      <c r="AB67" s="102">
        <v>14.3</v>
      </c>
      <c r="AC67" s="102">
        <v>14.2</v>
      </c>
      <c r="AD67" s="102">
        <v>14.2</v>
      </c>
      <c r="AE67" s="102">
        <v>14.2</v>
      </c>
      <c r="AF67" s="102">
        <v>10</v>
      </c>
      <c r="AG67" s="86">
        <v>30</v>
      </c>
      <c r="AH67" s="12">
        <f t="shared" si="8"/>
        <v>15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25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0.3</v>
      </c>
      <c r="J68" s="102">
        <v>1.1000000000000001</v>
      </c>
      <c r="K68" s="102">
        <v>2.4</v>
      </c>
      <c r="L68" s="70">
        <v>3.9</v>
      </c>
      <c r="M68" s="70">
        <v>3.9</v>
      </c>
      <c r="N68" s="70">
        <v>10</v>
      </c>
      <c r="O68" s="70">
        <v>14.1</v>
      </c>
      <c r="P68" s="70">
        <v>15.1</v>
      </c>
      <c r="Q68" s="70">
        <v>15.3</v>
      </c>
      <c r="R68" s="70">
        <v>14.7</v>
      </c>
      <c r="S68" s="70">
        <v>11.3</v>
      </c>
      <c r="T68" s="70">
        <v>11.3</v>
      </c>
      <c r="U68" s="70">
        <v>11.3</v>
      </c>
      <c r="V68" s="70">
        <v>2</v>
      </c>
      <c r="W68" s="70">
        <v>0.9</v>
      </c>
      <c r="X68" s="70">
        <v>0</v>
      </c>
      <c r="Y68" s="70">
        <v>0</v>
      </c>
      <c r="Z68" s="70">
        <v>0</v>
      </c>
      <c r="AA68" s="70">
        <v>0</v>
      </c>
      <c r="AB68" s="70">
        <v>0</v>
      </c>
      <c r="AC68" s="70">
        <v>0</v>
      </c>
      <c r="AD68" s="70">
        <v>0</v>
      </c>
      <c r="AE68" s="70">
        <v>0</v>
      </c>
      <c r="AF68" s="102">
        <v>0</v>
      </c>
      <c r="AG68" s="86">
        <v>25</v>
      </c>
      <c r="AH68" s="12">
        <f t="shared" si="8"/>
        <v>15.3</v>
      </c>
      <c r="AI68" s="11">
        <f t="shared" si="9"/>
        <v>0</v>
      </c>
      <c r="AK68" s="19"/>
      <c r="AY68" s="1" t="s">
        <v>198</v>
      </c>
      <c r="AZ68" s="78">
        <f>ROUND(C81,0)</f>
        <v>17</v>
      </c>
      <c r="BA68" s="83">
        <f t="shared" ref="BA68:BD72" si="33">D81</f>
        <v>11</v>
      </c>
      <c r="BB68" s="83">
        <f t="shared" si="33"/>
        <v>16.600000000000001</v>
      </c>
      <c r="BC68" s="83">
        <f t="shared" si="33"/>
        <v>19</v>
      </c>
      <c r="BD68" s="83">
        <f t="shared" si="33"/>
        <v>20.5</v>
      </c>
      <c r="BE68" s="78">
        <f>I81</f>
        <v>16.7</v>
      </c>
      <c r="BF68" s="78">
        <f>K81</f>
        <v>68</v>
      </c>
      <c r="BG68" s="78">
        <f t="shared" ref="BG68:BP72" si="34">M81</f>
        <v>62.7</v>
      </c>
      <c r="BH68" s="78">
        <f t="shared" si="34"/>
        <v>63.7</v>
      </c>
      <c r="BI68" s="78">
        <f t="shared" si="34"/>
        <v>72.900000000000006</v>
      </c>
      <c r="BJ68" s="78">
        <f t="shared" si="34"/>
        <v>74.599999999999994</v>
      </c>
      <c r="BK68" s="78">
        <f t="shared" si="34"/>
        <v>68.400000000000006</v>
      </c>
      <c r="BL68" s="78">
        <f t="shared" si="34"/>
        <v>64.099999999999994</v>
      </c>
      <c r="BM68" s="78">
        <f t="shared" si="34"/>
        <v>68</v>
      </c>
      <c r="BN68" s="78">
        <f t="shared" si="34"/>
        <v>72</v>
      </c>
      <c r="BO68" s="78">
        <f t="shared" si="34"/>
        <v>76</v>
      </c>
      <c r="BP68" s="78">
        <f t="shared" si="34"/>
        <v>75.7</v>
      </c>
      <c r="BQ68" s="78">
        <f>X81</f>
        <v>63</v>
      </c>
      <c r="BR68" s="78">
        <f>Z81</f>
        <v>14</v>
      </c>
      <c r="BS68" s="83">
        <f>AB81</f>
        <v>25.5</v>
      </c>
      <c r="BT68" s="83">
        <f t="shared" ref="BT68:BV72" si="35">AD81</f>
        <v>22.4</v>
      </c>
      <c r="BU68" s="83">
        <f t="shared" si="35"/>
        <v>20.3</v>
      </c>
      <c r="BV68" s="83">
        <f t="shared" si="35"/>
        <v>17.7</v>
      </c>
      <c r="BW68" s="83">
        <f>B81</f>
        <v>13.6</v>
      </c>
    </row>
    <row r="69" spans="1:75" x14ac:dyDescent="0.25">
      <c r="A69" s="87" t="s">
        <v>197</v>
      </c>
      <c r="B69" s="70">
        <v>15.7</v>
      </c>
      <c r="C69" s="70">
        <v>15.7</v>
      </c>
      <c r="D69" s="70">
        <v>15.7</v>
      </c>
      <c r="E69" s="70">
        <v>15.7</v>
      </c>
      <c r="F69" s="70">
        <v>15.3</v>
      </c>
      <c r="G69" s="70">
        <v>15.3</v>
      </c>
      <c r="H69" s="70">
        <v>15.3</v>
      </c>
      <c r="I69" s="70">
        <v>15.3</v>
      </c>
      <c r="J69" s="70">
        <v>15.3</v>
      </c>
      <c r="K69" s="70">
        <v>15.3</v>
      </c>
      <c r="L69" s="70">
        <v>15.3</v>
      </c>
      <c r="M69" s="70">
        <v>15.3</v>
      </c>
      <c r="N69" s="70">
        <v>16</v>
      </c>
      <c r="O69" s="70">
        <v>16</v>
      </c>
      <c r="P69" s="70">
        <v>16</v>
      </c>
      <c r="Q69" s="70">
        <v>14.9</v>
      </c>
      <c r="R69" s="70">
        <v>14.8</v>
      </c>
      <c r="S69" s="70">
        <v>14.8</v>
      </c>
      <c r="T69" s="70">
        <v>14.8</v>
      </c>
      <c r="U69" s="70">
        <v>14.8</v>
      </c>
      <c r="V69" s="70">
        <v>14.8</v>
      </c>
      <c r="W69" s="70">
        <v>14.8</v>
      </c>
      <c r="X69" s="70">
        <v>14.8</v>
      </c>
      <c r="Y69" s="70">
        <v>14.8</v>
      </c>
      <c r="Z69" s="70">
        <v>14.8</v>
      </c>
      <c r="AA69" s="70">
        <v>14.8</v>
      </c>
      <c r="AB69" s="70">
        <v>14.8</v>
      </c>
      <c r="AC69" s="70">
        <v>14.8</v>
      </c>
      <c r="AD69" s="70">
        <v>14.8</v>
      </c>
      <c r="AE69" s="70">
        <v>15.2</v>
      </c>
      <c r="AF69" s="70">
        <v>15.2</v>
      </c>
      <c r="AG69" s="86">
        <v>24</v>
      </c>
      <c r="AH69" s="12">
        <f t="shared" si="8"/>
        <v>16</v>
      </c>
      <c r="AI69" s="11">
        <f t="shared" si="9"/>
        <v>14.8</v>
      </c>
      <c r="AK69" s="19"/>
      <c r="AY69" s="1" t="s">
        <v>196</v>
      </c>
      <c r="AZ69" s="78">
        <f>ROUND(C82,0)</f>
        <v>0</v>
      </c>
      <c r="BA69" s="83">
        <f t="shared" si="33"/>
        <v>0</v>
      </c>
      <c r="BB69" s="83">
        <f t="shared" si="33"/>
        <v>0</v>
      </c>
      <c r="BC69" s="83">
        <f t="shared" si="33"/>
        <v>0</v>
      </c>
      <c r="BD69" s="83">
        <f t="shared" si="33"/>
        <v>0</v>
      </c>
      <c r="BE69" s="78">
        <f>I82</f>
        <v>0</v>
      </c>
      <c r="BF69" s="78">
        <f>K82</f>
        <v>99.2</v>
      </c>
      <c r="BG69" s="78">
        <f t="shared" si="34"/>
        <v>106.8</v>
      </c>
      <c r="BH69" s="78">
        <f t="shared" si="34"/>
        <v>101.5</v>
      </c>
      <c r="BI69" s="78">
        <f t="shared" si="34"/>
        <v>100.3</v>
      </c>
      <c r="BJ69" s="78">
        <f t="shared" si="34"/>
        <v>101.3</v>
      </c>
      <c r="BK69" s="78">
        <f t="shared" si="34"/>
        <v>98.2</v>
      </c>
      <c r="BL69" s="78">
        <f t="shared" si="34"/>
        <v>120.8</v>
      </c>
      <c r="BM69" s="78">
        <f t="shared" si="34"/>
        <v>102</v>
      </c>
      <c r="BN69" s="78">
        <f t="shared" si="34"/>
        <v>114</v>
      </c>
      <c r="BO69" s="78">
        <f t="shared" si="34"/>
        <v>120</v>
      </c>
      <c r="BP69" s="78">
        <f t="shared" si="34"/>
        <v>119.7</v>
      </c>
      <c r="BQ69" s="78">
        <f>X82</f>
        <v>114</v>
      </c>
      <c r="BR69" s="78">
        <f>Z82</f>
        <v>0</v>
      </c>
      <c r="BS69" s="83">
        <f>AB82</f>
        <v>0</v>
      </c>
      <c r="BT69" s="83">
        <f t="shared" si="35"/>
        <v>0</v>
      </c>
      <c r="BU69" s="83">
        <f t="shared" si="35"/>
        <v>0</v>
      </c>
      <c r="BV69" s="83">
        <f t="shared" si="35"/>
        <v>0</v>
      </c>
      <c r="BW69" s="83">
        <f>B82</f>
        <v>0</v>
      </c>
    </row>
    <row r="70" spans="1:75" x14ac:dyDescent="0.25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146</v>
      </c>
      <c r="BA70" s="83">
        <f t="shared" si="33"/>
        <v>87</v>
      </c>
      <c r="BB70" s="83">
        <f t="shared" si="33"/>
        <v>73.8</v>
      </c>
      <c r="BC70" s="83">
        <f t="shared" si="33"/>
        <v>62.2</v>
      </c>
      <c r="BD70" s="83">
        <f t="shared" si="33"/>
        <v>144.1</v>
      </c>
      <c r="BE70" s="78">
        <f>I83</f>
        <v>285</v>
      </c>
      <c r="BF70" s="78">
        <f>K83</f>
        <v>460.3</v>
      </c>
      <c r="BG70" s="78">
        <f t="shared" si="34"/>
        <v>511</v>
      </c>
      <c r="BH70" s="78">
        <f t="shared" si="34"/>
        <v>491.7</v>
      </c>
      <c r="BI70" s="78">
        <f t="shared" si="34"/>
        <v>506.3</v>
      </c>
      <c r="BJ70" s="78">
        <f t="shared" si="34"/>
        <v>520.5</v>
      </c>
      <c r="BK70" s="78">
        <f t="shared" si="34"/>
        <v>527.9</v>
      </c>
      <c r="BL70" s="78">
        <f t="shared" si="34"/>
        <v>496</v>
      </c>
      <c r="BM70" s="78">
        <f t="shared" si="34"/>
        <v>495</v>
      </c>
      <c r="BN70" s="78">
        <f t="shared" si="34"/>
        <v>504</v>
      </c>
      <c r="BO70" s="78">
        <f t="shared" si="34"/>
        <v>463</v>
      </c>
      <c r="BP70" s="78">
        <f t="shared" si="34"/>
        <v>435</v>
      </c>
      <c r="BQ70" s="78">
        <f>X83</f>
        <v>425</v>
      </c>
      <c r="BR70" s="78">
        <f>Z83</f>
        <v>261</v>
      </c>
      <c r="BS70" s="83">
        <f>AB83</f>
        <v>134.19999999999999</v>
      </c>
      <c r="BT70" s="83">
        <f t="shared" si="35"/>
        <v>129.69999999999999</v>
      </c>
      <c r="BU70" s="83">
        <f t="shared" si="35"/>
        <v>142</v>
      </c>
      <c r="BV70" s="83">
        <f t="shared" si="35"/>
        <v>100.3</v>
      </c>
      <c r="BW70" s="83">
        <f>B83</f>
        <v>82.8</v>
      </c>
    </row>
    <row r="71" spans="1:75" s="115" customFormat="1" x14ac:dyDescent="0.25">
      <c r="A71" s="87" t="s">
        <v>193</v>
      </c>
      <c r="B71" s="70">
        <v>12.3</v>
      </c>
      <c r="C71" s="70">
        <v>12.3</v>
      </c>
      <c r="D71" s="70">
        <v>12.3</v>
      </c>
      <c r="E71" s="70">
        <v>12.3</v>
      </c>
      <c r="F71" s="70">
        <v>12.3</v>
      </c>
      <c r="G71" s="70">
        <v>12.3</v>
      </c>
      <c r="H71" s="70">
        <v>12.3</v>
      </c>
      <c r="I71" s="70">
        <v>12.3</v>
      </c>
      <c r="J71" s="70">
        <v>12.3</v>
      </c>
      <c r="K71" s="70">
        <v>12.3</v>
      </c>
      <c r="L71" s="70">
        <v>12.3</v>
      </c>
      <c r="M71" s="70">
        <v>12.3</v>
      </c>
      <c r="N71" s="70">
        <v>12.2</v>
      </c>
      <c r="O71" s="70">
        <v>12.2</v>
      </c>
      <c r="P71" s="70">
        <v>12.2</v>
      </c>
      <c r="Q71" s="70">
        <v>13.2</v>
      </c>
      <c r="R71" s="70">
        <v>13.2</v>
      </c>
      <c r="S71" s="70">
        <v>13.2</v>
      </c>
      <c r="T71" s="70">
        <v>13.2</v>
      </c>
      <c r="U71" s="70">
        <v>13.2</v>
      </c>
      <c r="V71" s="70">
        <v>13.2</v>
      </c>
      <c r="W71" s="70">
        <v>13.2</v>
      </c>
      <c r="X71" s="70">
        <v>13.2</v>
      </c>
      <c r="Y71" s="70">
        <v>11.9</v>
      </c>
      <c r="Z71" s="70">
        <v>11.9</v>
      </c>
      <c r="AA71" s="70">
        <v>11.9</v>
      </c>
      <c r="AB71" s="70">
        <v>11.9</v>
      </c>
      <c r="AC71" s="70">
        <v>11.9</v>
      </c>
      <c r="AD71" s="70">
        <v>11.9</v>
      </c>
      <c r="AE71" s="70">
        <v>13</v>
      </c>
      <c r="AF71" s="70">
        <v>13</v>
      </c>
      <c r="AG71" s="86">
        <v>14.1</v>
      </c>
      <c r="AH71" s="12">
        <f t="shared" si="8"/>
        <v>13.2</v>
      </c>
      <c r="AI71" s="11">
        <f t="shared" si="9"/>
        <v>11.9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15</v>
      </c>
      <c r="BA71" s="83">
        <f t="shared" si="33"/>
        <v>15.1</v>
      </c>
      <c r="BB71" s="83">
        <f t="shared" si="33"/>
        <v>15.3</v>
      </c>
      <c r="BC71" s="83">
        <f t="shared" si="33"/>
        <v>14.8</v>
      </c>
      <c r="BD71" s="83">
        <f t="shared" si="33"/>
        <v>14.7</v>
      </c>
      <c r="BE71" s="78">
        <f>I84</f>
        <v>12.3</v>
      </c>
      <c r="BF71" s="78">
        <f>K84</f>
        <v>45.9</v>
      </c>
      <c r="BG71" s="78">
        <f t="shared" si="34"/>
        <v>56.1</v>
      </c>
      <c r="BH71" s="78">
        <f t="shared" si="34"/>
        <v>36.799999999999997</v>
      </c>
      <c r="BI71" s="78">
        <f t="shared" si="34"/>
        <v>50.1</v>
      </c>
      <c r="BJ71" s="78">
        <f t="shared" si="34"/>
        <v>53.2</v>
      </c>
      <c r="BK71" s="78">
        <f t="shared" si="34"/>
        <v>51.8</v>
      </c>
      <c r="BL71" s="78">
        <f t="shared" si="34"/>
        <v>56</v>
      </c>
      <c r="BM71" s="78">
        <f t="shared" si="34"/>
        <v>55</v>
      </c>
      <c r="BN71" s="78">
        <f t="shared" si="34"/>
        <v>52</v>
      </c>
      <c r="BO71" s="78">
        <f t="shared" si="34"/>
        <v>54.6</v>
      </c>
      <c r="BP71" s="78">
        <f t="shared" si="34"/>
        <v>53.1</v>
      </c>
      <c r="BQ71" s="78">
        <f>X84</f>
        <v>28</v>
      </c>
      <c r="BR71" s="78">
        <f>Z84</f>
        <v>13</v>
      </c>
      <c r="BS71" s="83">
        <f>AB84</f>
        <v>13.7</v>
      </c>
      <c r="BT71" s="83">
        <f t="shared" si="35"/>
        <v>14.5</v>
      </c>
      <c r="BU71" s="83">
        <f t="shared" si="35"/>
        <v>15.3</v>
      </c>
      <c r="BV71" s="83">
        <f t="shared" si="35"/>
        <v>15.3</v>
      </c>
      <c r="BW71" s="83">
        <f>B84</f>
        <v>15.5</v>
      </c>
    </row>
    <row r="72" spans="1:75" x14ac:dyDescent="0.25">
      <c r="A72" s="111" t="s">
        <v>191</v>
      </c>
      <c r="B72" s="70">
        <v>7</v>
      </c>
      <c r="C72" s="70">
        <v>7</v>
      </c>
      <c r="D72" s="70">
        <v>7</v>
      </c>
      <c r="E72" s="70">
        <v>7</v>
      </c>
      <c r="F72" s="70">
        <v>7</v>
      </c>
      <c r="G72" s="70">
        <v>7</v>
      </c>
      <c r="H72" s="70">
        <v>7</v>
      </c>
      <c r="I72" s="70">
        <v>7</v>
      </c>
      <c r="J72" s="70">
        <v>7</v>
      </c>
      <c r="K72" s="70">
        <v>7</v>
      </c>
      <c r="L72" s="70">
        <v>7</v>
      </c>
      <c r="M72" s="70">
        <v>7</v>
      </c>
      <c r="N72" s="70">
        <v>6.6</v>
      </c>
      <c r="O72" s="70">
        <v>6.6</v>
      </c>
      <c r="P72" s="70">
        <v>6.6</v>
      </c>
      <c r="Q72" s="70">
        <v>7</v>
      </c>
      <c r="R72" s="70">
        <v>7</v>
      </c>
      <c r="S72" s="70">
        <v>7</v>
      </c>
      <c r="T72" s="70">
        <v>7</v>
      </c>
      <c r="U72" s="70">
        <v>7</v>
      </c>
      <c r="V72" s="70">
        <v>5.4</v>
      </c>
      <c r="W72" s="70">
        <v>5.4</v>
      </c>
      <c r="X72" s="70">
        <v>5.4</v>
      </c>
      <c r="Y72" s="70">
        <v>5.4</v>
      </c>
      <c r="Z72" s="70">
        <v>7.1</v>
      </c>
      <c r="AA72" s="70">
        <v>7.1</v>
      </c>
      <c r="AB72" s="70">
        <v>7.1</v>
      </c>
      <c r="AC72" s="70">
        <v>7.1</v>
      </c>
      <c r="AD72" s="70">
        <v>7.1</v>
      </c>
      <c r="AE72" s="70">
        <v>8.3000000000000007</v>
      </c>
      <c r="AF72" s="70">
        <v>8.3000000000000007</v>
      </c>
      <c r="AG72" s="86">
        <v>14</v>
      </c>
      <c r="AH72" s="12">
        <f t="shared" si="8"/>
        <v>8.3000000000000007</v>
      </c>
      <c r="AI72" s="11">
        <f t="shared" si="9"/>
        <v>5.4</v>
      </c>
      <c r="AK72" s="19"/>
      <c r="AY72" s="1" t="s">
        <v>190</v>
      </c>
      <c r="AZ72" s="78">
        <f>ROUND(C85,0)</f>
        <v>0</v>
      </c>
      <c r="BA72" s="83">
        <f t="shared" si="33"/>
        <v>0</v>
      </c>
      <c r="BB72" s="83">
        <f t="shared" si="33"/>
        <v>0</v>
      </c>
      <c r="BC72" s="83">
        <f t="shared" si="33"/>
        <v>0</v>
      </c>
      <c r="BD72" s="83">
        <f t="shared" si="33"/>
        <v>0</v>
      </c>
      <c r="BE72" s="78">
        <f>I85</f>
        <v>0</v>
      </c>
      <c r="BF72" s="78">
        <f>K85</f>
        <v>99.2</v>
      </c>
      <c r="BG72" s="78">
        <f t="shared" si="34"/>
        <v>109.8</v>
      </c>
      <c r="BH72" s="78">
        <f t="shared" si="34"/>
        <v>108.2</v>
      </c>
      <c r="BI72" s="78">
        <f t="shared" si="34"/>
        <v>127.6</v>
      </c>
      <c r="BJ72" s="78">
        <f t="shared" si="34"/>
        <v>136.4</v>
      </c>
      <c r="BK72" s="78">
        <f t="shared" si="34"/>
        <v>118.5</v>
      </c>
      <c r="BL72" s="78">
        <f t="shared" si="34"/>
        <v>130.1</v>
      </c>
      <c r="BM72" s="78">
        <f t="shared" si="34"/>
        <v>118</v>
      </c>
      <c r="BN72" s="78">
        <f t="shared" si="34"/>
        <v>127</v>
      </c>
      <c r="BO72" s="78">
        <f t="shared" si="34"/>
        <v>113</v>
      </c>
      <c r="BP72" s="78">
        <f t="shared" si="34"/>
        <v>111</v>
      </c>
      <c r="BQ72" s="78">
        <f>X85</f>
        <v>114</v>
      </c>
      <c r="BR72" s="78">
        <f>Z85</f>
        <v>0</v>
      </c>
      <c r="BS72" s="83">
        <f>AB85</f>
        <v>0</v>
      </c>
      <c r="BT72" s="83">
        <f t="shared" si="35"/>
        <v>0</v>
      </c>
      <c r="BU72" s="83">
        <f t="shared" si="35"/>
        <v>0</v>
      </c>
      <c r="BV72" s="83">
        <f t="shared" si="35"/>
        <v>0</v>
      </c>
      <c r="BW72" s="83">
        <f>B85</f>
        <v>0</v>
      </c>
    </row>
    <row r="73" spans="1:75" x14ac:dyDescent="0.25">
      <c r="A73" s="87" t="s">
        <v>189</v>
      </c>
      <c r="B73" s="70">
        <v>4.4000000000000004</v>
      </c>
      <c r="C73" s="70">
        <v>4.4000000000000004</v>
      </c>
      <c r="D73" s="70">
        <v>4.4000000000000004</v>
      </c>
      <c r="E73" s="70">
        <v>4.4000000000000004</v>
      </c>
      <c r="F73" s="70">
        <v>4.4000000000000004</v>
      </c>
      <c r="G73" s="70">
        <v>4.4000000000000004</v>
      </c>
      <c r="H73" s="70">
        <v>4.4000000000000004</v>
      </c>
      <c r="I73" s="70">
        <v>4.4000000000000004</v>
      </c>
      <c r="J73" s="70">
        <v>4.4000000000000004</v>
      </c>
      <c r="K73" s="70">
        <v>4.4000000000000004</v>
      </c>
      <c r="L73" s="70">
        <v>4.4000000000000004</v>
      </c>
      <c r="M73" s="70">
        <v>4.4000000000000004</v>
      </c>
      <c r="N73" s="70">
        <v>4.5</v>
      </c>
      <c r="O73" s="70">
        <v>4.5</v>
      </c>
      <c r="P73" s="70">
        <v>4.5</v>
      </c>
      <c r="Q73" s="70">
        <v>4.5</v>
      </c>
      <c r="R73" s="70">
        <v>4.5</v>
      </c>
      <c r="S73" s="70">
        <v>4.5</v>
      </c>
      <c r="T73" s="70">
        <v>4.5</v>
      </c>
      <c r="U73" s="70">
        <v>4.5</v>
      </c>
      <c r="V73" s="70">
        <v>4.5</v>
      </c>
      <c r="W73" s="70">
        <v>4.5</v>
      </c>
      <c r="X73" s="70">
        <v>4.5</v>
      </c>
      <c r="Y73" s="70">
        <v>4.5</v>
      </c>
      <c r="Z73" s="70">
        <v>4.5</v>
      </c>
      <c r="AA73" s="70">
        <v>4.5</v>
      </c>
      <c r="AB73" s="70">
        <v>4.5</v>
      </c>
      <c r="AC73" s="70">
        <v>4.5</v>
      </c>
      <c r="AD73" s="70">
        <v>4.5</v>
      </c>
      <c r="AE73" s="70">
        <v>4.5</v>
      </c>
      <c r="AF73" s="70">
        <v>4.5</v>
      </c>
      <c r="AG73" s="86">
        <v>10.050000000000001</v>
      </c>
      <c r="AH73" s="12">
        <f t="shared" si="8"/>
        <v>4.5</v>
      </c>
      <c r="AI73" s="11">
        <f t="shared" si="9"/>
        <v>4.4000000000000004</v>
      </c>
      <c r="AK73" s="19"/>
      <c r="AY73" s="1" t="s">
        <v>188</v>
      </c>
      <c r="AZ73" s="78">
        <f>ROUND(C91,0)</f>
        <v>46</v>
      </c>
      <c r="BA73" s="78">
        <f>D91</f>
        <v>47.6</v>
      </c>
      <c r="BB73" s="78">
        <f>E91</f>
        <v>47.1</v>
      </c>
      <c r="BC73" s="78">
        <f>F91</f>
        <v>46.9</v>
      </c>
      <c r="BD73" s="78">
        <f>G91</f>
        <v>46.6</v>
      </c>
      <c r="BE73" s="78">
        <f>I91</f>
        <v>40</v>
      </c>
      <c r="BF73" s="78">
        <f>K91</f>
        <v>52.1</v>
      </c>
      <c r="BG73" s="78">
        <f t="shared" ref="BG73:BP73" si="36">M91</f>
        <v>51.7</v>
      </c>
      <c r="BH73" s="78">
        <f t="shared" si="36"/>
        <v>49.962000000000003</v>
      </c>
      <c r="BI73" s="78">
        <f t="shared" si="36"/>
        <v>53</v>
      </c>
      <c r="BJ73" s="78">
        <f t="shared" si="36"/>
        <v>51</v>
      </c>
      <c r="BK73" s="78">
        <f t="shared" si="36"/>
        <v>53</v>
      </c>
      <c r="BL73" s="78">
        <f t="shared" si="36"/>
        <v>54</v>
      </c>
      <c r="BM73" s="78">
        <f t="shared" si="36"/>
        <v>55</v>
      </c>
      <c r="BN73" s="78">
        <f t="shared" si="36"/>
        <v>53</v>
      </c>
      <c r="BO73" s="78">
        <f t="shared" si="36"/>
        <v>51</v>
      </c>
      <c r="BP73" s="78">
        <f t="shared" si="36"/>
        <v>46.2</v>
      </c>
      <c r="BQ73" s="78">
        <f>X91</f>
        <v>42</v>
      </c>
      <c r="BR73" s="78">
        <f>Z91</f>
        <v>43</v>
      </c>
      <c r="BS73" s="78">
        <f>AB91</f>
        <v>35.700000000000003</v>
      </c>
      <c r="BT73" s="78">
        <f>AD91</f>
        <v>33.9</v>
      </c>
      <c r="BU73" s="78">
        <f>AE91</f>
        <v>45.2</v>
      </c>
      <c r="BV73" s="78">
        <f>AF91</f>
        <v>42.6</v>
      </c>
      <c r="BW73" s="78">
        <f>B91</f>
        <v>45</v>
      </c>
    </row>
    <row r="74" spans="1:75" x14ac:dyDescent="0.25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.75" thickBot="1" x14ac:dyDescent="0.3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3.5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</v>
      </c>
      <c r="AK75" s="19"/>
      <c r="AZ75" s="78">
        <f t="shared" ref="AZ75:BW80" si="37">VALUE(AZ68)</f>
        <v>17</v>
      </c>
      <c r="BA75" s="78">
        <f t="shared" si="37"/>
        <v>11</v>
      </c>
      <c r="BB75" s="78">
        <f t="shared" si="37"/>
        <v>16.600000000000001</v>
      </c>
      <c r="BC75" s="78">
        <f t="shared" si="37"/>
        <v>19</v>
      </c>
      <c r="BD75" s="78">
        <f t="shared" si="37"/>
        <v>20.5</v>
      </c>
      <c r="BE75" s="78">
        <f t="shared" si="37"/>
        <v>16.7</v>
      </c>
      <c r="BF75" s="78">
        <f t="shared" si="37"/>
        <v>68</v>
      </c>
      <c r="BG75" s="78">
        <f t="shared" si="37"/>
        <v>62.7</v>
      </c>
      <c r="BH75" s="78">
        <f t="shared" si="37"/>
        <v>63.7</v>
      </c>
      <c r="BI75" s="78">
        <f t="shared" si="37"/>
        <v>72.900000000000006</v>
      </c>
      <c r="BJ75" s="78">
        <f t="shared" si="37"/>
        <v>74.599999999999994</v>
      </c>
      <c r="BK75" s="78">
        <f t="shared" si="37"/>
        <v>68.400000000000006</v>
      </c>
      <c r="BL75" s="78">
        <f t="shared" si="37"/>
        <v>64.099999999999994</v>
      </c>
      <c r="BM75" s="78">
        <f t="shared" si="37"/>
        <v>68</v>
      </c>
      <c r="BN75" s="78">
        <f t="shared" si="37"/>
        <v>72</v>
      </c>
      <c r="BO75" s="78">
        <f t="shared" si="37"/>
        <v>76</v>
      </c>
      <c r="BP75" s="78">
        <f t="shared" si="37"/>
        <v>75.7</v>
      </c>
      <c r="BQ75" s="78">
        <f t="shared" si="37"/>
        <v>63</v>
      </c>
      <c r="BR75" s="78">
        <f t="shared" si="37"/>
        <v>14</v>
      </c>
      <c r="BS75" s="78">
        <f t="shared" si="37"/>
        <v>25.5</v>
      </c>
      <c r="BT75" s="78">
        <f t="shared" si="37"/>
        <v>22.4</v>
      </c>
      <c r="BU75" s="78">
        <f t="shared" si="37"/>
        <v>20.3</v>
      </c>
      <c r="BV75" s="78">
        <f t="shared" si="37"/>
        <v>17.7</v>
      </c>
      <c r="BW75" s="78">
        <f t="shared" si="37"/>
        <v>13.6</v>
      </c>
    </row>
    <row r="76" spans="1:75" ht="15.75" thickBot="1" x14ac:dyDescent="0.3">
      <c r="A76" s="77" t="s">
        <v>186</v>
      </c>
      <c r="B76" s="76">
        <f t="shared" ref="B76:C76" si="38">SUM(B63:B75)</f>
        <v>258.04000000000002</v>
      </c>
      <c r="C76" s="76">
        <f t="shared" si="38"/>
        <v>238.84</v>
      </c>
      <c r="D76" s="76">
        <f t="shared" ref="D76:AG76" si="39">SUM(D63:D75)</f>
        <v>232.64</v>
      </c>
      <c r="E76" s="76">
        <f t="shared" si="39"/>
        <v>247.44</v>
      </c>
      <c r="F76" s="76">
        <f t="shared" si="39"/>
        <v>259.24</v>
      </c>
      <c r="G76" s="76">
        <f t="shared" si="39"/>
        <v>232.04000000000002</v>
      </c>
      <c r="H76" s="76">
        <f t="shared" si="39"/>
        <v>232.04000000000002</v>
      </c>
      <c r="I76" s="76">
        <f t="shared" si="39"/>
        <v>234.04000000000002</v>
      </c>
      <c r="J76" s="76">
        <f t="shared" si="39"/>
        <v>226.54</v>
      </c>
      <c r="K76" s="76">
        <f t="shared" si="39"/>
        <v>243.44000000000003</v>
      </c>
      <c r="L76" s="76">
        <f t="shared" si="39"/>
        <v>239.74</v>
      </c>
      <c r="M76" s="76">
        <f t="shared" si="39"/>
        <v>269.74</v>
      </c>
      <c r="N76" s="76">
        <f t="shared" si="39"/>
        <v>245.23999999999995</v>
      </c>
      <c r="O76" s="76">
        <f t="shared" si="39"/>
        <v>282.74000000000007</v>
      </c>
      <c r="P76" s="76">
        <f t="shared" si="39"/>
        <v>267.44</v>
      </c>
      <c r="Q76" s="76">
        <f t="shared" si="39"/>
        <v>272.74000000000007</v>
      </c>
      <c r="R76" s="76">
        <f t="shared" si="39"/>
        <v>280.44</v>
      </c>
      <c r="S76" s="76">
        <f t="shared" si="39"/>
        <v>264.34000000000003</v>
      </c>
      <c r="T76" s="76">
        <f t="shared" ref="T76:U76" si="40">SUM(T63:T75)</f>
        <v>260.54000000000002</v>
      </c>
      <c r="U76" s="76">
        <f t="shared" si="40"/>
        <v>261.74000000000007</v>
      </c>
      <c r="V76" s="76">
        <f t="shared" si="39"/>
        <v>241.54</v>
      </c>
      <c r="W76" s="76">
        <f t="shared" si="39"/>
        <v>214.54</v>
      </c>
      <c r="X76" s="76">
        <f t="shared" ref="X76" si="41">SUM(X63:X75)</f>
        <v>209.64</v>
      </c>
      <c r="Y76" s="76">
        <f t="shared" si="39"/>
        <v>208.3</v>
      </c>
      <c r="Z76" s="76">
        <f t="shared" si="39"/>
        <v>362.2</v>
      </c>
      <c r="AA76" s="76">
        <f t="shared" si="39"/>
        <v>371.24</v>
      </c>
      <c r="AB76" s="76">
        <f t="shared" si="39"/>
        <v>349.84000000000003</v>
      </c>
      <c r="AC76" s="76">
        <f t="shared" si="39"/>
        <v>307.34000000000003</v>
      </c>
      <c r="AD76" s="76">
        <f t="shared" si="39"/>
        <v>305.74000000000007</v>
      </c>
      <c r="AE76" s="76">
        <f t="shared" si="39"/>
        <v>280.24</v>
      </c>
      <c r="AF76" s="76">
        <f t="shared" si="39"/>
        <v>270.14000000000004</v>
      </c>
      <c r="AG76" s="93">
        <f t="shared" si="39"/>
        <v>489.91</v>
      </c>
      <c r="AH76" s="12">
        <f t="shared" si="8"/>
        <v>371.24</v>
      </c>
      <c r="AI76" s="11">
        <f t="shared" si="9"/>
        <v>208.3</v>
      </c>
      <c r="AK76" s="19"/>
      <c r="AZ76" s="78">
        <f t="shared" si="37"/>
        <v>0</v>
      </c>
      <c r="BA76" s="78">
        <f t="shared" si="37"/>
        <v>0</v>
      </c>
      <c r="BB76" s="78">
        <f t="shared" si="37"/>
        <v>0</v>
      </c>
      <c r="BC76" s="78">
        <f t="shared" si="37"/>
        <v>0</v>
      </c>
      <c r="BD76" s="78">
        <f t="shared" si="37"/>
        <v>0</v>
      </c>
      <c r="BE76" s="78">
        <f t="shared" si="37"/>
        <v>0</v>
      </c>
      <c r="BF76" s="78">
        <f t="shared" si="37"/>
        <v>99.2</v>
      </c>
      <c r="BG76" s="78">
        <f t="shared" si="37"/>
        <v>106.8</v>
      </c>
      <c r="BH76" s="78">
        <f t="shared" si="37"/>
        <v>101.5</v>
      </c>
      <c r="BI76" s="78">
        <f t="shared" si="37"/>
        <v>100.3</v>
      </c>
      <c r="BJ76" s="78">
        <f t="shared" si="37"/>
        <v>101.3</v>
      </c>
      <c r="BK76" s="78">
        <f t="shared" si="37"/>
        <v>98.2</v>
      </c>
      <c r="BL76" s="78">
        <f t="shared" si="37"/>
        <v>120.8</v>
      </c>
      <c r="BM76" s="78">
        <f t="shared" si="37"/>
        <v>102</v>
      </c>
      <c r="BN76" s="78">
        <f t="shared" si="37"/>
        <v>114</v>
      </c>
      <c r="BO76" s="78">
        <f t="shared" si="37"/>
        <v>120</v>
      </c>
      <c r="BP76" s="78">
        <f t="shared" si="37"/>
        <v>119.7</v>
      </c>
      <c r="BQ76" s="78">
        <f t="shared" si="37"/>
        <v>114</v>
      </c>
      <c r="BR76" s="78">
        <f t="shared" si="37"/>
        <v>0</v>
      </c>
      <c r="BS76" s="78">
        <f t="shared" si="37"/>
        <v>0</v>
      </c>
      <c r="BT76" s="78">
        <f t="shared" si="37"/>
        <v>0</v>
      </c>
      <c r="BU76" s="78">
        <f t="shared" si="37"/>
        <v>0</v>
      </c>
      <c r="BV76" s="78">
        <f t="shared" si="37"/>
        <v>0</v>
      </c>
      <c r="BW76" s="78">
        <f t="shared" si="37"/>
        <v>0</v>
      </c>
    </row>
    <row r="77" spans="1:75" x14ac:dyDescent="0.25">
      <c r="A77" s="89" t="s">
        <v>185</v>
      </c>
      <c r="B77" s="102">
        <v>59.4</v>
      </c>
      <c r="C77" s="102">
        <v>59.4</v>
      </c>
      <c r="D77" s="102">
        <v>59.4</v>
      </c>
      <c r="E77" s="102">
        <v>59.4</v>
      </c>
      <c r="F77" s="102">
        <v>59.5</v>
      </c>
      <c r="G77" s="102">
        <v>59.5</v>
      </c>
      <c r="H77" s="102">
        <v>59.5</v>
      </c>
      <c r="I77" s="102">
        <v>59.8</v>
      </c>
      <c r="J77" s="102">
        <v>39.1</v>
      </c>
      <c r="K77" s="102">
        <v>50</v>
      </c>
      <c r="L77" s="102">
        <v>59.8</v>
      </c>
      <c r="M77" s="102">
        <v>59.8</v>
      </c>
      <c r="N77" s="102">
        <v>59.8</v>
      </c>
      <c r="O77" s="102">
        <v>59.8</v>
      </c>
      <c r="P77" s="102">
        <v>59.8</v>
      </c>
      <c r="Q77" s="102">
        <v>59.8</v>
      </c>
      <c r="R77" s="102">
        <v>59.6</v>
      </c>
      <c r="S77" s="102">
        <v>59.6</v>
      </c>
      <c r="T77" s="102">
        <v>59.6</v>
      </c>
      <c r="U77" s="102">
        <v>59.6</v>
      </c>
      <c r="V77" s="102">
        <v>59.6</v>
      </c>
      <c r="W77" s="102">
        <v>59.6</v>
      </c>
      <c r="X77" s="102">
        <v>45</v>
      </c>
      <c r="Y77" s="102">
        <v>60</v>
      </c>
      <c r="Z77" s="102">
        <v>40</v>
      </c>
      <c r="AA77" s="102">
        <v>59.5</v>
      </c>
      <c r="AB77" s="102">
        <v>59.5</v>
      </c>
      <c r="AC77" s="102">
        <v>59.5</v>
      </c>
      <c r="AD77" s="102">
        <v>59.5</v>
      </c>
      <c r="AE77" s="102">
        <v>59.4</v>
      </c>
      <c r="AF77" s="102">
        <v>59.4</v>
      </c>
      <c r="AG77" s="88">
        <v>60</v>
      </c>
      <c r="AH77" s="12">
        <f t="shared" si="8"/>
        <v>60</v>
      </c>
      <c r="AI77" s="11">
        <f t="shared" si="9"/>
        <v>39.1</v>
      </c>
      <c r="AK77" s="19"/>
      <c r="AZ77" s="78">
        <f t="shared" si="37"/>
        <v>146</v>
      </c>
      <c r="BA77" s="78">
        <f t="shared" si="37"/>
        <v>87</v>
      </c>
      <c r="BB77" s="78">
        <f t="shared" si="37"/>
        <v>73.8</v>
      </c>
      <c r="BC77" s="78">
        <f t="shared" si="37"/>
        <v>62.2</v>
      </c>
      <c r="BD77" s="78">
        <f t="shared" si="37"/>
        <v>144.1</v>
      </c>
      <c r="BE77" s="78">
        <f t="shared" si="37"/>
        <v>285</v>
      </c>
      <c r="BF77" s="78">
        <f t="shared" si="37"/>
        <v>460.3</v>
      </c>
      <c r="BG77" s="78">
        <f t="shared" si="37"/>
        <v>511</v>
      </c>
      <c r="BH77" s="78">
        <f t="shared" si="37"/>
        <v>491.7</v>
      </c>
      <c r="BI77" s="78">
        <f t="shared" si="37"/>
        <v>506.3</v>
      </c>
      <c r="BJ77" s="78">
        <f t="shared" si="37"/>
        <v>520.5</v>
      </c>
      <c r="BK77" s="78">
        <f t="shared" si="37"/>
        <v>527.9</v>
      </c>
      <c r="BL77" s="78">
        <f t="shared" si="37"/>
        <v>496</v>
      </c>
      <c r="BM77" s="78">
        <f t="shared" si="37"/>
        <v>495</v>
      </c>
      <c r="BN77" s="78">
        <f t="shared" si="37"/>
        <v>504</v>
      </c>
      <c r="BO77" s="78">
        <f t="shared" si="37"/>
        <v>463</v>
      </c>
      <c r="BP77" s="78">
        <f t="shared" si="37"/>
        <v>435</v>
      </c>
      <c r="BQ77" s="78">
        <f t="shared" si="37"/>
        <v>425</v>
      </c>
      <c r="BR77" s="78">
        <f t="shared" si="37"/>
        <v>261</v>
      </c>
      <c r="BS77" s="78">
        <f t="shared" si="37"/>
        <v>134.19999999999999</v>
      </c>
      <c r="BT77" s="78">
        <f t="shared" si="37"/>
        <v>129.69999999999999</v>
      </c>
      <c r="BU77" s="78">
        <f t="shared" si="37"/>
        <v>142</v>
      </c>
      <c r="BV77" s="78">
        <f t="shared" si="37"/>
        <v>100.3</v>
      </c>
      <c r="BW77" s="78">
        <f t="shared" si="37"/>
        <v>82.8</v>
      </c>
    </row>
    <row r="78" spans="1:75" x14ac:dyDescent="0.25">
      <c r="A78" s="87" t="s">
        <v>184</v>
      </c>
      <c r="B78" s="70">
        <v>28</v>
      </c>
      <c r="C78" s="70">
        <v>28</v>
      </c>
      <c r="D78" s="70">
        <v>27.4</v>
      </c>
      <c r="E78" s="70">
        <v>27.4</v>
      </c>
      <c r="F78" s="70">
        <v>27.5</v>
      </c>
      <c r="G78" s="70">
        <v>27.5</v>
      </c>
      <c r="H78" s="70">
        <v>27.5</v>
      </c>
      <c r="I78" s="70">
        <v>27.6</v>
      </c>
      <c r="J78" s="70">
        <v>15</v>
      </c>
      <c r="K78" s="70">
        <v>17.399999999999999</v>
      </c>
      <c r="L78" s="70">
        <v>27.9</v>
      </c>
      <c r="M78" s="70">
        <v>27.9</v>
      </c>
      <c r="N78" s="70">
        <v>29.2</v>
      </c>
      <c r="O78" s="70">
        <v>28.6</v>
      </c>
      <c r="P78" s="70">
        <v>28.6</v>
      </c>
      <c r="Q78" s="70">
        <v>28.6</v>
      </c>
      <c r="R78" s="70">
        <v>28.7</v>
      </c>
      <c r="S78" s="70">
        <v>28.7</v>
      </c>
      <c r="T78" s="70">
        <v>28.7</v>
      </c>
      <c r="U78" s="70">
        <v>28.7</v>
      </c>
      <c r="V78" s="70">
        <v>28.7</v>
      </c>
      <c r="W78" s="70">
        <v>28.7</v>
      </c>
      <c r="X78" s="70">
        <v>28.7</v>
      </c>
      <c r="Y78" s="70">
        <v>21.1</v>
      </c>
      <c r="Z78" s="70">
        <v>17.5</v>
      </c>
      <c r="AA78" s="70">
        <v>27.8</v>
      </c>
      <c r="AB78" s="70">
        <v>28.4</v>
      </c>
      <c r="AC78" s="70">
        <v>27.5</v>
      </c>
      <c r="AD78" s="70">
        <v>27.5</v>
      </c>
      <c r="AE78" s="70">
        <v>27.6</v>
      </c>
      <c r="AF78" s="70">
        <v>27.6</v>
      </c>
      <c r="AG78" s="86">
        <v>32</v>
      </c>
      <c r="AH78" s="12">
        <f t="shared" si="8"/>
        <v>29.2</v>
      </c>
      <c r="AI78" s="11">
        <f t="shared" si="9"/>
        <v>15</v>
      </c>
      <c r="AK78" s="19"/>
      <c r="AZ78" s="78">
        <f t="shared" si="37"/>
        <v>15</v>
      </c>
      <c r="BA78" s="78">
        <f t="shared" si="37"/>
        <v>15.1</v>
      </c>
      <c r="BB78" s="78">
        <f t="shared" si="37"/>
        <v>15.3</v>
      </c>
      <c r="BC78" s="78">
        <f t="shared" si="37"/>
        <v>14.8</v>
      </c>
      <c r="BD78" s="78">
        <f t="shared" si="37"/>
        <v>14.7</v>
      </c>
      <c r="BE78" s="78">
        <f t="shared" si="37"/>
        <v>12.3</v>
      </c>
      <c r="BF78" s="78">
        <f t="shared" si="37"/>
        <v>45.9</v>
      </c>
      <c r="BG78" s="78">
        <f t="shared" si="37"/>
        <v>56.1</v>
      </c>
      <c r="BH78" s="78">
        <f t="shared" si="37"/>
        <v>36.799999999999997</v>
      </c>
      <c r="BI78" s="78">
        <f t="shared" si="37"/>
        <v>50.1</v>
      </c>
      <c r="BJ78" s="78">
        <f t="shared" si="37"/>
        <v>53.2</v>
      </c>
      <c r="BK78" s="78">
        <f t="shared" si="37"/>
        <v>51.8</v>
      </c>
      <c r="BL78" s="78">
        <f t="shared" si="37"/>
        <v>56</v>
      </c>
      <c r="BM78" s="78">
        <f t="shared" si="37"/>
        <v>55</v>
      </c>
      <c r="BN78" s="78">
        <f t="shared" si="37"/>
        <v>52</v>
      </c>
      <c r="BO78" s="78">
        <f t="shared" si="37"/>
        <v>54.6</v>
      </c>
      <c r="BP78" s="78">
        <f t="shared" si="37"/>
        <v>53.1</v>
      </c>
      <c r="BQ78" s="78">
        <f t="shared" si="37"/>
        <v>28</v>
      </c>
      <c r="BR78" s="78">
        <f t="shared" si="37"/>
        <v>13</v>
      </c>
      <c r="BS78" s="78">
        <f t="shared" si="37"/>
        <v>13.7</v>
      </c>
      <c r="BT78" s="78">
        <f t="shared" si="37"/>
        <v>14.5</v>
      </c>
      <c r="BU78" s="78">
        <f t="shared" si="37"/>
        <v>15.3</v>
      </c>
      <c r="BV78" s="78">
        <f t="shared" si="37"/>
        <v>15.3</v>
      </c>
      <c r="BW78" s="78">
        <f t="shared" si="37"/>
        <v>15.5</v>
      </c>
    </row>
    <row r="79" spans="1:75" ht="15.75" thickBot="1" x14ac:dyDescent="0.3">
      <c r="A79" s="111" t="s">
        <v>183</v>
      </c>
      <c r="B79" s="110">
        <v>10</v>
      </c>
      <c r="C79" s="110">
        <v>10</v>
      </c>
      <c r="D79" s="110">
        <v>10</v>
      </c>
      <c r="E79" s="110">
        <v>10</v>
      </c>
      <c r="F79" s="110">
        <v>10</v>
      </c>
      <c r="G79" s="110">
        <v>10</v>
      </c>
      <c r="H79" s="110">
        <v>10</v>
      </c>
      <c r="I79" s="110">
        <v>10.1</v>
      </c>
      <c r="J79" s="110">
        <v>5.5</v>
      </c>
      <c r="K79" s="110">
        <v>6.3</v>
      </c>
      <c r="L79" s="110">
        <v>10.199999999999999</v>
      </c>
      <c r="M79" s="110">
        <v>10.199999999999999</v>
      </c>
      <c r="N79" s="110">
        <v>10.6</v>
      </c>
      <c r="O79" s="110">
        <v>10.4</v>
      </c>
      <c r="P79" s="110">
        <v>10.4</v>
      </c>
      <c r="Q79" s="110">
        <v>10.4</v>
      </c>
      <c r="R79" s="110">
        <v>10.5</v>
      </c>
      <c r="S79" s="110">
        <v>10.5</v>
      </c>
      <c r="T79" s="110">
        <v>10.5</v>
      </c>
      <c r="U79" s="110">
        <v>10.5</v>
      </c>
      <c r="V79" s="110">
        <v>10.5</v>
      </c>
      <c r="W79" s="110">
        <v>10.5</v>
      </c>
      <c r="X79" s="110">
        <v>10.5</v>
      </c>
      <c r="Y79" s="110">
        <v>7.7</v>
      </c>
      <c r="Z79" s="110">
        <v>6.4</v>
      </c>
      <c r="AA79" s="110">
        <v>10.1</v>
      </c>
      <c r="AB79" s="110">
        <v>10.4</v>
      </c>
      <c r="AC79" s="110">
        <v>10</v>
      </c>
      <c r="AD79" s="110">
        <v>10</v>
      </c>
      <c r="AE79" s="110">
        <v>10.1</v>
      </c>
      <c r="AF79" s="110">
        <v>10.1</v>
      </c>
      <c r="AG79" s="109">
        <v>14</v>
      </c>
      <c r="AH79" s="12">
        <f t="shared" si="8"/>
        <v>10.6</v>
      </c>
      <c r="AI79" s="11">
        <f t="shared" si="9"/>
        <v>5.5</v>
      </c>
      <c r="AK79" s="19"/>
      <c r="AZ79" s="78">
        <f t="shared" si="37"/>
        <v>0</v>
      </c>
      <c r="BA79" s="78">
        <f t="shared" si="37"/>
        <v>0</v>
      </c>
      <c r="BB79" s="78">
        <f t="shared" si="37"/>
        <v>0</v>
      </c>
      <c r="BC79" s="78">
        <f t="shared" si="37"/>
        <v>0</v>
      </c>
      <c r="BD79" s="78">
        <f t="shared" si="37"/>
        <v>0</v>
      </c>
      <c r="BE79" s="78">
        <f t="shared" si="37"/>
        <v>0</v>
      </c>
      <c r="BF79" s="78">
        <f t="shared" si="37"/>
        <v>99.2</v>
      </c>
      <c r="BG79" s="78">
        <f t="shared" si="37"/>
        <v>109.8</v>
      </c>
      <c r="BH79" s="78">
        <f t="shared" si="37"/>
        <v>108.2</v>
      </c>
      <c r="BI79" s="78">
        <f t="shared" si="37"/>
        <v>127.6</v>
      </c>
      <c r="BJ79" s="78">
        <f t="shared" si="37"/>
        <v>136.4</v>
      </c>
      <c r="BK79" s="78">
        <f t="shared" si="37"/>
        <v>118.5</v>
      </c>
      <c r="BL79" s="78">
        <f t="shared" si="37"/>
        <v>130.1</v>
      </c>
      <c r="BM79" s="78">
        <f t="shared" si="37"/>
        <v>118</v>
      </c>
      <c r="BN79" s="78">
        <f t="shared" si="37"/>
        <v>127</v>
      </c>
      <c r="BO79" s="78">
        <f t="shared" si="37"/>
        <v>113</v>
      </c>
      <c r="BP79" s="78">
        <f t="shared" si="37"/>
        <v>111</v>
      </c>
      <c r="BQ79" s="78">
        <f t="shared" si="37"/>
        <v>114</v>
      </c>
      <c r="BR79" s="78">
        <f t="shared" si="37"/>
        <v>0</v>
      </c>
      <c r="BS79" s="78">
        <f t="shared" si="37"/>
        <v>0</v>
      </c>
      <c r="BT79" s="78">
        <f t="shared" si="37"/>
        <v>0</v>
      </c>
      <c r="BU79" s="78">
        <f t="shared" si="37"/>
        <v>0</v>
      </c>
      <c r="BV79" s="78">
        <f t="shared" si="37"/>
        <v>0</v>
      </c>
      <c r="BW79" s="78">
        <f t="shared" si="37"/>
        <v>0</v>
      </c>
    </row>
    <row r="80" spans="1:75" ht="15.75" thickBot="1" x14ac:dyDescent="0.3">
      <c r="A80" s="77" t="s">
        <v>182</v>
      </c>
      <c r="B80" s="76">
        <f t="shared" ref="B80:C80" si="42">B77+B78+B79</f>
        <v>97.4</v>
      </c>
      <c r="C80" s="76">
        <f t="shared" si="42"/>
        <v>97.4</v>
      </c>
      <c r="D80" s="76">
        <f t="shared" ref="D80:AF80" si="43">D77+D78+D79</f>
        <v>96.8</v>
      </c>
      <c r="E80" s="76">
        <f t="shared" si="43"/>
        <v>96.8</v>
      </c>
      <c r="F80" s="76">
        <f t="shared" si="43"/>
        <v>97</v>
      </c>
      <c r="G80" s="76">
        <f t="shared" si="43"/>
        <v>97</v>
      </c>
      <c r="H80" s="76">
        <f t="shared" si="43"/>
        <v>97</v>
      </c>
      <c r="I80" s="76">
        <f t="shared" si="43"/>
        <v>97.5</v>
      </c>
      <c r="J80" s="76">
        <f t="shared" si="43"/>
        <v>59.6</v>
      </c>
      <c r="K80" s="76">
        <f t="shared" si="43"/>
        <v>73.7</v>
      </c>
      <c r="L80" s="76">
        <f t="shared" si="43"/>
        <v>97.899999999999991</v>
      </c>
      <c r="M80" s="76">
        <f t="shared" si="43"/>
        <v>97.899999999999991</v>
      </c>
      <c r="N80" s="76">
        <f t="shared" si="43"/>
        <v>99.6</v>
      </c>
      <c r="O80" s="76">
        <f t="shared" si="43"/>
        <v>98.800000000000011</v>
      </c>
      <c r="P80" s="76">
        <f t="shared" si="43"/>
        <v>98.800000000000011</v>
      </c>
      <c r="Q80" s="76">
        <f t="shared" si="43"/>
        <v>98.800000000000011</v>
      </c>
      <c r="R80" s="76">
        <f t="shared" si="43"/>
        <v>98.8</v>
      </c>
      <c r="S80" s="76">
        <f t="shared" si="43"/>
        <v>98.8</v>
      </c>
      <c r="T80" s="76">
        <f t="shared" ref="T80:U80" si="44">T77+T78+T79</f>
        <v>98.8</v>
      </c>
      <c r="U80" s="76">
        <f t="shared" si="44"/>
        <v>98.8</v>
      </c>
      <c r="V80" s="76">
        <f t="shared" si="43"/>
        <v>98.8</v>
      </c>
      <c r="W80" s="76">
        <f t="shared" si="43"/>
        <v>98.8</v>
      </c>
      <c r="X80" s="76">
        <f t="shared" ref="X80" si="45">X77+X78+X79</f>
        <v>84.2</v>
      </c>
      <c r="Y80" s="76">
        <f t="shared" si="43"/>
        <v>88.8</v>
      </c>
      <c r="Z80" s="76">
        <f t="shared" si="43"/>
        <v>63.9</v>
      </c>
      <c r="AA80" s="76">
        <f t="shared" si="43"/>
        <v>97.399999999999991</v>
      </c>
      <c r="AB80" s="76">
        <f t="shared" si="43"/>
        <v>98.300000000000011</v>
      </c>
      <c r="AC80" s="76">
        <f t="shared" si="43"/>
        <v>97</v>
      </c>
      <c r="AD80" s="76">
        <f t="shared" si="43"/>
        <v>97</v>
      </c>
      <c r="AE80" s="76">
        <f t="shared" si="43"/>
        <v>97.1</v>
      </c>
      <c r="AF80" s="76">
        <f t="shared" si="43"/>
        <v>97.1</v>
      </c>
      <c r="AG80" s="93">
        <f>SUM(AG77:AG79)</f>
        <v>106</v>
      </c>
      <c r="AH80" s="12">
        <f t="shared" si="8"/>
        <v>99.6</v>
      </c>
      <c r="AI80" s="11">
        <f t="shared" si="9"/>
        <v>59.6</v>
      </c>
      <c r="AK80" s="19"/>
      <c r="AZ80" s="78">
        <f t="shared" si="37"/>
        <v>46</v>
      </c>
      <c r="BA80" s="78">
        <f t="shared" si="37"/>
        <v>47.6</v>
      </c>
      <c r="BB80" s="78">
        <f t="shared" si="37"/>
        <v>47.1</v>
      </c>
      <c r="BC80" s="78">
        <f t="shared" si="37"/>
        <v>46.9</v>
      </c>
      <c r="BD80" s="78">
        <f t="shared" si="37"/>
        <v>46.6</v>
      </c>
      <c r="BE80" s="78">
        <f t="shared" si="37"/>
        <v>40</v>
      </c>
      <c r="BF80" s="78">
        <f t="shared" si="37"/>
        <v>52.1</v>
      </c>
      <c r="BG80" s="78">
        <f t="shared" si="37"/>
        <v>51.7</v>
      </c>
      <c r="BH80" s="78">
        <f t="shared" si="37"/>
        <v>49.962000000000003</v>
      </c>
      <c r="BI80" s="78">
        <f t="shared" si="37"/>
        <v>53</v>
      </c>
      <c r="BJ80" s="78">
        <f t="shared" si="37"/>
        <v>51</v>
      </c>
      <c r="BK80" s="78">
        <f t="shared" si="37"/>
        <v>53</v>
      </c>
      <c r="BL80" s="78">
        <f t="shared" si="37"/>
        <v>54</v>
      </c>
      <c r="BM80" s="78">
        <f t="shared" si="37"/>
        <v>55</v>
      </c>
      <c r="BN80" s="78">
        <f t="shared" si="37"/>
        <v>53</v>
      </c>
      <c r="BO80" s="78">
        <f t="shared" si="37"/>
        <v>51</v>
      </c>
      <c r="BP80" s="78">
        <f t="shared" si="37"/>
        <v>46.2</v>
      </c>
      <c r="BQ80" s="78">
        <f t="shared" si="37"/>
        <v>42</v>
      </c>
      <c r="BR80" s="78">
        <f t="shared" si="37"/>
        <v>43</v>
      </c>
      <c r="BS80" s="78">
        <f t="shared" si="37"/>
        <v>35.700000000000003</v>
      </c>
      <c r="BT80" s="78">
        <f t="shared" si="37"/>
        <v>33.9</v>
      </c>
      <c r="BU80" s="78">
        <f t="shared" si="37"/>
        <v>45.2</v>
      </c>
      <c r="BV80" s="78">
        <f t="shared" si="37"/>
        <v>42.6</v>
      </c>
      <c r="BW80" s="78">
        <f t="shared" si="37"/>
        <v>45</v>
      </c>
    </row>
    <row r="81" spans="1:64" x14ac:dyDescent="0.25">
      <c r="A81" s="89" t="s">
        <v>157</v>
      </c>
      <c r="B81" s="102">
        <v>13.6</v>
      </c>
      <c r="C81" s="102">
        <v>17</v>
      </c>
      <c r="D81" s="102">
        <v>11</v>
      </c>
      <c r="E81" s="102">
        <v>16.600000000000001</v>
      </c>
      <c r="F81" s="102">
        <v>19</v>
      </c>
      <c r="G81" s="102">
        <v>20.5</v>
      </c>
      <c r="H81" s="102">
        <v>20.100000000000001</v>
      </c>
      <c r="I81" s="102">
        <v>16.7</v>
      </c>
      <c r="J81" s="102">
        <v>53.1</v>
      </c>
      <c r="K81" s="102">
        <v>68</v>
      </c>
      <c r="L81" s="102">
        <v>63.7</v>
      </c>
      <c r="M81" s="102">
        <v>62.7</v>
      </c>
      <c r="N81" s="102">
        <v>63.7</v>
      </c>
      <c r="O81" s="102">
        <v>72.900000000000006</v>
      </c>
      <c r="P81" s="102">
        <v>74.599999999999994</v>
      </c>
      <c r="Q81" s="102">
        <v>68.400000000000006</v>
      </c>
      <c r="R81" s="102">
        <v>64.099999999999994</v>
      </c>
      <c r="S81" s="102">
        <v>68</v>
      </c>
      <c r="T81" s="102">
        <v>72</v>
      </c>
      <c r="U81" s="102">
        <v>76</v>
      </c>
      <c r="V81" s="102">
        <v>75.7</v>
      </c>
      <c r="W81" s="102">
        <v>72</v>
      </c>
      <c r="X81" s="102">
        <v>63</v>
      </c>
      <c r="Y81" s="102">
        <v>103</v>
      </c>
      <c r="Z81" s="102">
        <v>14</v>
      </c>
      <c r="AA81" s="102">
        <v>27.2</v>
      </c>
      <c r="AB81" s="102">
        <v>25.5</v>
      </c>
      <c r="AC81" s="102">
        <v>21.2</v>
      </c>
      <c r="AD81" s="102">
        <v>22.4</v>
      </c>
      <c r="AE81" s="102">
        <v>20.3</v>
      </c>
      <c r="AF81" s="102">
        <v>17.7</v>
      </c>
      <c r="AG81" s="88"/>
      <c r="AH81" s="12">
        <f t="shared" si="8"/>
        <v>103</v>
      </c>
      <c r="AI81" s="11">
        <f t="shared" si="9"/>
        <v>11</v>
      </c>
      <c r="AK81" s="19"/>
      <c r="AY81" s="78"/>
    </row>
    <row r="82" spans="1:64" x14ac:dyDescent="0.25">
      <c r="A82" s="87" t="s">
        <v>160</v>
      </c>
      <c r="B82" s="70">
        <v>0</v>
      </c>
      <c r="C82" s="70">
        <v>0</v>
      </c>
      <c r="D82" s="70">
        <v>0</v>
      </c>
      <c r="E82" s="70">
        <v>0</v>
      </c>
      <c r="F82" s="70">
        <v>0</v>
      </c>
      <c r="G82" s="70">
        <v>0</v>
      </c>
      <c r="H82" s="70">
        <v>0</v>
      </c>
      <c r="I82" s="70">
        <v>0</v>
      </c>
      <c r="J82" s="70">
        <v>86.6</v>
      </c>
      <c r="K82" s="70">
        <v>99.2</v>
      </c>
      <c r="L82" s="70">
        <v>107</v>
      </c>
      <c r="M82" s="70">
        <v>106.8</v>
      </c>
      <c r="N82" s="70">
        <v>101.5</v>
      </c>
      <c r="O82" s="70">
        <v>100.3</v>
      </c>
      <c r="P82" s="70">
        <v>101.3</v>
      </c>
      <c r="Q82" s="70">
        <v>98.2</v>
      </c>
      <c r="R82" s="70">
        <v>120.8</v>
      </c>
      <c r="S82" s="70">
        <v>102</v>
      </c>
      <c r="T82" s="70">
        <v>114</v>
      </c>
      <c r="U82" s="70">
        <v>120</v>
      </c>
      <c r="V82" s="70">
        <v>119.7</v>
      </c>
      <c r="W82" s="70">
        <v>124</v>
      </c>
      <c r="X82" s="70">
        <v>114</v>
      </c>
      <c r="Y82" s="70">
        <v>125</v>
      </c>
      <c r="Z82" s="70">
        <v>0</v>
      </c>
      <c r="AA82" s="70">
        <v>0</v>
      </c>
      <c r="AB82" s="70">
        <v>0</v>
      </c>
      <c r="AC82" s="70">
        <v>0</v>
      </c>
      <c r="AD82" s="70">
        <v>0</v>
      </c>
      <c r="AE82" s="70">
        <v>0</v>
      </c>
      <c r="AF82" s="70">
        <v>0</v>
      </c>
      <c r="AG82" s="86"/>
      <c r="AH82" s="12">
        <f t="shared" ref="AH82:AH125" si="46">MAX(B82:AF82)</f>
        <v>125</v>
      </c>
      <c r="AI82" s="11">
        <f t="shared" ref="AI82:AI125" si="47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25">
      <c r="A83" s="87" t="s">
        <v>181</v>
      </c>
      <c r="B83" s="70">
        <v>82.8</v>
      </c>
      <c r="C83" s="70">
        <v>145.80000000000001</v>
      </c>
      <c r="D83" s="70">
        <v>87</v>
      </c>
      <c r="E83" s="70">
        <v>73.8</v>
      </c>
      <c r="F83" s="70">
        <v>62.2</v>
      </c>
      <c r="G83" s="70">
        <v>144.1</v>
      </c>
      <c r="H83" s="70">
        <v>146.80000000000001</v>
      </c>
      <c r="I83" s="70">
        <v>285</v>
      </c>
      <c r="J83" s="70">
        <v>401.8</v>
      </c>
      <c r="K83" s="70">
        <v>460.3</v>
      </c>
      <c r="L83" s="70">
        <v>482</v>
      </c>
      <c r="M83" s="70">
        <v>511</v>
      </c>
      <c r="N83" s="70">
        <v>491.7</v>
      </c>
      <c r="O83" s="70">
        <v>506.3</v>
      </c>
      <c r="P83" s="70">
        <v>520.5</v>
      </c>
      <c r="Q83" s="70">
        <v>527.9</v>
      </c>
      <c r="R83" s="70">
        <v>496</v>
      </c>
      <c r="S83" s="70">
        <v>495</v>
      </c>
      <c r="T83" s="70">
        <v>504</v>
      </c>
      <c r="U83" s="70">
        <v>463</v>
      </c>
      <c r="V83" s="70">
        <v>435</v>
      </c>
      <c r="W83" s="70">
        <v>439</v>
      </c>
      <c r="X83" s="70">
        <v>425</v>
      </c>
      <c r="Y83" s="70">
        <v>50</v>
      </c>
      <c r="Z83" s="70">
        <v>261</v>
      </c>
      <c r="AA83" s="70">
        <v>117.6</v>
      </c>
      <c r="AB83" s="70">
        <v>134.19999999999999</v>
      </c>
      <c r="AC83" s="70">
        <v>168</v>
      </c>
      <c r="AD83" s="70">
        <v>129.69999999999999</v>
      </c>
      <c r="AE83" s="70">
        <v>142</v>
      </c>
      <c r="AF83" s="70">
        <v>100.3</v>
      </c>
      <c r="AG83" s="96"/>
      <c r="AH83" s="12">
        <f t="shared" si="46"/>
        <v>527.9</v>
      </c>
      <c r="AI83" s="11">
        <f t="shared" si="47"/>
        <v>50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25">
      <c r="A84" s="87" t="s">
        <v>161</v>
      </c>
      <c r="B84" s="70">
        <v>15.5</v>
      </c>
      <c r="C84" s="70">
        <v>15.4</v>
      </c>
      <c r="D84" s="70">
        <v>15.1</v>
      </c>
      <c r="E84" s="85">
        <v>15.3</v>
      </c>
      <c r="F84" s="85">
        <v>14.8</v>
      </c>
      <c r="G84" s="85">
        <v>14.7</v>
      </c>
      <c r="H84" s="85">
        <v>10.4</v>
      </c>
      <c r="I84" s="85">
        <v>12.3</v>
      </c>
      <c r="J84" s="85">
        <v>35.200000000000003</v>
      </c>
      <c r="K84" s="85">
        <v>45.9</v>
      </c>
      <c r="L84" s="85">
        <v>48.6</v>
      </c>
      <c r="M84" s="85">
        <v>56.1</v>
      </c>
      <c r="N84" s="85">
        <v>36.799999999999997</v>
      </c>
      <c r="O84" s="85">
        <v>50.1</v>
      </c>
      <c r="P84" s="85">
        <v>53.2</v>
      </c>
      <c r="Q84" s="85">
        <v>51.8</v>
      </c>
      <c r="R84" s="85">
        <v>56</v>
      </c>
      <c r="S84" s="85">
        <v>55</v>
      </c>
      <c r="T84" s="85">
        <v>52</v>
      </c>
      <c r="U84" s="85">
        <v>54.6</v>
      </c>
      <c r="V84" s="85">
        <v>53.1</v>
      </c>
      <c r="W84" s="85">
        <v>45.2</v>
      </c>
      <c r="X84" s="85">
        <v>28</v>
      </c>
      <c r="Y84" s="85">
        <v>24.2</v>
      </c>
      <c r="Z84" s="85">
        <v>13</v>
      </c>
      <c r="AA84" s="85">
        <v>14.2</v>
      </c>
      <c r="AB84" s="85">
        <v>13.7</v>
      </c>
      <c r="AC84" s="85">
        <v>14.1</v>
      </c>
      <c r="AD84" s="85">
        <v>14.5</v>
      </c>
      <c r="AE84" s="85">
        <v>15.3</v>
      </c>
      <c r="AF84" s="85">
        <v>15.3</v>
      </c>
      <c r="AG84" s="96"/>
      <c r="AH84" s="12">
        <f t="shared" si="46"/>
        <v>56.1</v>
      </c>
      <c r="AI84" s="11">
        <f t="shared" si="47"/>
        <v>10.4</v>
      </c>
      <c r="AK84" s="19"/>
      <c r="AY84" s="78"/>
      <c r="BF84" s="83"/>
      <c r="BG84" s="78">
        <f t="array" ref="BG84:BL107">TRANSPOSE(AZ68:BW73)</f>
        <v>17</v>
      </c>
      <c r="BH84" s="78">
        <v>0</v>
      </c>
      <c r="BI84" s="78">
        <v>146</v>
      </c>
      <c r="BJ84" s="78">
        <v>15</v>
      </c>
      <c r="BK84" s="78">
        <v>0</v>
      </c>
      <c r="BL84" s="78">
        <v>46</v>
      </c>
    </row>
    <row r="85" spans="1:64" x14ac:dyDescent="0.25">
      <c r="A85" s="87" t="s">
        <v>180</v>
      </c>
      <c r="B85" s="102">
        <v>0</v>
      </c>
      <c r="C85" s="102">
        <v>0</v>
      </c>
      <c r="D85" s="102">
        <v>0</v>
      </c>
      <c r="E85" s="102">
        <v>0</v>
      </c>
      <c r="F85" s="102">
        <v>0</v>
      </c>
      <c r="G85" s="102">
        <v>0</v>
      </c>
      <c r="H85" s="102">
        <v>0</v>
      </c>
      <c r="I85" s="102">
        <v>0</v>
      </c>
      <c r="J85" s="102">
        <v>82.8</v>
      </c>
      <c r="K85" s="102">
        <v>99.2</v>
      </c>
      <c r="L85" s="102">
        <v>108.5</v>
      </c>
      <c r="M85" s="102">
        <v>109.8</v>
      </c>
      <c r="N85" s="102">
        <v>108.2</v>
      </c>
      <c r="O85" s="102">
        <v>127.6</v>
      </c>
      <c r="P85" s="102">
        <v>136.4</v>
      </c>
      <c r="Q85" s="102">
        <v>118.5</v>
      </c>
      <c r="R85" s="102">
        <v>130.1</v>
      </c>
      <c r="S85" s="102">
        <v>118</v>
      </c>
      <c r="T85" s="102">
        <v>127</v>
      </c>
      <c r="U85" s="102">
        <v>113</v>
      </c>
      <c r="V85" s="102">
        <v>111</v>
      </c>
      <c r="W85" s="102">
        <v>140</v>
      </c>
      <c r="X85" s="102">
        <v>114</v>
      </c>
      <c r="Y85" s="102">
        <v>88</v>
      </c>
      <c r="Z85" s="102"/>
      <c r="AA85" s="102"/>
      <c r="AB85" s="102">
        <v>0</v>
      </c>
      <c r="AC85" s="102">
        <v>0</v>
      </c>
      <c r="AD85" s="102"/>
      <c r="AE85" s="102">
        <v>0</v>
      </c>
      <c r="AF85" s="102">
        <v>0</v>
      </c>
      <c r="AG85" s="96"/>
      <c r="AH85" s="12">
        <f t="shared" si="46"/>
        <v>140</v>
      </c>
      <c r="AI85" s="11">
        <f t="shared" si="47"/>
        <v>0</v>
      </c>
      <c r="AK85" s="19"/>
      <c r="AY85" s="78"/>
      <c r="BF85" s="83"/>
      <c r="BG85" s="78">
        <v>11</v>
      </c>
      <c r="BH85" s="78">
        <v>0</v>
      </c>
      <c r="BI85" s="78">
        <v>87</v>
      </c>
      <c r="BJ85" s="78">
        <v>15.1</v>
      </c>
      <c r="BK85" s="78">
        <v>0</v>
      </c>
      <c r="BL85" s="78">
        <v>47.6</v>
      </c>
    </row>
    <row r="86" spans="1:64" x14ac:dyDescent="0.25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46"/>
        <v>0</v>
      </c>
      <c r="AI86" s="11">
        <f t="shared" si="47"/>
        <v>0</v>
      </c>
      <c r="AK86" s="19"/>
      <c r="AY86" s="78"/>
      <c r="BF86" s="83"/>
      <c r="BG86" s="78">
        <v>16.600000000000001</v>
      </c>
      <c r="BH86" s="78">
        <v>0</v>
      </c>
      <c r="BI86" s="78">
        <v>73.8</v>
      </c>
      <c r="BJ86" s="78">
        <v>15.3</v>
      </c>
      <c r="BK86" s="78">
        <v>0</v>
      </c>
      <c r="BL86" s="78">
        <v>47.1</v>
      </c>
    </row>
    <row r="87" spans="1:64" ht="15.75" thickBot="1" x14ac:dyDescent="0.3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46"/>
        <v>0</v>
      </c>
      <c r="AI87" s="11">
        <f t="shared" si="47"/>
        <v>0</v>
      </c>
      <c r="AK87" s="19"/>
      <c r="AL87" s="108" t="s">
        <v>177</v>
      </c>
      <c r="AM87" s="108"/>
      <c r="AY87" s="78"/>
      <c r="BF87" s="78"/>
      <c r="BG87" s="78">
        <v>19</v>
      </c>
      <c r="BH87" s="78">
        <v>0</v>
      </c>
      <c r="BI87" s="78">
        <v>62.2</v>
      </c>
      <c r="BJ87" s="78">
        <v>14.8</v>
      </c>
      <c r="BK87" s="78">
        <v>0</v>
      </c>
      <c r="BL87" s="78">
        <v>46.9</v>
      </c>
    </row>
    <row r="88" spans="1:64" x14ac:dyDescent="0.25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46"/>
        <v>0</v>
      </c>
      <c r="AI88" s="11">
        <f t="shared" si="47"/>
        <v>0</v>
      </c>
      <c r="AK88" s="107"/>
      <c r="AL88" s="106"/>
      <c r="AM88" s="106"/>
      <c r="AN88" s="105"/>
      <c r="AY88" s="78"/>
      <c r="BF88" s="78"/>
      <c r="BG88" s="78">
        <v>20.5</v>
      </c>
      <c r="BH88" s="78">
        <v>0</v>
      </c>
      <c r="BI88" s="78">
        <v>144.1</v>
      </c>
      <c r="BJ88" s="78">
        <v>14.7</v>
      </c>
      <c r="BK88" s="78">
        <v>0</v>
      </c>
      <c r="BL88" s="78">
        <v>46.6</v>
      </c>
    </row>
    <row r="89" spans="1:64" x14ac:dyDescent="0.25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46"/>
        <v>0</v>
      </c>
      <c r="AI89" s="11">
        <f t="shared" si="47"/>
        <v>0</v>
      </c>
      <c r="AK89" s="104" t="s">
        <v>174</v>
      </c>
      <c r="AL89" s="70"/>
      <c r="AM89" s="85"/>
      <c r="AN89" s="103"/>
      <c r="AY89" s="78"/>
      <c r="BF89" s="78"/>
      <c r="BG89" s="78">
        <v>16.7</v>
      </c>
      <c r="BH89" s="78">
        <v>0</v>
      </c>
      <c r="BI89" s="78">
        <v>285</v>
      </c>
      <c r="BJ89" s="78">
        <v>12.3</v>
      </c>
      <c r="BK89" s="78">
        <v>0</v>
      </c>
      <c r="BL89" s="78">
        <v>40</v>
      </c>
    </row>
    <row r="90" spans="1:64" x14ac:dyDescent="0.25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46"/>
        <v>0</v>
      </c>
      <c r="AI90" s="11">
        <f t="shared" si="47"/>
        <v>0</v>
      </c>
      <c r="AK90" s="104" t="s">
        <v>172</v>
      </c>
      <c r="AL90" s="85"/>
      <c r="AM90" s="85"/>
      <c r="AN90" s="103"/>
      <c r="AY90" s="78"/>
      <c r="BF90" s="78"/>
      <c r="BG90" s="78">
        <v>68</v>
      </c>
      <c r="BH90" s="78">
        <v>99.2</v>
      </c>
      <c r="BI90" s="78">
        <v>460.3</v>
      </c>
      <c r="BJ90" s="78">
        <v>45.9</v>
      </c>
      <c r="BK90" s="78">
        <v>99.2</v>
      </c>
      <c r="BL90" s="78">
        <v>52.1</v>
      </c>
    </row>
    <row r="91" spans="1:64" ht="15.75" thickBot="1" x14ac:dyDescent="0.3">
      <c r="A91" s="82" t="s">
        <v>171</v>
      </c>
      <c r="B91" s="97">
        <v>45</v>
      </c>
      <c r="C91" s="97">
        <v>45.8</v>
      </c>
      <c r="D91" s="97">
        <f>47.6</f>
        <v>47.6</v>
      </c>
      <c r="E91" s="97">
        <v>47.1</v>
      </c>
      <c r="F91" s="97">
        <v>46.9</v>
      </c>
      <c r="G91" s="97">
        <v>46.6</v>
      </c>
      <c r="H91" s="97">
        <v>43.8</v>
      </c>
      <c r="I91" s="97">
        <v>40</v>
      </c>
      <c r="J91" s="97">
        <v>49.5</v>
      </c>
      <c r="K91" s="97">
        <v>52.1</v>
      </c>
      <c r="L91" s="97">
        <v>49</v>
      </c>
      <c r="M91" s="97">
        <v>51.7</v>
      </c>
      <c r="N91" s="97">
        <v>49.962000000000003</v>
      </c>
      <c r="O91" s="97">
        <v>53</v>
      </c>
      <c r="P91" s="97">
        <v>51</v>
      </c>
      <c r="Q91" s="97">
        <v>53</v>
      </c>
      <c r="R91" s="97">
        <v>54</v>
      </c>
      <c r="S91" s="97">
        <v>55</v>
      </c>
      <c r="T91" s="97">
        <v>53</v>
      </c>
      <c r="U91" s="97">
        <v>51</v>
      </c>
      <c r="V91" s="97">
        <v>46.2</v>
      </c>
      <c r="W91" s="97">
        <v>44.3</v>
      </c>
      <c r="X91" s="97">
        <v>42</v>
      </c>
      <c r="Y91" s="97">
        <v>41.6</v>
      </c>
      <c r="Z91" s="97">
        <v>43</v>
      </c>
      <c r="AA91" s="97">
        <v>43.5</v>
      </c>
      <c r="AB91" s="97">
        <v>35.700000000000003</v>
      </c>
      <c r="AC91" s="97">
        <v>33.799999999999997</v>
      </c>
      <c r="AD91" s="97">
        <v>33.9</v>
      </c>
      <c r="AE91" s="97">
        <v>45.2</v>
      </c>
      <c r="AF91" s="97">
        <v>42.6</v>
      </c>
      <c r="AG91" s="80"/>
      <c r="AH91" s="12">
        <f t="shared" si="46"/>
        <v>55</v>
      </c>
      <c r="AI91" s="11">
        <f t="shared" si="47"/>
        <v>33.799999999999997</v>
      </c>
      <c r="AK91" s="98"/>
      <c r="AL91" s="102"/>
      <c r="AM91" s="102"/>
      <c r="AN91" s="101"/>
      <c r="AY91" s="78"/>
      <c r="BF91" s="78"/>
      <c r="BG91" s="78">
        <v>62.7</v>
      </c>
      <c r="BH91" s="78">
        <v>106.8</v>
      </c>
      <c r="BI91" s="78">
        <v>511</v>
      </c>
      <c r="BJ91" s="78">
        <v>56.1</v>
      </c>
      <c r="BK91" s="78">
        <v>109.8</v>
      </c>
      <c r="BL91" s="78">
        <v>51.7</v>
      </c>
    </row>
    <row r="92" spans="1:64" ht="15.75" thickBot="1" x14ac:dyDescent="0.3">
      <c r="A92" s="77" t="s">
        <v>170</v>
      </c>
      <c r="B92" s="76">
        <f t="shared" ref="B92:C92" si="48">SUMIF(B81:B91,"&gt;0")</f>
        <v>156.89999999999998</v>
      </c>
      <c r="C92" s="76">
        <f t="shared" si="48"/>
        <v>224</v>
      </c>
      <c r="D92" s="76">
        <f t="shared" ref="D92:AF92" si="49">SUMIF(D81:D91,"&gt;0")</f>
        <v>160.69999999999999</v>
      </c>
      <c r="E92" s="76">
        <f t="shared" si="49"/>
        <v>152.80000000000001</v>
      </c>
      <c r="F92" s="76">
        <f t="shared" si="49"/>
        <v>142.9</v>
      </c>
      <c r="G92" s="76">
        <f t="shared" si="49"/>
        <v>225.89999999999998</v>
      </c>
      <c r="H92" s="76">
        <f t="shared" si="49"/>
        <v>221.10000000000002</v>
      </c>
      <c r="I92" s="76">
        <f t="shared" si="49"/>
        <v>354</v>
      </c>
      <c r="J92" s="76">
        <f t="shared" si="49"/>
        <v>709</v>
      </c>
      <c r="K92" s="76">
        <f t="shared" si="49"/>
        <v>824.7</v>
      </c>
      <c r="L92" s="76">
        <f t="shared" si="49"/>
        <v>858.80000000000007</v>
      </c>
      <c r="M92" s="76">
        <f t="shared" si="49"/>
        <v>898.1</v>
      </c>
      <c r="N92" s="76">
        <f t="shared" si="49"/>
        <v>851.86199999999997</v>
      </c>
      <c r="O92" s="76">
        <f t="shared" si="49"/>
        <v>910.2</v>
      </c>
      <c r="P92" s="76">
        <f t="shared" si="49"/>
        <v>937</v>
      </c>
      <c r="Q92" s="76">
        <f t="shared" si="49"/>
        <v>917.8</v>
      </c>
      <c r="R92" s="76">
        <f t="shared" si="49"/>
        <v>921</v>
      </c>
      <c r="S92" s="76">
        <f t="shared" si="49"/>
        <v>893</v>
      </c>
      <c r="T92" s="76">
        <f t="shared" ref="T92:U92" si="50">SUMIF(T81:T91,"&gt;0")</f>
        <v>922</v>
      </c>
      <c r="U92" s="76">
        <f t="shared" si="50"/>
        <v>877.6</v>
      </c>
      <c r="V92" s="76">
        <f t="shared" si="49"/>
        <v>840.7</v>
      </c>
      <c r="W92" s="76">
        <f t="shared" si="49"/>
        <v>864.5</v>
      </c>
      <c r="X92" s="76">
        <f t="shared" ref="X92" si="51">SUMIF(X81:X91,"&gt;0")</f>
        <v>786</v>
      </c>
      <c r="Y92" s="76">
        <f t="shared" si="49"/>
        <v>431.8</v>
      </c>
      <c r="Z92" s="76">
        <f t="shared" si="49"/>
        <v>331</v>
      </c>
      <c r="AA92" s="76">
        <f t="shared" si="49"/>
        <v>202.49999999999997</v>
      </c>
      <c r="AB92" s="76">
        <f t="shared" si="49"/>
        <v>209.09999999999997</v>
      </c>
      <c r="AC92" s="76">
        <f t="shared" si="49"/>
        <v>237.09999999999997</v>
      </c>
      <c r="AD92" s="76">
        <f t="shared" si="49"/>
        <v>200.5</v>
      </c>
      <c r="AE92" s="76">
        <f t="shared" si="49"/>
        <v>222.8</v>
      </c>
      <c r="AF92" s="76">
        <f t="shared" si="49"/>
        <v>175.9</v>
      </c>
      <c r="AG92" s="75">
        <f>SUM(AG81:AG91)</f>
        <v>0</v>
      </c>
      <c r="AH92" s="12">
        <f t="shared" si="46"/>
        <v>937</v>
      </c>
      <c r="AI92" s="11">
        <f t="shared" si="47"/>
        <v>142.9</v>
      </c>
      <c r="AK92" s="98"/>
      <c r="AL92" s="97"/>
      <c r="AM92" s="100"/>
      <c r="AN92" s="220"/>
      <c r="AY92" s="78"/>
      <c r="BF92" s="78"/>
      <c r="BG92" s="78">
        <v>63.7</v>
      </c>
      <c r="BH92" s="78">
        <v>101.5</v>
      </c>
      <c r="BI92" s="78">
        <v>491.7</v>
      </c>
      <c r="BJ92" s="78">
        <v>36.799999999999997</v>
      </c>
      <c r="BK92" s="78">
        <v>108.2</v>
      </c>
      <c r="BL92" s="78">
        <v>49.962000000000003</v>
      </c>
    </row>
    <row r="93" spans="1:64" x14ac:dyDescent="0.25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46"/>
        <v>0</v>
      </c>
      <c r="AI93" s="11">
        <f t="shared" si="47"/>
        <v>0</v>
      </c>
      <c r="AK93" s="98"/>
      <c r="AL93" s="97"/>
      <c r="AM93" s="97"/>
      <c r="AN93" s="221"/>
      <c r="BF93" s="78"/>
      <c r="BG93" s="78">
        <v>72.900000000000006</v>
      </c>
      <c r="BH93" s="78">
        <v>100.3</v>
      </c>
      <c r="BI93" s="78">
        <v>506.3</v>
      </c>
      <c r="BJ93" s="78">
        <v>50.1</v>
      </c>
      <c r="BK93" s="78">
        <v>127.6</v>
      </c>
      <c r="BL93" s="78">
        <v>53</v>
      </c>
    </row>
    <row r="94" spans="1:64" ht="15.75" thickBot="1" x14ac:dyDescent="0.3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46"/>
        <v>0</v>
      </c>
      <c r="AI94" s="11">
        <f t="shared" si="47"/>
        <v>0</v>
      </c>
      <c r="AK94" s="95"/>
      <c r="AL94" s="67"/>
      <c r="AM94" s="67"/>
      <c r="AN94" s="94"/>
      <c r="BF94" s="78"/>
      <c r="BG94" s="78">
        <v>74.599999999999994</v>
      </c>
      <c r="BH94" s="78">
        <v>101.3</v>
      </c>
      <c r="BI94" s="78">
        <v>520.5</v>
      </c>
      <c r="BJ94" s="78">
        <v>53.2</v>
      </c>
      <c r="BK94" s="78">
        <v>136.4</v>
      </c>
      <c r="BL94" s="78">
        <v>51</v>
      </c>
    </row>
    <row r="95" spans="1:64" ht="15.75" thickBot="1" x14ac:dyDescent="0.3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46"/>
        <v>0</v>
      </c>
      <c r="AI95" s="11">
        <f t="shared" si="47"/>
        <v>0</v>
      </c>
      <c r="BF95" s="78"/>
      <c r="BG95" s="78">
        <v>68.400000000000006</v>
      </c>
      <c r="BH95" s="78">
        <v>98.2</v>
      </c>
      <c r="BI95" s="78">
        <v>527.9</v>
      </c>
      <c r="BJ95" s="78">
        <v>51.8</v>
      </c>
      <c r="BK95" s="78">
        <v>118.5</v>
      </c>
      <c r="BL95" s="78">
        <v>53</v>
      </c>
    </row>
    <row r="96" spans="1:64" ht="15.75" thickBot="1" x14ac:dyDescent="0.3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46"/>
        <v>0</v>
      </c>
      <c r="AI96" s="11">
        <f t="shared" si="47"/>
        <v>0</v>
      </c>
      <c r="BF96" s="78"/>
      <c r="BG96" s="78">
        <v>64.099999999999994</v>
      </c>
      <c r="BH96" s="78">
        <v>120.8</v>
      </c>
      <c r="BI96" s="78">
        <v>496</v>
      </c>
      <c r="BJ96" s="78">
        <v>56</v>
      </c>
      <c r="BK96" s="78">
        <v>130.1</v>
      </c>
      <c r="BL96" s="78">
        <v>54</v>
      </c>
    </row>
    <row r="97" spans="1:64" ht="15.75" thickBot="1" x14ac:dyDescent="0.3">
      <c r="A97" s="77" t="s">
        <v>165</v>
      </c>
      <c r="B97" s="90">
        <f t="shared" ref="B97:C97" si="52">B58+B62+B80+B76+B92+B96</f>
        <v>1264.9900000000002</v>
      </c>
      <c r="C97" s="90">
        <f t="shared" si="52"/>
        <v>1263.79</v>
      </c>
      <c r="D97" s="90">
        <f t="shared" ref="D97:AG97" si="53">D58+D62+D80+D76+D92+D96</f>
        <v>1211.5899999999999</v>
      </c>
      <c r="E97" s="90">
        <f t="shared" si="53"/>
        <v>1188.79</v>
      </c>
      <c r="F97" s="90">
        <f t="shared" si="53"/>
        <v>1175.19</v>
      </c>
      <c r="G97" s="90">
        <f t="shared" si="53"/>
        <v>1185.19</v>
      </c>
      <c r="H97" s="90">
        <f t="shared" si="53"/>
        <v>1201.9900000000002</v>
      </c>
      <c r="I97" s="90">
        <f t="shared" si="53"/>
        <v>1332.89</v>
      </c>
      <c r="J97" s="90">
        <f t="shared" si="53"/>
        <v>1525.5900000000001</v>
      </c>
      <c r="K97" s="90">
        <f t="shared" si="53"/>
        <v>1672.7900000000002</v>
      </c>
      <c r="L97" s="90">
        <f t="shared" si="53"/>
        <v>1727.4900000000002</v>
      </c>
      <c r="M97" s="90">
        <f t="shared" si="53"/>
        <v>1801.49</v>
      </c>
      <c r="N97" s="90">
        <f t="shared" si="53"/>
        <v>1732.0520000000001</v>
      </c>
      <c r="O97" s="90">
        <f t="shared" si="53"/>
        <v>1822.5900000000001</v>
      </c>
      <c r="P97" s="90">
        <f t="shared" si="53"/>
        <v>1834.0900000000001</v>
      </c>
      <c r="Q97" s="90">
        <f t="shared" si="53"/>
        <v>1818.19</v>
      </c>
      <c r="R97" s="90">
        <f t="shared" si="53"/>
        <v>1827.49</v>
      </c>
      <c r="S97" s="90">
        <f t="shared" si="53"/>
        <v>1783.3899999999999</v>
      </c>
      <c r="T97" s="90">
        <f t="shared" ref="T97:U97" si="54">T58+T62+T80+T76+T92+T96</f>
        <v>1808.59</v>
      </c>
      <c r="U97" s="90">
        <f t="shared" si="54"/>
        <v>1765.3899999999999</v>
      </c>
      <c r="V97" s="90">
        <f t="shared" si="53"/>
        <v>1706.3899999999999</v>
      </c>
      <c r="W97" s="90">
        <f t="shared" si="53"/>
        <v>1703.19</v>
      </c>
      <c r="X97" s="90">
        <f t="shared" ref="X97" si="55">X58+X62+X80+X76+X92+X96</f>
        <v>1605.19</v>
      </c>
      <c r="Y97" s="90">
        <f t="shared" si="53"/>
        <v>1546.25</v>
      </c>
      <c r="Z97" s="90">
        <f t="shared" si="53"/>
        <v>1596.45</v>
      </c>
      <c r="AA97" s="90">
        <f t="shared" si="53"/>
        <v>1655.49</v>
      </c>
      <c r="AB97" s="90">
        <f t="shared" si="53"/>
        <v>1617.8899999999999</v>
      </c>
      <c r="AC97" s="90">
        <f t="shared" si="53"/>
        <v>1559.9899999999998</v>
      </c>
      <c r="AD97" s="90">
        <f t="shared" si="53"/>
        <v>1522.79</v>
      </c>
      <c r="AE97" s="90">
        <f t="shared" si="53"/>
        <v>1472.49</v>
      </c>
      <c r="AF97" s="90">
        <f t="shared" si="53"/>
        <v>1384.99</v>
      </c>
      <c r="AG97" s="93">
        <f t="shared" si="53"/>
        <v>2231.81</v>
      </c>
      <c r="AH97" s="12">
        <f t="shared" si="46"/>
        <v>1834.0900000000001</v>
      </c>
      <c r="AI97" s="11">
        <f t="shared" si="47"/>
        <v>1175.19</v>
      </c>
      <c r="BF97" s="78"/>
      <c r="BG97" s="78">
        <v>68</v>
      </c>
      <c r="BH97" s="78">
        <v>102</v>
      </c>
      <c r="BI97" s="78">
        <v>495</v>
      </c>
      <c r="BJ97" s="78">
        <v>55</v>
      </c>
      <c r="BK97" s="78">
        <v>118</v>
      </c>
      <c r="BL97" s="78">
        <v>55</v>
      </c>
    </row>
    <row r="98" spans="1:64" ht="15.75" thickBot="1" x14ac:dyDescent="0.3">
      <c r="A98" s="92" t="s">
        <v>164</v>
      </c>
      <c r="B98" s="91">
        <v>330</v>
      </c>
      <c r="C98" s="91">
        <v>280</v>
      </c>
      <c r="D98" s="91">
        <v>280</v>
      </c>
      <c r="E98" s="91">
        <v>280</v>
      </c>
      <c r="F98" s="91">
        <v>280</v>
      </c>
      <c r="G98" s="91">
        <v>280</v>
      </c>
      <c r="H98" s="91">
        <v>280</v>
      </c>
      <c r="I98" s="91">
        <v>180</v>
      </c>
      <c r="J98" s="91">
        <v>60</v>
      </c>
      <c r="K98" s="91">
        <v>0</v>
      </c>
      <c r="L98" s="91">
        <v>0</v>
      </c>
      <c r="M98" s="91">
        <v>10</v>
      </c>
      <c r="N98" s="91">
        <v>20</v>
      </c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>
        <v>200</v>
      </c>
      <c r="Z98" s="91">
        <v>250</v>
      </c>
      <c r="AA98" s="91">
        <v>250</v>
      </c>
      <c r="AB98" s="91">
        <v>350</v>
      </c>
      <c r="AC98" s="91">
        <v>350</v>
      </c>
      <c r="AD98" s="91">
        <v>350</v>
      </c>
      <c r="AE98" s="91">
        <v>350</v>
      </c>
      <c r="AF98" s="91">
        <v>350</v>
      </c>
      <c r="AG98" s="75"/>
      <c r="AH98" s="12">
        <f t="shared" si="46"/>
        <v>350</v>
      </c>
      <c r="AI98" s="11">
        <f t="shared" si="47"/>
        <v>0</v>
      </c>
      <c r="BF98" s="78"/>
      <c r="BG98" s="78">
        <v>72</v>
      </c>
      <c r="BH98" s="78">
        <v>114</v>
      </c>
      <c r="BI98" s="78">
        <v>504</v>
      </c>
      <c r="BJ98" s="78">
        <v>52</v>
      </c>
      <c r="BK98" s="78">
        <v>127</v>
      </c>
      <c r="BL98" s="78">
        <v>53</v>
      </c>
    </row>
    <row r="99" spans="1:64" ht="15.75" thickBot="1" x14ac:dyDescent="0.3">
      <c r="A99" s="77" t="s">
        <v>163</v>
      </c>
      <c r="B99" s="90">
        <f t="shared" ref="B99:C99" si="56">B97+B98</f>
        <v>1594.9900000000002</v>
      </c>
      <c r="C99" s="90">
        <f t="shared" si="56"/>
        <v>1543.79</v>
      </c>
      <c r="D99" s="90">
        <f t="shared" ref="D99:AF99" si="57">D97+D98</f>
        <v>1491.59</v>
      </c>
      <c r="E99" s="90">
        <f t="shared" si="57"/>
        <v>1468.79</v>
      </c>
      <c r="F99" s="90">
        <f t="shared" si="57"/>
        <v>1455.19</v>
      </c>
      <c r="G99" s="90">
        <f t="shared" si="57"/>
        <v>1465.19</v>
      </c>
      <c r="H99" s="90">
        <f t="shared" si="57"/>
        <v>1481.9900000000002</v>
      </c>
      <c r="I99" s="90">
        <f t="shared" si="57"/>
        <v>1512.89</v>
      </c>
      <c r="J99" s="90">
        <f t="shared" si="57"/>
        <v>1585.5900000000001</v>
      </c>
      <c r="K99" s="90">
        <f t="shared" si="57"/>
        <v>1672.7900000000002</v>
      </c>
      <c r="L99" s="90">
        <f t="shared" si="57"/>
        <v>1727.4900000000002</v>
      </c>
      <c r="M99" s="90">
        <f t="shared" si="57"/>
        <v>1811.49</v>
      </c>
      <c r="N99" s="90">
        <f t="shared" si="57"/>
        <v>1752.0520000000001</v>
      </c>
      <c r="O99" s="90">
        <f t="shared" si="57"/>
        <v>1822.5900000000001</v>
      </c>
      <c r="P99" s="90">
        <f t="shared" si="57"/>
        <v>1834.0900000000001</v>
      </c>
      <c r="Q99" s="90">
        <f t="shared" si="57"/>
        <v>1818.19</v>
      </c>
      <c r="R99" s="90">
        <f t="shared" si="57"/>
        <v>1827.49</v>
      </c>
      <c r="S99" s="90">
        <f t="shared" si="57"/>
        <v>1783.3899999999999</v>
      </c>
      <c r="T99" s="90">
        <f t="shared" ref="T99:U99" si="58">T97+T98</f>
        <v>1808.59</v>
      </c>
      <c r="U99" s="90">
        <f t="shared" si="58"/>
        <v>1765.3899999999999</v>
      </c>
      <c r="V99" s="90">
        <f t="shared" si="57"/>
        <v>1706.3899999999999</v>
      </c>
      <c r="W99" s="90">
        <f t="shared" si="57"/>
        <v>1703.19</v>
      </c>
      <c r="X99" s="90">
        <f t="shared" ref="X99" si="59">X97+X98</f>
        <v>1605.19</v>
      </c>
      <c r="Y99" s="90">
        <f t="shared" si="57"/>
        <v>1746.25</v>
      </c>
      <c r="Z99" s="90">
        <f t="shared" si="57"/>
        <v>1846.45</v>
      </c>
      <c r="AA99" s="90">
        <f t="shared" si="57"/>
        <v>1905.49</v>
      </c>
      <c r="AB99" s="90">
        <f t="shared" si="57"/>
        <v>1967.8899999999999</v>
      </c>
      <c r="AC99" s="90">
        <f t="shared" si="57"/>
        <v>1909.9899999999998</v>
      </c>
      <c r="AD99" s="90">
        <f t="shared" si="57"/>
        <v>1872.79</v>
      </c>
      <c r="AE99" s="90">
        <f t="shared" si="57"/>
        <v>1822.49</v>
      </c>
      <c r="AF99" s="90">
        <f t="shared" si="57"/>
        <v>1734.99</v>
      </c>
      <c r="AG99" s="75">
        <f>AG96+AG92+AG80+AG76+AG58+AG98</f>
        <v>1693.71</v>
      </c>
      <c r="AH99" s="12">
        <f t="shared" si="46"/>
        <v>1967.8899999999999</v>
      </c>
      <c r="AI99" s="11">
        <f t="shared" si="47"/>
        <v>1455.19</v>
      </c>
      <c r="BF99" s="78"/>
      <c r="BG99" s="78">
        <v>76</v>
      </c>
      <c r="BH99" s="78">
        <v>120</v>
      </c>
      <c r="BI99" s="78">
        <v>463</v>
      </c>
      <c r="BJ99" s="78">
        <v>54.6</v>
      </c>
      <c r="BK99" s="78">
        <v>113</v>
      </c>
      <c r="BL99" s="78">
        <v>51</v>
      </c>
    </row>
    <row r="100" spans="1:64" ht="15.75" thickBot="1" x14ac:dyDescent="0.3">
      <c r="A100" s="77" t="s">
        <v>162</v>
      </c>
      <c r="B100" s="90">
        <f t="shared" ref="B100:C100" si="60">B99-(B107)</f>
        <v>1594.9900000000002</v>
      </c>
      <c r="C100" s="90">
        <f t="shared" si="60"/>
        <v>1543.79</v>
      </c>
      <c r="D100" s="90">
        <f t="shared" ref="D100:AF100" si="61">D99-(D107)</f>
        <v>1491.59</v>
      </c>
      <c r="E100" s="90">
        <f t="shared" si="61"/>
        <v>1468.79</v>
      </c>
      <c r="F100" s="90">
        <f t="shared" si="61"/>
        <v>1455.19</v>
      </c>
      <c r="G100" s="90">
        <f t="shared" si="61"/>
        <v>1465.19</v>
      </c>
      <c r="H100" s="90">
        <f t="shared" si="61"/>
        <v>1481.9900000000002</v>
      </c>
      <c r="I100" s="90">
        <f t="shared" si="61"/>
        <v>1512.89</v>
      </c>
      <c r="J100" s="90">
        <f t="shared" si="61"/>
        <v>1585.5900000000001</v>
      </c>
      <c r="K100" s="90">
        <f t="shared" si="61"/>
        <v>1672.7900000000002</v>
      </c>
      <c r="L100" s="90">
        <f t="shared" si="61"/>
        <v>1727.4900000000002</v>
      </c>
      <c r="M100" s="90">
        <f t="shared" si="61"/>
        <v>1811.49</v>
      </c>
      <c r="N100" s="90">
        <f t="shared" si="61"/>
        <v>1752.0520000000001</v>
      </c>
      <c r="O100" s="90">
        <f t="shared" si="61"/>
        <v>1822.5900000000001</v>
      </c>
      <c r="P100" s="90">
        <f t="shared" si="61"/>
        <v>1834.0900000000001</v>
      </c>
      <c r="Q100" s="90">
        <f t="shared" si="61"/>
        <v>1818.19</v>
      </c>
      <c r="R100" s="90">
        <f t="shared" si="61"/>
        <v>1827.49</v>
      </c>
      <c r="S100" s="90">
        <f t="shared" si="61"/>
        <v>1783.3899999999999</v>
      </c>
      <c r="T100" s="90">
        <f t="shared" ref="T100:U100" si="62">T99-(T107)</f>
        <v>1808.59</v>
      </c>
      <c r="U100" s="90">
        <f t="shared" si="62"/>
        <v>1765.3899999999999</v>
      </c>
      <c r="V100" s="90">
        <f t="shared" si="61"/>
        <v>1706.3899999999999</v>
      </c>
      <c r="W100" s="90">
        <f t="shared" si="61"/>
        <v>1703.19</v>
      </c>
      <c r="X100" s="90">
        <f t="shared" ref="X100" si="63">X99-(X107)</f>
        <v>1605.19</v>
      </c>
      <c r="Y100" s="90">
        <f t="shared" si="61"/>
        <v>1746.25</v>
      </c>
      <c r="Z100" s="90">
        <f t="shared" si="61"/>
        <v>1846.45</v>
      </c>
      <c r="AA100" s="90">
        <f t="shared" si="61"/>
        <v>1905.49</v>
      </c>
      <c r="AB100" s="90">
        <f t="shared" si="61"/>
        <v>1967.8899999999999</v>
      </c>
      <c r="AC100" s="90">
        <f t="shared" si="61"/>
        <v>1909.9899999999998</v>
      </c>
      <c r="AD100" s="90">
        <f t="shared" si="61"/>
        <v>1872.79</v>
      </c>
      <c r="AE100" s="90">
        <f t="shared" si="61"/>
        <v>1822.49</v>
      </c>
      <c r="AF100" s="90">
        <f t="shared" si="61"/>
        <v>1734.99</v>
      </c>
      <c r="AG100" s="75"/>
      <c r="AH100" s="12">
        <f t="shared" si="46"/>
        <v>1967.8899999999999</v>
      </c>
      <c r="AI100" s="11">
        <f t="shared" si="47"/>
        <v>1455.19</v>
      </c>
      <c r="BF100" s="78"/>
      <c r="BG100" s="78">
        <v>75.7</v>
      </c>
      <c r="BH100" s="78">
        <v>119.7</v>
      </c>
      <c r="BI100" s="78">
        <v>435</v>
      </c>
      <c r="BJ100" s="78">
        <v>53.1</v>
      </c>
      <c r="BK100" s="78">
        <v>111</v>
      </c>
      <c r="BL100" s="78">
        <v>46.2</v>
      </c>
    </row>
    <row r="101" spans="1:64" x14ac:dyDescent="0.25">
      <c r="A101" s="89" t="s">
        <v>161</v>
      </c>
      <c r="B101" s="85">
        <f t="shared" ref="B101:C101" si="64">IF(B84&lt;0,B84*-1,0)</f>
        <v>0</v>
      </c>
      <c r="C101" s="85">
        <f t="shared" si="64"/>
        <v>0</v>
      </c>
      <c r="D101" s="85">
        <f t="shared" ref="D101:AF101" si="65">IF(D84&lt;0,D84*-1,0)</f>
        <v>0</v>
      </c>
      <c r="E101" s="85">
        <f t="shared" si="65"/>
        <v>0</v>
      </c>
      <c r="F101" s="85">
        <f t="shared" si="65"/>
        <v>0</v>
      </c>
      <c r="G101" s="85">
        <f t="shared" si="65"/>
        <v>0</v>
      </c>
      <c r="H101" s="85">
        <f t="shared" si="65"/>
        <v>0</v>
      </c>
      <c r="I101" s="85">
        <f t="shared" si="65"/>
        <v>0</v>
      </c>
      <c r="J101" s="85">
        <f t="shared" si="65"/>
        <v>0</v>
      </c>
      <c r="K101" s="85">
        <f t="shared" si="65"/>
        <v>0</v>
      </c>
      <c r="L101" s="85">
        <f t="shared" si="65"/>
        <v>0</v>
      </c>
      <c r="M101" s="85">
        <f t="shared" si="65"/>
        <v>0</v>
      </c>
      <c r="N101" s="85">
        <f t="shared" si="65"/>
        <v>0</v>
      </c>
      <c r="O101" s="85">
        <f t="shared" si="65"/>
        <v>0</v>
      </c>
      <c r="P101" s="85">
        <f t="shared" si="65"/>
        <v>0</v>
      </c>
      <c r="Q101" s="85">
        <f t="shared" si="65"/>
        <v>0</v>
      </c>
      <c r="R101" s="85">
        <f t="shared" si="65"/>
        <v>0</v>
      </c>
      <c r="S101" s="85">
        <f t="shared" si="65"/>
        <v>0</v>
      </c>
      <c r="T101" s="85">
        <f t="shared" ref="T101:U101" si="66">IF(T84&lt;0,T84*-1,0)</f>
        <v>0</v>
      </c>
      <c r="U101" s="85">
        <f t="shared" si="66"/>
        <v>0</v>
      </c>
      <c r="V101" s="85">
        <f t="shared" si="65"/>
        <v>0</v>
      </c>
      <c r="W101" s="85">
        <f t="shared" si="65"/>
        <v>0</v>
      </c>
      <c r="X101" s="85">
        <f t="shared" ref="X101" si="67">IF(X84&lt;0,X84*-1,0)</f>
        <v>0</v>
      </c>
      <c r="Y101" s="85">
        <f t="shared" si="65"/>
        <v>0</v>
      </c>
      <c r="Z101" s="85">
        <f t="shared" si="65"/>
        <v>0</v>
      </c>
      <c r="AA101" s="85">
        <f t="shared" si="65"/>
        <v>0</v>
      </c>
      <c r="AB101" s="85">
        <f t="shared" si="65"/>
        <v>0</v>
      </c>
      <c r="AC101" s="85">
        <f t="shared" si="65"/>
        <v>0</v>
      </c>
      <c r="AD101" s="85">
        <f t="shared" si="65"/>
        <v>0</v>
      </c>
      <c r="AE101" s="85">
        <f t="shared" si="65"/>
        <v>0</v>
      </c>
      <c r="AF101" s="85">
        <f t="shared" si="65"/>
        <v>0</v>
      </c>
      <c r="AG101" s="88"/>
      <c r="AH101" s="12">
        <f t="shared" si="46"/>
        <v>0</v>
      </c>
      <c r="AI101" s="11">
        <f t="shared" si="47"/>
        <v>0</v>
      </c>
      <c r="BF101" s="83"/>
      <c r="BG101" s="78">
        <v>63</v>
      </c>
      <c r="BH101" s="78">
        <v>114</v>
      </c>
      <c r="BI101" s="78">
        <v>425</v>
      </c>
      <c r="BJ101" s="78">
        <v>28</v>
      </c>
      <c r="BK101" s="78">
        <v>114</v>
      </c>
      <c r="BL101" s="78">
        <v>42</v>
      </c>
    </row>
    <row r="102" spans="1:64" x14ac:dyDescent="0.25">
      <c r="A102" s="87" t="s">
        <v>160</v>
      </c>
      <c r="B102" s="85">
        <f t="shared" ref="B102:C102" si="68">IF(B82&lt;0,B82*-1,0)</f>
        <v>0</v>
      </c>
      <c r="C102" s="85">
        <f t="shared" si="68"/>
        <v>0</v>
      </c>
      <c r="D102" s="85">
        <f t="shared" ref="D102:AF102" si="69">IF(D82&lt;0,D82*-1,0)</f>
        <v>0</v>
      </c>
      <c r="E102" s="85">
        <f t="shared" si="69"/>
        <v>0</v>
      </c>
      <c r="F102" s="85">
        <f t="shared" si="69"/>
        <v>0</v>
      </c>
      <c r="G102" s="85">
        <f t="shared" si="69"/>
        <v>0</v>
      </c>
      <c r="H102" s="85">
        <f t="shared" si="69"/>
        <v>0</v>
      </c>
      <c r="I102" s="85">
        <f t="shared" si="69"/>
        <v>0</v>
      </c>
      <c r="J102" s="85">
        <f t="shared" si="69"/>
        <v>0</v>
      </c>
      <c r="K102" s="85">
        <f t="shared" si="69"/>
        <v>0</v>
      </c>
      <c r="L102" s="85">
        <f t="shared" si="69"/>
        <v>0</v>
      </c>
      <c r="M102" s="85">
        <f t="shared" si="69"/>
        <v>0</v>
      </c>
      <c r="N102" s="85">
        <f t="shared" si="69"/>
        <v>0</v>
      </c>
      <c r="O102" s="85">
        <f t="shared" si="69"/>
        <v>0</v>
      </c>
      <c r="P102" s="85">
        <f t="shared" si="69"/>
        <v>0</v>
      </c>
      <c r="Q102" s="85">
        <f t="shared" si="69"/>
        <v>0</v>
      </c>
      <c r="R102" s="85">
        <f t="shared" si="69"/>
        <v>0</v>
      </c>
      <c r="S102" s="85">
        <f t="shared" si="69"/>
        <v>0</v>
      </c>
      <c r="T102" s="85">
        <f t="shared" ref="T102:U102" si="70">IF(T82&lt;0,T82*-1,0)</f>
        <v>0</v>
      </c>
      <c r="U102" s="85">
        <f t="shared" si="70"/>
        <v>0</v>
      </c>
      <c r="V102" s="85">
        <f t="shared" si="69"/>
        <v>0</v>
      </c>
      <c r="W102" s="85">
        <f t="shared" si="69"/>
        <v>0</v>
      </c>
      <c r="X102" s="85">
        <f t="shared" ref="X102" si="71">IF(X82&lt;0,X82*-1,0)</f>
        <v>0</v>
      </c>
      <c r="Y102" s="85">
        <f t="shared" si="69"/>
        <v>0</v>
      </c>
      <c r="Z102" s="85">
        <f t="shared" si="69"/>
        <v>0</v>
      </c>
      <c r="AA102" s="85">
        <f t="shared" si="69"/>
        <v>0</v>
      </c>
      <c r="AB102" s="85">
        <f t="shared" si="69"/>
        <v>0</v>
      </c>
      <c r="AC102" s="85">
        <f t="shared" si="69"/>
        <v>0</v>
      </c>
      <c r="AD102" s="85">
        <f t="shared" si="69"/>
        <v>0</v>
      </c>
      <c r="AE102" s="85">
        <f t="shared" si="69"/>
        <v>0</v>
      </c>
      <c r="AF102" s="85">
        <f t="shared" si="69"/>
        <v>0</v>
      </c>
      <c r="AG102" s="86"/>
      <c r="AH102" s="12">
        <f t="shared" si="46"/>
        <v>0</v>
      </c>
      <c r="AI102" s="11">
        <f t="shared" si="47"/>
        <v>0</v>
      </c>
      <c r="BF102" s="83"/>
      <c r="BG102" s="78">
        <v>14</v>
      </c>
      <c r="BH102" s="78">
        <v>0</v>
      </c>
      <c r="BI102" s="78">
        <v>261</v>
      </c>
      <c r="BJ102" s="78">
        <v>13</v>
      </c>
      <c r="BK102" s="78">
        <v>0</v>
      </c>
      <c r="BL102" s="78">
        <v>43</v>
      </c>
    </row>
    <row r="103" spans="1:64" x14ac:dyDescent="0.25">
      <c r="A103" s="82" t="s">
        <v>159</v>
      </c>
      <c r="B103" s="85">
        <f t="shared" ref="B103:C103" si="72">IF(B85&lt;0,B85*-1,0)</f>
        <v>0</v>
      </c>
      <c r="C103" s="85">
        <f t="shared" si="72"/>
        <v>0</v>
      </c>
      <c r="D103" s="85">
        <f t="shared" ref="D103:AF103" si="73">IF(D85&lt;0,D85*-1,0)</f>
        <v>0</v>
      </c>
      <c r="E103" s="85">
        <f t="shared" si="73"/>
        <v>0</v>
      </c>
      <c r="F103" s="85">
        <f t="shared" si="73"/>
        <v>0</v>
      </c>
      <c r="G103" s="85">
        <f t="shared" si="73"/>
        <v>0</v>
      </c>
      <c r="H103" s="85">
        <f t="shared" si="73"/>
        <v>0</v>
      </c>
      <c r="I103" s="85">
        <f t="shared" si="73"/>
        <v>0</v>
      </c>
      <c r="J103" s="85">
        <f t="shared" si="73"/>
        <v>0</v>
      </c>
      <c r="K103" s="85">
        <f t="shared" si="73"/>
        <v>0</v>
      </c>
      <c r="L103" s="85">
        <f t="shared" si="73"/>
        <v>0</v>
      </c>
      <c r="M103" s="85">
        <f t="shared" si="73"/>
        <v>0</v>
      </c>
      <c r="N103" s="85">
        <f t="shared" si="73"/>
        <v>0</v>
      </c>
      <c r="O103" s="85">
        <f t="shared" si="73"/>
        <v>0</v>
      </c>
      <c r="P103" s="85">
        <f t="shared" si="73"/>
        <v>0</v>
      </c>
      <c r="Q103" s="85">
        <f t="shared" si="73"/>
        <v>0</v>
      </c>
      <c r="R103" s="85">
        <f t="shared" si="73"/>
        <v>0</v>
      </c>
      <c r="S103" s="85">
        <f t="shared" si="73"/>
        <v>0</v>
      </c>
      <c r="T103" s="85">
        <f t="shared" ref="T103:U103" si="74">IF(T85&lt;0,T85*-1,0)</f>
        <v>0</v>
      </c>
      <c r="U103" s="85">
        <f t="shared" si="74"/>
        <v>0</v>
      </c>
      <c r="V103" s="85">
        <f t="shared" si="73"/>
        <v>0</v>
      </c>
      <c r="W103" s="85">
        <f t="shared" si="73"/>
        <v>0</v>
      </c>
      <c r="X103" s="85">
        <f t="shared" ref="X103" si="75">IF(X85&lt;0,X85*-1,0)</f>
        <v>0</v>
      </c>
      <c r="Y103" s="85">
        <f t="shared" si="73"/>
        <v>0</v>
      </c>
      <c r="Z103" s="85">
        <f t="shared" si="73"/>
        <v>0</v>
      </c>
      <c r="AA103" s="85">
        <f t="shared" si="73"/>
        <v>0</v>
      </c>
      <c r="AB103" s="85">
        <f t="shared" si="73"/>
        <v>0</v>
      </c>
      <c r="AC103" s="85">
        <f t="shared" si="73"/>
        <v>0</v>
      </c>
      <c r="AD103" s="85">
        <f t="shared" si="73"/>
        <v>0</v>
      </c>
      <c r="AE103" s="85">
        <f t="shared" si="73"/>
        <v>0</v>
      </c>
      <c r="AF103" s="85">
        <f t="shared" si="73"/>
        <v>0</v>
      </c>
      <c r="AG103" s="84"/>
      <c r="AH103" s="12">
        <f t="shared" si="46"/>
        <v>0</v>
      </c>
      <c r="AI103" s="11">
        <f t="shared" si="47"/>
        <v>0</v>
      </c>
      <c r="BF103" s="83"/>
      <c r="BG103" s="78">
        <v>25.5</v>
      </c>
      <c r="BH103" s="78">
        <v>0</v>
      </c>
      <c r="BI103" s="78">
        <v>134.19999999999999</v>
      </c>
      <c r="BJ103" s="78">
        <v>13.7</v>
      </c>
      <c r="BK103" s="78">
        <v>0</v>
      </c>
      <c r="BL103" s="78">
        <v>35.700000000000003</v>
      </c>
    </row>
    <row r="104" spans="1:64" x14ac:dyDescent="0.25">
      <c r="A104" s="82" t="s">
        <v>158</v>
      </c>
      <c r="B104" s="85">
        <f t="shared" ref="B104:C104" si="76">IF(B83&lt;0,B83*-1,0)</f>
        <v>0</v>
      </c>
      <c r="C104" s="85">
        <f t="shared" si="76"/>
        <v>0</v>
      </c>
      <c r="D104" s="85">
        <f t="shared" ref="D104:AF104" si="77">IF(D83&lt;0,D83*-1,0)</f>
        <v>0</v>
      </c>
      <c r="E104" s="85">
        <f t="shared" si="77"/>
        <v>0</v>
      </c>
      <c r="F104" s="85">
        <f t="shared" si="77"/>
        <v>0</v>
      </c>
      <c r="G104" s="85">
        <f t="shared" si="77"/>
        <v>0</v>
      </c>
      <c r="H104" s="85">
        <f t="shared" si="77"/>
        <v>0</v>
      </c>
      <c r="I104" s="85">
        <f t="shared" si="77"/>
        <v>0</v>
      </c>
      <c r="J104" s="85">
        <f t="shared" si="77"/>
        <v>0</v>
      </c>
      <c r="K104" s="85">
        <f t="shared" si="77"/>
        <v>0</v>
      </c>
      <c r="L104" s="85">
        <f t="shared" si="77"/>
        <v>0</v>
      </c>
      <c r="M104" s="85">
        <f t="shared" si="77"/>
        <v>0</v>
      </c>
      <c r="N104" s="85">
        <f t="shared" si="77"/>
        <v>0</v>
      </c>
      <c r="O104" s="85">
        <f t="shared" si="77"/>
        <v>0</v>
      </c>
      <c r="P104" s="85">
        <f t="shared" si="77"/>
        <v>0</v>
      </c>
      <c r="Q104" s="85">
        <f t="shared" si="77"/>
        <v>0</v>
      </c>
      <c r="R104" s="85">
        <f t="shared" si="77"/>
        <v>0</v>
      </c>
      <c r="S104" s="85">
        <f t="shared" si="77"/>
        <v>0</v>
      </c>
      <c r="T104" s="85">
        <f t="shared" ref="T104:U104" si="78">IF(T83&lt;0,T83*-1,0)</f>
        <v>0</v>
      </c>
      <c r="U104" s="85">
        <f t="shared" si="78"/>
        <v>0</v>
      </c>
      <c r="V104" s="85">
        <f t="shared" si="77"/>
        <v>0</v>
      </c>
      <c r="W104" s="85">
        <f t="shared" si="77"/>
        <v>0</v>
      </c>
      <c r="X104" s="85">
        <f t="shared" ref="X104" si="79">IF(X83&lt;0,X83*-1,0)</f>
        <v>0</v>
      </c>
      <c r="Y104" s="85">
        <f t="shared" si="77"/>
        <v>0</v>
      </c>
      <c r="Z104" s="85">
        <f t="shared" si="77"/>
        <v>0</v>
      </c>
      <c r="AA104" s="85">
        <f t="shared" si="77"/>
        <v>0</v>
      </c>
      <c r="AB104" s="85">
        <f t="shared" si="77"/>
        <v>0</v>
      </c>
      <c r="AC104" s="85">
        <f t="shared" si="77"/>
        <v>0</v>
      </c>
      <c r="AD104" s="85">
        <f t="shared" si="77"/>
        <v>0</v>
      </c>
      <c r="AE104" s="85">
        <f t="shared" si="77"/>
        <v>0</v>
      </c>
      <c r="AF104" s="85">
        <f t="shared" si="77"/>
        <v>0</v>
      </c>
      <c r="AG104" s="84"/>
      <c r="AH104" s="12">
        <f t="shared" si="46"/>
        <v>0</v>
      </c>
      <c r="AI104" s="11">
        <f t="shared" si="47"/>
        <v>0</v>
      </c>
      <c r="BF104" s="83"/>
      <c r="BG104" s="78">
        <v>22.4</v>
      </c>
      <c r="BH104" s="78">
        <v>0</v>
      </c>
      <c r="BI104" s="78">
        <v>129.69999999999999</v>
      </c>
      <c r="BJ104" s="78">
        <v>14.5</v>
      </c>
      <c r="BK104" s="78">
        <v>0</v>
      </c>
      <c r="BL104" s="78">
        <v>33.9</v>
      </c>
    </row>
    <row r="105" spans="1:64" x14ac:dyDescent="0.25">
      <c r="A105" s="82" t="s">
        <v>157</v>
      </c>
      <c r="B105" s="85">
        <f t="shared" ref="B105:C105" si="80">IF(B81&lt;0,B81*-1,0)</f>
        <v>0</v>
      </c>
      <c r="C105" s="85">
        <f t="shared" si="80"/>
        <v>0</v>
      </c>
      <c r="D105" s="85">
        <f t="shared" ref="D105:AF105" si="81">IF(D81&lt;0,D81*-1,0)</f>
        <v>0</v>
      </c>
      <c r="E105" s="85">
        <f t="shared" si="81"/>
        <v>0</v>
      </c>
      <c r="F105" s="85">
        <f t="shared" si="81"/>
        <v>0</v>
      </c>
      <c r="G105" s="85">
        <f t="shared" si="81"/>
        <v>0</v>
      </c>
      <c r="H105" s="85">
        <f t="shared" si="81"/>
        <v>0</v>
      </c>
      <c r="I105" s="85">
        <f t="shared" si="81"/>
        <v>0</v>
      </c>
      <c r="J105" s="85">
        <f t="shared" si="81"/>
        <v>0</v>
      </c>
      <c r="K105" s="85">
        <f t="shared" si="81"/>
        <v>0</v>
      </c>
      <c r="L105" s="85">
        <f t="shared" si="81"/>
        <v>0</v>
      </c>
      <c r="M105" s="85">
        <f t="shared" si="81"/>
        <v>0</v>
      </c>
      <c r="N105" s="85">
        <f t="shared" si="81"/>
        <v>0</v>
      </c>
      <c r="O105" s="85">
        <f t="shared" si="81"/>
        <v>0</v>
      </c>
      <c r="P105" s="85">
        <f t="shared" si="81"/>
        <v>0</v>
      </c>
      <c r="Q105" s="85">
        <f t="shared" si="81"/>
        <v>0</v>
      </c>
      <c r="R105" s="85">
        <f t="shared" si="81"/>
        <v>0</v>
      </c>
      <c r="S105" s="85">
        <f t="shared" si="81"/>
        <v>0</v>
      </c>
      <c r="T105" s="85">
        <f t="shared" ref="T105:U105" si="82">IF(T81&lt;0,T81*-1,0)</f>
        <v>0</v>
      </c>
      <c r="U105" s="85">
        <f t="shared" si="82"/>
        <v>0</v>
      </c>
      <c r="V105" s="85">
        <f t="shared" si="81"/>
        <v>0</v>
      </c>
      <c r="W105" s="85">
        <f t="shared" si="81"/>
        <v>0</v>
      </c>
      <c r="X105" s="85">
        <f t="shared" ref="X105" si="83">IF(X81&lt;0,X81*-1,0)</f>
        <v>0</v>
      </c>
      <c r="Y105" s="85">
        <f t="shared" si="81"/>
        <v>0</v>
      </c>
      <c r="Z105" s="85">
        <f t="shared" si="81"/>
        <v>0</v>
      </c>
      <c r="AA105" s="85">
        <f t="shared" si="81"/>
        <v>0</v>
      </c>
      <c r="AB105" s="85">
        <f t="shared" si="81"/>
        <v>0</v>
      </c>
      <c r="AC105" s="85">
        <f t="shared" si="81"/>
        <v>0</v>
      </c>
      <c r="AD105" s="85">
        <f t="shared" si="81"/>
        <v>0</v>
      </c>
      <c r="AE105" s="85">
        <f t="shared" si="81"/>
        <v>0</v>
      </c>
      <c r="AF105" s="85">
        <f t="shared" si="81"/>
        <v>0</v>
      </c>
      <c r="AG105" s="84"/>
      <c r="AH105" s="12">
        <f t="shared" si="46"/>
        <v>0</v>
      </c>
      <c r="AI105" s="11">
        <f t="shared" si="47"/>
        <v>0</v>
      </c>
      <c r="BF105" s="83"/>
      <c r="BG105" s="78">
        <v>20.3</v>
      </c>
      <c r="BH105" s="78">
        <v>0</v>
      </c>
      <c r="BI105" s="78">
        <v>142</v>
      </c>
      <c r="BJ105" s="78">
        <v>15.3</v>
      </c>
      <c r="BK105" s="78">
        <v>0</v>
      </c>
      <c r="BL105" s="78">
        <v>45.2</v>
      </c>
    </row>
    <row r="106" spans="1:64" ht="15.75" thickBot="1" x14ac:dyDescent="0.3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1</v>
      </c>
      <c r="U106" s="81">
        <v>1</v>
      </c>
      <c r="V106" s="81">
        <v>0</v>
      </c>
      <c r="W106" s="81">
        <v>0</v>
      </c>
      <c r="X106" s="81">
        <v>1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46"/>
        <v>1</v>
      </c>
      <c r="AI106" s="11">
        <f t="shared" si="47"/>
        <v>0</v>
      </c>
      <c r="BG106" s="78">
        <v>17.7</v>
      </c>
      <c r="BH106" s="78">
        <v>0</v>
      </c>
      <c r="BI106" s="78">
        <v>100.3</v>
      </c>
      <c r="BJ106" s="78">
        <v>15.3</v>
      </c>
      <c r="BK106" s="78">
        <v>0</v>
      </c>
      <c r="BL106" s="78">
        <v>42.6</v>
      </c>
    </row>
    <row r="107" spans="1:64" ht="15.75" thickBot="1" x14ac:dyDescent="0.3">
      <c r="A107" s="79" t="s">
        <v>155</v>
      </c>
      <c r="B107" s="76">
        <f t="shared" ref="B107:C107" si="84">SUM(B101:B106)</f>
        <v>0</v>
      </c>
      <c r="C107" s="76">
        <f t="shared" si="84"/>
        <v>0</v>
      </c>
      <c r="D107" s="76">
        <f t="shared" ref="D107:AF107" si="85">SUM(D101:D106)</f>
        <v>0</v>
      </c>
      <c r="E107" s="76">
        <f t="shared" si="85"/>
        <v>0</v>
      </c>
      <c r="F107" s="76">
        <f t="shared" si="85"/>
        <v>0</v>
      </c>
      <c r="G107" s="76">
        <f t="shared" si="85"/>
        <v>0</v>
      </c>
      <c r="H107" s="76">
        <f t="shared" si="85"/>
        <v>0</v>
      </c>
      <c r="I107" s="76">
        <f t="shared" si="85"/>
        <v>0</v>
      </c>
      <c r="J107" s="76">
        <f t="shared" si="85"/>
        <v>0</v>
      </c>
      <c r="K107" s="76">
        <f t="shared" si="85"/>
        <v>0</v>
      </c>
      <c r="L107" s="76">
        <f t="shared" si="85"/>
        <v>0</v>
      </c>
      <c r="M107" s="76">
        <f t="shared" si="85"/>
        <v>0</v>
      </c>
      <c r="N107" s="76">
        <f t="shared" si="85"/>
        <v>0</v>
      </c>
      <c r="O107" s="76">
        <f t="shared" si="85"/>
        <v>0</v>
      </c>
      <c r="P107" s="76">
        <f t="shared" si="85"/>
        <v>0</v>
      </c>
      <c r="Q107" s="76">
        <f t="shared" si="85"/>
        <v>0</v>
      </c>
      <c r="R107" s="76">
        <f t="shared" si="85"/>
        <v>0</v>
      </c>
      <c r="S107" s="76">
        <f t="shared" si="85"/>
        <v>0</v>
      </c>
      <c r="T107" s="76">
        <v>0</v>
      </c>
      <c r="U107" s="76">
        <v>0</v>
      </c>
      <c r="V107" s="76">
        <f t="shared" si="85"/>
        <v>0</v>
      </c>
      <c r="W107" s="76">
        <f t="shared" si="85"/>
        <v>0</v>
      </c>
      <c r="X107" s="76">
        <v>0</v>
      </c>
      <c r="Y107" s="76">
        <f t="shared" si="85"/>
        <v>0</v>
      </c>
      <c r="Z107" s="76">
        <f t="shared" si="85"/>
        <v>0</v>
      </c>
      <c r="AA107" s="76">
        <f t="shared" si="85"/>
        <v>0</v>
      </c>
      <c r="AB107" s="76">
        <f t="shared" si="85"/>
        <v>0</v>
      </c>
      <c r="AC107" s="76">
        <f t="shared" si="85"/>
        <v>0</v>
      </c>
      <c r="AD107" s="76">
        <f t="shared" si="85"/>
        <v>0</v>
      </c>
      <c r="AE107" s="76">
        <f t="shared" si="85"/>
        <v>0</v>
      </c>
      <c r="AF107" s="76">
        <f t="shared" si="85"/>
        <v>0</v>
      </c>
      <c r="AG107" s="75"/>
      <c r="AH107" s="12">
        <f t="shared" si="46"/>
        <v>0</v>
      </c>
      <c r="AI107" s="11">
        <f t="shared" si="47"/>
        <v>0</v>
      </c>
      <c r="AK107" s="19"/>
      <c r="BG107" s="78">
        <v>13.6</v>
      </c>
      <c r="BH107" s="78">
        <v>0</v>
      </c>
      <c r="BI107" s="78">
        <v>82.8</v>
      </c>
      <c r="BJ107" s="78">
        <v>15.5</v>
      </c>
      <c r="BK107" s="78">
        <v>0</v>
      </c>
      <c r="BL107" s="78">
        <v>45</v>
      </c>
    </row>
    <row r="108" spans="1:64" ht="15.75" thickBot="1" x14ac:dyDescent="0.3">
      <c r="A108" s="77" t="s">
        <v>154</v>
      </c>
      <c r="B108" s="76">
        <f t="shared" ref="B108:C108" si="86">B92-B107</f>
        <v>156.89999999999998</v>
      </c>
      <c r="C108" s="76">
        <f t="shared" si="86"/>
        <v>224</v>
      </c>
      <c r="D108" s="76">
        <f t="shared" ref="D108:AF108" si="87">D92-D107</f>
        <v>160.69999999999999</v>
      </c>
      <c r="E108" s="76">
        <f t="shared" si="87"/>
        <v>152.80000000000001</v>
      </c>
      <c r="F108" s="76">
        <f t="shared" si="87"/>
        <v>142.9</v>
      </c>
      <c r="G108" s="76">
        <f t="shared" si="87"/>
        <v>225.89999999999998</v>
      </c>
      <c r="H108" s="76">
        <f t="shared" si="87"/>
        <v>221.10000000000002</v>
      </c>
      <c r="I108" s="76">
        <f t="shared" si="87"/>
        <v>354</v>
      </c>
      <c r="J108" s="76">
        <f t="shared" si="87"/>
        <v>709</v>
      </c>
      <c r="K108" s="76">
        <f t="shared" si="87"/>
        <v>824.7</v>
      </c>
      <c r="L108" s="76">
        <f t="shared" si="87"/>
        <v>858.80000000000007</v>
      </c>
      <c r="M108" s="76">
        <f t="shared" si="87"/>
        <v>898.1</v>
      </c>
      <c r="N108" s="76">
        <f t="shared" si="87"/>
        <v>851.86199999999997</v>
      </c>
      <c r="O108" s="76">
        <f t="shared" si="87"/>
        <v>910.2</v>
      </c>
      <c r="P108" s="76">
        <f t="shared" si="87"/>
        <v>937</v>
      </c>
      <c r="Q108" s="76">
        <f t="shared" si="87"/>
        <v>917.8</v>
      </c>
      <c r="R108" s="76">
        <f t="shared" si="87"/>
        <v>921</v>
      </c>
      <c r="S108" s="76">
        <f t="shared" si="87"/>
        <v>893</v>
      </c>
      <c r="T108" s="76">
        <f t="shared" ref="T108:U108" si="88">T92-T107</f>
        <v>922</v>
      </c>
      <c r="U108" s="76">
        <f t="shared" si="88"/>
        <v>877.6</v>
      </c>
      <c r="V108" s="76">
        <f t="shared" si="87"/>
        <v>840.7</v>
      </c>
      <c r="W108" s="76">
        <f t="shared" si="87"/>
        <v>864.5</v>
      </c>
      <c r="X108" s="76">
        <f t="shared" ref="X108" si="89">X92-X107</f>
        <v>786</v>
      </c>
      <c r="Y108" s="76">
        <f t="shared" si="87"/>
        <v>431.8</v>
      </c>
      <c r="Z108" s="76">
        <f t="shared" si="87"/>
        <v>331</v>
      </c>
      <c r="AA108" s="76">
        <f t="shared" si="87"/>
        <v>202.49999999999997</v>
      </c>
      <c r="AB108" s="76">
        <f t="shared" si="87"/>
        <v>209.09999999999997</v>
      </c>
      <c r="AC108" s="76">
        <f t="shared" si="87"/>
        <v>237.09999999999997</v>
      </c>
      <c r="AD108" s="76">
        <f t="shared" si="87"/>
        <v>200.5</v>
      </c>
      <c r="AE108" s="76">
        <f t="shared" si="87"/>
        <v>222.8</v>
      </c>
      <c r="AF108" s="76">
        <f t="shared" si="87"/>
        <v>175.9</v>
      </c>
      <c r="AG108" s="75"/>
      <c r="AH108" s="12">
        <f t="shared" si="46"/>
        <v>937</v>
      </c>
      <c r="AI108" s="11">
        <f t="shared" si="47"/>
        <v>142.9</v>
      </c>
    </row>
    <row r="109" spans="1:64" x14ac:dyDescent="0.25">
      <c r="A109" s="25" t="s">
        <v>153</v>
      </c>
      <c r="B109" s="74">
        <v>50.01</v>
      </c>
      <c r="C109" s="74">
        <v>50.01</v>
      </c>
      <c r="D109" s="74">
        <v>50.012</v>
      </c>
      <c r="E109" s="74">
        <v>50.04</v>
      </c>
      <c r="F109" s="74">
        <v>49.939</v>
      </c>
      <c r="G109" s="74">
        <v>49.930999999999997</v>
      </c>
      <c r="H109" s="74">
        <v>49.970999999999997</v>
      </c>
      <c r="I109" s="74">
        <v>49.941000000000003</v>
      </c>
      <c r="J109" s="74">
        <v>49.948</v>
      </c>
      <c r="K109" s="74">
        <v>50.039000000000001</v>
      </c>
      <c r="L109" s="74">
        <v>50.027000000000001</v>
      </c>
      <c r="M109" s="74">
        <v>50.06</v>
      </c>
      <c r="N109" s="74">
        <v>49.96</v>
      </c>
      <c r="O109" s="74">
        <v>50.042999999999999</v>
      </c>
      <c r="P109" s="74">
        <v>50.030999999999999</v>
      </c>
      <c r="Q109" s="74">
        <v>50.024999999999999</v>
      </c>
      <c r="R109" s="74">
        <v>49.966000000000001</v>
      </c>
      <c r="S109" s="74">
        <v>50.037999999999997</v>
      </c>
      <c r="T109" s="74">
        <v>50.03</v>
      </c>
      <c r="U109" s="74">
        <v>50.04</v>
      </c>
      <c r="V109" s="74">
        <v>49.962000000000003</v>
      </c>
      <c r="W109" s="74">
        <v>49.941000000000003</v>
      </c>
      <c r="X109" s="74">
        <v>49.99</v>
      </c>
      <c r="Y109" s="74">
        <v>49.960999999999999</v>
      </c>
      <c r="Z109" s="74">
        <v>50.055</v>
      </c>
      <c r="AA109" s="74">
        <v>49.939</v>
      </c>
      <c r="AB109" s="74">
        <v>50.064999999999998</v>
      </c>
      <c r="AC109" s="74">
        <v>50.06</v>
      </c>
      <c r="AD109" s="74">
        <v>49.981000000000002</v>
      </c>
      <c r="AE109" s="74">
        <v>50.06</v>
      </c>
      <c r="AF109" s="74">
        <v>49.94</v>
      </c>
      <c r="AG109" s="73"/>
      <c r="AH109" s="12">
        <f t="shared" si="46"/>
        <v>50.064999999999998</v>
      </c>
      <c r="AI109" s="11">
        <f t="shared" si="47"/>
        <v>49.930999999999997</v>
      </c>
    </row>
    <row r="110" spans="1:64" x14ac:dyDescent="0.25">
      <c r="A110" s="22" t="s">
        <v>152</v>
      </c>
      <c r="B110" s="70">
        <v>130.4</v>
      </c>
      <c r="C110" s="70">
        <v>130.69999999999999</v>
      </c>
      <c r="D110" s="70">
        <v>131.69999999999999</v>
      </c>
      <c r="E110" s="70">
        <v>132.4</v>
      </c>
      <c r="F110" s="70">
        <v>132.4</v>
      </c>
      <c r="G110" s="70">
        <v>132.4</v>
      </c>
      <c r="H110" s="70">
        <v>131.9</v>
      </c>
      <c r="I110" s="70">
        <v>128.9</v>
      </c>
      <c r="J110" s="70">
        <v>128.69999999999999</v>
      </c>
      <c r="K110" s="70">
        <v>127.1</v>
      </c>
      <c r="L110" s="70">
        <v>127.1</v>
      </c>
      <c r="M110" s="70">
        <v>126</v>
      </c>
      <c r="N110" s="70">
        <v>126.8</v>
      </c>
      <c r="O110" s="70">
        <v>125.5</v>
      </c>
      <c r="P110" s="70">
        <v>125.5</v>
      </c>
      <c r="Q110" s="70">
        <v>126</v>
      </c>
      <c r="R110" s="70">
        <v>126.7</v>
      </c>
      <c r="S110" s="70">
        <v>127</v>
      </c>
      <c r="T110" s="70">
        <v>126</v>
      </c>
      <c r="U110" s="70">
        <v>127.7</v>
      </c>
      <c r="V110" s="70">
        <v>129</v>
      </c>
      <c r="W110" s="70">
        <v>128.5</v>
      </c>
      <c r="X110" s="70">
        <v>130</v>
      </c>
      <c r="Y110" s="70">
        <v>130.19999999999999</v>
      </c>
      <c r="Z110" s="70">
        <v>126.7</v>
      </c>
      <c r="AA110" s="70">
        <v>128</v>
      </c>
      <c r="AB110" s="70">
        <v>128.80000000000001</v>
      </c>
      <c r="AC110" s="70">
        <v>128.30000000000001</v>
      </c>
      <c r="AD110" s="70">
        <v>128.30000000000001</v>
      </c>
      <c r="AE110" s="70">
        <v>129.4</v>
      </c>
      <c r="AF110" s="70">
        <v>130.5</v>
      </c>
      <c r="AG110" s="69"/>
      <c r="AH110" s="12">
        <f t="shared" si="46"/>
        <v>132.4</v>
      </c>
      <c r="AI110" s="11">
        <f t="shared" si="47"/>
        <v>125.5</v>
      </c>
    </row>
    <row r="111" spans="1:64" x14ac:dyDescent="0.25">
      <c r="A111" s="22" t="s">
        <v>151</v>
      </c>
      <c r="B111" s="70">
        <v>134</v>
      </c>
      <c r="C111" s="70">
        <v>134.69999999999999</v>
      </c>
      <c r="D111" s="70">
        <v>135</v>
      </c>
      <c r="E111" s="70">
        <v>135.4</v>
      </c>
      <c r="F111" s="70">
        <v>135.5</v>
      </c>
      <c r="G111" s="70">
        <v>135.5</v>
      </c>
      <c r="H111" s="70">
        <v>134.6</v>
      </c>
      <c r="I111" s="70">
        <v>132.19999999999999</v>
      </c>
      <c r="J111" s="70">
        <v>131.6</v>
      </c>
      <c r="K111" s="70">
        <v>130.19999999999999</v>
      </c>
      <c r="L111" s="70">
        <v>130</v>
      </c>
      <c r="M111" s="70">
        <v>128.6</v>
      </c>
      <c r="N111" s="70">
        <v>129.69999999999999</v>
      </c>
      <c r="O111" s="70">
        <v>128.30000000000001</v>
      </c>
      <c r="P111" s="70">
        <v>128.30000000000001</v>
      </c>
      <c r="Q111" s="70">
        <v>129</v>
      </c>
      <c r="R111" s="70">
        <v>129.19999999999999</v>
      </c>
      <c r="S111" s="70">
        <v>129.4</v>
      </c>
      <c r="T111" s="70">
        <v>129</v>
      </c>
      <c r="U111" s="70">
        <v>130</v>
      </c>
      <c r="V111" s="70">
        <v>131</v>
      </c>
      <c r="W111" s="70">
        <v>130.6</v>
      </c>
      <c r="X111" s="70">
        <v>132</v>
      </c>
      <c r="Y111" s="70">
        <v>131.69999999999999</v>
      </c>
      <c r="Z111" s="70">
        <v>128.9</v>
      </c>
      <c r="AA111" s="70">
        <v>130.19999999999999</v>
      </c>
      <c r="AB111" s="70">
        <v>131.4</v>
      </c>
      <c r="AC111" s="70">
        <v>131.1</v>
      </c>
      <c r="AD111" s="70">
        <v>131.19999999999999</v>
      </c>
      <c r="AE111" s="70">
        <v>132.6</v>
      </c>
      <c r="AF111" s="70" t="s">
        <v>309</v>
      </c>
      <c r="AG111" s="69"/>
      <c r="AH111" s="12">
        <f t="shared" si="46"/>
        <v>135.5</v>
      </c>
      <c r="AI111" s="11">
        <f t="shared" si="47"/>
        <v>128.30000000000001</v>
      </c>
    </row>
    <row r="112" spans="1:64" x14ac:dyDescent="0.25">
      <c r="A112" s="22" t="s">
        <v>150</v>
      </c>
      <c r="B112" s="70">
        <v>130.5</v>
      </c>
      <c r="C112" s="70">
        <v>133.4</v>
      </c>
      <c r="D112" s="70">
        <v>133.4</v>
      </c>
      <c r="E112" s="70">
        <v>134.1</v>
      </c>
      <c r="F112" s="70">
        <v>134.4</v>
      </c>
      <c r="G112" s="70">
        <v>132.19999999999999</v>
      </c>
      <c r="H112" s="70">
        <v>132.4</v>
      </c>
      <c r="I112" s="70">
        <v>129.4</v>
      </c>
      <c r="J112" s="70">
        <v>131.4</v>
      </c>
      <c r="K112" s="70">
        <v>129.19999999999999</v>
      </c>
      <c r="L112" s="70">
        <v>127.6</v>
      </c>
      <c r="M112" s="70">
        <v>127.9</v>
      </c>
      <c r="N112" s="70">
        <v>127.2</v>
      </c>
      <c r="O112" s="70">
        <v>125.8</v>
      </c>
      <c r="P112" s="70">
        <v>125.8</v>
      </c>
      <c r="Q112" s="70">
        <v>125</v>
      </c>
      <c r="R112" s="70">
        <v>125.5</v>
      </c>
      <c r="S112" s="70">
        <v>124.8</v>
      </c>
      <c r="T112" s="70">
        <v>122.5</v>
      </c>
      <c r="U112" s="70">
        <v>129.4</v>
      </c>
      <c r="V112" s="70">
        <v>131</v>
      </c>
      <c r="W112" s="70">
        <v>129.19999999999999</v>
      </c>
      <c r="X112" s="70">
        <v>130</v>
      </c>
      <c r="Y112" s="70">
        <v>127</v>
      </c>
      <c r="Z112" s="70">
        <v>127.1</v>
      </c>
      <c r="AA112" s="70">
        <v>124.9</v>
      </c>
      <c r="AB112" s="70">
        <v>128</v>
      </c>
      <c r="AC112" s="70">
        <v>132.4</v>
      </c>
      <c r="AD112" s="70">
        <v>129.5</v>
      </c>
      <c r="AE112" s="70">
        <v>128.6</v>
      </c>
      <c r="AF112" s="70">
        <v>129.9</v>
      </c>
      <c r="AG112" s="69"/>
      <c r="AH112" s="12">
        <f t="shared" si="46"/>
        <v>134.4</v>
      </c>
      <c r="AI112" s="11">
        <f t="shared" si="47"/>
        <v>122.5</v>
      </c>
    </row>
    <row r="113" spans="1:35" x14ac:dyDescent="0.25">
      <c r="A113" s="72" t="s">
        <v>149</v>
      </c>
      <c r="B113" s="70">
        <v>130.1</v>
      </c>
      <c r="C113" s="70">
        <v>133.6</v>
      </c>
      <c r="D113" s="70">
        <v>131</v>
      </c>
      <c r="E113" s="70">
        <v>131.69999999999999</v>
      </c>
      <c r="F113" s="70">
        <v>132.1</v>
      </c>
      <c r="G113" s="70">
        <v>131.1</v>
      </c>
      <c r="H113" s="70">
        <v>129</v>
      </c>
      <c r="I113" s="70">
        <v>127.6</v>
      </c>
      <c r="J113" s="70">
        <v>129.5</v>
      </c>
      <c r="K113" s="70">
        <v>127.4</v>
      </c>
      <c r="L113" s="70">
        <v>124.5</v>
      </c>
      <c r="M113" s="70">
        <v>125.2</v>
      </c>
      <c r="N113" s="70">
        <v>124.2</v>
      </c>
      <c r="O113" s="70">
        <v>123.1</v>
      </c>
      <c r="P113" s="70">
        <v>123.1</v>
      </c>
      <c r="Q113" s="70">
        <v>122.2</v>
      </c>
      <c r="R113" s="70">
        <v>124.5</v>
      </c>
      <c r="S113" s="70">
        <v>123.3</v>
      </c>
      <c r="T113" s="70">
        <v>121.5</v>
      </c>
      <c r="U113" s="70">
        <v>127</v>
      </c>
      <c r="V113" s="70">
        <v>128</v>
      </c>
      <c r="W113" s="70">
        <v>125</v>
      </c>
      <c r="X113" s="70">
        <v>126.5</v>
      </c>
      <c r="Y113" s="70">
        <v>124.5</v>
      </c>
      <c r="Z113" s="70">
        <v>125.3</v>
      </c>
      <c r="AA113" s="70">
        <v>124.7</v>
      </c>
      <c r="AB113" s="70">
        <v>127</v>
      </c>
      <c r="AC113" s="70">
        <v>130.4</v>
      </c>
      <c r="AD113" s="70">
        <v>128.4</v>
      </c>
      <c r="AE113" s="70">
        <v>127.3</v>
      </c>
      <c r="AF113" s="70">
        <v>128.80000000000001</v>
      </c>
      <c r="AG113" s="69"/>
      <c r="AH113" s="12">
        <f t="shared" si="46"/>
        <v>133.6</v>
      </c>
      <c r="AI113" s="11">
        <f t="shared" si="47"/>
        <v>121.5</v>
      </c>
    </row>
    <row r="114" spans="1:35" x14ac:dyDescent="0.25">
      <c r="A114" s="72" t="s">
        <v>148</v>
      </c>
      <c r="B114" s="56">
        <v>137.4</v>
      </c>
      <c r="C114" s="56">
        <v>133.5</v>
      </c>
      <c r="D114" s="56">
        <v>135</v>
      </c>
      <c r="E114" s="56">
        <v>135.19999999999999</v>
      </c>
      <c r="F114" s="56">
        <v>136</v>
      </c>
      <c r="G114" s="56">
        <v>135.5</v>
      </c>
      <c r="H114" s="56">
        <v>134.30000000000001</v>
      </c>
      <c r="I114" s="56">
        <v>130.69999999999999</v>
      </c>
      <c r="J114" s="56">
        <v>131.69999999999999</v>
      </c>
      <c r="K114" s="56">
        <v>131.30000000000001</v>
      </c>
      <c r="L114" s="56">
        <v>129.69999999999999</v>
      </c>
      <c r="M114" s="56">
        <v>132.4</v>
      </c>
      <c r="N114" s="56">
        <v>133.19999999999999</v>
      </c>
      <c r="O114" s="56">
        <v>129.9</v>
      </c>
      <c r="P114" s="56">
        <v>129.9</v>
      </c>
      <c r="Q114" s="56">
        <v>132</v>
      </c>
      <c r="R114" s="56">
        <v>134.1</v>
      </c>
      <c r="S114" s="56">
        <v>131.80000000000001</v>
      </c>
      <c r="T114" s="56">
        <v>130.30000000000001</v>
      </c>
      <c r="U114" s="56">
        <v>134</v>
      </c>
      <c r="V114" s="56">
        <v>134.1</v>
      </c>
      <c r="W114" s="56">
        <v>132.6</v>
      </c>
      <c r="X114" s="56">
        <v>135</v>
      </c>
      <c r="Y114" s="56">
        <v>136.6</v>
      </c>
      <c r="Z114" s="56">
        <v>130</v>
      </c>
      <c r="AA114" s="56">
        <v>133</v>
      </c>
      <c r="AB114" s="56">
        <v>135.9</v>
      </c>
      <c r="AC114" s="56">
        <v>130.80000000000001</v>
      </c>
      <c r="AD114" s="56">
        <v>130.30000000000001</v>
      </c>
      <c r="AE114" s="56">
        <v>132.9</v>
      </c>
      <c r="AF114" s="56">
        <v>135.69999999999999</v>
      </c>
      <c r="AG114" s="71"/>
      <c r="AH114" s="12">
        <f t="shared" si="46"/>
        <v>137.4</v>
      </c>
      <c r="AI114" s="11">
        <f t="shared" si="47"/>
        <v>129.69999999999999</v>
      </c>
    </row>
    <row r="115" spans="1:35" x14ac:dyDescent="0.25">
      <c r="A115" s="22" t="s">
        <v>147</v>
      </c>
      <c r="B115" s="70">
        <v>133.1</v>
      </c>
      <c r="C115" s="70">
        <v>128.5</v>
      </c>
      <c r="D115" s="70">
        <v>130.5</v>
      </c>
      <c r="E115" s="70">
        <v>134.30000000000001</v>
      </c>
      <c r="F115" s="70">
        <v>134.1</v>
      </c>
      <c r="G115" s="70">
        <v>134.4</v>
      </c>
      <c r="H115" s="70">
        <v>133.4</v>
      </c>
      <c r="I115" s="70">
        <v>133.30000000000001</v>
      </c>
      <c r="J115" s="70">
        <v>129.4</v>
      </c>
      <c r="K115" s="70">
        <v>130.9</v>
      </c>
      <c r="L115" s="70">
        <v>129.30000000000001</v>
      </c>
      <c r="M115" s="70">
        <v>126.9</v>
      </c>
      <c r="N115" s="70">
        <v>127.1</v>
      </c>
      <c r="O115" s="70">
        <v>126.4</v>
      </c>
      <c r="P115" s="70">
        <v>126.4</v>
      </c>
      <c r="Q115" s="70">
        <v>130</v>
      </c>
      <c r="R115" s="70">
        <v>135.4</v>
      </c>
      <c r="S115" s="70">
        <v>131.30000000000001</v>
      </c>
      <c r="T115" s="70">
        <v>131.30000000000001</v>
      </c>
      <c r="U115" s="70">
        <v>131.30000000000001</v>
      </c>
      <c r="V115" s="70">
        <v>127.4</v>
      </c>
      <c r="W115" s="70">
        <v>126.1</v>
      </c>
      <c r="X115" s="70">
        <v>134</v>
      </c>
      <c r="Y115" s="70">
        <v>124.2</v>
      </c>
      <c r="Z115" s="70">
        <v>119</v>
      </c>
      <c r="AA115" s="70">
        <v>122</v>
      </c>
      <c r="AB115" s="70">
        <v>128.69999999999999</v>
      </c>
      <c r="AC115" s="70">
        <v>123.1</v>
      </c>
      <c r="AD115" s="70">
        <v>122.4</v>
      </c>
      <c r="AE115" s="70">
        <v>129.1</v>
      </c>
      <c r="AF115" s="70">
        <v>134</v>
      </c>
      <c r="AG115" s="69"/>
      <c r="AH115" s="12">
        <f t="shared" si="46"/>
        <v>135.4</v>
      </c>
      <c r="AI115" s="11">
        <f t="shared" si="47"/>
        <v>119</v>
      </c>
    </row>
    <row r="116" spans="1:35" ht="15.75" thickBot="1" x14ac:dyDescent="0.3">
      <c r="A116" s="22" t="s">
        <v>146</v>
      </c>
      <c r="B116" s="67">
        <v>67.2</v>
      </c>
      <c r="C116" s="67">
        <v>67.3</v>
      </c>
      <c r="D116" s="67">
        <v>67.8</v>
      </c>
      <c r="E116" s="67">
        <v>68</v>
      </c>
      <c r="F116" s="67">
        <v>68</v>
      </c>
      <c r="G116" s="67">
        <v>67.900000000000006</v>
      </c>
      <c r="H116" s="67">
        <v>67.5</v>
      </c>
      <c r="I116" s="67">
        <v>66.3</v>
      </c>
      <c r="J116" s="67">
        <v>66.099999999999994</v>
      </c>
      <c r="K116" s="67">
        <v>65.3</v>
      </c>
      <c r="L116" s="67">
        <v>65.400000000000006</v>
      </c>
      <c r="M116" s="67">
        <v>64.8</v>
      </c>
      <c r="N116" s="67">
        <v>65</v>
      </c>
      <c r="O116" s="67">
        <v>64.3</v>
      </c>
      <c r="P116" s="67">
        <v>64.5</v>
      </c>
      <c r="Q116" s="67">
        <v>64.900000000000006</v>
      </c>
      <c r="R116" s="67">
        <v>64.2</v>
      </c>
      <c r="S116" s="67">
        <v>64.599999999999994</v>
      </c>
      <c r="T116" s="67">
        <v>64.3</v>
      </c>
      <c r="U116" s="67">
        <v>64.3</v>
      </c>
      <c r="V116" s="67">
        <v>65.099999999999994</v>
      </c>
      <c r="W116" s="67">
        <v>65</v>
      </c>
      <c r="X116" s="67">
        <v>65</v>
      </c>
      <c r="Y116" s="67">
        <v>65.5</v>
      </c>
      <c r="Z116" s="67">
        <v>64.3</v>
      </c>
      <c r="AA116" s="67">
        <v>64.7</v>
      </c>
      <c r="AB116" s="67">
        <v>65.400000000000006</v>
      </c>
      <c r="AC116" s="67">
        <v>65.5</v>
      </c>
      <c r="AD116" s="67">
        <v>65.7</v>
      </c>
      <c r="AE116" s="67">
        <v>66.099999999999994</v>
      </c>
      <c r="AF116" s="67">
        <v>66.7</v>
      </c>
      <c r="AG116" s="66"/>
      <c r="AH116" s="12">
        <f t="shared" si="46"/>
        <v>68</v>
      </c>
      <c r="AI116" s="11">
        <f t="shared" si="47"/>
        <v>64.2</v>
      </c>
    </row>
    <row r="117" spans="1:35" ht="15.75" thickBot="1" x14ac:dyDescent="0.3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46"/>
        <v>0</v>
      </c>
      <c r="AI117" s="11">
        <f t="shared" si="47"/>
        <v>0</v>
      </c>
    </row>
    <row r="118" spans="1:35" ht="15.75" thickBot="1" x14ac:dyDescent="0.3">
      <c r="A118" s="65" t="s">
        <v>144</v>
      </c>
      <c r="B118" s="64">
        <f t="shared" ref="B118:C118" si="90">SUM(B22,B28,B31:B32,B66,B68:B69,B71,B73,B119:B123,B155,B161,B167,B176,B178,B190,B197,B200:B201,B208,B210,B212,B216:B218,B220:B222,B227,B233:B234,B236:B238,B246,B251)</f>
        <v>145.44000000000003</v>
      </c>
      <c r="C118" s="64">
        <f t="shared" si="90"/>
        <v>129.34</v>
      </c>
      <c r="D118" s="64">
        <f t="shared" ref="D118:O118" si="91">SUM(D22,D28,D31:D32,D66,D68:D69,D71,D73,D119:D123,D155,D161,D167,D176,D178,D190,D197,D200:D201,D208,D210,D212,D216:D218,D220:D222,D227,D233:D234,D236:D238,D246,D251)</f>
        <v>121.54</v>
      </c>
      <c r="E118" s="64">
        <f t="shared" si="91"/>
        <v>117.74000000000001</v>
      </c>
      <c r="F118" s="64">
        <f t="shared" si="91"/>
        <v>116.93999999999998</v>
      </c>
      <c r="G118" s="64">
        <f t="shared" si="91"/>
        <v>138.44</v>
      </c>
      <c r="H118" s="64">
        <f t="shared" si="91"/>
        <v>169.24</v>
      </c>
      <c r="I118" s="64">
        <f t="shared" si="91"/>
        <v>204.84</v>
      </c>
      <c r="J118" s="64">
        <f t="shared" si="91"/>
        <v>248.54</v>
      </c>
      <c r="K118" s="64">
        <f t="shared" si="91"/>
        <v>279.14</v>
      </c>
      <c r="L118" s="64">
        <f t="shared" si="91"/>
        <v>307.14000000000004</v>
      </c>
      <c r="M118" s="64">
        <f t="shared" si="91"/>
        <v>295.83999999999997</v>
      </c>
      <c r="N118" s="64">
        <f t="shared" si="91"/>
        <v>261.33999999999997</v>
      </c>
      <c r="O118" s="64">
        <f t="shared" si="91"/>
        <v>276.54000000000002</v>
      </c>
      <c r="P118" s="64">
        <v>42</v>
      </c>
      <c r="Q118" s="64">
        <f t="shared" ref="Q118:W118" si="92">SUM(Q22,Q28,Q31:Q32,Q66,Q68:Q69,Q71,Q73,Q119:Q123,Q155,Q161,Q167,Q176,Q178,Q190,Q197,Q200:Q201,Q208,Q210,Q212,Q216:Q218,Q220:Q222,Q227,Q233:Q234,Q236:Q238,Q246,Q251)</f>
        <v>272.84000000000003</v>
      </c>
      <c r="R118" s="64">
        <f t="shared" si="92"/>
        <v>280.33999999999997</v>
      </c>
      <c r="S118" s="64">
        <f t="shared" si="92"/>
        <v>319.23999999999995</v>
      </c>
      <c r="T118" s="64">
        <f t="shared" ref="T118:U118" si="93">SUM(T22,T28,T31:T32,T66,T68:T69,T71,T73,T119:T123,T155,T161,T167,T176,T178,T190,T197,T200:T201,T208,T210,T212,T216:T218,T220:T222,T227,T233:T234,T236:T238,T246,T251)</f>
        <v>317.64</v>
      </c>
      <c r="U118" s="64">
        <f t="shared" si="93"/>
        <v>317.64</v>
      </c>
      <c r="V118" s="64">
        <f t="shared" si="92"/>
        <v>321.33999999999997</v>
      </c>
      <c r="W118" s="64">
        <f t="shared" si="92"/>
        <v>317.54000000000002</v>
      </c>
      <c r="X118" s="64">
        <f t="shared" ref="X118" si="94">SUM(X22,X28,X31:X32,X66,X68:X69,X71,X73,X119:X123,X155,X161,X167,X176,X178,X190,X197,X200:X201,X208,X210,X212,X216:X218,X220:X222,X227,X233:X234,X236:X238,X246,X251)</f>
        <v>316.64</v>
      </c>
      <c r="Y118" s="64">
        <f>SUM(Y20,Y26,Y37:Y38,Y66,Y68:Y69,Y71,Y73,Y119:Y123,Y148,Y154,Y160,Y169,Y171,Y183,Y190,Y193:Y194,Y201,Y203,Y205,Y209:Y211,Y213:Y215,Y220,Y226:Y227,Y229:Y231,Y239,Y244)</f>
        <v>328.95</v>
      </c>
      <c r="Z118" s="64">
        <f>SUM(Z20,Z26,Z37:Z38,Z66,Z68:Z69,Z71,Z73,Z119:Z123,Z148,Z154,Z160,Z169,Z171,Z183,Z190,Z193:Z194,Z201,Z203,Z205,Z209:Z211,Z213:Z215,Z220,Z226:Z227,Z229:Z231,Z239,Z244)</f>
        <v>374.05</v>
      </c>
      <c r="AA118" s="64">
        <f t="shared" ref="AA118:AF118" si="95">SUM(AA22,AA28,AA31:AA32,AA66,AA68:AA69,AA71,AA73,AA119:AA123,AA155,AA161,AA167,AA176,AA178,AA190,AA197,AA200:AA201,AA208,AA210,AA212,AA216:AA218,AA220:AA222,AA227,AA233:AA234,AA236:AA238,AA246,AA251)</f>
        <v>364.64</v>
      </c>
      <c r="AB118" s="64">
        <f t="shared" si="95"/>
        <v>330.54</v>
      </c>
      <c r="AC118" s="64">
        <f t="shared" si="95"/>
        <v>298.94</v>
      </c>
      <c r="AD118" s="64">
        <f t="shared" si="95"/>
        <v>276.83999999999997</v>
      </c>
      <c r="AE118" s="64">
        <f t="shared" si="95"/>
        <v>198.64000000000001</v>
      </c>
      <c r="AF118" s="64">
        <f t="shared" si="95"/>
        <v>168.34</v>
      </c>
      <c r="AG118" s="63"/>
      <c r="AH118" s="12">
        <f t="shared" si="46"/>
        <v>374.05</v>
      </c>
      <c r="AI118" s="11">
        <f t="shared" si="47"/>
        <v>42</v>
      </c>
    </row>
    <row r="119" spans="1:35" x14ac:dyDescent="0.25">
      <c r="A119" s="59" t="s">
        <v>143</v>
      </c>
      <c r="B119" s="62">
        <v>1.9</v>
      </c>
      <c r="C119" s="62">
        <v>-1.3</v>
      </c>
      <c r="D119" s="62">
        <v>0</v>
      </c>
      <c r="E119" s="62">
        <v>8.1999999999999993</v>
      </c>
      <c r="F119" s="62">
        <v>12.2</v>
      </c>
      <c r="G119" s="62">
        <v>6.4</v>
      </c>
      <c r="H119" s="62">
        <v>4.8</v>
      </c>
      <c r="I119" s="62">
        <v>3.2</v>
      </c>
      <c r="J119" s="62">
        <v>3.2</v>
      </c>
      <c r="K119" s="62">
        <v>3.4</v>
      </c>
      <c r="L119" s="62">
        <v>3.7</v>
      </c>
      <c r="M119" s="62">
        <v>12.2</v>
      </c>
      <c r="N119" s="62">
        <v>4.4000000000000004</v>
      </c>
      <c r="O119" s="62">
        <v>8.9</v>
      </c>
      <c r="P119" s="62">
        <v>1.7</v>
      </c>
      <c r="Q119" s="62">
        <v>17.8</v>
      </c>
      <c r="R119" s="62">
        <v>0.6</v>
      </c>
      <c r="S119" s="62">
        <v>2.2999999999999998</v>
      </c>
      <c r="T119" s="62">
        <v>3.7</v>
      </c>
      <c r="U119" s="62">
        <v>3.7</v>
      </c>
      <c r="V119" s="62">
        <v>2.7</v>
      </c>
      <c r="W119" s="62">
        <v>-4.7</v>
      </c>
      <c r="X119" s="62">
        <v>-4.7</v>
      </c>
      <c r="Y119" s="62">
        <v>-3.5</v>
      </c>
      <c r="Z119" s="62">
        <v>23</v>
      </c>
      <c r="AA119" s="62">
        <v>21</v>
      </c>
      <c r="AB119" s="62">
        <v>20.100000000000001</v>
      </c>
      <c r="AC119" s="62">
        <v>13.2</v>
      </c>
      <c r="AD119" s="62">
        <v>12.1</v>
      </c>
      <c r="AE119" s="62">
        <v>4.2</v>
      </c>
      <c r="AF119" s="62">
        <v>7.5</v>
      </c>
      <c r="AG119" s="55">
        <v>75</v>
      </c>
      <c r="AH119" s="12">
        <f t="shared" si="46"/>
        <v>23</v>
      </c>
      <c r="AI119" s="11">
        <f t="shared" si="47"/>
        <v>-4.7</v>
      </c>
    </row>
    <row r="120" spans="1:35" x14ac:dyDescent="0.25">
      <c r="A120" s="57" t="s">
        <v>142</v>
      </c>
      <c r="B120" s="61">
        <v>10.3</v>
      </c>
      <c r="C120" s="61">
        <v>7.6</v>
      </c>
      <c r="D120" s="61">
        <v>8.9</v>
      </c>
      <c r="E120" s="61">
        <v>20.3</v>
      </c>
      <c r="F120" s="61">
        <v>25.4</v>
      </c>
      <c r="G120" s="61">
        <v>16.2</v>
      </c>
      <c r="H120" s="61">
        <v>13.5</v>
      </c>
      <c r="I120" s="61">
        <v>9.9</v>
      </c>
      <c r="J120" s="61">
        <v>2</v>
      </c>
      <c r="K120" s="61">
        <v>3.6</v>
      </c>
      <c r="L120" s="61">
        <v>0.5</v>
      </c>
      <c r="M120" s="61">
        <v>12.1</v>
      </c>
      <c r="N120" s="61">
        <v>0.7</v>
      </c>
      <c r="O120" s="61">
        <v>6.7</v>
      </c>
      <c r="P120" s="61">
        <v>5.4</v>
      </c>
      <c r="Q120" s="61">
        <v>21</v>
      </c>
      <c r="R120" s="61">
        <v>-2.6</v>
      </c>
      <c r="S120" s="61">
        <v>-1.1000000000000001</v>
      </c>
      <c r="T120" s="61">
        <v>1</v>
      </c>
      <c r="U120" s="61">
        <v>1</v>
      </c>
      <c r="V120" s="61">
        <v>-1.7</v>
      </c>
      <c r="W120" s="61">
        <v>-11</v>
      </c>
      <c r="X120" s="61">
        <v>-11</v>
      </c>
      <c r="Y120" s="61">
        <v>-1.1000000000000001</v>
      </c>
      <c r="Z120" s="61">
        <v>37</v>
      </c>
      <c r="AA120" s="61">
        <v>34</v>
      </c>
      <c r="AB120" s="61">
        <v>34</v>
      </c>
      <c r="AC120" s="61">
        <v>24.6</v>
      </c>
      <c r="AD120" s="61">
        <v>23.6</v>
      </c>
      <c r="AE120" s="61">
        <v>13.1</v>
      </c>
      <c r="AF120" s="61">
        <v>18.3</v>
      </c>
      <c r="AG120" s="55">
        <v>240</v>
      </c>
      <c r="AH120" s="12">
        <f t="shared" si="46"/>
        <v>37</v>
      </c>
      <c r="AI120" s="11">
        <f t="shared" si="47"/>
        <v>-11</v>
      </c>
    </row>
    <row r="121" spans="1:35" x14ac:dyDescent="0.25">
      <c r="A121" s="57" t="s">
        <v>141</v>
      </c>
      <c r="B121" s="61">
        <v>-27</v>
      </c>
      <c r="C121" s="61">
        <v>-26.8</v>
      </c>
      <c r="D121" s="61">
        <f>-12.9-22.8</f>
        <v>-35.700000000000003</v>
      </c>
      <c r="E121" s="61">
        <f>-21.7-32.2</f>
        <v>-53.900000000000006</v>
      </c>
      <c r="F121" s="61">
        <f>-26.2-36</f>
        <v>-62.2</v>
      </c>
      <c r="G121" s="61">
        <f>-16.4-26.6</f>
        <v>-43</v>
      </c>
      <c r="H121" s="61">
        <f>-11.7-21.1</f>
        <v>-32.799999999999997</v>
      </c>
      <c r="I121" s="61">
        <f>-3.8-12.5</f>
        <v>-16.3</v>
      </c>
      <c r="J121" s="61">
        <f>11+7.5</f>
        <v>18.5</v>
      </c>
      <c r="K121" s="61">
        <f>12.1+8.4</f>
        <v>20.5</v>
      </c>
      <c r="L121" s="61">
        <f>19.5+11.9</f>
        <v>31.4</v>
      </c>
      <c r="M121" s="61"/>
      <c r="N121" s="61">
        <v>-6</v>
      </c>
      <c r="O121" s="61">
        <v>-10</v>
      </c>
      <c r="P121" s="61">
        <v>-26</v>
      </c>
      <c r="Q121" s="61">
        <v>-27</v>
      </c>
      <c r="R121" s="61">
        <v>-2</v>
      </c>
      <c r="S121" s="61">
        <v>38</v>
      </c>
      <c r="T121" s="61">
        <v>35</v>
      </c>
      <c r="U121" s="61">
        <v>35</v>
      </c>
      <c r="V121" s="61">
        <v>45</v>
      </c>
      <c r="W121" s="61">
        <v>60</v>
      </c>
      <c r="X121" s="61">
        <v>60</v>
      </c>
      <c r="Y121" s="61">
        <v>47</v>
      </c>
      <c r="Z121" s="61">
        <v>14</v>
      </c>
      <c r="AA121" s="61">
        <v>13</v>
      </c>
      <c r="AB121" s="61">
        <v>0.7</v>
      </c>
      <c r="AC121" s="61">
        <v>-6</v>
      </c>
      <c r="AD121" s="61">
        <f>-2.1-11.4</f>
        <v>-13.5</v>
      </c>
      <c r="AE121" s="61">
        <f>-6.2-18.6</f>
        <v>-24.8</v>
      </c>
      <c r="AF121" s="61">
        <f>-17.4-27.7</f>
        <v>-45.099999999999994</v>
      </c>
      <c r="AG121" s="55">
        <v>240</v>
      </c>
      <c r="AH121" s="12">
        <f t="shared" si="46"/>
        <v>60</v>
      </c>
      <c r="AI121" s="11">
        <f t="shared" si="47"/>
        <v>-62.2</v>
      </c>
    </row>
    <row r="122" spans="1:35" ht="15.75" thickBot="1" x14ac:dyDescent="0.3">
      <c r="A122" s="57" t="s">
        <v>140</v>
      </c>
      <c r="B122" s="61">
        <v>29.9</v>
      </c>
      <c r="C122" s="61">
        <v>30</v>
      </c>
      <c r="D122" s="61">
        <v>28.4</v>
      </c>
      <c r="E122" s="61">
        <v>25.6</v>
      </c>
      <c r="F122" s="61">
        <v>25.3</v>
      </c>
      <c r="G122" s="61">
        <v>27.3</v>
      </c>
      <c r="H122" s="61">
        <v>29.7</v>
      </c>
      <c r="I122" s="61">
        <v>30.8</v>
      </c>
      <c r="J122" s="61">
        <v>23.1</v>
      </c>
      <c r="K122" s="61">
        <v>24.6</v>
      </c>
      <c r="L122" s="61">
        <v>32.5</v>
      </c>
      <c r="M122" s="61">
        <v>31.4</v>
      </c>
      <c r="N122" s="61">
        <v>31.3</v>
      </c>
      <c r="O122" s="61">
        <v>30.5</v>
      </c>
      <c r="P122" s="61">
        <v>33.6</v>
      </c>
      <c r="Q122" s="61">
        <v>29.4</v>
      </c>
      <c r="R122" s="61">
        <v>32.6</v>
      </c>
      <c r="S122" s="61">
        <v>34.1</v>
      </c>
      <c r="T122" s="61">
        <v>30</v>
      </c>
      <c r="U122" s="61">
        <v>30</v>
      </c>
      <c r="V122" s="61">
        <v>41</v>
      </c>
      <c r="W122" s="61">
        <v>42</v>
      </c>
      <c r="X122" s="61">
        <v>42</v>
      </c>
      <c r="Y122" s="61">
        <v>46</v>
      </c>
      <c r="Z122" s="61">
        <v>37.200000000000003</v>
      </c>
      <c r="AA122" s="61">
        <v>47.3</v>
      </c>
      <c r="AB122" s="61">
        <v>42.4</v>
      </c>
      <c r="AC122" s="61">
        <v>38.799999999999997</v>
      </c>
      <c r="AD122" s="61">
        <v>38.700000000000003</v>
      </c>
      <c r="AE122" s="61">
        <v>31.7</v>
      </c>
      <c r="AF122" s="61">
        <v>26.5</v>
      </c>
      <c r="AG122" s="55">
        <v>60</v>
      </c>
      <c r="AH122" s="12">
        <f t="shared" si="46"/>
        <v>47.3</v>
      </c>
      <c r="AI122" s="11">
        <f t="shared" si="47"/>
        <v>23.1</v>
      </c>
    </row>
    <row r="123" spans="1:35" x14ac:dyDescent="0.25">
      <c r="A123" s="59" t="s">
        <v>139</v>
      </c>
      <c r="B123" s="58">
        <v>17.8</v>
      </c>
      <c r="C123" s="58">
        <v>7.3</v>
      </c>
      <c r="D123" s="58">
        <v>1.8</v>
      </c>
      <c r="E123" s="58">
        <v>-0.1</v>
      </c>
      <c r="F123" s="58">
        <v>-1.2</v>
      </c>
      <c r="G123" s="58">
        <v>14.1</v>
      </c>
      <c r="H123" s="58">
        <v>36.6</v>
      </c>
      <c r="I123" s="58">
        <v>59.5</v>
      </c>
      <c r="J123" s="58">
        <v>83.4</v>
      </c>
      <c r="K123" s="58">
        <v>106.9</v>
      </c>
      <c r="L123" s="58">
        <v>117.4</v>
      </c>
      <c r="M123" s="58">
        <v>118.5</v>
      </c>
      <c r="N123" s="58">
        <v>102.8</v>
      </c>
      <c r="O123" s="58">
        <v>108.2</v>
      </c>
      <c r="P123" s="58">
        <v>98</v>
      </c>
      <c r="Q123" s="58">
        <v>101.1</v>
      </c>
      <c r="R123" s="58">
        <v>122.4</v>
      </c>
      <c r="S123" s="58">
        <v>120</v>
      </c>
      <c r="T123" s="58">
        <v>124</v>
      </c>
      <c r="U123" s="58">
        <v>124</v>
      </c>
      <c r="V123" s="58">
        <v>122</v>
      </c>
      <c r="W123" s="58">
        <v>120</v>
      </c>
      <c r="X123" s="58">
        <v>120</v>
      </c>
      <c r="Y123" s="58">
        <v>124</v>
      </c>
      <c r="Z123" s="58">
        <v>148</v>
      </c>
      <c r="AA123" s="58">
        <v>142</v>
      </c>
      <c r="AB123" s="58">
        <v>122.3</v>
      </c>
      <c r="AC123" s="58">
        <v>109</v>
      </c>
      <c r="AD123" s="58">
        <v>96.9</v>
      </c>
      <c r="AE123" s="58">
        <v>53.6</v>
      </c>
      <c r="AF123" s="58">
        <v>39.5</v>
      </c>
      <c r="AG123" s="60">
        <v>120</v>
      </c>
      <c r="AH123" s="12">
        <f t="shared" si="46"/>
        <v>148</v>
      </c>
      <c r="AI123" s="11">
        <f t="shared" si="47"/>
        <v>-1.2</v>
      </c>
    </row>
    <row r="124" spans="1:35" x14ac:dyDescent="0.25">
      <c r="A124" s="57" t="s">
        <v>138</v>
      </c>
      <c r="B124" s="58">
        <v>29.1</v>
      </c>
      <c r="C124" s="58">
        <v>24.1</v>
      </c>
      <c r="D124" s="58">
        <v>22.8</v>
      </c>
      <c r="E124" s="58">
        <v>21.8</v>
      </c>
      <c r="F124" s="58">
        <v>21</v>
      </c>
      <c r="G124" s="58">
        <v>28.5</v>
      </c>
      <c r="H124" s="58">
        <v>39.799999999999997</v>
      </c>
      <c r="I124" s="58">
        <v>51.7</v>
      </c>
      <c r="J124" s="58">
        <v>63.8</v>
      </c>
      <c r="K124" s="58">
        <v>74.7</v>
      </c>
      <c r="L124" s="58">
        <v>80.099999999999994</v>
      </c>
      <c r="M124" s="58">
        <v>80</v>
      </c>
      <c r="N124" s="58">
        <v>72.400000000000006</v>
      </c>
      <c r="O124" s="58">
        <v>74.900000000000006</v>
      </c>
      <c r="P124" s="58">
        <v>69.900000000000006</v>
      </c>
      <c r="Q124" s="58">
        <v>70.7</v>
      </c>
      <c r="R124" s="58">
        <v>80.599999999999994</v>
      </c>
      <c r="S124" s="58">
        <v>83</v>
      </c>
      <c r="T124" s="58">
        <v>81</v>
      </c>
      <c r="U124" s="58">
        <v>81</v>
      </c>
      <c r="V124" s="58">
        <v>80</v>
      </c>
      <c r="W124" s="58">
        <v>82</v>
      </c>
      <c r="X124" s="58">
        <v>82</v>
      </c>
      <c r="Y124" s="58">
        <v>82</v>
      </c>
      <c r="Z124" s="58">
        <v>94</v>
      </c>
      <c r="AA124" s="58">
        <v>91</v>
      </c>
      <c r="AB124" s="58">
        <v>82.4</v>
      </c>
      <c r="AC124" s="58">
        <v>77.2</v>
      </c>
      <c r="AD124" s="58">
        <v>71.2</v>
      </c>
      <c r="AE124" s="58">
        <v>49.6</v>
      </c>
      <c r="AF124" s="58">
        <v>43.6</v>
      </c>
      <c r="AG124" s="60"/>
      <c r="AH124" s="12">
        <f t="shared" si="46"/>
        <v>94</v>
      </c>
      <c r="AI124" s="11">
        <f t="shared" si="47"/>
        <v>21</v>
      </c>
    </row>
    <row r="125" spans="1:35" x14ac:dyDescent="0.25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46"/>
        <v>0</v>
      </c>
      <c r="AI125" s="11">
        <f t="shared" si="47"/>
        <v>0</v>
      </c>
    </row>
    <row r="126" spans="1:35" ht="15.75" thickBot="1" x14ac:dyDescent="0.3">
      <c r="A126" s="57" t="s">
        <v>136</v>
      </c>
      <c r="B126" s="58">
        <v>26.1</v>
      </c>
      <c r="C126" s="58">
        <v>46</v>
      </c>
      <c r="D126" s="58">
        <v>40</v>
      </c>
      <c r="E126" s="58">
        <v>22.5</v>
      </c>
      <c r="F126" s="58">
        <v>15.6</v>
      </c>
      <c r="G126" s="58">
        <v>31.6</v>
      </c>
      <c r="H126" s="58">
        <v>35.799999999999997</v>
      </c>
      <c r="I126" s="58">
        <v>69.5</v>
      </c>
      <c r="J126" s="58">
        <v>86.8</v>
      </c>
      <c r="K126" s="58">
        <v>96.8</v>
      </c>
      <c r="L126" s="58">
        <v>93.3</v>
      </c>
      <c r="M126" s="58">
        <v>100.8</v>
      </c>
      <c r="N126" s="58">
        <v>102.9</v>
      </c>
      <c r="O126" s="58">
        <v>105</v>
      </c>
      <c r="P126" s="58">
        <v>112.7</v>
      </c>
      <c r="Q126" s="58">
        <v>85</v>
      </c>
      <c r="R126" s="58">
        <v>107.2</v>
      </c>
      <c r="S126" s="58">
        <v>107</v>
      </c>
      <c r="T126" s="58">
        <v>102</v>
      </c>
      <c r="U126" s="58">
        <v>102</v>
      </c>
      <c r="V126" s="58">
        <v>91</v>
      </c>
      <c r="W126" s="58">
        <v>97</v>
      </c>
      <c r="X126" s="58">
        <v>97</v>
      </c>
      <c r="Y126" s="58">
        <v>80</v>
      </c>
      <c r="Z126" s="58">
        <v>83</v>
      </c>
      <c r="AA126" s="58">
        <v>76.3</v>
      </c>
      <c r="AB126" s="58">
        <v>70.599999999999994</v>
      </c>
      <c r="AC126" s="58">
        <v>72</v>
      </c>
      <c r="AD126" s="58">
        <v>67.2</v>
      </c>
      <c r="AE126" s="58">
        <v>38</v>
      </c>
      <c r="AF126" s="58">
        <v>42.8</v>
      </c>
      <c r="AG126" s="55"/>
      <c r="AH126" s="12">
        <f>MAX(B126:AF126)</f>
        <v>112.7</v>
      </c>
      <c r="AI126" s="11">
        <f>MIN(B126:AF126)</f>
        <v>15.6</v>
      </c>
    </row>
    <row r="127" spans="1:35" x14ac:dyDescent="0.25">
      <c r="A127" s="59" t="s">
        <v>135</v>
      </c>
      <c r="B127" s="58">
        <v>-123.4</v>
      </c>
      <c r="C127" s="58">
        <v>-104.5</v>
      </c>
      <c r="D127" s="58">
        <v>-115.5</v>
      </c>
      <c r="E127" s="58">
        <v>-102.5</v>
      </c>
      <c r="F127" s="58">
        <v>-95.3</v>
      </c>
      <c r="G127" s="58">
        <v>-64.599999999999994</v>
      </c>
      <c r="H127" s="58">
        <v>-63.2</v>
      </c>
      <c r="I127" s="58">
        <v>-49.2</v>
      </c>
      <c r="J127" s="58">
        <v>20.399999999999999</v>
      </c>
      <c r="K127" s="58">
        <v>32</v>
      </c>
      <c r="L127" s="58">
        <v>37.200000000000003</v>
      </c>
      <c r="M127" s="58">
        <v>37</v>
      </c>
      <c r="N127" s="58">
        <v>30.3</v>
      </c>
      <c r="O127" s="58">
        <v>32.6</v>
      </c>
      <c r="P127" s="58">
        <v>27.6</v>
      </c>
      <c r="Q127" s="58">
        <v>30.3</v>
      </c>
      <c r="R127" s="58">
        <v>40.700000000000003</v>
      </c>
      <c r="S127" s="58">
        <v>40</v>
      </c>
      <c r="T127" s="58">
        <v>38</v>
      </c>
      <c r="U127" s="58">
        <v>38</v>
      </c>
      <c r="V127" s="58">
        <v>38</v>
      </c>
      <c r="W127" s="58">
        <v>38.200000000000003</v>
      </c>
      <c r="X127" s="58">
        <v>38.200000000000003</v>
      </c>
      <c r="Y127" s="58">
        <v>-36</v>
      </c>
      <c r="Z127" s="58">
        <v>-169</v>
      </c>
      <c r="AA127" s="58">
        <v>-171</v>
      </c>
      <c r="AB127" s="58">
        <v>-160</v>
      </c>
      <c r="AC127" s="58">
        <v>-145</v>
      </c>
      <c r="AD127" s="58">
        <v>-152.5</v>
      </c>
      <c r="AE127" s="58">
        <v>-145</v>
      </c>
      <c r="AF127" s="58">
        <v>-138.6</v>
      </c>
      <c r="AG127" s="55"/>
      <c r="AH127" s="12">
        <f>MAX(B127:AF127)</f>
        <v>40.700000000000003</v>
      </c>
      <c r="AI127" s="11">
        <f>MIN(B127:AF127)</f>
        <v>-171</v>
      </c>
    </row>
    <row r="128" spans="1:35" x14ac:dyDescent="0.25">
      <c r="A128" s="57" t="s">
        <v>134</v>
      </c>
      <c r="B128" s="56">
        <v>-55.1</v>
      </c>
      <c r="C128" s="56">
        <v>-42.7</v>
      </c>
      <c r="D128" s="56">
        <v>-33.5</v>
      </c>
      <c r="E128" s="56">
        <v>-35.5</v>
      </c>
      <c r="F128" s="56">
        <v>-34</v>
      </c>
      <c r="G128" s="56">
        <v>-36.9</v>
      </c>
      <c r="H128" s="56">
        <v>-44.1</v>
      </c>
      <c r="I128" s="56">
        <v>-49.3</v>
      </c>
      <c r="J128" s="56">
        <v>-51.1</v>
      </c>
      <c r="K128" s="56">
        <v>-51.8</v>
      </c>
      <c r="L128" s="56">
        <v>-57.9</v>
      </c>
      <c r="M128" s="56">
        <v>-52.9</v>
      </c>
      <c r="N128" s="56">
        <v>-57.9</v>
      </c>
      <c r="O128" s="56">
        <v>-53.9</v>
      </c>
      <c r="P128" s="56">
        <v>-53.6</v>
      </c>
      <c r="Q128" s="56">
        <v>-54</v>
      </c>
      <c r="R128" s="56">
        <v>-59.4</v>
      </c>
      <c r="S128" s="56">
        <v>-47</v>
      </c>
      <c r="T128" s="56">
        <v>-55</v>
      </c>
      <c r="U128" s="56">
        <v>-55</v>
      </c>
      <c r="V128" s="56">
        <v>-65.099999999999994</v>
      </c>
      <c r="W128" s="56"/>
      <c r="X128" s="56"/>
      <c r="Y128" s="56"/>
      <c r="Z128" s="56"/>
      <c r="AA128" s="56"/>
      <c r="AB128" s="56"/>
      <c r="AC128" s="56"/>
      <c r="AD128" s="56"/>
      <c r="AE128" s="56">
        <v>-63.9</v>
      </c>
      <c r="AF128" s="56">
        <v>-60.1</v>
      </c>
      <c r="AG128" s="55"/>
      <c r="AH128" s="12">
        <f>MAX(B128:AF128)</f>
        <v>-33.5</v>
      </c>
      <c r="AI128" s="11">
        <f>MIN(B128:AF128)</f>
        <v>-65.099999999999994</v>
      </c>
    </row>
    <row r="129" spans="1:37" x14ac:dyDescent="0.25">
      <c r="A129" s="57" t="s">
        <v>133</v>
      </c>
      <c r="B129" s="56">
        <v>101.1</v>
      </c>
      <c r="C129" s="56">
        <v>89.4</v>
      </c>
      <c r="D129" s="56">
        <v>78.8</v>
      </c>
      <c r="E129" s="56">
        <v>77.7</v>
      </c>
      <c r="F129" s="56">
        <v>74.099999999999994</v>
      </c>
      <c r="G129" s="56">
        <v>70.7</v>
      </c>
      <c r="H129" s="56">
        <v>67.7</v>
      </c>
      <c r="I129" s="56">
        <v>76.7</v>
      </c>
      <c r="J129" s="56">
        <v>63.2</v>
      </c>
      <c r="K129" s="56">
        <v>84.4</v>
      </c>
      <c r="L129" s="56">
        <v>88.1</v>
      </c>
      <c r="M129" s="56">
        <v>93.7</v>
      </c>
      <c r="N129" s="56">
        <v>90.1</v>
      </c>
      <c r="O129" s="56">
        <v>91.8</v>
      </c>
      <c r="P129" s="56">
        <v>96.7</v>
      </c>
      <c r="Q129" s="56">
        <v>92.7</v>
      </c>
      <c r="R129" s="56">
        <v>85</v>
      </c>
      <c r="S129" s="56">
        <v>94</v>
      </c>
      <c r="T129" s="56">
        <v>89</v>
      </c>
      <c r="U129" s="56">
        <v>89</v>
      </c>
      <c r="V129" s="56">
        <v>73</v>
      </c>
      <c r="W129" s="56">
        <v>65.099999999999994</v>
      </c>
      <c r="X129" s="56">
        <v>65.099999999999994</v>
      </c>
      <c r="Y129" s="56">
        <v>57</v>
      </c>
      <c r="Z129" s="56">
        <v>112.3</v>
      </c>
      <c r="AA129" s="56">
        <v>111</v>
      </c>
      <c r="AB129" s="56">
        <v>117.4</v>
      </c>
      <c r="AC129" s="56">
        <v>120.3</v>
      </c>
      <c r="AD129" s="56">
        <v>114.5</v>
      </c>
      <c r="AE129" s="56">
        <v>114.3</v>
      </c>
      <c r="AF129" s="56">
        <v>105</v>
      </c>
      <c r="AG129" s="55"/>
      <c r="AH129" s="12">
        <f>MAX(B129:AF129)</f>
        <v>120.3</v>
      </c>
      <c r="AI129" s="11">
        <f>MIN(B129:AF129)</f>
        <v>57</v>
      </c>
    </row>
    <row r="130" spans="1:37" ht="15.75" thickBot="1" x14ac:dyDescent="0.3">
      <c r="A130" s="57" t="s">
        <v>132</v>
      </c>
      <c r="B130" s="56">
        <v>108.8</v>
      </c>
      <c r="C130" s="56">
        <v>99.3</v>
      </c>
      <c r="D130" s="56">
        <v>87.5</v>
      </c>
      <c r="E130" s="56">
        <v>86.7</v>
      </c>
      <c r="F130" s="56">
        <v>82.6</v>
      </c>
      <c r="G130" s="56">
        <v>80.2</v>
      </c>
      <c r="H130" s="56">
        <v>77</v>
      </c>
      <c r="I130" s="56">
        <v>86</v>
      </c>
      <c r="J130" s="56">
        <v>64.2</v>
      </c>
      <c r="K130" s="56">
        <v>80.900000000000006</v>
      </c>
      <c r="L130" s="56">
        <v>86.9</v>
      </c>
      <c r="M130" s="56">
        <v>88.4</v>
      </c>
      <c r="N130" s="56">
        <v>89.4</v>
      </c>
      <c r="O130" s="56">
        <v>89.9</v>
      </c>
      <c r="P130" s="56">
        <v>93.1</v>
      </c>
      <c r="Q130" s="56">
        <v>92.5</v>
      </c>
      <c r="R130" s="56">
        <v>86.2</v>
      </c>
      <c r="S130" s="56">
        <v>97</v>
      </c>
      <c r="T130" s="56">
        <v>92</v>
      </c>
      <c r="U130" s="56">
        <v>92</v>
      </c>
      <c r="V130" s="56">
        <v>76</v>
      </c>
      <c r="W130" s="56">
        <v>72</v>
      </c>
      <c r="X130" s="56">
        <v>72</v>
      </c>
      <c r="Y130" s="56">
        <v>64</v>
      </c>
      <c r="Z130" s="56">
        <v>123.4</v>
      </c>
      <c r="AA130" s="56">
        <v>120</v>
      </c>
      <c r="AB130" s="56">
        <v>123.5</v>
      </c>
      <c r="AC130" s="56">
        <v>125.4</v>
      </c>
      <c r="AD130" s="56">
        <v>120.5</v>
      </c>
      <c r="AE130" s="56">
        <v>123.8</v>
      </c>
      <c r="AF130" s="56">
        <v>115.6</v>
      </c>
      <c r="AG130" s="55"/>
      <c r="AH130" s="12">
        <f>MAX(B130:AF130)</f>
        <v>125.4</v>
      </c>
      <c r="AI130" s="11">
        <f>MIN(B130:AF130)</f>
        <v>64</v>
      </c>
    </row>
    <row r="131" spans="1:37" x14ac:dyDescent="0.25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25">
      <c r="A132" s="47" t="s">
        <v>130</v>
      </c>
      <c r="B132" s="51">
        <v>1983.45</v>
      </c>
      <c r="C132" s="51">
        <v>1983.22</v>
      </c>
      <c r="D132" s="51">
        <v>1982.96</v>
      </c>
      <c r="E132" s="51">
        <v>1982.6</v>
      </c>
      <c r="F132" s="51">
        <v>1982.5</v>
      </c>
      <c r="G132" s="51">
        <v>1982.6</v>
      </c>
      <c r="H132" s="51"/>
      <c r="I132" s="51">
        <v>1982.55</v>
      </c>
      <c r="J132" s="51"/>
      <c r="K132" s="51">
        <v>1982.85</v>
      </c>
      <c r="L132" s="51"/>
      <c r="M132" s="51">
        <v>1983.35</v>
      </c>
      <c r="N132" s="51">
        <v>1983.64</v>
      </c>
      <c r="O132" s="51">
        <v>1983.98</v>
      </c>
      <c r="P132" s="51">
        <v>1984.25</v>
      </c>
      <c r="Q132" s="51">
        <v>1984.5</v>
      </c>
      <c r="R132" s="51">
        <v>1984.82</v>
      </c>
      <c r="S132" s="51">
        <v>1985.08</v>
      </c>
      <c r="T132" s="51">
        <v>1985.38</v>
      </c>
      <c r="U132" s="51">
        <v>1985.62</v>
      </c>
      <c r="V132" s="51">
        <v>1986</v>
      </c>
      <c r="W132" s="51"/>
      <c r="X132" s="51">
        <v>1986.2</v>
      </c>
      <c r="Y132" s="51"/>
      <c r="Z132" s="51">
        <v>1986.12</v>
      </c>
      <c r="AA132" s="51"/>
      <c r="AB132" s="51">
        <v>1985.22</v>
      </c>
      <c r="AC132" s="51"/>
      <c r="AD132" s="51">
        <v>1984.48</v>
      </c>
      <c r="AE132" s="51">
        <v>1983.78</v>
      </c>
      <c r="AF132" s="50">
        <v>1983.25</v>
      </c>
      <c r="AG132" s="44"/>
      <c r="AH132" s="12"/>
      <c r="AI132" s="11"/>
    </row>
    <row r="133" spans="1:37" x14ac:dyDescent="0.25">
      <c r="A133" s="47" t="s">
        <v>129</v>
      </c>
      <c r="B133" s="49">
        <v>518.70000000000005</v>
      </c>
      <c r="C133" s="49">
        <v>518.46</v>
      </c>
      <c r="D133" s="49">
        <v>518.36</v>
      </c>
      <c r="E133" s="49">
        <v>518.36</v>
      </c>
      <c r="F133" s="49">
        <v>518.38</v>
      </c>
      <c r="G133" s="49">
        <v>518.41999999999996</v>
      </c>
      <c r="H133" s="49"/>
      <c r="I133" s="49">
        <v>518.49</v>
      </c>
      <c r="J133" s="49"/>
      <c r="K133" s="49">
        <v>518.65</v>
      </c>
      <c r="L133" s="49"/>
      <c r="M133" s="49">
        <v>519.04</v>
      </c>
      <c r="N133" s="49">
        <v>519.34</v>
      </c>
      <c r="O133" s="49">
        <v>519.66999999999996</v>
      </c>
      <c r="P133" s="49">
        <v>519.91999999999996</v>
      </c>
      <c r="Q133" s="49">
        <v>520.1</v>
      </c>
      <c r="R133" s="49">
        <v>520.20000000000005</v>
      </c>
      <c r="S133" s="49">
        <v>520.28</v>
      </c>
      <c r="T133" s="49">
        <v>520.34</v>
      </c>
      <c r="U133" s="49">
        <v>520.36</v>
      </c>
      <c r="V133" s="49">
        <v>520.24</v>
      </c>
      <c r="W133" s="49"/>
      <c r="X133" s="49">
        <v>520.39</v>
      </c>
      <c r="Y133" s="49"/>
      <c r="Z133" s="49">
        <v>520.21</v>
      </c>
      <c r="AA133" s="49"/>
      <c r="AB133" s="49">
        <v>519.62</v>
      </c>
      <c r="AC133" s="49"/>
      <c r="AD133" s="49">
        <v>519.26</v>
      </c>
      <c r="AE133" s="49">
        <v>519.25</v>
      </c>
      <c r="AF133" s="48">
        <v>519.23</v>
      </c>
      <c r="AG133" s="44"/>
      <c r="AH133" s="12"/>
      <c r="AI133" s="11"/>
    </row>
    <row r="134" spans="1:37" x14ac:dyDescent="0.25">
      <c r="A134" s="47" t="s">
        <v>128</v>
      </c>
      <c r="B134" s="49">
        <v>621.26</v>
      </c>
      <c r="C134" s="49">
        <v>621.76</v>
      </c>
      <c r="D134" s="49">
        <v>622.07000000000005</v>
      </c>
      <c r="E134" s="49">
        <v>622.22</v>
      </c>
      <c r="F134" s="49">
        <v>622.44000000000005</v>
      </c>
      <c r="G134" s="49">
        <v>622.76</v>
      </c>
      <c r="H134" s="49"/>
      <c r="I134" s="49">
        <v>623.12</v>
      </c>
      <c r="J134" s="49"/>
      <c r="K134" s="49">
        <v>623.28</v>
      </c>
      <c r="L134" s="49"/>
      <c r="M134" s="49">
        <v>623.17999999999995</v>
      </c>
      <c r="N134" s="49">
        <v>623.1</v>
      </c>
      <c r="O134" s="49">
        <v>623.04</v>
      </c>
      <c r="P134" s="49">
        <v>622.95000000000005</v>
      </c>
      <c r="Q134" s="49">
        <v>622.79999999999995</v>
      </c>
      <c r="R134" s="49">
        <v>622.66999999999996</v>
      </c>
      <c r="S134" s="49">
        <v>622.57000000000005</v>
      </c>
      <c r="T134" s="49" t="s">
        <v>308</v>
      </c>
      <c r="U134" s="49">
        <v>622.49</v>
      </c>
      <c r="V134" s="49">
        <v>622.66</v>
      </c>
      <c r="W134" s="49"/>
      <c r="X134" s="49">
        <v>622.85</v>
      </c>
      <c r="Y134" s="49"/>
      <c r="Z134" s="49">
        <v>622.9</v>
      </c>
      <c r="AA134" s="49"/>
      <c r="AB134" s="49">
        <v>622.19000000000005</v>
      </c>
      <c r="AC134" s="49"/>
      <c r="AD134" s="49">
        <v>621.74</v>
      </c>
      <c r="AE134" s="49">
        <v>621.83000000000004</v>
      </c>
      <c r="AF134" s="48">
        <v>622.12</v>
      </c>
      <c r="AG134" s="44"/>
      <c r="AH134" s="12"/>
      <c r="AI134" s="11"/>
    </row>
    <row r="135" spans="1:37" x14ac:dyDescent="0.25">
      <c r="A135" s="47" t="s">
        <v>127</v>
      </c>
      <c r="B135" s="49">
        <v>333.83</v>
      </c>
      <c r="C135" s="49">
        <v>333.91</v>
      </c>
      <c r="D135" s="49">
        <v>334.36</v>
      </c>
      <c r="E135" s="49">
        <v>334.68</v>
      </c>
      <c r="F135" s="49">
        <v>334.8</v>
      </c>
      <c r="G135" s="49">
        <v>334.84</v>
      </c>
      <c r="H135" s="49"/>
      <c r="I135" s="49">
        <v>334.88</v>
      </c>
      <c r="J135" s="49"/>
      <c r="K135" s="49">
        <v>334.88</v>
      </c>
      <c r="L135" s="49"/>
      <c r="M135" s="49">
        <v>334.83</v>
      </c>
      <c r="N135" s="49">
        <v>334.55</v>
      </c>
      <c r="O135" s="49">
        <v>334.5</v>
      </c>
      <c r="P135" s="49">
        <v>334.36</v>
      </c>
      <c r="Q135" s="49">
        <v>334.17</v>
      </c>
      <c r="R135" s="49">
        <v>334.18</v>
      </c>
      <c r="S135" s="49">
        <v>334.32</v>
      </c>
      <c r="T135" s="49">
        <v>334.49</v>
      </c>
      <c r="U135" s="49">
        <v>334.66</v>
      </c>
      <c r="V135" s="49">
        <v>334.86</v>
      </c>
      <c r="W135" s="49"/>
      <c r="X135" s="49">
        <v>335.11</v>
      </c>
      <c r="Y135" s="49"/>
      <c r="Z135" s="49">
        <v>335.3</v>
      </c>
      <c r="AA135" s="49"/>
      <c r="AB135" s="49">
        <v>335.15600000000001</v>
      </c>
      <c r="AC135" s="49"/>
      <c r="AD135" s="49">
        <v>334.96</v>
      </c>
      <c r="AE135" s="49">
        <v>334.69</v>
      </c>
      <c r="AF135" s="48">
        <v>334.4</v>
      </c>
      <c r="AG135" s="44"/>
      <c r="AH135" s="12"/>
      <c r="AI135" s="11"/>
    </row>
    <row r="136" spans="1:37" x14ac:dyDescent="0.25">
      <c r="A136" s="47" t="s">
        <v>126</v>
      </c>
      <c r="B136" s="49">
        <v>882.4</v>
      </c>
      <c r="C136" s="49"/>
      <c r="D136" s="49">
        <v>884.1</v>
      </c>
      <c r="E136" s="49">
        <v>884.7</v>
      </c>
      <c r="F136" s="49">
        <v>884.5</v>
      </c>
      <c r="G136" s="49">
        <v>884.5</v>
      </c>
      <c r="H136" s="49"/>
      <c r="I136" s="49">
        <v>884.7</v>
      </c>
      <c r="J136" s="49"/>
      <c r="K136" s="49">
        <v>884.6</v>
      </c>
      <c r="L136" s="49"/>
      <c r="M136" s="49">
        <v>884.6</v>
      </c>
      <c r="N136" s="49">
        <v>884.7</v>
      </c>
      <c r="O136" s="49">
        <v>884.8</v>
      </c>
      <c r="P136" s="49">
        <v>884.7</v>
      </c>
      <c r="Q136" s="49">
        <v>884.5</v>
      </c>
      <c r="R136" s="49">
        <v>884.5</v>
      </c>
      <c r="S136" s="49">
        <v>884.4</v>
      </c>
      <c r="T136" s="49">
        <v>884.44</v>
      </c>
      <c r="U136" s="49">
        <v>884.3</v>
      </c>
      <c r="V136" s="49">
        <v>884.1</v>
      </c>
      <c r="W136" s="49"/>
      <c r="X136" s="49">
        <v>883.7</v>
      </c>
      <c r="Y136" s="49"/>
      <c r="Z136" s="49">
        <v>883.7</v>
      </c>
      <c r="AA136" s="49"/>
      <c r="AB136" s="49">
        <v>883.4</v>
      </c>
      <c r="AC136" s="49"/>
      <c r="AD136" s="49">
        <v>883</v>
      </c>
      <c r="AE136" s="49">
        <v>882.6</v>
      </c>
      <c r="AF136" s="48">
        <v>882.4</v>
      </c>
      <c r="AG136" s="44"/>
      <c r="AH136" s="12"/>
      <c r="AI136" s="11"/>
    </row>
    <row r="137" spans="1:37" ht="15.75" thickBot="1" x14ac:dyDescent="0.3">
      <c r="A137" s="47" t="s">
        <v>125</v>
      </c>
      <c r="B137" s="46">
        <v>1506.2</v>
      </c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>
        <v>1505.94</v>
      </c>
      <c r="N137" s="46"/>
      <c r="O137" s="46"/>
      <c r="P137" s="46"/>
      <c r="Q137" s="46"/>
      <c r="R137" s="46"/>
      <c r="S137" s="46"/>
      <c r="T137" s="46">
        <v>1505.69</v>
      </c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.75" thickBot="1" x14ac:dyDescent="0.3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25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25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25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25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25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25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25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25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25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25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25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25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25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25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25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25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25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25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25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25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25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25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25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25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25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25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25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25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25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25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25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25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25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25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25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25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25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25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25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25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25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25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25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25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25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25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25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25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25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25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25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25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25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25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25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25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25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25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25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25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25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25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25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25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25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25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25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25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25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25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25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25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25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25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25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25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25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25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25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25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25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25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25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25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25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25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25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25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25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25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25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25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25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25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25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25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25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25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25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25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25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25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25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25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.75" thickBot="1" x14ac:dyDescent="0.3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.75" thickBot="1" x14ac:dyDescent="0.3">
      <c r="A244" s="31" t="s">
        <v>17</v>
      </c>
      <c r="B244" s="30">
        <f t="shared" ref="B244:AG244" si="96">SUM(B139:B243)</f>
        <v>0</v>
      </c>
      <c r="C244" s="14">
        <f t="shared" si="96"/>
        <v>0</v>
      </c>
      <c r="D244" s="14">
        <f t="shared" si="96"/>
        <v>0</v>
      </c>
      <c r="E244" s="14">
        <f t="shared" si="96"/>
        <v>0</v>
      </c>
      <c r="F244" s="14">
        <f t="shared" si="96"/>
        <v>0</v>
      </c>
      <c r="G244" s="14">
        <f t="shared" si="96"/>
        <v>0</v>
      </c>
      <c r="H244" s="14">
        <f t="shared" si="96"/>
        <v>0</v>
      </c>
      <c r="I244" s="14">
        <f t="shared" si="96"/>
        <v>0</v>
      </c>
      <c r="J244" s="14">
        <f t="shared" si="96"/>
        <v>0</v>
      </c>
      <c r="K244" s="14">
        <f t="shared" si="96"/>
        <v>0</v>
      </c>
      <c r="L244" s="14">
        <f t="shared" si="96"/>
        <v>0</v>
      </c>
      <c r="M244" s="14">
        <f t="shared" si="96"/>
        <v>0</v>
      </c>
      <c r="N244" s="14">
        <f t="shared" si="96"/>
        <v>0</v>
      </c>
      <c r="O244" s="14">
        <f t="shared" si="96"/>
        <v>0</v>
      </c>
      <c r="P244" s="14">
        <f t="shared" si="96"/>
        <v>0</v>
      </c>
      <c r="Q244" s="14">
        <f t="shared" si="96"/>
        <v>0</v>
      </c>
      <c r="R244" s="14">
        <f t="shared" si="96"/>
        <v>0</v>
      </c>
      <c r="S244" s="14">
        <f t="shared" si="96"/>
        <v>0</v>
      </c>
      <c r="T244" s="14">
        <f t="shared" si="96"/>
        <v>0</v>
      </c>
      <c r="U244" s="14">
        <f t="shared" si="96"/>
        <v>0</v>
      </c>
      <c r="V244" s="14">
        <f t="shared" si="96"/>
        <v>0</v>
      </c>
      <c r="W244" s="14">
        <f t="shared" si="96"/>
        <v>0</v>
      </c>
      <c r="X244" s="14">
        <f t="shared" si="96"/>
        <v>0</v>
      </c>
      <c r="Y244" s="14">
        <f t="shared" si="96"/>
        <v>0</v>
      </c>
      <c r="Z244" s="14">
        <f t="shared" si="96"/>
        <v>0</v>
      </c>
      <c r="AA244" s="14">
        <f t="shared" si="96"/>
        <v>0</v>
      </c>
      <c r="AB244" s="14">
        <f t="shared" si="96"/>
        <v>0</v>
      </c>
      <c r="AC244" s="14">
        <f t="shared" si="96"/>
        <v>0</v>
      </c>
      <c r="AD244" s="14">
        <f t="shared" si="96"/>
        <v>0</v>
      </c>
      <c r="AE244" s="14">
        <f t="shared" si="96"/>
        <v>0</v>
      </c>
      <c r="AF244" s="29">
        <f t="shared" si="96"/>
        <v>0</v>
      </c>
      <c r="AG244" s="28">
        <f t="shared" si="96"/>
        <v>412.72299999999984</v>
      </c>
      <c r="AH244" s="12"/>
      <c r="AI244" s="11"/>
      <c r="AK244" s="19"/>
    </row>
    <row r="245" spans="1:37" ht="15.75" thickBot="1" x14ac:dyDescent="0.3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25">
      <c r="A246" s="25" t="s">
        <v>16</v>
      </c>
      <c r="B246" s="24">
        <f t="shared" ref="B246:B251" si="97">AF246</f>
        <v>0.3</v>
      </c>
      <c r="C246" s="24">
        <v>0.3</v>
      </c>
      <c r="D246" s="24">
        <f t="shared" ref="D246:AF251" si="98">C246</f>
        <v>0.3</v>
      </c>
      <c r="E246" s="24">
        <f t="shared" si="98"/>
        <v>0.3</v>
      </c>
      <c r="F246" s="24">
        <f t="shared" si="98"/>
        <v>0.3</v>
      </c>
      <c r="G246" s="24">
        <f t="shared" si="98"/>
        <v>0.3</v>
      </c>
      <c r="H246" s="24">
        <f t="shared" si="98"/>
        <v>0.3</v>
      </c>
      <c r="I246" s="24">
        <f t="shared" si="98"/>
        <v>0.3</v>
      </c>
      <c r="J246" s="24">
        <f t="shared" si="98"/>
        <v>0.3</v>
      </c>
      <c r="K246" s="24">
        <f t="shared" si="98"/>
        <v>0.3</v>
      </c>
      <c r="L246" s="24">
        <f t="shared" si="98"/>
        <v>0.3</v>
      </c>
      <c r="M246" s="24">
        <f t="shared" si="98"/>
        <v>0.3</v>
      </c>
      <c r="N246" s="24">
        <f t="shared" si="98"/>
        <v>0.3</v>
      </c>
      <c r="O246" s="24">
        <f t="shared" si="98"/>
        <v>0.3</v>
      </c>
      <c r="P246" s="24">
        <f t="shared" si="98"/>
        <v>0.3</v>
      </c>
      <c r="Q246" s="24">
        <f t="shared" si="98"/>
        <v>0.3</v>
      </c>
      <c r="R246" s="24">
        <f t="shared" si="98"/>
        <v>0.3</v>
      </c>
      <c r="S246" s="24">
        <f t="shared" si="98"/>
        <v>0.3</v>
      </c>
      <c r="T246" s="24">
        <f t="shared" si="98"/>
        <v>0.3</v>
      </c>
      <c r="U246" s="24">
        <f t="shared" si="98"/>
        <v>0.3</v>
      </c>
      <c r="V246" s="24">
        <f t="shared" si="98"/>
        <v>0.3</v>
      </c>
      <c r="W246" s="24">
        <f t="shared" si="98"/>
        <v>0.3</v>
      </c>
      <c r="X246" s="24">
        <f t="shared" si="98"/>
        <v>0.3</v>
      </c>
      <c r="Y246" s="24">
        <f t="shared" si="98"/>
        <v>0.3</v>
      </c>
      <c r="Z246" s="24">
        <f t="shared" si="98"/>
        <v>0.3</v>
      </c>
      <c r="AA246" s="24">
        <f t="shared" si="98"/>
        <v>0.3</v>
      </c>
      <c r="AB246" s="24">
        <f t="shared" si="98"/>
        <v>0.3</v>
      </c>
      <c r="AC246" s="24">
        <f t="shared" si="98"/>
        <v>0.3</v>
      </c>
      <c r="AD246" s="24">
        <f t="shared" si="98"/>
        <v>0.3</v>
      </c>
      <c r="AE246" s="24">
        <f t="shared" si="98"/>
        <v>0.3</v>
      </c>
      <c r="AF246" s="24">
        <f t="shared" si="98"/>
        <v>0.3</v>
      </c>
      <c r="AG246" s="23">
        <v>2.4</v>
      </c>
      <c r="AH246" s="12"/>
      <c r="AI246" s="11"/>
      <c r="AK246" s="19"/>
    </row>
    <row r="247" spans="1:37" x14ac:dyDescent="0.25">
      <c r="A247" s="22" t="s">
        <v>15</v>
      </c>
      <c r="B247" s="21">
        <f t="shared" si="97"/>
        <v>0.4</v>
      </c>
      <c r="C247" s="21">
        <v>0.4</v>
      </c>
      <c r="D247" s="21">
        <f t="shared" si="98"/>
        <v>0.4</v>
      </c>
      <c r="E247" s="21">
        <f t="shared" si="98"/>
        <v>0.4</v>
      </c>
      <c r="F247" s="21">
        <f t="shared" si="98"/>
        <v>0.4</v>
      </c>
      <c r="G247" s="21">
        <f t="shared" si="98"/>
        <v>0.4</v>
      </c>
      <c r="H247" s="21">
        <f t="shared" si="98"/>
        <v>0.4</v>
      </c>
      <c r="I247" s="21">
        <f t="shared" si="98"/>
        <v>0.4</v>
      </c>
      <c r="J247" s="21">
        <f t="shared" si="98"/>
        <v>0.4</v>
      </c>
      <c r="K247" s="21">
        <f t="shared" si="98"/>
        <v>0.4</v>
      </c>
      <c r="L247" s="21">
        <f t="shared" si="98"/>
        <v>0.4</v>
      </c>
      <c r="M247" s="21">
        <f t="shared" si="98"/>
        <v>0.4</v>
      </c>
      <c r="N247" s="21">
        <f t="shared" si="98"/>
        <v>0.4</v>
      </c>
      <c r="O247" s="21">
        <f t="shared" si="98"/>
        <v>0.4</v>
      </c>
      <c r="P247" s="21">
        <f t="shared" si="98"/>
        <v>0.4</v>
      </c>
      <c r="Q247" s="21">
        <f t="shared" si="98"/>
        <v>0.4</v>
      </c>
      <c r="R247" s="21">
        <f t="shared" si="98"/>
        <v>0.4</v>
      </c>
      <c r="S247" s="21">
        <f t="shared" si="98"/>
        <v>0.4</v>
      </c>
      <c r="T247" s="21">
        <f t="shared" si="98"/>
        <v>0.4</v>
      </c>
      <c r="U247" s="21">
        <f t="shared" si="98"/>
        <v>0.4</v>
      </c>
      <c r="V247" s="21">
        <f t="shared" si="98"/>
        <v>0.4</v>
      </c>
      <c r="W247" s="21">
        <f t="shared" si="98"/>
        <v>0.4</v>
      </c>
      <c r="X247" s="21">
        <f t="shared" si="98"/>
        <v>0.4</v>
      </c>
      <c r="Y247" s="21">
        <f t="shared" si="98"/>
        <v>0.4</v>
      </c>
      <c r="Z247" s="21">
        <f t="shared" si="98"/>
        <v>0.4</v>
      </c>
      <c r="AA247" s="21">
        <f t="shared" si="98"/>
        <v>0.4</v>
      </c>
      <c r="AB247" s="21">
        <f t="shared" si="98"/>
        <v>0.4</v>
      </c>
      <c r="AC247" s="21">
        <f t="shared" si="98"/>
        <v>0.4</v>
      </c>
      <c r="AD247" s="21">
        <f t="shared" si="98"/>
        <v>0.4</v>
      </c>
      <c r="AE247" s="21">
        <f t="shared" si="98"/>
        <v>0.4</v>
      </c>
      <c r="AF247" s="21">
        <f t="shared" si="98"/>
        <v>0.4</v>
      </c>
      <c r="AG247" s="20">
        <v>2</v>
      </c>
      <c r="AH247" s="12"/>
      <c r="AI247" s="11"/>
      <c r="AK247" s="19"/>
    </row>
    <row r="248" spans="1:37" x14ac:dyDescent="0.25">
      <c r="A248" s="22" t="s">
        <v>14</v>
      </c>
      <c r="B248" s="21">
        <f t="shared" si="97"/>
        <v>1.5</v>
      </c>
      <c r="C248" s="21">
        <v>1.5</v>
      </c>
      <c r="D248" s="21">
        <f t="shared" si="98"/>
        <v>1.5</v>
      </c>
      <c r="E248" s="21">
        <f t="shared" si="98"/>
        <v>1.5</v>
      </c>
      <c r="F248" s="21">
        <f t="shared" si="98"/>
        <v>1.5</v>
      </c>
      <c r="G248" s="21">
        <f t="shared" si="98"/>
        <v>1.5</v>
      </c>
      <c r="H248" s="21">
        <f t="shared" si="98"/>
        <v>1.5</v>
      </c>
      <c r="I248" s="21">
        <f t="shared" si="98"/>
        <v>1.5</v>
      </c>
      <c r="J248" s="21">
        <f t="shared" si="98"/>
        <v>1.5</v>
      </c>
      <c r="K248" s="21">
        <f t="shared" si="98"/>
        <v>1.5</v>
      </c>
      <c r="L248" s="21">
        <f t="shared" si="98"/>
        <v>1.5</v>
      </c>
      <c r="M248" s="21">
        <f t="shared" si="98"/>
        <v>1.5</v>
      </c>
      <c r="N248" s="21">
        <f t="shared" si="98"/>
        <v>1.5</v>
      </c>
      <c r="O248" s="21">
        <f t="shared" si="98"/>
        <v>1.5</v>
      </c>
      <c r="P248" s="21">
        <f t="shared" si="98"/>
        <v>1.5</v>
      </c>
      <c r="Q248" s="21">
        <f t="shared" si="98"/>
        <v>1.5</v>
      </c>
      <c r="R248" s="21">
        <f t="shared" si="98"/>
        <v>1.5</v>
      </c>
      <c r="S248" s="21">
        <f t="shared" si="98"/>
        <v>1.5</v>
      </c>
      <c r="T248" s="21">
        <f t="shared" si="98"/>
        <v>1.5</v>
      </c>
      <c r="U248" s="21">
        <f t="shared" si="98"/>
        <v>1.5</v>
      </c>
      <c r="V248" s="21">
        <f t="shared" si="98"/>
        <v>1.5</v>
      </c>
      <c r="W248" s="21">
        <f t="shared" si="98"/>
        <v>1.5</v>
      </c>
      <c r="X248" s="21">
        <f t="shared" si="98"/>
        <v>1.5</v>
      </c>
      <c r="Y248" s="21">
        <f t="shared" si="98"/>
        <v>1.5</v>
      </c>
      <c r="Z248" s="21">
        <f t="shared" si="98"/>
        <v>1.5</v>
      </c>
      <c r="AA248" s="21">
        <f t="shared" si="98"/>
        <v>1.5</v>
      </c>
      <c r="AB248" s="21">
        <f t="shared" si="98"/>
        <v>1.5</v>
      </c>
      <c r="AC248" s="21">
        <f t="shared" si="98"/>
        <v>1.5</v>
      </c>
      <c r="AD248" s="21">
        <f t="shared" si="98"/>
        <v>1.5</v>
      </c>
      <c r="AE248" s="21">
        <f t="shared" si="98"/>
        <v>1.5</v>
      </c>
      <c r="AF248" s="21">
        <f t="shared" si="98"/>
        <v>1.5</v>
      </c>
      <c r="AG248" s="20">
        <v>1.5</v>
      </c>
      <c r="AH248" s="12"/>
      <c r="AI248" s="11"/>
      <c r="AK248" s="19"/>
    </row>
    <row r="249" spans="1:37" x14ac:dyDescent="0.25">
      <c r="A249" s="22" t="s">
        <v>13</v>
      </c>
      <c r="B249" s="21">
        <f t="shared" si="97"/>
        <v>0.3</v>
      </c>
      <c r="C249" s="21">
        <v>0.3</v>
      </c>
      <c r="D249" s="21">
        <f t="shared" si="98"/>
        <v>0.3</v>
      </c>
      <c r="E249" s="21">
        <f t="shared" si="98"/>
        <v>0.3</v>
      </c>
      <c r="F249" s="21">
        <f t="shared" si="98"/>
        <v>0.3</v>
      </c>
      <c r="G249" s="21">
        <f t="shared" si="98"/>
        <v>0.3</v>
      </c>
      <c r="H249" s="21">
        <f t="shared" si="98"/>
        <v>0.3</v>
      </c>
      <c r="I249" s="21">
        <f t="shared" si="98"/>
        <v>0.3</v>
      </c>
      <c r="J249" s="21">
        <f t="shared" si="98"/>
        <v>0.3</v>
      </c>
      <c r="K249" s="21">
        <f t="shared" si="98"/>
        <v>0.3</v>
      </c>
      <c r="L249" s="21">
        <f t="shared" si="98"/>
        <v>0.3</v>
      </c>
      <c r="M249" s="21">
        <f t="shared" si="98"/>
        <v>0.3</v>
      </c>
      <c r="N249" s="21">
        <f t="shared" si="98"/>
        <v>0.3</v>
      </c>
      <c r="O249" s="21">
        <f t="shared" si="98"/>
        <v>0.3</v>
      </c>
      <c r="P249" s="21">
        <f t="shared" si="98"/>
        <v>0.3</v>
      </c>
      <c r="Q249" s="21">
        <f t="shared" si="98"/>
        <v>0.3</v>
      </c>
      <c r="R249" s="21">
        <f t="shared" si="98"/>
        <v>0.3</v>
      </c>
      <c r="S249" s="21">
        <f t="shared" si="98"/>
        <v>0.3</v>
      </c>
      <c r="T249" s="21">
        <f t="shared" si="98"/>
        <v>0.3</v>
      </c>
      <c r="U249" s="21">
        <f t="shared" si="98"/>
        <v>0.3</v>
      </c>
      <c r="V249" s="21">
        <f t="shared" si="98"/>
        <v>0.3</v>
      </c>
      <c r="W249" s="21">
        <f t="shared" si="98"/>
        <v>0.3</v>
      </c>
      <c r="X249" s="21">
        <f t="shared" si="98"/>
        <v>0.3</v>
      </c>
      <c r="Y249" s="21">
        <f t="shared" si="98"/>
        <v>0.3</v>
      </c>
      <c r="Z249" s="21">
        <f t="shared" si="98"/>
        <v>0.3</v>
      </c>
      <c r="AA249" s="21">
        <f t="shared" si="98"/>
        <v>0.3</v>
      </c>
      <c r="AB249" s="21">
        <f t="shared" si="98"/>
        <v>0.3</v>
      </c>
      <c r="AC249" s="21">
        <f t="shared" si="98"/>
        <v>0.3</v>
      </c>
      <c r="AD249" s="21">
        <f t="shared" si="98"/>
        <v>0.3</v>
      </c>
      <c r="AE249" s="21">
        <f t="shared" si="98"/>
        <v>0.3</v>
      </c>
      <c r="AF249" s="21">
        <f t="shared" si="98"/>
        <v>0.3</v>
      </c>
      <c r="AG249" s="20">
        <v>1</v>
      </c>
      <c r="AH249" s="12"/>
      <c r="AI249" s="11"/>
      <c r="AK249" s="19"/>
    </row>
    <row r="250" spans="1:37" x14ac:dyDescent="0.25">
      <c r="A250" s="22" t="s">
        <v>12</v>
      </c>
      <c r="B250" s="21">
        <f t="shared" si="97"/>
        <v>0.4</v>
      </c>
      <c r="C250" s="21">
        <v>0.4</v>
      </c>
      <c r="D250" s="21">
        <f t="shared" si="98"/>
        <v>0.4</v>
      </c>
      <c r="E250" s="21">
        <f t="shared" si="98"/>
        <v>0.4</v>
      </c>
      <c r="F250" s="21">
        <f t="shared" si="98"/>
        <v>0.4</v>
      </c>
      <c r="G250" s="21">
        <f t="shared" si="98"/>
        <v>0.4</v>
      </c>
      <c r="H250" s="21">
        <f t="shared" si="98"/>
        <v>0.4</v>
      </c>
      <c r="I250" s="21">
        <f t="shared" si="98"/>
        <v>0.4</v>
      </c>
      <c r="J250" s="21">
        <f t="shared" si="98"/>
        <v>0.4</v>
      </c>
      <c r="K250" s="21">
        <f t="shared" si="98"/>
        <v>0.4</v>
      </c>
      <c r="L250" s="21">
        <f t="shared" si="98"/>
        <v>0.4</v>
      </c>
      <c r="M250" s="21">
        <f t="shared" si="98"/>
        <v>0.4</v>
      </c>
      <c r="N250" s="21">
        <f t="shared" si="98"/>
        <v>0.4</v>
      </c>
      <c r="O250" s="21">
        <f t="shared" si="98"/>
        <v>0.4</v>
      </c>
      <c r="P250" s="21">
        <f t="shared" si="98"/>
        <v>0.4</v>
      </c>
      <c r="Q250" s="21">
        <f t="shared" si="98"/>
        <v>0.4</v>
      </c>
      <c r="R250" s="21">
        <f t="shared" si="98"/>
        <v>0.4</v>
      </c>
      <c r="S250" s="21">
        <f t="shared" si="98"/>
        <v>0.4</v>
      </c>
      <c r="T250" s="21">
        <f t="shared" si="98"/>
        <v>0.4</v>
      </c>
      <c r="U250" s="21">
        <f t="shared" si="98"/>
        <v>0.4</v>
      </c>
      <c r="V250" s="21">
        <f t="shared" si="98"/>
        <v>0.4</v>
      </c>
      <c r="W250" s="21">
        <f t="shared" si="98"/>
        <v>0.4</v>
      </c>
      <c r="X250" s="21">
        <f t="shared" si="98"/>
        <v>0.4</v>
      </c>
      <c r="Y250" s="21">
        <f t="shared" si="98"/>
        <v>0.4</v>
      </c>
      <c r="Z250" s="21">
        <f t="shared" si="98"/>
        <v>0.4</v>
      </c>
      <c r="AA250" s="21">
        <f t="shared" si="98"/>
        <v>0.4</v>
      </c>
      <c r="AB250" s="21">
        <f t="shared" si="98"/>
        <v>0.4</v>
      </c>
      <c r="AC250" s="21">
        <f t="shared" si="98"/>
        <v>0.4</v>
      </c>
      <c r="AD250" s="21">
        <f t="shared" si="98"/>
        <v>0.4</v>
      </c>
      <c r="AE250" s="21">
        <f t="shared" si="98"/>
        <v>0.4</v>
      </c>
      <c r="AF250" s="21">
        <f t="shared" si="98"/>
        <v>0.4</v>
      </c>
      <c r="AG250" s="20">
        <v>1</v>
      </c>
      <c r="AH250" s="12"/>
      <c r="AI250" s="11"/>
      <c r="AK250" s="19"/>
    </row>
    <row r="251" spans="1:37" ht="15.75" thickBot="1" x14ac:dyDescent="0.3">
      <c r="A251" s="18" t="s">
        <v>11</v>
      </c>
      <c r="B251" s="17">
        <f t="shared" si="97"/>
        <v>0.64</v>
      </c>
      <c r="C251" s="17">
        <v>0.64</v>
      </c>
      <c r="D251" s="17">
        <f t="shared" si="98"/>
        <v>0.64</v>
      </c>
      <c r="E251" s="17">
        <f t="shared" si="98"/>
        <v>0.64</v>
      </c>
      <c r="F251" s="17">
        <f t="shared" si="98"/>
        <v>0.64</v>
      </c>
      <c r="G251" s="17">
        <f t="shared" si="98"/>
        <v>0.64</v>
      </c>
      <c r="H251" s="17">
        <f t="shared" si="98"/>
        <v>0.64</v>
      </c>
      <c r="I251" s="17">
        <f t="shared" si="98"/>
        <v>0.64</v>
      </c>
      <c r="J251" s="17">
        <f t="shared" si="98"/>
        <v>0.64</v>
      </c>
      <c r="K251" s="17">
        <f t="shared" si="98"/>
        <v>0.64</v>
      </c>
      <c r="L251" s="17">
        <f t="shared" si="98"/>
        <v>0.64</v>
      </c>
      <c r="M251" s="17">
        <f t="shared" si="98"/>
        <v>0.64</v>
      </c>
      <c r="N251" s="17">
        <f t="shared" si="98"/>
        <v>0.64</v>
      </c>
      <c r="O251" s="17">
        <f t="shared" si="98"/>
        <v>0.64</v>
      </c>
      <c r="P251" s="17">
        <f t="shared" si="98"/>
        <v>0.64</v>
      </c>
      <c r="Q251" s="17">
        <f t="shared" si="98"/>
        <v>0.64</v>
      </c>
      <c r="R251" s="17">
        <f t="shared" si="98"/>
        <v>0.64</v>
      </c>
      <c r="S251" s="17">
        <f t="shared" si="98"/>
        <v>0.64</v>
      </c>
      <c r="T251" s="17">
        <f t="shared" si="98"/>
        <v>0.64</v>
      </c>
      <c r="U251" s="17">
        <f t="shared" si="98"/>
        <v>0.64</v>
      </c>
      <c r="V251" s="17">
        <f t="shared" si="98"/>
        <v>0.64</v>
      </c>
      <c r="W251" s="17">
        <f t="shared" si="98"/>
        <v>0.64</v>
      </c>
      <c r="X251" s="17">
        <f t="shared" si="98"/>
        <v>0.64</v>
      </c>
      <c r="Y251" s="17">
        <f t="shared" si="98"/>
        <v>0.64</v>
      </c>
      <c r="Z251" s="17">
        <f t="shared" si="98"/>
        <v>0.64</v>
      </c>
      <c r="AA251" s="17">
        <f t="shared" si="98"/>
        <v>0.64</v>
      </c>
      <c r="AB251" s="17">
        <f t="shared" si="98"/>
        <v>0.64</v>
      </c>
      <c r="AC251" s="17">
        <f t="shared" si="98"/>
        <v>0.64</v>
      </c>
      <c r="AD251" s="17">
        <f t="shared" si="98"/>
        <v>0.64</v>
      </c>
      <c r="AE251" s="17">
        <f t="shared" si="98"/>
        <v>0.64</v>
      </c>
      <c r="AF251" s="17">
        <f t="shared" si="98"/>
        <v>0.64</v>
      </c>
      <c r="AG251" s="16">
        <v>0.66</v>
      </c>
      <c r="AH251" s="12"/>
      <c r="AI251" s="11"/>
    </row>
    <row r="252" spans="1:37" ht="15.75" thickBot="1" x14ac:dyDescent="0.3">
      <c r="A252" s="15" t="s">
        <v>10</v>
      </c>
      <c r="B252" s="14">
        <f t="shared" ref="B252:AG252" si="99">SUM(B246:B251)</f>
        <v>3.54</v>
      </c>
      <c r="C252" s="14">
        <f t="shared" si="99"/>
        <v>3.54</v>
      </c>
      <c r="D252" s="14">
        <f t="shared" si="99"/>
        <v>3.54</v>
      </c>
      <c r="E252" s="14">
        <f t="shared" si="99"/>
        <v>3.54</v>
      </c>
      <c r="F252" s="14">
        <f t="shared" si="99"/>
        <v>3.54</v>
      </c>
      <c r="G252" s="14">
        <f t="shared" si="99"/>
        <v>3.54</v>
      </c>
      <c r="H252" s="14">
        <f t="shared" si="99"/>
        <v>3.54</v>
      </c>
      <c r="I252" s="14">
        <f t="shared" si="99"/>
        <v>3.54</v>
      </c>
      <c r="J252" s="14">
        <f t="shared" si="99"/>
        <v>3.54</v>
      </c>
      <c r="K252" s="14">
        <f t="shared" si="99"/>
        <v>3.54</v>
      </c>
      <c r="L252" s="14">
        <f t="shared" si="99"/>
        <v>3.54</v>
      </c>
      <c r="M252" s="14">
        <f t="shared" si="99"/>
        <v>3.54</v>
      </c>
      <c r="N252" s="14">
        <f t="shared" si="99"/>
        <v>3.54</v>
      </c>
      <c r="O252" s="14">
        <f t="shared" si="99"/>
        <v>3.54</v>
      </c>
      <c r="P252" s="14">
        <f t="shared" si="99"/>
        <v>3.54</v>
      </c>
      <c r="Q252" s="14">
        <f t="shared" si="99"/>
        <v>3.54</v>
      </c>
      <c r="R252" s="14">
        <f t="shared" si="99"/>
        <v>3.54</v>
      </c>
      <c r="S252" s="14">
        <f t="shared" si="99"/>
        <v>3.54</v>
      </c>
      <c r="T252" s="14">
        <f t="shared" si="99"/>
        <v>3.54</v>
      </c>
      <c r="U252" s="14">
        <f t="shared" si="99"/>
        <v>3.54</v>
      </c>
      <c r="V252" s="14">
        <f t="shared" si="99"/>
        <v>3.54</v>
      </c>
      <c r="W252" s="14">
        <f t="shared" si="99"/>
        <v>3.54</v>
      </c>
      <c r="X252" s="14">
        <f t="shared" si="99"/>
        <v>3.54</v>
      </c>
      <c r="Y252" s="14">
        <f t="shared" si="99"/>
        <v>3.54</v>
      </c>
      <c r="Z252" s="14">
        <f t="shared" si="99"/>
        <v>3.54</v>
      </c>
      <c r="AA252" s="14">
        <f t="shared" si="99"/>
        <v>3.54</v>
      </c>
      <c r="AB252" s="14">
        <f t="shared" si="99"/>
        <v>3.54</v>
      </c>
      <c r="AC252" s="14">
        <f t="shared" si="99"/>
        <v>3.54</v>
      </c>
      <c r="AD252" s="14">
        <f t="shared" si="99"/>
        <v>3.54</v>
      </c>
      <c r="AE252" s="14">
        <f t="shared" si="99"/>
        <v>3.54</v>
      </c>
      <c r="AF252" s="14">
        <f t="shared" si="99"/>
        <v>3.54</v>
      </c>
      <c r="AG252" s="13">
        <f t="shared" si="99"/>
        <v>8.56</v>
      </c>
      <c r="AH252" s="12"/>
      <c r="AI252" s="11"/>
    </row>
    <row r="253" spans="1:37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25">
      <c r="A256" s="9" t="s">
        <v>9</v>
      </c>
      <c r="B256" s="8">
        <f>MAX(G99:N99)</f>
        <v>1811.49</v>
      </c>
      <c r="C256" s="7">
        <f>INDEX(G9:N9,1,MATCH(MAX(G99:N99),G99:N99,0))</f>
        <v>0.33333333333333331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25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2080/10/17)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25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25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25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25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25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25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25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25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25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25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25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25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25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25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2125" priority="89">
      <formula>$AH11=0</formula>
    </cfRule>
  </conditionalFormatting>
  <conditionalFormatting sqref="A132:A253">
    <cfRule type="expression" dxfId="2124" priority="90">
      <formula>$AH132=0</formula>
    </cfRule>
  </conditionalFormatting>
  <conditionalFormatting sqref="B8">
    <cfRule type="expression" dxfId="2123" priority="145">
      <formula>AND(C$9&gt;=8/24,C$9&lt;14/24)</formula>
    </cfRule>
    <cfRule type="expression" dxfId="2122" priority="146">
      <formula>C$9&lt;8/24</formula>
    </cfRule>
    <cfRule type="expression" dxfId="2121" priority="144">
      <formula>AND(C$9&gt;=14/24,C$9&lt;20/24)</formula>
    </cfRule>
    <cfRule type="expression" dxfId="2120" priority="147">
      <formula>C$9&gt;=20/24</formula>
    </cfRule>
  </conditionalFormatting>
  <conditionalFormatting sqref="B11:Y52 B59:D74 E68:E74 D69:AF74 B77:AF99 B9:AF10 B101:AF117 B119:AF137 B244:AF244 B246:B252">
    <cfRule type="expression" dxfId="2119" priority="41">
      <formula>B$9&gt;=20/24</formula>
    </cfRule>
  </conditionalFormatting>
  <conditionalFormatting sqref="B53:Y57">
    <cfRule type="expression" dxfId="2118" priority="53">
      <formula>B$9&lt;8/24</formula>
    </cfRule>
  </conditionalFormatting>
  <conditionalFormatting sqref="B9:AF10 B11:Y52 B59:D74 E68:E74 D69:AF74 B77:AF99 B101:AF117 B119:AF137 B244:AF244 B246:B252">
    <cfRule type="expression" dxfId="2117" priority="43">
      <formula>AND(B$9&gt;=8/24,B$9&lt;14/24)</formula>
    </cfRule>
    <cfRule type="expression" dxfId="2116" priority="44">
      <formula>B$9&lt;8/24</formula>
    </cfRule>
    <cfRule type="expression" dxfId="2115" priority="42">
      <formula>AND(B$9&gt;=14/24,B$9&lt;20/24)</formula>
    </cfRule>
  </conditionalFormatting>
  <conditionalFormatting sqref="D246:AF252">
    <cfRule type="expression" dxfId="2114" priority="132">
      <formula>D$9&lt;8/24</formula>
    </cfRule>
    <cfRule type="expression" dxfId="2113" priority="131">
      <formula>AND(D$9&gt;=8/24,D$9&lt;14/24)</formula>
    </cfRule>
    <cfRule type="expression" dxfId="2112" priority="129">
      <formula>D$9&gt;=20/24</formula>
    </cfRule>
    <cfRule type="expression" dxfId="2111" priority="130">
      <formula>AND(D$9&gt;=14/24,D$9&lt;20/24)</formula>
    </cfRule>
  </conditionalFormatting>
  <conditionalFormatting sqref="E63:I67 J64:J67 K67">
    <cfRule type="expression" dxfId="2110" priority="57">
      <formula>E$9&lt;8/24</formula>
    </cfRule>
    <cfRule type="expression" dxfId="2109" priority="56">
      <formula>AND(E$9&gt;=8/24,E$9&lt;14/24)</formula>
    </cfRule>
    <cfRule type="expression" dxfId="2108" priority="55">
      <formula>AND(E$9&gt;=14/24,E$9&lt;20/24)</formula>
    </cfRule>
    <cfRule type="expression" dxfId="2107" priority="54">
      <formula>E$9&gt;=20/24</formula>
    </cfRule>
  </conditionalFormatting>
  <conditionalFormatting sqref="E68:K68">
    <cfRule type="expression" dxfId="2106" priority="52">
      <formula>E$9&lt;8/24</formula>
    </cfRule>
    <cfRule type="expression" dxfId="2105" priority="51">
      <formula>AND(E$9&gt;=8/24,E$9&lt;14/24)</formula>
    </cfRule>
    <cfRule type="expression" dxfId="2104" priority="50">
      <formula>AND(E$9&gt;=14/24,E$9&lt;20/24)</formula>
    </cfRule>
    <cfRule type="expression" dxfId="2103" priority="49">
      <formula>E$9&gt;=20/24</formula>
    </cfRule>
  </conditionalFormatting>
  <conditionalFormatting sqref="E11:Y56 D11:D61 B11:C80 Z56:AD57 AF56:AF61 AE56:AE74 Y57 E57:S61 T57:X80 Y58:AD74 AF62:AG62 D62:S80 AF63:AF74 Y75:AF80 AG80">
    <cfRule type="expression" dxfId="2102" priority="40">
      <formula>B11&gt;$AG11</formula>
    </cfRule>
  </conditionalFormatting>
  <conditionalFormatting sqref="E56:Y57">
    <cfRule type="expression" dxfId="2101" priority="47">
      <formula>AND(E$9&gt;=14/24,E$9&lt;20/24)</formula>
    </cfRule>
    <cfRule type="expression" dxfId="2100" priority="46">
      <formula>E$9&gt;=20/24</formula>
    </cfRule>
    <cfRule type="expression" dxfId="2099" priority="48">
      <formula>AND(E$9&gt;=8/24,E$9&lt;14/24)</formula>
    </cfRule>
  </conditionalFormatting>
  <conditionalFormatting sqref="E59:AF62">
    <cfRule type="expression" dxfId="2098" priority="69">
      <formula>AND(E$9&gt;=8/24,E$9&lt;14/24)</formula>
    </cfRule>
    <cfRule type="expression" dxfId="2097" priority="70">
      <formula>E$9&lt;8/24</formula>
    </cfRule>
    <cfRule type="expression" dxfId="2096" priority="68">
      <formula>AND(E$9&gt;=14/24,E$9&lt;20/24)</formula>
    </cfRule>
    <cfRule type="expression" dxfId="2095" priority="67">
      <formula>E$9&gt;=20/24</formula>
    </cfRule>
  </conditionalFormatting>
  <conditionalFormatting sqref="F63:L65">
    <cfRule type="expression" dxfId="2094" priority="81">
      <formula>F$9&gt;=20/24</formula>
    </cfRule>
    <cfRule type="expression" dxfId="2093" priority="82">
      <formula>AND(F$9&gt;=14/24,F$9&lt;20/24)</formula>
    </cfRule>
    <cfRule type="expression" dxfId="2092" priority="83">
      <formula>AND(F$9&gt;=8/24,F$9&lt;14/24)</formula>
    </cfRule>
    <cfRule type="expression" dxfId="2091" priority="84">
      <formula>F$9&lt;8/24</formula>
    </cfRule>
  </conditionalFormatting>
  <conditionalFormatting sqref="L68:AE68">
    <cfRule type="expression" dxfId="2090" priority="77">
      <formula>L$9&gt;=20/24</formula>
    </cfRule>
    <cfRule type="expression" dxfId="2089" priority="78">
      <formula>AND(L$9&gt;=14/24,L$9&lt;20/24)</formula>
    </cfRule>
    <cfRule type="expression" dxfId="2088" priority="80">
      <formula>L$9&lt;8/24</formula>
    </cfRule>
    <cfRule type="expression" dxfId="2087" priority="79">
      <formula>AND(L$9&gt;=8/24,L$9&lt;14/24)</formula>
    </cfRule>
  </conditionalFormatting>
  <conditionalFormatting sqref="M8 S8 AB8">
    <cfRule type="expression" dxfId="2086" priority="136">
      <formula>AND(N$9&gt;=14/24,N$9&lt;20/24)</formula>
    </cfRule>
    <cfRule type="expression" dxfId="2085" priority="138">
      <formula>N$9&lt;8/24</formula>
    </cfRule>
    <cfRule type="expression" dxfId="2084" priority="137">
      <formula>AND(N$9&gt;=8/24,N$9&lt;14/24)</formula>
    </cfRule>
  </conditionalFormatting>
  <conditionalFormatting sqref="M63:AA67">
    <cfRule type="expression" dxfId="2083" priority="85">
      <formula>M$9&gt;=20/24</formula>
    </cfRule>
    <cfRule type="expression" dxfId="2082" priority="87">
      <formula>AND(M$9&gt;=8/24,M$9&lt;14/24)</formula>
    </cfRule>
    <cfRule type="expression" dxfId="2081" priority="88">
      <formula>M$9&lt;8/24</formula>
    </cfRule>
    <cfRule type="expression" dxfId="2080" priority="86">
      <formula>AND(M$9&gt;=14/24,M$9&lt;20/24)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079" priority="135">
      <formula>N$9&gt;=20/24</formula>
    </cfRule>
  </conditionalFormatting>
  <conditionalFormatting sqref="S8">
    <cfRule type="expression" dxfId="2078" priority="122">
      <formula>U$9&gt;=20/24</formula>
    </cfRule>
    <cfRule type="expression" dxfId="2077" priority="123">
      <formula>AND(U$9&gt;=14/24,U$9&lt;20/24)</formula>
    </cfRule>
    <cfRule type="expression" dxfId="2076" priority="124">
      <formula>AND(U$9&gt;=8/24,U$9&lt;14/24)</formula>
    </cfRule>
    <cfRule type="expression" dxfId="2075" priority="125">
      <formula>U$9&lt;8/24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V63:AF68">
    <cfRule type="expression" dxfId="2074" priority="74">
      <formula>V$9&lt;8/24</formula>
    </cfRule>
    <cfRule type="expression" dxfId="2073" priority="73">
      <formula>AND(V$9&gt;=8/24,V$9&lt;14/24)</formula>
    </cfRule>
    <cfRule type="expression" dxfId="2072" priority="72">
      <formula>AND(V$9&gt;=14/24,V$9&lt;20/24)</formula>
    </cfRule>
    <cfRule type="expression" dxfId="2071" priority="71">
      <formula>V$9&gt;=20/24</formula>
    </cfRule>
  </conditionalFormatting>
  <conditionalFormatting sqref="Z11:AF52">
    <cfRule type="expression" dxfId="2070" priority="58">
      <formula>Z11&gt;$AG11</formula>
    </cfRule>
    <cfRule type="expression" dxfId="2069" priority="60">
      <formula>AND(Z$9&gt;=14/24,Z$9&lt;20/24)</formula>
    </cfRule>
    <cfRule type="expression" dxfId="2068" priority="61">
      <formula>AND(Z$9&gt;=8/24,Z$9&lt;14/24)</formula>
    </cfRule>
    <cfRule type="expression" dxfId="2067" priority="62">
      <formula>Z$9&lt;8/24</formula>
    </cfRule>
    <cfRule type="expression" dxfId="2066" priority="59">
      <formula>Z$9&gt;=20/24</formula>
    </cfRule>
  </conditionalFormatting>
  <conditionalFormatting sqref="Z53:AF54 E53:Y55 B53:D57">
    <cfRule type="expression" dxfId="2065" priority="38">
      <formula>AND(B$9&gt;=14/24,B$9&lt;20/24)</formula>
    </cfRule>
    <cfRule type="expression" dxfId="2064" priority="37">
      <formula>B$9&gt;=20/24</formula>
    </cfRule>
    <cfRule type="expression" dxfId="2063" priority="39">
      <formula>AND(B$9&gt;=8/24,B$9&lt;14/24)</formula>
    </cfRule>
  </conditionalFormatting>
  <conditionalFormatting sqref="Z53:AF55">
    <cfRule type="expression" dxfId="2062" priority="76">
      <formula>Z53&gt;$AG53</formula>
    </cfRule>
  </conditionalFormatting>
  <conditionalFormatting sqref="Z53:AF57">
    <cfRule type="expression" dxfId="2061" priority="75">
      <formula>Z$9&lt;8/24</formula>
    </cfRule>
  </conditionalFormatting>
  <conditionalFormatting sqref="Z55:AF57">
    <cfRule type="expression" dxfId="2060" priority="66">
      <formula>AND(Z$9&gt;=8/24,Z$9&lt;14/24)</formula>
    </cfRule>
    <cfRule type="expression" dxfId="2059" priority="65">
      <formula>AND(Z$9&gt;=14/24,Z$9&lt;20/24)</formula>
    </cfRule>
    <cfRule type="expression" dxfId="2058" priority="64">
      <formula>Z$9&gt;=20/24</formula>
    </cfRule>
  </conditionalFormatting>
  <conditionalFormatting sqref="AB8">
    <cfRule type="expression" dxfId="2057" priority="121">
      <formula>AD$9&lt;8/24</formula>
    </cfRule>
    <cfRule type="expression" dxfId="2056" priority="120">
      <formula>AND(AD$9&gt;=8/24,AD$9&lt;14/24)</formula>
    </cfRule>
    <cfRule type="expression" dxfId="2055" priority="119">
      <formula>AND(AD$9&gt;=14/24,AD$9&lt;20/24)</formula>
    </cfRule>
    <cfRule type="expression" dxfId="2054" priority="118">
      <formula>AD$9&gt;=20/24</formula>
    </cfRule>
  </conditionalFormatting>
  <conditionalFormatting sqref="AG58">
    <cfRule type="expression" dxfId="2053" priority="113">
      <formula>AG58&gt;$AG58</formula>
    </cfRule>
  </conditionalFormatting>
  <conditionalFormatting sqref="AG62">
    <cfRule type="expression" dxfId="2052" priority="97">
      <formula>AND(AG$9&gt;=14/24,AG$9&lt;20/24)</formula>
    </cfRule>
    <cfRule type="expression" dxfId="2051" priority="98">
      <formula>AND(AG$9&gt;=8/24,AG$9&lt;14/24)</formula>
    </cfRule>
    <cfRule type="expression" dxfId="2050" priority="96">
      <formula>AG$9&gt;=20/24</formula>
    </cfRule>
    <cfRule type="expression" dxfId="2049" priority="99">
      <formula>AG$9&lt;8/24</formula>
    </cfRule>
  </conditionalFormatting>
  <conditionalFormatting sqref="AG75:AG76">
    <cfRule type="expression" dxfId="2048" priority="91">
      <formula>AG75&gt;$AG75</formula>
    </cfRule>
  </conditionalFormatting>
  <conditionalFormatting sqref="AG80">
    <cfRule type="expression" dxfId="2047" priority="93">
      <formula>AND(AG$9&gt;=14/24,AG$9&lt;20/24)</formula>
    </cfRule>
    <cfRule type="expression" dxfId="2046" priority="95">
      <formula>AG$9&lt;8/24</formula>
    </cfRule>
    <cfRule type="expression" dxfId="2045" priority="94">
      <formula>AND(AG$9&gt;=8/24,AG$9&lt;14/24)</formula>
    </cfRule>
    <cfRule type="expression" dxfId="2044" priority="92">
      <formula>AG$9&gt;=20/24</formula>
    </cfRule>
  </conditionalFormatting>
  <conditionalFormatting sqref="AG97">
    <cfRule type="expression" dxfId="2043" priority="117">
      <formula>AG$9&lt;8/24</formula>
    </cfRule>
    <cfRule type="expression" dxfId="2042" priority="116">
      <formula>AND(AG$9&gt;=8/24,AG$9&lt;14/24)</formula>
    </cfRule>
    <cfRule type="expression" dxfId="2041" priority="115">
      <formula>AND(AG$9&gt;=14/24,AG$9&lt;20/24)</formula>
    </cfRule>
    <cfRule type="expression" dxfId="2040" priority="114">
      <formula>AG$9&gt;=20/24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2039" priority="139">
      <formula>AJ$9&gt;=20/24</formula>
    </cfRule>
    <cfRule type="expression" dxfId="2038" priority="140">
      <formula>AND(AJ$9&gt;=14/24,AJ$9&lt;20/24)</formula>
    </cfRule>
    <cfRule type="expression" dxfId="2037" priority="141">
      <formula>AND(AJ$9&gt;=8/24,AJ$9&lt;14/24)</formula>
    </cfRule>
    <cfRule type="expression" dxfId="2036" priority="142">
      <formula>AJ$9&lt;8/24</formula>
    </cfRule>
  </conditionalFormatting>
  <conditionalFormatting sqref="AL88:AN88 AL94:AN94">
    <cfRule type="expression" dxfId="2035" priority="109">
      <formula>AL$9&lt;8/24</formula>
    </cfRule>
    <cfRule type="expression" dxfId="2034" priority="106">
      <formula>AL$9&gt;=20/24</formula>
    </cfRule>
    <cfRule type="expression" dxfId="2033" priority="108">
      <formula>AND(AL$9&gt;=8/24,AL$9&lt;14/24)</formula>
    </cfRule>
    <cfRule type="expression" dxfId="2032" priority="107">
      <formula>AND(AL$9&gt;=14/24,AL$9&lt;20/24)</formula>
    </cfRule>
  </conditionalFormatting>
  <conditionalFormatting sqref="AM15:AM21 AN16:AR21">
    <cfRule type="expression" dxfId="2031" priority="16">
      <formula>AX$9&lt;8/24</formula>
    </cfRule>
    <cfRule type="expression" dxfId="2030" priority="15">
      <formula>AND(AX$9&gt;=8/24,AX$9&lt;14/24)</formula>
    </cfRule>
    <cfRule type="expression" dxfId="2029" priority="14">
      <formula>AND(AX$9&gt;=14/24,AX$9&lt;20/24)</formula>
    </cfRule>
    <cfRule type="expression" dxfId="2028" priority="13">
      <formula>AX$9&gt;=20/24</formula>
    </cfRule>
  </conditionalFormatting>
  <conditionalFormatting sqref="AN89:AN92">
    <cfRule type="expression" dxfId="2027" priority="102">
      <formula>AN$9&gt;=20/24</formula>
    </cfRule>
    <cfRule type="expression" dxfId="2026" priority="103">
      <formula>AND(AN$9&gt;=14/24,AN$9&lt;20/24)</formula>
    </cfRule>
    <cfRule type="expression" dxfId="2025" priority="104">
      <formula>AND(AN$9&gt;=8/24,AN$9&lt;14/24)</formula>
    </cfRule>
    <cfRule type="expression" dxfId="2024" priority="105">
      <formula>AN$9&lt;8/24</formula>
    </cfRule>
  </conditionalFormatting>
  <conditionalFormatting sqref="AN15:AR15">
    <cfRule type="expression" dxfId="2023" priority="4">
      <formula>U$9&lt;8/24</formula>
    </cfRule>
    <cfRule type="expression" dxfId="2022" priority="1">
      <formula>U$9&gt;=20/24</formula>
    </cfRule>
    <cfRule type="expression" dxfId="2021" priority="2">
      <formula>AND(U$9&gt;=14/24,U$9&lt;20/24)</formula>
    </cfRule>
    <cfRule type="expression" dxfId="2020" priority="3">
      <formula>AND(U$9&gt;=8/24,U$9&lt;14/24)</formula>
    </cfRule>
  </conditionalFormatting>
  <conditionalFormatting sqref="AS15">
    <cfRule type="expression" dxfId="2019" priority="12">
      <formula>AA$9&lt;8/24</formula>
    </cfRule>
    <cfRule type="expression" dxfId="2018" priority="10">
      <formula>AND(AA$9&gt;=14/24,AA$9&lt;20/24)</formula>
    </cfRule>
    <cfRule type="expression" dxfId="2017" priority="9">
      <formula>AA$9&gt;=20/24</formula>
    </cfRule>
    <cfRule type="expression" dxfId="2016" priority="11">
      <formula>AND(AA$9&gt;=8/24,AA$9&lt;14/24)</formula>
    </cfRule>
  </conditionalFormatting>
  <conditionalFormatting sqref="AS16:AS21">
    <cfRule type="expression" dxfId="2015" priority="20">
      <formula>BE$9&lt;8/24</formula>
    </cfRule>
    <cfRule type="expression" dxfId="2014" priority="18">
      <formula>AND(BE$9&gt;=14/24,BE$9&lt;20/24)</formula>
    </cfRule>
    <cfRule type="expression" dxfId="2013" priority="17">
      <formula>BE$9&gt;=20/24</formula>
    </cfRule>
    <cfRule type="expression" dxfId="2012" priority="19">
      <formula>AND(BE$9&gt;=8/24,BE$9&lt;14/24)</formula>
    </cfRule>
  </conditionalFormatting>
  <conditionalFormatting sqref="AT15 AX15:BJ15">
    <cfRule type="expression" dxfId="2011" priority="24">
      <formula>AC$9&lt;8/24</formula>
    </cfRule>
    <cfRule type="expression" dxfId="2010" priority="23">
      <formula>AND(AC$9&gt;=8/24,AC$9&lt;14/24)</formula>
    </cfRule>
    <cfRule type="expression" dxfId="2009" priority="22">
      <formula>AND(AC$9&gt;=14/24,AC$9&lt;20/24)</formula>
    </cfRule>
    <cfRule type="expression" dxfId="2008" priority="21">
      <formula>AC$9&gt;=20/24</formula>
    </cfRule>
  </conditionalFormatting>
  <conditionalFormatting sqref="AT16:AT21">
    <cfRule type="expression" dxfId="2007" priority="26">
      <formula>AND(BG$9&gt;=14/24,BG$9&lt;20/24)</formula>
    </cfRule>
    <cfRule type="expression" dxfId="2006" priority="25">
      <formula>BG$9&gt;=20/24</formula>
    </cfRule>
    <cfRule type="expression" dxfId="2005" priority="27">
      <formula>AND(BG$9&gt;=8/24,BG$9&lt;14/24)</formula>
    </cfRule>
    <cfRule type="expression" dxfId="2004" priority="28">
      <formula>BG$9&lt;8/24</formula>
    </cfRule>
  </conditionalFormatting>
  <conditionalFormatting sqref="AU15:AV15">
    <cfRule type="expression" dxfId="2003" priority="29">
      <formula>AE$9&gt;=20/24</formula>
    </cfRule>
    <cfRule type="expression" dxfId="2002" priority="30">
      <formula>AND(AE$9&gt;=14/24,AE$9&lt;20/24)</formula>
    </cfRule>
    <cfRule type="expression" dxfId="2001" priority="31">
      <formula>AND(AE$9&gt;=8/24,AE$9&lt;14/24)</formula>
    </cfRule>
    <cfRule type="expression" dxfId="2000" priority="32">
      <formula>AE$9&lt;8/24</formula>
    </cfRule>
  </conditionalFormatting>
  <conditionalFormatting sqref="AU16:BJ21">
    <cfRule type="expression" dxfId="1999" priority="35">
      <formula>AND(BI$9&gt;=8/24,BI$9&lt;14/24)</formula>
    </cfRule>
    <cfRule type="expression" dxfId="1998" priority="36">
      <formula>BI$9&lt;8/24</formula>
    </cfRule>
    <cfRule type="expression" dxfId="1997" priority="33">
      <formula>BI$9&gt;=20/24</formula>
    </cfRule>
    <cfRule type="expression" dxfId="1996" priority="34">
      <formula>AND(BI$9&gt;=14/24,BI$9&lt;20/24)</formula>
    </cfRule>
  </conditionalFormatting>
  <conditionalFormatting sqref="AW15">
    <cfRule type="expression" dxfId="1995" priority="7">
      <formula>AND(B$9&gt;=8/24,B$9&lt;14/24)</formula>
    </cfRule>
    <cfRule type="expression" dxfId="1994" priority="6">
      <formula>AND(B$9&gt;=14/24,B$9&lt;20/24)</formula>
    </cfRule>
    <cfRule type="expression" dxfId="1993" priority="5">
      <formula>B$9&gt;=20/24</formula>
    </cfRule>
    <cfRule type="expression" dxfId="1992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10EBC-24E0-4A75-BC4F-508C2BB7E27C}">
  <dimension ref="A1:CJ294"/>
  <sheetViews>
    <sheetView zoomScale="106" workbookViewId="0">
      <pane xSplit="1" ySplit="10" topLeftCell="B76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B83" sqref="B83:I83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20.25" hidden="1" x14ac:dyDescent="0.2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9.5" hidden="1" thickBot="1" x14ac:dyDescent="0.3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3">
      <c r="A4" s="162" t="s">
        <v>273</v>
      </c>
      <c r="B4" s="205" t="str">
        <f ca="1">"2080/"&amp;"10/"&amp;INT(MID(CELL("filename",D6),FIND("]",CELL("filename",D6))+1,200))</f>
        <v>2080/10/18</v>
      </c>
      <c r="C4" s="205"/>
      <c r="D4" s="205"/>
      <c r="E4" s="206" t="str">
        <f ca="1">"2080/"&amp;"10/"&amp;INT(MID(CELL("filename",G6),FIND("]",CELL("filename",G6))+1,200))</f>
        <v>2080/10/18</v>
      </c>
      <c r="F4" s="206"/>
      <c r="G4" s="206"/>
      <c r="H4" s="206" t="str">
        <f ca="1">TEXT(E4,"dddd")</f>
        <v>Friday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3">
      <c r="A5" s="158"/>
      <c r="B5" s="161">
        <f t="shared" ref="B5:AE5" si="0">C92</f>
        <v>197.6</v>
      </c>
      <c r="C5" s="161">
        <f t="shared" si="0"/>
        <v>200.3</v>
      </c>
      <c r="D5" s="161">
        <f t="shared" si="0"/>
        <v>193.2</v>
      </c>
      <c r="E5" s="161">
        <f t="shared" si="0"/>
        <v>193.3</v>
      </c>
      <c r="F5" s="161">
        <f t="shared" si="0"/>
        <v>204.7</v>
      </c>
      <c r="G5" s="161">
        <f t="shared" si="0"/>
        <v>186.6</v>
      </c>
      <c r="H5" s="161">
        <f t="shared" si="0"/>
        <v>187</v>
      </c>
      <c r="I5" s="161">
        <f t="shared" si="0"/>
        <v>682.3</v>
      </c>
      <c r="J5" s="161">
        <f t="shared" si="0"/>
        <v>775.60000000000014</v>
      </c>
      <c r="K5" s="161">
        <f t="shared" si="0"/>
        <v>886.5</v>
      </c>
      <c r="L5" s="161">
        <f t="shared" si="0"/>
        <v>906.2</v>
      </c>
      <c r="M5" s="161">
        <f t="shared" si="0"/>
        <v>908</v>
      </c>
      <c r="N5" s="161">
        <f t="shared" si="0"/>
        <v>901</v>
      </c>
      <c r="O5" s="161">
        <f t="shared" si="0"/>
        <v>922.8</v>
      </c>
      <c r="P5" s="161">
        <f t="shared" si="0"/>
        <v>908.2</v>
      </c>
      <c r="Q5" s="161">
        <f t="shared" si="0"/>
        <v>875.2</v>
      </c>
      <c r="R5" s="161">
        <f t="shared" si="0"/>
        <v>878.5</v>
      </c>
      <c r="S5" s="161">
        <f t="shared" si="0"/>
        <v>888.69999999999993</v>
      </c>
      <c r="T5" s="161">
        <f t="shared" si="0"/>
        <v>899.3</v>
      </c>
      <c r="U5" s="161">
        <f t="shared" si="0"/>
        <v>877.6</v>
      </c>
      <c r="V5" s="161">
        <f t="shared" si="0"/>
        <v>841.0100000000001</v>
      </c>
      <c r="W5" s="161">
        <f t="shared" si="0"/>
        <v>722.9</v>
      </c>
      <c r="X5" s="161">
        <f t="shared" si="0"/>
        <v>741.69999999999993</v>
      </c>
      <c r="Y5" s="161">
        <f t="shared" si="0"/>
        <v>370.2</v>
      </c>
      <c r="Z5" s="161">
        <f t="shared" si="0"/>
        <v>255.7</v>
      </c>
      <c r="AA5" s="161">
        <f t="shared" si="0"/>
        <v>309.39999999999998</v>
      </c>
      <c r="AB5" s="161">
        <f t="shared" si="0"/>
        <v>315.7</v>
      </c>
      <c r="AC5" s="161">
        <f t="shared" si="0"/>
        <v>315.7</v>
      </c>
      <c r="AD5" s="161">
        <f t="shared" si="0"/>
        <v>348.4</v>
      </c>
      <c r="AE5" s="161">
        <f t="shared" si="0"/>
        <v>178.4</v>
      </c>
      <c r="AF5" s="161">
        <f>B92</f>
        <v>211.39999999999998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3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1788MW at 7:30hr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5" thickBot="1" x14ac:dyDescent="0.3">
      <c r="A7" s="151" t="str">
        <f>"Base Load="&amp;ROUND(MIN($B$7:$AF$7),0)</f>
        <v>Base Load=1539</v>
      </c>
      <c r="B7" s="150">
        <f t="shared" ref="B7:AF7" si="1">B100</f>
        <v>1670.4899999999998</v>
      </c>
      <c r="C7" s="150">
        <f t="shared" si="1"/>
        <v>1625.6899999999998</v>
      </c>
      <c r="D7" s="150">
        <f t="shared" si="1"/>
        <v>1582.59</v>
      </c>
      <c r="E7" s="150">
        <f t="shared" si="1"/>
        <v>1546.89</v>
      </c>
      <c r="F7" s="150">
        <f t="shared" si="1"/>
        <v>1539.29</v>
      </c>
      <c r="G7" s="150">
        <f t="shared" si="1"/>
        <v>1551.39</v>
      </c>
      <c r="H7" s="150">
        <f t="shared" si="1"/>
        <v>1559.6899999999998</v>
      </c>
      <c r="I7" s="150">
        <f t="shared" si="1"/>
        <v>1560.59</v>
      </c>
      <c r="J7" s="150">
        <f t="shared" si="1"/>
        <v>1541.8</v>
      </c>
      <c r="K7" s="150">
        <f t="shared" si="1"/>
        <v>1651.2900000000002</v>
      </c>
      <c r="L7" s="150">
        <f t="shared" si="1"/>
        <v>1788.19</v>
      </c>
      <c r="M7" s="150">
        <f t="shared" si="1"/>
        <v>1780.49</v>
      </c>
      <c r="N7" s="150">
        <f t="shared" si="1"/>
        <v>1776.59</v>
      </c>
      <c r="O7" s="150">
        <f t="shared" si="1"/>
        <v>1826.5900000000001</v>
      </c>
      <c r="P7" s="150">
        <f t="shared" si="1"/>
        <v>1836.3899999999999</v>
      </c>
      <c r="Q7" s="150">
        <f t="shared" si="1"/>
        <v>1814.79</v>
      </c>
      <c r="R7" s="150">
        <f t="shared" si="1"/>
        <v>1766.39</v>
      </c>
      <c r="S7" s="150">
        <f t="shared" si="1"/>
        <v>1700.44</v>
      </c>
      <c r="T7" s="150">
        <f t="shared" si="1"/>
        <v>1713.3400000000001</v>
      </c>
      <c r="U7" s="150">
        <f t="shared" si="1"/>
        <v>1736.6399999999999</v>
      </c>
      <c r="V7" s="150">
        <f t="shared" si="1"/>
        <v>1716.04</v>
      </c>
      <c r="W7" s="150">
        <f t="shared" si="1"/>
        <v>1678.3500000000001</v>
      </c>
      <c r="X7" s="150">
        <f t="shared" si="1"/>
        <v>1753.44</v>
      </c>
      <c r="Y7" s="150">
        <f t="shared" si="1"/>
        <v>1855.6</v>
      </c>
      <c r="Z7" s="150">
        <f t="shared" si="1"/>
        <v>1901.94</v>
      </c>
      <c r="AA7" s="150">
        <f t="shared" si="1"/>
        <v>1938.64</v>
      </c>
      <c r="AB7" s="150">
        <f t="shared" si="1"/>
        <v>1880.44</v>
      </c>
      <c r="AC7" s="150">
        <f t="shared" si="1"/>
        <v>1839.74</v>
      </c>
      <c r="AD7" s="150">
        <f t="shared" si="1"/>
        <v>1829.74</v>
      </c>
      <c r="AE7" s="150">
        <f t="shared" si="1"/>
        <v>1709.6399999999999</v>
      </c>
      <c r="AF7" s="150">
        <f t="shared" si="1"/>
        <v>1638.54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7.25" thickTop="1" thickBot="1" x14ac:dyDescent="0.3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1901.94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2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1901.94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.75" thickBot="1" x14ac:dyDescent="0.3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25">
      <c r="A11" s="89" t="s">
        <v>264</v>
      </c>
      <c r="B11" s="102">
        <v>20</v>
      </c>
      <c r="C11" s="102">
        <v>20</v>
      </c>
      <c r="D11" s="102">
        <v>20</v>
      </c>
      <c r="E11" s="102">
        <v>21</v>
      </c>
      <c r="F11" s="102">
        <v>20.7</v>
      </c>
      <c r="G11" s="102">
        <v>20</v>
      </c>
      <c r="H11" s="102">
        <v>20</v>
      </c>
      <c r="I11" s="102">
        <v>20</v>
      </c>
      <c r="J11" s="102">
        <v>20</v>
      </c>
      <c r="K11" s="102">
        <v>20</v>
      </c>
      <c r="L11" s="102">
        <v>20.7</v>
      </c>
      <c r="M11" s="102">
        <v>20.7</v>
      </c>
      <c r="N11" s="102">
        <v>20.7</v>
      </c>
      <c r="O11" s="102">
        <v>20.7</v>
      </c>
      <c r="P11" s="102">
        <v>20.7</v>
      </c>
      <c r="Q11" s="102">
        <v>20.7</v>
      </c>
      <c r="R11" s="102">
        <v>20.7</v>
      </c>
      <c r="S11" s="102">
        <v>21</v>
      </c>
      <c r="T11" s="102">
        <v>21</v>
      </c>
      <c r="U11" s="102">
        <v>21</v>
      </c>
      <c r="V11" s="102">
        <v>21</v>
      </c>
      <c r="W11" s="102">
        <v>21</v>
      </c>
      <c r="X11" s="102">
        <v>15</v>
      </c>
      <c r="Y11" s="102">
        <v>14.4</v>
      </c>
      <c r="Z11" s="102">
        <v>17.7</v>
      </c>
      <c r="AA11" s="102">
        <v>17.7</v>
      </c>
      <c r="AB11" s="102">
        <v>17.7</v>
      </c>
      <c r="AC11" s="102">
        <v>17.7</v>
      </c>
      <c r="AD11" s="102">
        <v>17.7</v>
      </c>
      <c r="AE11" s="102">
        <v>17.7</v>
      </c>
      <c r="AF11" s="102">
        <v>17.7</v>
      </c>
      <c r="AG11" s="140">
        <v>86</v>
      </c>
      <c r="AH11" s="12">
        <f t="shared" ref="AH11:AH16" si="2">MAX(B11:AF11)</f>
        <v>21</v>
      </c>
      <c r="AI11" s="11">
        <f t="shared" ref="AI11:AI16" si="3">MIN(B11:AF11)</f>
        <v>14.4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25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>
        <v>11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>
        <v>11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18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25">
      <c r="A13" s="89" t="s">
        <v>262</v>
      </c>
      <c r="B13" s="102">
        <v>20.9</v>
      </c>
      <c r="C13" s="102">
        <v>20.9</v>
      </c>
      <c r="D13" s="102">
        <v>19.5</v>
      </c>
      <c r="E13" s="102">
        <v>19.5</v>
      </c>
      <c r="F13" s="102">
        <v>16.600000000000001</v>
      </c>
      <c r="G13" s="102">
        <v>16.600000000000001</v>
      </c>
      <c r="H13" s="102">
        <v>16.899999999999999</v>
      </c>
      <c r="I13" s="102">
        <v>16.899999999999999</v>
      </c>
      <c r="J13" s="102">
        <v>16.899999999999999</v>
      </c>
      <c r="K13" s="102">
        <v>16.899999999999999</v>
      </c>
      <c r="L13" s="102">
        <v>16.899999999999999</v>
      </c>
      <c r="M13" s="102">
        <v>16.899999999999999</v>
      </c>
      <c r="N13" s="102">
        <v>16.899999999999999</v>
      </c>
      <c r="O13" s="102">
        <v>16.899999999999999</v>
      </c>
      <c r="P13" s="102">
        <v>16.899999999999999</v>
      </c>
      <c r="Q13" s="102">
        <v>16.899999999999999</v>
      </c>
      <c r="R13" s="102">
        <v>16.899999999999999</v>
      </c>
      <c r="S13" s="102">
        <v>15</v>
      </c>
      <c r="T13" s="102">
        <v>15</v>
      </c>
      <c r="U13" s="102">
        <v>15</v>
      </c>
      <c r="V13" s="102">
        <v>15</v>
      </c>
      <c r="W13" s="102">
        <v>15</v>
      </c>
      <c r="X13" s="102">
        <v>15</v>
      </c>
      <c r="Y13" s="102">
        <v>15</v>
      </c>
      <c r="Z13" s="102">
        <v>15</v>
      </c>
      <c r="AA13" s="102">
        <v>15</v>
      </c>
      <c r="AB13" s="102">
        <v>15</v>
      </c>
      <c r="AC13" s="102">
        <v>15</v>
      </c>
      <c r="AD13" s="102">
        <v>15</v>
      </c>
      <c r="AE13" s="102">
        <v>15</v>
      </c>
      <c r="AF13" s="102">
        <v>15</v>
      </c>
      <c r="AG13" s="130">
        <v>54</v>
      </c>
      <c r="AH13" s="12">
        <f t="shared" si="2"/>
        <v>20.9</v>
      </c>
      <c r="AI13" s="11">
        <f t="shared" si="3"/>
        <v>15</v>
      </c>
      <c r="AK13" s="19"/>
      <c r="AL13" s="6" t="str">
        <f ca="1">"Daily Load Curve(Excluding of Export) of Nepal ("&amp;A4&amp;" "&amp;B4&amp;")"</f>
        <v>Daily Load Curve(Excluding of Export) of Nepal (Nepali Date: 2080/10/18)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.75" thickBot="1" x14ac:dyDescent="0.3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.75" thickTop="1" x14ac:dyDescent="0.25">
      <c r="A15" s="89" t="s">
        <v>260</v>
      </c>
      <c r="B15" s="123">
        <v>49.7</v>
      </c>
      <c r="C15" s="123">
        <v>49.7</v>
      </c>
      <c r="D15" s="123">
        <v>50.2</v>
      </c>
      <c r="E15" s="123">
        <v>50.2</v>
      </c>
      <c r="F15" s="123">
        <v>50.2</v>
      </c>
      <c r="G15" s="123">
        <v>50.2</v>
      </c>
      <c r="H15" s="102">
        <v>50.5</v>
      </c>
      <c r="I15" s="102">
        <v>50.5</v>
      </c>
      <c r="J15" s="102">
        <v>50.5</v>
      </c>
      <c r="K15" s="102">
        <v>50.5</v>
      </c>
      <c r="L15" s="102">
        <v>50.1</v>
      </c>
      <c r="M15" s="102">
        <v>50.1</v>
      </c>
      <c r="N15" s="102">
        <v>50.1</v>
      </c>
      <c r="O15" s="102">
        <v>50.1</v>
      </c>
      <c r="P15" s="102">
        <v>50.1</v>
      </c>
      <c r="Q15" s="102">
        <v>50.1</v>
      </c>
      <c r="R15" s="102">
        <v>50.1</v>
      </c>
      <c r="S15" s="102">
        <v>49.6</v>
      </c>
      <c r="T15" s="102">
        <v>49.6</v>
      </c>
      <c r="U15" s="102">
        <v>49.6</v>
      </c>
      <c r="V15" s="102">
        <v>49.6</v>
      </c>
      <c r="W15" s="123">
        <v>41.1</v>
      </c>
      <c r="X15" s="123">
        <v>41.1</v>
      </c>
      <c r="Y15" s="123">
        <v>41.1</v>
      </c>
      <c r="Z15" s="123">
        <v>41.1</v>
      </c>
      <c r="AA15" s="123">
        <v>41.1</v>
      </c>
      <c r="AB15" s="123">
        <v>41.1</v>
      </c>
      <c r="AC15" s="123">
        <v>41.1</v>
      </c>
      <c r="AD15" s="123">
        <v>41.1</v>
      </c>
      <c r="AE15" s="123">
        <v>41.1</v>
      </c>
      <c r="AF15" s="123">
        <v>41.1</v>
      </c>
      <c r="AG15" s="130">
        <v>50</v>
      </c>
      <c r="AH15" s="12">
        <f t="shared" si="2"/>
        <v>50.5</v>
      </c>
      <c r="AI15" s="11">
        <f t="shared" si="3"/>
        <v>41.1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25">
      <c r="A16" s="89" t="s">
        <v>258</v>
      </c>
      <c r="B16" s="102">
        <v>15.1</v>
      </c>
      <c r="C16" s="102">
        <v>15.1</v>
      </c>
      <c r="D16" s="102">
        <v>15.1</v>
      </c>
      <c r="E16" s="102">
        <v>15.1</v>
      </c>
      <c r="F16" s="102">
        <v>15.1</v>
      </c>
      <c r="G16" s="102">
        <v>15.1</v>
      </c>
      <c r="H16" s="102">
        <v>15.1</v>
      </c>
      <c r="I16" s="102">
        <v>15.1</v>
      </c>
      <c r="J16" s="102">
        <v>15.1</v>
      </c>
      <c r="K16" s="102">
        <v>15.1</v>
      </c>
      <c r="L16" s="102">
        <v>15.1</v>
      </c>
      <c r="M16" s="102">
        <v>15.1</v>
      </c>
      <c r="N16" s="102">
        <v>15.1</v>
      </c>
      <c r="O16" s="102">
        <v>15.1</v>
      </c>
      <c r="P16" s="102">
        <v>15.1</v>
      </c>
      <c r="Q16" s="102">
        <v>15.1</v>
      </c>
      <c r="R16" s="102">
        <v>15.1</v>
      </c>
      <c r="S16" s="102">
        <v>15.2</v>
      </c>
      <c r="T16" s="102">
        <v>15.2</v>
      </c>
      <c r="U16" s="102">
        <v>15.2</v>
      </c>
      <c r="V16" s="102">
        <v>15.2</v>
      </c>
      <c r="W16" s="102">
        <v>15.2</v>
      </c>
      <c r="X16" s="102">
        <v>15.2</v>
      </c>
      <c r="Y16" s="102">
        <v>15.2</v>
      </c>
      <c r="Z16" s="102">
        <v>15.2</v>
      </c>
      <c r="AA16" s="102">
        <v>15.2</v>
      </c>
      <c r="AB16" s="102">
        <v>15.2</v>
      </c>
      <c r="AC16" s="102">
        <v>15.2</v>
      </c>
      <c r="AD16" s="102">
        <v>15.2</v>
      </c>
      <c r="AE16" s="102">
        <v>15.2</v>
      </c>
      <c r="AF16" s="102">
        <v>15.2</v>
      </c>
      <c r="AG16" s="130">
        <v>45</v>
      </c>
      <c r="AH16" s="12">
        <f t="shared" si="2"/>
        <v>15.2</v>
      </c>
      <c r="AI16" s="11">
        <f t="shared" si="3"/>
        <v>15.1</v>
      </c>
      <c r="AK16" s="19"/>
      <c r="AL16" s="135" t="s">
        <v>7</v>
      </c>
      <c r="AM16" s="134">
        <f t="shared" ref="AM16:AR16" si="4">B58</f>
        <v>529.15</v>
      </c>
      <c r="AN16" s="134">
        <f t="shared" si="4"/>
        <v>529.15</v>
      </c>
      <c r="AO16" s="134">
        <f t="shared" si="4"/>
        <v>525.25</v>
      </c>
      <c r="AP16" s="134">
        <f t="shared" si="4"/>
        <v>526.25</v>
      </c>
      <c r="AQ16" s="134">
        <f t="shared" si="4"/>
        <v>518.95000000000005</v>
      </c>
      <c r="AR16" s="134">
        <f t="shared" si="4"/>
        <v>518.25</v>
      </c>
      <c r="AS16" s="134">
        <f>I58</f>
        <v>514.04999999999995</v>
      </c>
      <c r="AT16" s="134">
        <f>K58</f>
        <v>514.04999999999995</v>
      </c>
      <c r="AU16" s="134">
        <f t="shared" ref="AU16:BD16" si="5">M58</f>
        <v>515.25</v>
      </c>
      <c r="AV16" s="134">
        <f t="shared" si="5"/>
        <v>515.25</v>
      </c>
      <c r="AW16" s="134">
        <f t="shared" si="5"/>
        <v>515.25</v>
      </c>
      <c r="AX16" s="134">
        <f t="shared" si="5"/>
        <v>515.25</v>
      </c>
      <c r="AY16" s="134">
        <f t="shared" si="5"/>
        <v>515.25</v>
      </c>
      <c r="AZ16" s="134">
        <f t="shared" si="5"/>
        <v>515.25</v>
      </c>
      <c r="BA16" s="134">
        <f t="shared" si="5"/>
        <v>482.6</v>
      </c>
      <c r="BB16" s="134">
        <f t="shared" si="5"/>
        <v>495.1</v>
      </c>
      <c r="BC16" s="134">
        <f t="shared" si="5"/>
        <v>491.6</v>
      </c>
      <c r="BD16" s="134">
        <f t="shared" si="5"/>
        <v>491.6</v>
      </c>
      <c r="BE16" s="133">
        <f>X58</f>
        <v>479.70000000000005</v>
      </c>
      <c r="BF16" s="133">
        <f>Z58</f>
        <v>482.40000000000003</v>
      </c>
      <c r="BG16" s="133">
        <f>AB58</f>
        <v>482.40000000000003</v>
      </c>
      <c r="BH16" s="133">
        <f>AD58</f>
        <v>482.40000000000003</v>
      </c>
      <c r="BI16" s="133">
        <f>AE58</f>
        <v>482.40000000000003</v>
      </c>
      <c r="BJ16" s="133">
        <f>AF58</f>
        <v>482.40000000000003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25">
      <c r="A17" s="89" t="s">
        <v>257</v>
      </c>
      <c r="B17" s="102">
        <v>16</v>
      </c>
      <c r="C17" s="102">
        <v>16</v>
      </c>
      <c r="D17" s="102">
        <v>16</v>
      </c>
      <c r="E17" s="102">
        <v>16</v>
      </c>
      <c r="F17" s="102">
        <v>16</v>
      </c>
      <c r="G17" s="102">
        <v>16</v>
      </c>
      <c r="H17" s="102">
        <v>16</v>
      </c>
      <c r="I17" s="102">
        <v>16</v>
      </c>
      <c r="J17" s="102">
        <v>16</v>
      </c>
      <c r="K17" s="102">
        <v>16</v>
      </c>
      <c r="L17" s="102">
        <v>16</v>
      </c>
      <c r="M17" s="102">
        <v>16</v>
      </c>
      <c r="N17" s="102">
        <v>16</v>
      </c>
      <c r="O17" s="102">
        <v>16</v>
      </c>
      <c r="P17" s="102">
        <v>16</v>
      </c>
      <c r="Q17" s="102">
        <v>16</v>
      </c>
      <c r="R17" s="102">
        <v>16</v>
      </c>
      <c r="S17" s="102">
        <v>16</v>
      </c>
      <c r="T17" s="102">
        <v>16</v>
      </c>
      <c r="U17" s="102">
        <v>16</v>
      </c>
      <c r="V17" s="102">
        <v>16</v>
      </c>
      <c r="W17" s="102">
        <v>16</v>
      </c>
      <c r="X17" s="102">
        <v>16</v>
      </c>
      <c r="Y17" s="102">
        <v>16</v>
      </c>
      <c r="Z17" s="102">
        <v>16</v>
      </c>
      <c r="AA17" s="102">
        <v>16</v>
      </c>
      <c r="AB17" s="102">
        <v>16</v>
      </c>
      <c r="AC17" s="102">
        <v>16</v>
      </c>
      <c r="AD17" s="102">
        <v>16</v>
      </c>
      <c r="AE17" s="102">
        <v>16</v>
      </c>
      <c r="AF17" s="102">
        <v>16</v>
      </c>
      <c r="AG17" s="130">
        <v>44</v>
      </c>
      <c r="AH17" s="12">
        <f>MAX(B17:AG17)</f>
        <v>44</v>
      </c>
      <c r="AI17" s="11">
        <f>MIN(B17:AG17)</f>
        <v>16</v>
      </c>
      <c r="AK17" s="19"/>
      <c r="AL17" s="135" t="s">
        <v>256</v>
      </c>
      <c r="AM17" s="134">
        <f t="shared" ref="AM17:AR17" si="6">B62</f>
        <v>210.2</v>
      </c>
      <c r="AN17" s="134">
        <f t="shared" si="6"/>
        <v>214.2</v>
      </c>
      <c r="AO17" s="134">
        <f t="shared" si="6"/>
        <v>172.9</v>
      </c>
      <c r="AP17" s="134">
        <f t="shared" si="6"/>
        <v>142.80000000000001</v>
      </c>
      <c r="AQ17" s="134">
        <f t="shared" si="6"/>
        <v>142.9</v>
      </c>
      <c r="AR17" s="134">
        <f t="shared" si="6"/>
        <v>142.69999999999999</v>
      </c>
      <c r="AS17" s="134">
        <f>I62</f>
        <v>191.6</v>
      </c>
      <c r="AT17" s="134">
        <f>K62</f>
        <v>41.5</v>
      </c>
      <c r="AU17" s="134">
        <f t="shared" ref="AU17:BD17" si="7">M62</f>
        <v>41.5</v>
      </c>
      <c r="AV17" s="134">
        <f t="shared" si="7"/>
        <v>41.5</v>
      </c>
      <c r="AW17" s="134">
        <f t="shared" si="7"/>
        <v>41.5</v>
      </c>
      <c r="AX17" s="134">
        <f t="shared" si="7"/>
        <v>39.1</v>
      </c>
      <c r="AY17" s="134">
        <f t="shared" si="7"/>
        <v>39.1</v>
      </c>
      <c r="AZ17" s="134">
        <f t="shared" si="7"/>
        <v>39.1</v>
      </c>
      <c r="BA17" s="134">
        <f t="shared" si="7"/>
        <v>38.9</v>
      </c>
      <c r="BB17" s="134">
        <f t="shared" si="7"/>
        <v>37.299999999999997</v>
      </c>
      <c r="BC17" s="134">
        <f t="shared" si="7"/>
        <v>35.299999999999997</v>
      </c>
      <c r="BD17" s="134">
        <f t="shared" si="7"/>
        <v>40.599999999999994</v>
      </c>
      <c r="BE17" s="133">
        <f>X62</f>
        <v>71.8</v>
      </c>
      <c r="BF17" s="133">
        <f>Z62</f>
        <v>347.09999999999997</v>
      </c>
      <c r="BG17" s="133">
        <f>AB62</f>
        <v>341.2</v>
      </c>
      <c r="BH17" s="133">
        <f>AD62</f>
        <v>282.2</v>
      </c>
      <c r="BI17" s="133">
        <f>AE62</f>
        <v>263.2</v>
      </c>
      <c r="BJ17" s="133">
        <f>AF62</f>
        <v>391.2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25">
      <c r="A18" s="89" t="s">
        <v>255</v>
      </c>
      <c r="B18" s="102">
        <v>15</v>
      </c>
      <c r="C18" s="102">
        <v>15</v>
      </c>
      <c r="D18" s="102">
        <v>15</v>
      </c>
      <c r="E18" s="102">
        <v>15</v>
      </c>
      <c r="F18" s="102">
        <v>15</v>
      </c>
      <c r="G18" s="102">
        <v>15</v>
      </c>
      <c r="H18" s="102">
        <v>10</v>
      </c>
      <c r="I18" s="102">
        <v>10</v>
      </c>
      <c r="J18" s="102">
        <v>10</v>
      </c>
      <c r="K18" s="102">
        <v>10</v>
      </c>
      <c r="L18" s="102">
        <v>10</v>
      </c>
      <c r="M18" s="102">
        <v>10</v>
      </c>
      <c r="N18" s="102">
        <v>10</v>
      </c>
      <c r="O18" s="102">
        <v>10</v>
      </c>
      <c r="P18" s="102">
        <v>10</v>
      </c>
      <c r="Q18" s="102">
        <v>10</v>
      </c>
      <c r="R18" s="102">
        <v>10</v>
      </c>
      <c r="S18" s="102">
        <v>0</v>
      </c>
      <c r="T18" s="102">
        <v>12.5</v>
      </c>
      <c r="U18" s="102">
        <v>12.5</v>
      </c>
      <c r="V18" s="102">
        <v>12.5</v>
      </c>
      <c r="W18" s="102">
        <v>12.5</v>
      </c>
      <c r="X18" s="102">
        <v>12.5</v>
      </c>
      <c r="Y18" s="102">
        <v>12.5</v>
      </c>
      <c r="Z18" s="102">
        <v>12.5</v>
      </c>
      <c r="AA18" s="102">
        <v>12.5</v>
      </c>
      <c r="AB18" s="102">
        <v>12.5</v>
      </c>
      <c r="AC18" s="102">
        <v>12.5</v>
      </c>
      <c r="AD18" s="102">
        <v>12.5</v>
      </c>
      <c r="AE18" s="102">
        <v>12.5</v>
      </c>
      <c r="AF18" s="102">
        <v>12.5</v>
      </c>
      <c r="AG18" s="130">
        <v>42</v>
      </c>
      <c r="AH18" s="12">
        <f t="shared" ref="AH18:AH81" si="8">MAX(B18:AF18)</f>
        <v>15</v>
      </c>
      <c r="AI18" s="11">
        <f t="shared" ref="AI18:AI81" si="9">MIN(B18:AF18)</f>
        <v>0</v>
      </c>
      <c r="AK18" s="19"/>
      <c r="AL18" s="135" t="s">
        <v>254</v>
      </c>
      <c r="AM18" s="134">
        <f t="shared" ref="AM18:AR18" si="10">B76</f>
        <v>272.64000000000004</v>
      </c>
      <c r="AN18" s="134">
        <f t="shared" si="10"/>
        <v>237.64</v>
      </c>
      <c r="AO18" s="134">
        <f t="shared" si="10"/>
        <v>237.03999999999996</v>
      </c>
      <c r="AP18" s="134">
        <f t="shared" si="10"/>
        <v>237.44</v>
      </c>
      <c r="AQ18" s="134">
        <f t="shared" si="10"/>
        <v>236.83999999999997</v>
      </c>
      <c r="AR18" s="134">
        <f t="shared" si="10"/>
        <v>238.44</v>
      </c>
      <c r="AS18" s="134">
        <f>I76</f>
        <v>271.94</v>
      </c>
      <c r="AT18" s="134">
        <f>K76</f>
        <v>226.94</v>
      </c>
      <c r="AU18" s="134">
        <f t="shared" ref="AU18:BD18" si="11">M76</f>
        <v>248.54000000000002</v>
      </c>
      <c r="AV18" s="134">
        <f t="shared" si="11"/>
        <v>238.54</v>
      </c>
      <c r="AW18" s="134">
        <f t="shared" si="11"/>
        <v>271.84000000000003</v>
      </c>
      <c r="AX18" s="134">
        <f t="shared" si="11"/>
        <v>271.84000000000003</v>
      </c>
      <c r="AY18" s="134">
        <f t="shared" si="11"/>
        <v>264.84000000000003</v>
      </c>
      <c r="AZ18" s="134">
        <f t="shared" si="11"/>
        <v>266.84000000000003</v>
      </c>
      <c r="BA18" s="134">
        <f t="shared" si="11"/>
        <v>287.04000000000002</v>
      </c>
      <c r="BB18" s="134">
        <f t="shared" si="11"/>
        <v>266.04000000000002</v>
      </c>
      <c r="BC18" s="134">
        <f t="shared" si="11"/>
        <v>262.44000000000005</v>
      </c>
      <c r="BD18" s="134">
        <f t="shared" si="11"/>
        <v>257.54000000000002</v>
      </c>
      <c r="BE18" s="133">
        <f>X76</f>
        <v>255.84</v>
      </c>
      <c r="BF18" s="133">
        <f>Z76</f>
        <v>333.24000000000007</v>
      </c>
      <c r="BG18" s="133">
        <f>AB76</f>
        <v>367.64000000000004</v>
      </c>
      <c r="BH18" s="133">
        <f>AD76</f>
        <v>367.64000000000004</v>
      </c>
      <c r="BI18" s="133">
        <f>AE76</f>
        <v>298.64</v>
      </c>
      <c r="BJ18" s="133">
        <f>AF76</f>
        <v>287.64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25">
      <c r="A19" s="89" t="s">
        <v>253</v>
      </c>
      <c r="B19" s="102">
        <v>15.8</v>
      </c>
      <c r="C19" s="102">
        <v>15.8</v>
      </c>
      <c r="D19" s="102">
        <v>18</v>
      </c>
      <c r="E19" s="102">
        <v>18</v>
      </c>
      <c r="F19" s="102">
        <v>18</v>
      </c>
      <c r="G19" s="102">
        <v>18</v>
      </c>
      <c r="H19" s="102">
        <v>18.2</v>
      </c>
      <c r="I19" s="102">
        <v>18.2</v>
      </c>
      <c r="J19" s="102">
        <v>18.2</v>
      </c>
      <c r="K19" s="102">
        <v>18.2</v>
      </c>
      <c r="L19" s="102">
        <v>19.100000000000001</v>
      </c>
      <c r="M19" s="102">
        <v>19.100000000000001</v>
      </c>
      <c r="N19" s="102">
        <v>19.100000000000001</v>
      </c>
      <c r="O19" s="102">
        <v>19.100000000000001</v>
      </c>
      <c r="P19" s="102">
        <v>19.100000000000001</v>
      </c>
      <c r="Q19" s="102">
        <v>19.100000000000001</v>
      </c>
      <c r="R19" s="102">
        <v>19.100000000000001</v>
      </c>
      <c r="S19" s="102">
        <v>15.8</v>
      </c>
      <c r="T19" s="102">
        <v>15.8</v>
      </c>
      <c r="U19" s="102">
        <v>15.8</v>
      </c>
      <c r="V19" s="102">
        <v>15.8</v>
      </c>
      <c r="W19" s="102">
        <v>15.6</v>
      </c>
      <c r="X19" s="102">
        <v>15.6</v>
      </c>
      <c r="Y19" s="102">
        <v>15.6</v>
      </c>
      <c r="Z19" s="102">
        <v>15.6</v>
      </c>
      <c r="AA19" s="102">
        <v>15.6</v>
      </c>
      <c r="AB19" s="102">
        <v>15.6</v>
      </c>
      <c r="AC19" s="102">
        <v>15.6</v>
      </c>
      <c r="AD19" s="102">
        <v>15.6</v>
      </c>
      <c r="AE19" s="102">
        <v>15.6</v>
      </c>
      <c r="AF19" s="102">
        <v>15.6</v>
      </c>
      <c r="AG19" s="130">
        <v>38.46</v>
      </c>
      <c r="AH19" s="12">
        <f t="shared" si="8"/>
        <v>19.100000000000001</v>
      </c>
      <c r="AI19" s="11">
        <f t="shared" si="9"/>
        <v>15.6</v>
      </c>
      <c r="AK19" s="19"/>
      <c r="AL19" s="135" t="s">
        <v>252</v>
      </c>
      <c r="AM19" s="134">
        <f t="shared" ref="AM19:AR19" si="12">B92</f>
        <v>211.39999999999998</v>
      </c>
      <c r="AN19" s="134">
        <f t="shared" si="12"/>
        <v>197.6</v>
      </c>
      <c r="AO19" s="134">
        <f t="shared" si="12"/>
        <v>200.3</v>
      </c>
      <c r="AP19" s="134">
        <f t="shared" si="12"/>
        <v>193.2</v>
      </c>
      <c r="AQ19" s="134">
        <f t="shared" si="12"/>
        <v>193.3</v>
      </c>
      <c r="AR19" s="134">
        <f t="shared" si="12"/>
        <v>204.7</v>
      </c>
      <c r="AS19" s="134">
        <f>I92</f>
        <v>187</v>
      </c>
      <c r="AT19" s="134">
        <f>K92</f>
        <v>775.60000000000014</v>
      </c>
      <c r="AU19" s="134">
        <f t="shared" ref="AU19:BD19" si="13">M92</f>
        <v>906.2</v>
      </c>
      <c r="AV19" s="134">
        <f t="shared" si="13"/>
        <v>908</v>
      </c>
      <c r="AW19" s="134">
        <f t="shared" si="13"/>
        <v>901</v>
      </c>
      <c r="AX19" s="134">
        <f t="shared" si="13"/>
        <v>922.8</v>
      </c>
      <c r="AY19" s="134">
        <f t="shared" si="13"/>
        <v>908.2</v>
      </c>
      <c r="AZ19" s="134">
        <f t="shared" si="13"/>
        <v>875.2</v>
      </c>
      <c r="BA19" s="134">
        <f t="shared" si="13"/>
        <v>878.5</v>
      </c>
      <c r="BB19" s="134">
        <f t="shared" si="13"/>
        <v>888.69999999999993</v>
      </c>
      <c r="BC19" s="134">
        <f t="shared" si="13"/>
        <v>899.3</v>
      </c>
      <c r="BD19" s="134">
        <f t="shared" si="13"/>
        <v>877.6</v>
      </c>
      <c r="BE19" s="133">
        <f>X92</f>
        <v>722.9</v>
      </c>
      <c r="BF19" s="133">
        <f>Z92</f>
        <v>370.2</v>
      </c>
      <c r="BG19" s="133">
        <f>AB92</f>
        <v>309.39999999999998</v>
      </c>
      <c r="BH19" s="133">
        <f>AD92</f>
        <v>315.7</v>
      </c>
      <c r="BI19" s="133">
        <f>AE92</f>
        <v>348.4</v>
      </c>
      <c r="BJ19" s="133">
        <f>AF92</f>
        <v>178.4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25">
      <c r="A20" s="89" t="s">
        <v>251</v>
      </c>
      <c r="B20" s="102">
        <v>14</v>
      </c>
      <c r="C20" s="102">
        <v>14</v>
      </c>
      <c r="D20" s="102">
        <v>14</v>
      </c>
      <c r="E20" s="102">
        <v>14</v>
      </c>
      <c r="F20" s="102">
        <v>14</v>
      </c>
      <c r="G20" s="102">
        <v>14</v>
      </c>
      <c r="H20" s="102">
        <v>14</v>
      </c>
      <c r="I20" s="102">
        <v>14</v>
      </c>
      <c r="J20" s="102">
        <v>14</v>
      </c>
      <c r="K20" s="102">
        <v>14</v>
      </c>
      <c r="L20" s="102">
        <v>14</v>
      </c>
      <c r="M20" s="102">
        <v>14</v>
      </c>
      <c r="N20" s="102">
        <v>14</v>
      </c>
      <c r="O20" s="102">
        <v>14</v>
      </c>
      <c r="P20" s="102">
        <v>14</v>
      </c>
      <c r="Q20" s="102">
        <v>14</v>
      </c>
      <c r="R20" s="102">
        <v>14</v>
      </c>
      <c r="S20" s="102">
        <v>14</v>
      </c>
      <c r="T20" s="102">
        <v>14</v>
      </c>
      <c r="U20" s="102">
        <v>14</v>
      </c>
      <c r="V20" s="102">
        <v>14</v>
      </c>
      <c r="W20" s="102">
        <v>14</v>
      </c>
      <c r="X20" s="102">
        <v>14</v>
      </c>
      <c r="Y20" s="102">
        <v>14</v>
      </c>
      <c r="Z20" s="102">
        <v>14</v>
      </c>
      <c r="AA20" s="102">
        <v>14</v>
      </c>
      <c r="AB20" s="102">
        <v>14</v>
      </c>
      <c r="AC20" s="102">
        <v>14</v>
      </c>
      <c r="AD20" s="102">
        <v>14</v>
      </c>
      <c r="AE20" s="102">
        <v>14</v>
      </c>
      <c r="AF20" s="102">
        <v>14</v>
      </c>
      <c r="AG20" s="130">
        <v>38.46</v>
      </c>
      <c r="AH20" s="12">
        <f t="shared" si="8"/>
        <v>14</v>
      </c>
      <c r="AI20" s="11">
        <f t="shared" si="9"/>
        <v>14</v>
      </c>
      <c r="AK20" s="19"/>
      <c r="AL20" s="135" t="s">
        <v>250</v>
      </c>
      <c r="AM20" s="134">
        <f t="shared" ref="AM20:AR20" si="14">B80</f>
        <v>97.1</v>
      </c>
      <c r="AN20" s="134">
        <f t="shared" si="14"/>
        <v>97.1</v>
      </c>
      <c r="AO20" s="134">
        <f t="shared" si="14"/>
        <v>97.1</v>
      </c>
      <c r="AP20" s="134">
        <f t="shared" si="14"/>
        <v>97.199999999999989</v>
      </c>
      <c r="AQ20" s="134">
        <f t="shared" si="14"/>
        <v>97.3</v>
      </c>
      <c r="AR20" s="134">
        <f t="shared" si="14"/>
        <v>97.3</v>
      </c>
      <c r="AS20" s="134">
        <f>I80</f>
        <v>96</v>
      </c>
      <c r="AT20" s="134">
        <f>K80</f>
        <v>93.2</v>
      </c>
      <c r="AU20" s="134">
        <f t="shared" ref="AU20:BD20" si="15">M80</f>
        <v>69</v>
      </c>
      <c r="AV20" s="134">
        <f t="shared" si="15"/>
        <v>73.3</v>
      </c>
      <c r="AW20" s="134">
        <f t="shared" si="15"/>
        <v>97</v>
      </c>
      <c r="AX20" s="134">
        <f t="shared" si="15"/>
        <v>87.4</v>
      </c>
      <c r="AY20" s="134">
        <f t="shared" si="15"/>
        <v>87.4</v>
      </c>
      <c r="AZ20" s="134">
        <f t="shared" si="15"/>
        <v>70</v>
      </c>
      <c r="BA20" s="134">
        <f t="shared" si="15"/>
        <v>13.4</v>
      </c>
      <c r="BB20" s="134">
        <f t="shared" si="15"/>
        <v>26.2</v>
      </c>
      <c r="BC20" s="134">
        <f t="shared" si="15"/>
        <v>48</v>
      </c>
      <c r="BD20" s="134">
        <f t="shared" si="15"/>
        <v>48.7</v>
      </c>
      <c r="BE20" s="133">
        <f>X80</f>
        <v>23.2</v>
      </c>
      <c r="BF20" s="133">
        <f>Z80</f>
        <v>89</v>
      </c>
      <c r="BG20" s="133">
        <f>AB80</f>
        <v>98.799999999999983</v>
      </c>
      <c r="BH20" s="133">
        <f>AD80</f>
        <v>98.799999999999983</v>
      </c>
      <c r="BI20" s="133">
        <f>AE80</f>
        <v>67</v>
      </c>
      <c r="BJ20" s="133">
        <f>AF80</f>
        <v>47.9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25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>
        <v>11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>
        <v>11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11</v>
      </c>
      <c r="AG21" s="130">
        <v>36</v>
      </c>
      <c r="AH21" s="12">
        <f t="shared" si="8"/>
        <v>11</v>
      </c>
      <c r="AI21" s="11">
        <f t="shared" si="9"/>
        <v>11</v>
      </c>
      <c r="AK21" s="19"/>
      <c r="AL21" s="135" t="s">
        <v>248</v>
      </c>
      <c r="AM21" s="134">
        <f t="shared" ref="AM21:AR21" si="16">B98</f>
        <v>350</v>
      </c>
      <c r="AN21" s="134">
        <f t="shared" si="16"/>
        <v>350</v>
      </c>
      <c r="AO21" s="134">
        <f t="shared" si="16"/>
        <v>350</v>
      </c>
      <c r="AP21" s="134">
        <f t="shared" si="16"/>
        <v>350</v>
      </c>
      <c r="AQ21" s="134">
        <f t="shared" si="16"/>
        <v>350</v>
      </c>
      <c r="AR21" s="134">
        <f t="shared" si="16"/>
        <v>350</v>
      </c>
      <c r="AS21" s="134">
        <f>I98</f>
        <v>300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200</v>
      </c>
      <c r="BF21" s="133">
        <f>Z98</f>
        <v>280</v>
      </c>
      <c r="BG21" s="133">
        <f>AB98</f>
        <v>281</v>
      </c>
      <c r="BH21" s="133">
        <f>AD98</f>
        <v>283</v>
      </c>
      <c r="BI21" s="133">
        <f>AE98</f>
        <v>250</v>
      </c>
      <c r="BJ21" s="133">
        <f>AF98</f>
        <v>251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25">
      <c r="A22" s="89" t="s">
        <v>247</v>
      </c>
      <c r="B22" s="102">
        <v>14.2</v>
      </c>
      <c r="C22" s="102">
        <v>14.2</v>
      </c>
      <c r="D22" s="102">
        <v>11.7</v>
      </c>
      <c r="E22" s="102">
        <v>11.7</v>
      </c>
      <c r="F22" s="102">
        <v>10.6</v>
      </c>
      <c r="G22" s="102">
        <v>10.6</v>
      </c>
      <c r="H22" s="102">
        <v>10.6</v>
      </c>
      <c r="I22" s="102">
        <v>10.6</v>
      </c>
      <c r="J22" s="102">
        <v>10.6</v>
      </c>
      <c r="K22" s="102">
        <v>10.6</v>
      </c>
      <c r="L22" s="102">
        <v>10.6</v>
      </c>
      <c r="M22" s="102">
        <v>10.6</v>
      </c>
      <c r="N22" s="102">
        <v>10.6</v>
      </c>
      <c r="O22" s="102">
        <v>10.6</v>
      </c>
      <c r="P22" s="102">
        <v>10.6</v>
      </c>
      <c r="Q22" s="102">
        <v>10.6</v>
      </c>
      <c r="R22" s="102">
        <v>10.6</v>
      </c>
      <c r="S22" s="102">
        <v>8.5</v>
      </c>
      <c r="T22" s="102">
        <v>8.5</v>
      </c>
      <c r="U22" s="102">
        <v>8.5</v>
      </c>
      <c r="V22" s="102">
        <v>8.5</v>
      </c>
      <c r="W22" s="102">
        <v>8.5</v>
      </c>
      <c r="X22" s="102">
        <v>8.5</v>
      </c>
      <c r="Y22" s="102">
        <v>8.5</v>
      </c>
      <c r="Z22" s="102">
        <v>8.5</v>
      </c>
      <c r="AA22" s="102">
        <v>8.5</v>
      </c>
      <c r="AB22" s="102">
        <v>8.5</v>
      </c>
      <c r="AC22" s="102">
        <v>8.5</v>
      </c>
      <c r="AD22" s="102">
        <v>8.5</v>
      </c>
      <c r="AE22" s="102">
        <v>8.5</v>
      </c>
      <c r="AF22" s="102">
        <v>8.5</v>
      </c>
      <c r="AG22" s="88">
        <v>30</v>
      </c>
      <c r="AH22" s="12">
        <f t="shared" si="8"/>
        <v>14.2</v>
      </c>
      <c r="AI22" s="11">
        <f t="shared" si="9"/>
        <v>8.5</v>
      </c>
      <c r="AK22" s="19"/>
      <c r="AL22" s="132" t="s">
        <v>246</v>
      </c>
      <c r="AM22" s="131">
        <f t="shared" ref="AM22:BJ22" si="18">SUM(AM16:AM21)</f>
        <v>1670.4899999999998</v>
      </c>
      <c r="AN22" s="131">
        <f t="shared" si="18"/>
        <v>1625.6899999999998</v>
      </c>
      <c r="AO22" s="131">
        <f t="shared" si="18"/>
        <v>1582.59</v>
      </c>
      <c r="AP22" s="131">
        <f t="shared" si="18"/>
        <v>1546.89</v>
      </c>
      <c r="AQ22" s="131">
        <f t="shared" si="18"/>
        <v>1539.29</v>
      </c>
      <c r="AR22" s="131">
        <f t="shared" si="18"/>
        <v>1551.39</v>
      </c>
      <c r="AS22" s="131">
        <f t="shared" si="18"/>
        <v>1560.59</v>
      </c>
      <c r="AT22" s="131">
        <f t="shared" si="18"/>
        <v>1651.2900000000002</v>
      </c>
      <c r="AU22" s="131">
        <f t="shared" si="18"/>
        <v>1780.49</v>
      </c>
      <c r="AV22" s="131">
        <f t="shared" si="18"/>
        <v>1776.59</v>
      </c>
      <c r="AW22" s="131">
        <f t="shared" si="18"/>
        <v>1826.5900000000001</v>
      </c>
      <c r="AX22" s="131">
        <f t="shared" si="18"/>
        <v>1836.39</v>
      </c>
      <c r="AY22" s="131">
        <f t="shared" si="18"/>
        <v>1814.7900000000002</v>
      </c>
      <c r="AZ22" s="131">
        <f t="shared" si="18"/>
        <v>1766.39</v>
      </c>
      <c r="BA22" s="131">
        <f t="shared" si="18"/>
        <v>1700.44</v>
      </c>
      <c r="BB22" s="131">
        <f t="shared" si="18"/>
        <v>1713.34</v>
      </c>
      <c r="BC22" s="131">
        <f t="shared" si="18"/>
        <v>1736.6399999999999</v>
      </c>
      <c r="BD22" s="131">
        <f t="shared" si="18"/>
        <v>1716.0400000000002</v>
      </c>
      <c r="BE22" s="131">
        <f t="shared" si="18"/>
        <v>1753.44</v>
      </c>
      <c r="BF22" s="131">
        <f t="shared" si="18"/>
        <v>1901.94</v>
      </c>
      <c r="BG22" s="131">
        <f t="shared" si="18"/>
        <v>1880.4399999999998</v>
      </c>
      <c r="BH22" s="131">
        <f t="shared" si="18"/>
        <v>1829.74</v>
      </c>
      <c r="BI22" s="131">
        <f t="shared" si="18"/>
        <v>1709.6399999999999</v>
      </c>
      <c r="BJ22" s="131">
        <f t="shared" si="18"/>
        <v>1638.5400000000002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25">
      <c r="A23" s="89" t="s">
        <v>245</v>
      </c>
      <c r="B23" s="102">
        <v>6.4</v>
      </c>
      <c r="C23" s="102">
        <v>6.4</v>
      </c>
      <c r="D23" s="102">
        <v>6.4</v>
      </c>
      <c r="E23" s="102">
        <v>6.4</v>
      </c>
      <c r="F23" s="102">
        <v>6.4</v>
      </c>
      <c r="G23" s="102">
        <v>6.4</v>
      </c>
      <c r="H23" s="102">
        <v>6.4</v>
      </c>
      <c r="I23" s="102">
        <v>6.4</v>
      </c>
      <c r="J23" s="102">
        <v>6.4</v>
      </c>
      <c r="K23" s="102">
        <v>6.4</v>
      </c>
      <c r="L23" s="102">
        <v>6.4</v>
      </c>
      <c r="M23" s="102">
        <v>6.4</v>
      </c>
      <c r="N23" s="102">
        <v>6.4</v>
      </c>
      <c r="O23" s="102">
        <v>6.4</v>
      </c>
      <c r="P23" s="102">
        <v>6.4</v>
      </c>
      <c r="Q23" s="102">
        <v>6.4</v>
      </c>
      <c r="R23" s="102">
        <v>6.4</v>
      </c>
      <c r="S23" s="102">
        <v>6.5</v>
      </c>
      <c r="T23" s="102">
        <v>6.5</v>
      </c>
      <c r="U23" s="102">
        <v>6.5</v>
      </c>
      <c r="V23" s="102">
        <v>6.5</v>
      </c>
      <c r="W23" s="102">
        <v>5.6</v>
      </c>
      <c r="X23" s="102">
        <v>5.6</v>
      </c>
      <c r="Y23" s="102">
        <v>5.6</v>
      </c>
      <c r="Z23" s="102">
        <v>5.6</v>
      </c>
      <c r="AA23" s="102">
        <v>5.6</v>
      </c>
      <c r="AB23" s="102">
        <v>5.6</v>
      </c>
      <c r="AC23" s="102">
        <v>5.6</v>
      </c>
      <c r="AD23" s="102">
        <v>5.6</v>
      </c>
      <c r="AE23" s="102">
        <v>5.6</v>
      </c>
      <c r="AF23" s="102">
        <v>5.6</v>
      </c>
      <c r="AG23" s="130">
        <v>24.2</v>
      </c>
      <c r="AH23" s="12">
        <f t="shared" si="8"/>
        <v>6.5</v>
      </c>
      <c r="AI23" s="11">
        <f t="shared" si="9"/>
        <v>5.6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25">
      <c r="A24" s="89" t="s">
        <v>244</v>
      </c>
      <c r="B24" s="102">
        <v>5.7</v>
      </c>
      <c r="C24" s="102">
        <v>5.7</v>
      </c>
      <c r="D24" s="102">
        <v>6.2</v>
      </c>
      <c r="E24" s="102">
        <v>6.2</v>
      </c>
      <c r="F24" s="102">
        <v>6.2</v>
      </c>
      <c r="G24" s="102">
        <v>6.2</v>
      </c>
      <c r="H24" s="102">
        <v>6.2</v>
      </c>
      <c r="I24" s="102">
        <v>6.2</v>
      </c>
      <c r="J24" s="102">
        <v>6.2</v>
      </c>
      <c r="K24" s="102">
        <v>6.2</v>
      </c>
      <c r="L24" s="102">
        <v>6.2</v>
      </c>
      <c r="M24" s="102">
        <v>6.2</v>
      </c>
      <c r="N24" s="102">
        <v>6.2</v>
      </c>
      <c r="O24" s="102">
        <v>6.2</v>
      </c>
      <c r="P24" s="102">
        <v>6.2</v>
      </c>
      <c r="Q24" s="102">
        <v>6.2</v>
      </c>
      <c r="R24" s="102">
        <v>6.2</v>
      </c>
      <c r="S24" s="102">
        <v>6.2</v>
      </c>
      <c r="T24" s="102">
        <v>6.2</v>
      </c>
      <c r="U24" s="102">
        <v>6.2</v>
      </c>
      <c r="V24" s="102">
        <v>6.2</v>
      </c>
      <c r="W24" s="102">
        <v>5.9</v>
      </c>
      <c r="X24" s="102">
        <v>5.9</v>
      </c>
      <c r="Y24" s="102">
        <v>5.9</v>
      </c>
      <c r="Z24" s="102">
        <v>5.9</v>
      </c>
      <c r="AA24" s="102">
        <v>5.9</v>
      </c>
      <c r="AB24" s="102">
        <v>5.9</v>
      </c>
      <c r="AC24" s="102">
        <v>5.9</v>
      </c>
      <c r="AD24" s="102">
        <v>5.9</v>
      </c>
      <c r="AE24" s="102">
        <v>5.9</v>
      </c>
      <c r="AF24" s="102">
        <v>5.9</v>
      </c>
      <c r="AG24" s="130">
        <v>28</v>
      </c>
      <c r="AH24" s="12">
        <f t="shared" si="8"/>
        <v>6.2</v>
      </c>
      <c r="AI24" s="11">
        <f t="shared" si="9"/>
        <v>5.7</v>
      </c>
      <c r="AK24" s="19"/>
      <c r="AL24" s="132" t="s">
        <v>243</v>
      </c>
      <c r="AM24" s="131">
        <f t="shared" ref="AM24:BJ24" si="21">AM22+AM23</f>
        <v>1670.4899999999998</v>
      </c>
      <c r="AN24" s="131">
        <f t="shared" si="21"/>
        <v>1625.6899999999998</v>
      </c>
      <c r="AO24" s="131">
        <f t="shared" si="21"/>
        <v>1582.59</v>
      </c>
      <c r="AP24" s="131">
        <f t="shared" si="21"/>
        <v>1546.89</v>
      </c>
      <c r="AQ24" s="131">
        <f t="shared" si="21"/>
        <v>1539.29</v>
      </c>
      <c r="AR24" s="131">
        <f t="shared" si="21"/>
        <v>1551.39</v>
      </c>
      <c r="AS24" s="131">
        <f t="shared" si="21"/>
        <v>1560.59</v>
      </c>
      <c r="AT24" s="131">
        <f t="shared" si="21"/>
        <v>1651.2900000000002</v>
      </c>
      <c r="AU24" s="131">
        <f t="shared" si="21"/>
        <v>1780.49</v>
      </c>
      <c r="AV24" s="131">
        <f t="shared" si="21"/>
        <v>1776.59</v>
      </c>
      <c r="AW24" s="131">
        <f t="shared" si="21"/>
        <v>1826.5900000000001</v>
      </c>
      <c r="AX24" s="131">
        <f t="shared" si="21"/>
        <v>1836.39</v>
      </c>
      <c r="AY24" s="131">
        <f t="shared" si="21"/>
        <v>1814.7900000000002</v>
      </c>
      <c r="AZ24" s="131">
        <f t="shared" si="21"/>
        <v>1766.39</v>
      </c>
      <c r="BA24" s="131">
        <f t="shared" si="21"/>
        <v>1700.44</v>
      </c>
      <c r="BB24" s="131">
        <f t="shared" si="21"/>
        <v>1713.34</v>
      </c>
      <c r="BC24" s="131">
        <f t="shared" si="21"/>
        <v>1736.6399999999999</v>
      </c>
      <c r="BD24" s="131">
        <f t="shared" si="21"/>
        <v>1716.0400000000002</v>
      </c>
      <c r="BE24" s="131">
        <f t="shared" si="21"/>
        <v>1753.44</v>
      </c>
      <c r="BF24" s="131">
        <f t="shared" si="21"/>
        <v>1901.94</v>
      </c>
      <c r="BG24" s="131">
        <f t="shared" si="21"/>
        <v>1880.4399999999998</v>
      </c>
      <c r="BH24" s="131">
        <f t="shared" si="21"/>
        <v>1829.74</v>
      </c>
      <c r="BI24" s="131">
        <f t="shared" si="21"/>
        <v>1709.6399999999999</v>
      </c>
      <c r="BJ24" s="131">
        <f t="shared" si="21"/>
        <v>1638.5400000000002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25">
      <c r="A25" s="89" t="s">
        <v>242</v>
      </c>
      <c r="B25" s="102">
        <v>9</v>
      </c>
      <c r="C25" s="102">
        <v>9</v>
      </c>
      <c r="D25" s="102">
        <v>9</v>
      </c>
      <c r="E25" s="102">
        <v>9</v>
      </c>
      <c r="F25" s="102">
        <v>8.3000000000000007</v>
      </c>
      <c r="G25" s="102">
        <v>8.3000000000000007</v>
      </c>
      <c r="H25" s="102">
        <v>8.3000000000000007</v>
      </c>
      <c r="I25" s="102">
        <v>8.3000000000000007</v>
      </c>
      <c r="J25" s="102">
        <v>8.3000000000000007</v>
      </c>
      <c r="K25" s="102">
        <v>8.3000000000000007</v>
      </c>
      <c r="L25" s="102">
        <v>8.3000000000000007</v>
      </c>
      <c r="M25" s="102">
        <v>8.3000000000000007</v>
      </c>
      <c r="N25" s="102">
        <v>8.3000000000000007</v>
      </c>
      <c r="O25" s="102">
        <v>8.3000000000000007</v>
      </c>
      <c r="P25" s="102">
        <v>8.3000000000000007</v>
      </c>
      <c r="Q25" s="102">
        <v>8.3000000000000007</v>
      </c>
      <c r="R25" s="102">
        <v>8.3000000000000007</v>
      </c>
      <c r="S25" s="102">
        <v>8</v>
      </c>
      <c r="T25" s="102">
        <v>8</v>
      </c>
      <c r="U25" s="102">
        <v>8</v>
      </c>
      <c r="V25" s="102">
        <v>8</v>
      </c>
      <c r="W25" s="102">
        <v>8</v>
      </c>
      <c r="X25" s="102">
        <v>8</v>
      </c>
      <c r="Y25" s="102">
        <v>8</v>
      </c>
      <c r="Z25" s="102">
        <v>8</v>
      </c>
      <c r="AA25" s="102">
        <v>8</v>
      </c>
      <c r="AB25" s="102">
        <v>8</v>
      </c>
      <c r="AC25" s="102">
        <v>8</v>
      </c>
      <c r="AD25" s="102">
        <v>8</v>
      </c>
      <c r="AE25" s="102">
        <v>8</v>
      </c>
      <c r="AF25" s="102">
        <v>8</v>
      </c>
      <c r="AG25" s="88">
        <v>30</v>
      </c>
      <c r="AH25" s="12">
        <f t="shared" si="8"/>
        <v>9</v>
      </c>
      <c r="AI25" s="11">
        <f t="shared" si="9"/>
        <v>8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25">
      <c r="A26" s="89" t="s">
        <v>241</v>
      </c>
      <c r="B26" s="102">
        <v>12.6</v>
      </c>
      <c r="C26" s="102">
        <v>12.6</v>
      </c>
      <c r="D26" s="102">
        <v>11.7</v>
      </c>
      <c r="E26" s="102">
        <v>11.7</v>
      </c>
      <c r="F26" s="102">
        <v>11.7</v>
      </c>
      <c r="G26" s="102">
        <v>11.7</v>
      </c>
      <c r="H26" s="102">
        <v>11.7</v>
      </c>
      <c r="I26" s="102">
        <v>11.7</v>
      </c>
      <c r="J26" s="102">
        <v>11.7</v>
      </c>
      <c r="K26" s="102">
        <v>11.7</v>
      </c>
      <c r="L26" s="102">
        <v>11.7</v>
      </c>
      <c r="M26" s="102">
        <v>11.7</v>
      </c>
      <c r="N26" s="102">
        <v>11.7</v>
      </c>
      <c r="O26" s="102">
        <v>11.7</v>
      </c>
      <c r="P26" s="102">
        <v>11.7</v>
      </c>
      <c r="Q26" s="102">
        <v>11.7</v>
      </c>
      <c r="R26" s="102">
        <v>11.7</v>
      </c>
      <c r="S26" s="102">
        <v>8.6</v>
      </c>
      <c r="T26" s="102">
        <v>8.6</v>
      </c>
      <c r="U26" s="102">
        <v>8.6</v>
      </c>
      <c r="V26" s="102">
        <v>8.6</v>
      </c>
      <c r="W26" s="102">
        <v>9</v>
      </c>
      <c r="X26" s="102">
        <v>9</v>
      </c>
      <c r="Y26" s="102">
        <v>9</v>
      </c>
      <c r="Z26" s="102">
        <v>9</v>
      </c>
      <c r="AA26" s="102">
        <v>9</v>
      </c>
      <c r="AB26" s="102">
        <v>9</v>
      </c>
      <c r="AC26" s="102">
        <v>9</v>
      </c>
      <c r="AD26" s="102">
        <v>9</v>
      </c>
      <c r="AE26" s="102">
        <v>9</v>
      </c>
      <c r="AF26" s="102">
        <v>9</v>
      </c>
      <c r="AG26" s="130">
        <v>25</v>
      </c>
      <c r="AH26" s="12">
        <f t="shared" si="8"/>
        <v>12.6</v>
      </c>
      <c r="AI26" s="11">
        <f t="shared" si="9"/>
        <v>8.6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25">
      <c r="A27" s="89" t="s">
        <v>240</v>
      </c>
      <c r="B27" s="102">
        <v>8.5</v>
      </c>
      <c r="C27" s="102">
        <v>8.5</v>
      </c>
      <c r="D27" s="102">
        <v>8.5</v>
      </c>
      <c r="E27" s="102">
        <v>8.5</v>
      </c>
      <c r="F27" s="102">
        <v>8.5</v>
      </c>
      <c r="G27" s="102">
        <v>8.5</v>
      </c>
      <c r="H27" s="102">
        <v>8.5</v>
      </c>
      <c r="I27" s="102">
        <v>8.5</v>
      </c>
      <c r="J27" s="102">
        <v>8.5</v>
      </c>
      <c r="K27" s="102">
        <v>8.5</v>
      </c>
      <c r="L27" s="102">
        <v>8.5</v>
      </c>
      <c r="M27" s="102">
        <v>8.5</v>
      </c>
      <c r="N27" s="102">
        <v>8.5</v>
      </c>
      <c r="O27" s="102">
        <v>8.5</v>
      </c>
      <c r="P27" s="102">
        <v>8.5</v>
      </c>
      <c r="Q27" s="102">
        <v>8.5</v>
      </c>
      <c r="R27" s="102">
        <v>8.5</v>
      </c>
      <c r="S27" s="102">
        <v>8.5</v>
      </c>
      <c r="T27" s="102">
        <v>8.5</v>
      </c>
      <c r="U27" s="102">
        <v>8.5</v>
      </c>
      <c r="V27" s="102">
        <v>8.5</v>
      </c>
      <c r="W27" s="102">
        <v>8</v>
      </c>
      <c r="X27" s="102">
        <v>8</v>
      </c>
      <c r="Y27" s="102">
        <v>8</v>
      </c>
      <c r="Z27" s="102">
        <v>8</v>
      </c>
      <c r="AA27" s="102">
        <v>8</v>
      </c>
      <c r="AB27" s="102">
        <v>8</v>
      </c>
      <c r="AC27" s="102">
        <v>8</v>
      </c>
      <c r="AD27" s="102">
        <v>8</v>
      </c>
      <c r="AE27" s="102">
        <v>8</v>
      </c>
      <c r="AF27" s="102">
        <v>8</v>
      </c>
      <c r="AG27" s="130">
        <v>25</v>
      </c>
      <c r="AH27" s="12">
        <f t="shared" si="8"/>
        <v>8.5</v>
      </c>
      <c r="AI27" s="11">
        <f t="shared" si="9"/>
        <v>8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25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25">
      <c r="A29" s="89" t="s">
        <v>238</v>
      </c>
      <c r="B29" s="102">
        <v>11.9</v>
      </c>
      <c r="C29" s="102">
        <v>11.9</v>
      </c>
      <c r="D29" s="102">
        <v>11.5</v>
      </c>
      <c r="E29" s="102">
        <v>11.5</v>
      </c>
      <c r="F29" s="102">
        <v>10.1</v>
      </c>
      <c r="G29" s="102">
        <v>10.1</v>
      </c>
      <c r="H29" s="102">
        <v>10.1</v>
      </c>
      <c r="I29" s="102">
        <v>10.1</v>
      </c>
      <c r="J29" s="102">
        <v>10.1</v>
      </c>
      <c r="K29" s="102">
        <v>10.1</v>
      </c>
      <c r="L29" s="102">
        <v>10.1</v>
      </c>
      <c r="M29" s="102">
        <v>10.1</v>
      </c>
      <c r="N29" s="102">
        <v>10.1</v>
      </c>
      <c r="O29" s="102">
        <v>10.1</v>
      </c>
      <c r="P29" s="102">
        <v>10.1</v>
      </c>
      <c r="Q29" s="102">
        <v>10.1</v>
      </c>
      <c r="R29" s="102">
        <v>10.1</v>
      </c>
      <c r="S29" s="102">
        <v>9.1</v>
      </c>
      <c r="T29" s="102">
        <v>9.1</v>
      </c>
      <c r="U29" s="102">
        <v>9.1</v>
      </c>
      <c r="V29" s="102">
        <v>9.1</v>
      </c>
      <c r="W29" s="102">
        <v>11.9</v>
      </c>
      <c r="X29" s="102">
        <v>11.9</v>
      </c>
      <c r="Y29" s="102">
        <v>11.9</v>
      </c>
      <c r="Z29" s="102">
        <v>11.9</v>
      </c>
      <c r="AA29" s="102">
        <v>11.9</v>
      </c>
      <c r="AB29" s="102">
        <v>11.9</v>
      </c>
      <c r="AC29" s="102">
        <v>11.9</v>
      </c>
      <c r="AD29" s="102">
        <v>11.9</v>
      </c>
      <c r="AE29" s="102">
        <v>11.9</v>
      </c>
      <c r="AF29" s="102">
        <v>11.9</v>
      </c>
      <c r="AG29" s="130">
        <v>25</v>
      </c>
      <c r="AH29" s="12">
        <f t="shared" si="8"/>
        <v>11.9</v>
      </c>
      <c r="AI29" s="11">
        <f t="shared" si="9"/>
        <v>9.1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25">
      <c r="A30" s="89" t="s">
        <v>237</v>
      </c>
      <c r="B30" s="102">
        <v>5.9</v>
      </c>
      <c r="C30" s="102">
        <v>5.9</v>
      </c>
      <c r="D30" s="102">
        <v>4.8</v>
      </c>
      <c r="E30" s="102">
        <v>4.8</v>
      </c>
      <c r="F30" s="102">
        <v>4.8</v>
      </c>
      <c r="G30" s="102">
        <v>4.8</v>
      </c>
      <c r="H30" s="102">
        <v>4.8</v>
      </c>
      <c r="I30" s="102">
        <v>4.8</v>
      </c>
      <c r="J30" s="102">
        <v>4.8</v>
      </c>
      <c r="K30" s="102">
        <v>4.8</v>
      </c>
      <c r="L30" s="102">
        <v>4.8</v>
      </c>
      <c r="M30" s="102">
        <v>4.8</v>
      </c>
      <c r="N30" s="102">
        <v>4.8</v>
      </c>
      <c r="O30" s="102">
        <v>4.8</v>
      </c>
      <c r="P30" s="102">
        <v>4.8</v>
      </c>
      <c r="Q30" s="102">
        <v>4.8</v>
      </c>
      <c r="R30" s="102">
        <v>4.8</v>
      </c>
      <c r="S30" s="102">
        <v>4.8</v>
      </c>
      <c r="T30" s="102">
        <v>4.8</v>
      </c>
      <c r="U30" s="102">
        <v>4.8</v>
      </c>
      <c r="V30" s="102">
        <v>4.8</v>
      </c>
      <c r="W30" s="102">
        <v>6</v>
      </c>
      <c r="X30" s="102">
        <v>6</v>
      </c>
      <c r="Y30" s="102">
        <v>6</v>
      </c>
      <c r="Z30" s="102">
        <v>6</v>
      </c>
      <c r="AA30" s="102">
        <v>6</v>
      </c>
      <c r="AB30" s="102">
        <v>6</v>
      </c>
      <c r="AC30" s="102">
        <v>6</v>
      </c>
      <c r="AD30" s="102">
        <v>6</v>
      </c>
      <c r="AE30" s="102">
        <v>6</v>
      </c>
      <c r="AF30" s="102">
        <v>6</v>
      </c>
      <c r="AG30" s="130">
        <v>23.5</v>
      </c>
      <c r="AH30" s="12">
        <f t="shared" si="8"/>
        <v>6</v>
      </c>
      <c r="AI30" s="11">
        <f t="shared" si="9"/>
        <v>4.8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25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25">
      <c r="A32" s="89" t="s">
        <v>235</v>
      </c>
      <c r="B32" s="102">
        <v>2.8</v>
      </c>
      <c r="C32" s="102">
        <v>2.8</v>
      </c>
      <c r="D32" s="102">
        <v>2.8</v>
      </c>
      <c r="E32" s="102">
        <v>2.8</v>
      </c>
      <c r="F32" s="102">
        <v>2.8</v>
      </c>
      <c r="G32" s="102">
        <v>2.8</v>
      </c>
      <c r="H32" s="102">
        <v>2.8</v>
      </c>
      <c r="I32" s="102">
        <v>2.8</v>
      </c>
      <c r="J32" s="102">
        <v>2.8</v>
      </c>
      <c r="K32" s="102">
        <v>2.8</v>
      </c>
      <c r="L32" s="102">
        <v>2.8</v>
      </c>
      <c r="M32" s="102">
        <v>2.8</v>
      </c>
      <c r="N32" s="102">
        <v>2.8</v>
      </c>
      <c r="O32" s="102">
        <v>2.8</v>
      </c>
      <c r="P32" s="102">
        <v>2.8</v>
      </c>
      <c r="Q32" s="102">
        <v>2.8</v>
      </c>
      <c r="R32" s="102">
        <v>2.8</v>
      </c>
      <c r="S32" s="102">
        <v>2.8</v>
      </c>
      <c r="T32" s="102">
        <v>2.8</v>
      </c>
      <c r="U32" s="102">
        <v>2.8</v>
      </c>
      <c r="V32" s="102">
        <v>2.8</v>
      </c>
      <c r="W32" s="102">
        <v>2.9</v>
      </c>
      <c r="X32" s="102">
        <v>2.9</v>
      </c>
      <c r="Y32" s="102">
        <v>2.9</v>
      </c>
      <c r="Z32" s="102">
        <v>2.9</v>
      </c>
      <c r="AA32" s="102">
        <v>2.9</v>
      </c>
      <c r="AB32" s="102">
        <v>2.9</v>
      </c>
      <c r="AC32" s="102">
        <v>2.9</v>
      </c>
      <c r="AD32" s="102">
        <v>2.9</v>
      </c>
      <c r="AE32" s="102">
        <v>2.9</v>
      </c>
      <c r="AF32" s="102">
        <v>2.9</v>
      </c>
      <c r="AG32" s="130">
        <v>22.1</v>
      </c>
      <c r="AH32" s="12">
        <f t="shared" si="8"/>
        <v>2.9</v>
      </c>
      <c r="AI32" s="11">
        <f t="shared" si="9"/>
        <v>2.8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25">
      <c r="A33" s="89" t="s">
        <v>234</v>
      </c>
      <c r="B33" s="102">
        <v>3.8</v>
      </c>
      <c r="C33" s="102">
        <v>3.8</v>
      </c>
      <c r="D33" s="102">
        <v>3.8</v>
      </c>
      <c r="E33" s="102">
        <v>3.8</v>
      </c>
      <c r="F33" s="102">
        <v>3.8</v>
      </c>
      <c r="G33" s="102">
        <v>3.8</v>
      </c>
      <c r="H33" s="102">
        <v>3.8</v>
      </c>
      <c r="I33" s="102">
        <v>3.8</v>
      </c>
      <c r="J33" s="102">
        <v>3.8</v>
      </c>
      <c r="K33" s="102">
        <v>3.8</v>
      </c>
      <c r="L33" s="102">
        <v>3.8</v>
      </c>
      <c r="M33" s="102">
        <v>3.8</v>
      </c>
      <c r="N33" s="102">
        <v>3.8</v>
      </c>
      <c r="O33" s="102">
        <v>3.8</v>
      </c>
      <c r="P33" s="102">
        <v>3.8</v>
      </c>
      <c r="Q33" s="102">
        <v>3.8</v>
      </c>
      <c r="R33" s="102">
        <v>3.8</v>
      </c>
      <c r="S33" s="102">
        <v>3.9</v>
      </c>
      <c r="T33" s="102">
        <v>3.9</v>
      </c>
      <c r="U33" s="102">
        <v>3.9</v>
      </c>
      <c r="V33" s="102">
        <v>3.9</v>
      </c>
      <c r="W33" s="102">
        <v>3.9</v>
      </c>
      <c r="X33" s="102">
        <v>3.9</v>
      </c>
      <c r="Y33" s="102">
        <v>3.9</v>
      </c>
      <c r="Z33" s="102">
        <v>3.9</v>
      </c>
      <c r="AA33" s="102">
        <v>3.9</v>
      </c>
      <c r="AB33" s="102">
        <v>3.9</v>
      </c>
      <c r="AC33" s="102">
        <v>3.9</v>
      </c>
      <c r="AD33" s="102">
        <v>3.9</v>
      </c>
      <c r="AE33" s="102">
        <v>3.9</v>
      </c>
      <c r="AF33" s="102">
        <v>3.9</v>
      </c>
      <c r="AG33" s="130">
        <v>22</v>
      </c>
      <c r="AH33" s="12">
        <f t="shared" si="8"/>
        <v>3.9</v>
      </c>
      <c r="AI33" s="11">
        <f t="shared" si="9"/>
        <v>3.8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25">
      <c r="A34" s="89" t="s">
        <v>233</v>
      </c>
      <c r="B34" s="102">
        <v>8.5</v>
      </c>
      <c r="C34" s="102">
        <v>8.5</v>
      </c>
      <c r="D34" s="102">
        <v>7.7</v>
      </c>
      <c r="E34" s="102">
        <v>7.7</v>
      </c>
      <c r="F34" s="102">
        <v>6.8</v>
      </c>
      <c r="G34" s="102">
        <v>6.8</v>
      </c>
      <c r="H34" s="102">
        <v>6.8</v>
      </c>
      <c r="I34" s="102">
        <v>6.8</v>
      </c>
      <c r="J34" s="102">
        <v>6.8</v>
      </c>
      <c r="K34" s="102">
        <v>6.8</v>
      </c>
      <c r="L34" s="102">
        <v>6.8</v>
      </c>
      <c r="M34" s="102">
        <v>6.8</v>
      </c>
      <c r="N34" s="102">
        <v>6.8</v>
      </c>
      <c r="O34" s="102">
        <v>6.8</v>
      </c>
      <c r="P34" s="102">
        <v>6.8</v>
      </c>
      <c r="Q34" s="102">
        <v>6.8</v>
      </c>
      <c r="R34" s="102">
        <v>6.8</v>
      </c>
      <c r="S34" s="102">
        <v>6.8</v>
      </c>
      <c r="T34" s="102">
        <v>6.8</v>
      </c>
      <c r="U34" s="102">
        <v>3.3</v>
      </c>
      <c r="V34" s="102">
        <v>3.3</v>
      </c>
      <c r="W34" s="102">
        <v>3.3</v>
      </c>
      <c r="X34" s="102">
        <v>3.3</v>
      </c>
      <c r="Y34" s="102">
        <v>3.3</v>
      </c>
      <c r="Z34" s="102">
        <v>3.3</v>
      </c>
      <c r="AA34" s="102">
        <v>3.3</v>
      </c>
      <c r="AB34" s="102">
        <v>3.3</v>
      </c>
      <c r="AC34" s="102">
        <v>3.3</v>
      </c>
      <c r="AD34" s="102">
        <v>3.3</v>
      </c>
      <c r="AE34" s="102">
        <v>3.3</v>
      </c>
      <c r="AF34" s="102">
        <v>3.3</v>
      </c>
      <c r="AG34" s="130">
        <v>22</v>
      </c>
      <c r="AH34" s="12">
        <f t="shared" si="8"/>
        <v>8.5</v>
      </c>
      <c r="AI34" s="11">
        <f t="shared" si="9"/>
        <v>3.3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25">
      <c r="A35" s="89" t="s">
        <v>232</v>
      </c>
      <c r="B35" s="102">
        <v>11.1</v>
      </c>
      <c r="C35" s="102">
        <v>11.1</v>
      </c>
      <c r="D35" s="102">
        <v>11.1</v>
      </c>
      <c r="E35" s="102">
        <v>11.1</v>
      </c>
      <c r="F35" s="102">
        <v>11.1</v>
      </c>
      <c r="G35" s="102">
        <v>11.1</v>
      </c>
      <c r="H35" s="102">
        <v>11.1</v>
      </c>
      <c r="I35" s="102">
        <v>11.1</v>
      </c>
      <c r="J35" s="102">
        <v>11.1</v>
      </c>
      <c r="K35" s="102">
        <v>11.1</v>
      </c>
      <c r="L35" s="102">
        <v>11.1</v>
      </c>
      <c r="M35" s="102">
        <v>11.1</v>
      </c>
      <c r="N35" s="102">
        <v>11.1</v>
      </c>
      <c r="O35" s="102">
        <v>11.1</v>
      </c>
      <c r="P35" s="102">
        <v>11.1</v>
      </c>
      <c r="Q35" s="102">
        <v>11.1</v>
      </c>
      <c r="R35" s="102">
        <v>11.1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Z35" s="102">
        <v>0</v>
      </c>
      <c r="AA35" s="102">
        <v>0</v>
      </c>
      <c r="AB35" s="102">
        <v>0</v>
      </c>
      <c r="AC35" s="102">
        <v>0</v>
      </c>
      <c r="AD35" s="102">
        <v>0</v>
      </c>
      <c r="AE35" s="102">
        <v>0</v>
      </c>
      <c r="AF35" s="102">
        <v>0</v>
      </c>
      <c r="AG35" s="130">
        <v>20</v>
      </c>
      <c r="AH35" s="12">
        <f t="shared" si="8"/>
        <v>11.1</v>
      </c>
      <c r="AI35" s="11">
        <f t="shared" si="9"/>
        <v>0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25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25">
      <c r="A37" s="89" t="s">
        <v>230</v>
      </c>
      <c r="B37" s="102">
        <v>5.8</v>
      </c>
      <c r="C37" s="102">
        <v>5.8</v>
      </c>
      <c r="D37" s="102">
        <v>5.8</v>
      </c>
      <c r="E37" s="102">
        <v>5.8</v>
      </c>
      <c r="F37" s="102">
        <v>5.8</v>
      </c>
      <c r="G37" s="102">
        <v>5.8</v>
      </c>
      <c r="H37" s="102">
        <v>5.8</v>
      </c>
      <c r="I37" s="102">
        <v>5.8</v>
      </c>
      <c r="J37" s="102">
        <v>5.8</v>
      </c>
      <c r="K37" s="102">
        <v>5.8</v>
      </c>
      <c r="L37" s="102">
        <v>5.8</v>
      </c>
      <c r="M37" s="102">
        <v>5.8</v>
      </c>
      <c r="N37" s="102">
        <v>5.8</v>
      </c>
      <c r="O37" s="102">
        <v>5.8</v>
      </c>
      <c r="P37" s="102">
        <v>5.8</v>
      </c>
      <c r="Q37" s="102">
        <v>5.8</v>
      </c>
      <c r="R37" s="102">
        <v>5.8</v>
      </c>
      <c r="S37" s="102">
        <v>5.8</v>
      </c>
      <c r="T37" s="102">
        <v>5.8</v>
      </c>
      <c r="U37" s="102">
        <v>5.8</v>
      </c>
      <c r="V37" s="102">
        <v>5.8</v>
      </c>
      <c r="W37" s="102">
        <v>5.8</v>
      </c>
      <c r="X37" s="102">
        <v>5.8</v>
      </c>
      <c r="Y37" s="102">
        <v>5.8</v>
      </c>
      <c r="Z37" s="102">
        <v>5.8</v>
      </c>
      <c r="AA37" s="102">
        <v>5.8</v>
      </c>
      <c r="AB37" s="102">
        <v>5.8</v>
      </c>
      <c r="AC37" s="102">
        <v>5.8</v>
      </c>
      <c r="AD37" s="102">
        <v>5.8</v>
      </c>
      <c r="AE37" s="102">
        <v>5.8</v>
      </c>
      <c r="AF37" s="102">
        <v>5.8</v>
      </c>
      <c r="AG37" s="130">
        <v>18</v>
      </c>
      <c r="AH37" s="12">
        <f t="shared" si="8"/>
        <v>5.8</v>
      </c>
      <c r="AI37" s="11">
        <f t="shared" si="9"/>
        <v>5.8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25">
      <c r="A38" s="89" t="s">
        <v>229</v>
      </c>
      <c r="B38" s="102">
        <v>5.05</v>
      </c>
      <c r="C38" s="102">
        <v>5.05</v>
      </c>
      <c r="D38" s="102">
        <v>5.05</v>
      </c>
      <c r="E38" s="102">
        <v>5.05</v>
      </c>
      <c r="F38" s="102">
        <v>5.05</v>
      </c>
      <c r="G38" s="102">
        <v>5.05</v>
      </c>
      <c r="H38" s="102">
        <v>5.05</v>
      </c>
      <c r="I38" s="102">
        <v>5.05</v>
      </c>
      <c r="J38" s="102">
        <v>5.05</v>
      </c>
      <c r="K38" s="102">
        <v>5.05</v>
      </c>
      <c r="L38" s="102">
        <v>5.05</v>
      </c>
      <c r="M38" s="102">
        <v>5.05</v>
      </c>
      <c r="N38" s="102">
        <v>5.05</v>
      </c>
      <c r="O38" s="102">
        <v>5.05</v>
      </c>
      <c r="P38" s="102">
        <v>5.05</v>
      </c>
      <c r="Q38" s="102">
        <v>5.05</v>
      </c>
      <c r="R38" s="102">
        <v>5.05</v>
      </c>
      <c r="S38" s="102">
        <v>5.0999999999999996</v>
      </c>
      <c r="T38" s="102">
        <v>5.0999999999999996</v>
      </c>
      <c r="U38" s="102">
        <v>5.0999999999999996</v>
      </c>
      <c r="V38" s="102">
        <v>5.0999999999999996</v>
      </c>
      <c r="W38" s="102">
        <v>5.0999999999999996</v>
      </c>
      <c r="X38" s="102">
        <v>5.0999999999999996</v>
      </c>
      <c r="Y38" s="102">
        <v>5.0999999999999996</v>
      </c>
      <c r="Z38" s="102">
        <v>5.0999999999999996</v>
      </c>
      <c r="AA38" s="102">
        <v>5.0999999999999996</v>
      </c>
      <c r="AB38" s="102">
        <v>5.0999999999999996</v>
      </c>
      <c r="AC38" s="102">
        <v>5.0999999999999996</v>
      </c>
      <c r="AD38" s="102">
        <v>5.0999999999999996</v>
      </c>
      <c r="AE38" s="102">
        <v>5.0999999999999996</v>
      </c>
      <c r="AF38" s="102">
        <v>5.0999999999999996</v>
      </c>
      <c r="AG38" s="130">
        <v>14.9</v>
      </c>
      <c r="AH38" s="12">
        <f t="shared" si="8"/>
        <v>5.0999999999999996</v>
      </c>
      <c r="AI38" s="11">
        <f t="shared" si="9"/>
        <v>5.05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25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25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25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25">
      <c r="A42" s="89" t="s">
        <v>225</v>
      </c>
      <c r="B42" s="102">
        <v>5.2</v>
      </c>
      <c r="C42" s="102">
        <v>5.2</v>
      </c>
      <c r="D42" s="102">
        <v>5.2</v>
      </c>
      <c r="E42" s="102">
        <v>5.2</v>
      </c>
      <c r="F42" s="102">
        <v>5.2</v>
      </c>
      <c r="G42" s="102">
        <v>5.2</v>
      </c>
      <c r="H42" s="102">
        <v>5.2</v>
      </c>
      <c r="I42" s="102">
        <v>5.2</v>
      </c>
      <c r="J42" s="102">
        <v>5.2</v>
      </c>
      <c r="K42" s="102">
        <v>5.2</v>
      </c>
      <c r="L42" s="102">
        <v>5.2</v>
      </c>
      <c r="M42" s="102">
        <v>5.2</v>
      </c>
      <c r="N42" s="102">
        <v>5.2</v>
      </c>
      <c r="O42" s="102">
        <v>5.2</v>
      </c>
      <c r="P42" s="102">
        <v>5.2</v>
      </c>
      <c r="Q42" s="102">
        <v>5.2</v>
      </c>
      <c r="R42" s="102">
        <v>5.2</v>
      </c>
      <c r="S42" s="102">
        <v>5.2</v>
      </c>
      <c r="T42" s="102">
        <v>5.2</v>
      </c>
      <c r="U42" s="102">
        <v>5.2</v>
      </c>
      <c r="V42" s="102">
        <v>5.2</v>
      </c>
      <c r="W42" s="102">
        <v>5.2</v>
      </c>
      <c r="X42" s="102">
        <v>5.2</v>
      </c>
      <c r="Y42" s="102">
        <v>5.2</v>
      </c>
      <c r="Z42" s="102">
        <v>5.2</v>
      </c>
      <c r="AA42" s="102">
        <v>5.2</v>
      </c>
      <c r="AB42" s="102">
        <v>5.2</v>
      </c>
      <c r="AC42" s="102">
        <v>5.2</v>
      </c>
      <c r="AD42" s="102">
        <v>5.2</v>
      </c>
      <c r="AE42" s="102">
        <v>5.2</v>
      </c>
      <c r="AF42" s="102">
        <v>5.2</v>
      </c>
      <c r="AG42" s="130">
        <v>13.6</v>
      </c>
      <c r="AH42" s="12">
        <f t="shared" si="8"/>
        <v>5.2</v>
      </c>
      <c r="AI42" s="11">
        <f t="shared" si="9"/>
        <v>5.2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25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25">
      <c r="A44" s="89" t="s">
        <v>223</v>
      </c>
      <c r="B44" s="102">
        <v>4.5</v>
      </c>
      <c r="C44" s="102">
        <v>4.5</v>
      </c>
      <c r="D44" s="102">
        <v>4.5</v>
      </c>
      <c r="E44" s="102">
        <v>4.5</v>
      </c>
      <c r="F44" s="102">
        <v>4.5</v>
      </c>
      <c r="G44" s="102">
        <v>4.5</v>
      </c>
      <c r="H44" s="102">
        <v>4.5</v>
      </c>
      <c r="I44" s="102">
        <v>4.5</v>
      </c>
      <c r="J44" s="102">
        <v>4.5</v>
      </c>
      <c r="K44" s="102">
        <v>4.5</v>
      </c>
      <c r="L44" s="102">
        <v>4.5</v>
      </c>
      <c r="M44" s="102">
        <v>4.5</v>
      </c>
      <c r="N44" s="102">
        <v>4.5</v>
      </c>
      <c r="O44" s="102">
        <v>4.5</v>
      </c>
      <c r="P44" s="102">
        <v>4.5</v>
      </c>
      <c r="Q44" s="102">
        <v>4.5</v>
      </c>
      <c r="R44" s="102">
        <v>4.5</v>
      </c>
      <c r="S44" s="102">
        <v>4.5</v>
      </c>
      <c r="T44" s="102">
        <v>4.5</v>
      </c>
      <c r="U44" s="102">
        <v>4.5</v>
      </c>
      <c r="V44" s="102">
        <v>4.5</v>
      </c>
      <c r="W44" s="102">
        <v>4.5</v>
      </c>
      <c r="X44" s="102">
        <v>4.5</v>
      </c>
      <c r="Y44" s="102">
        <v>4.5</v>
      </c>
      <c r="Z44" s="102">
        <v>4.5</v>
      </c>
      <c r="AA44" s="102">
        <v>4.5</v>
      </c>
      <c r="AB44" s="102">
        <v>4.5</v>
      </c>
      <c r="AC44" s="102">
        <v>4.5</v>
      </c>
      <c r="AD44" s="102">
        <v>4.5</v>
      </c>
      <c r="AE44" s="102">
        <v>4.5</v>
      </c>
      <c r="AF44" s="102">
        <v>4.5</v>
      </c>
      <c r="AG44" s="130">
        <v>12</v>
      </c>
      <c r="AH44" s="12">
        <f t="shared" si="8"/>
        <v>4.5</v>
      </c>
      <c r="AI44" s="11">
        <f t="shared" si="9"/>
        <v>4.5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25">
      <c r="A45" s="89" t="s">
        <v>222</v>
      </c>
      <c r="B45" s="102">
        <v>3.5</v>
      </c>
      <c r="C45" s="102">
        <v>3.5</v>
      </c>
      <c r="D45" s="102">
        <v>3.5</v>
      </c>
      <c r="E45" s="102">
        <v>3.5</v>
      </c>
      <c r="F45" s="102">
        <v>3.5</v>
      </c>
      <c r="G45" s="102">
        <v>3.5</v>
      </c>
      <c r="H45" s="102">
        <v>3.5</v>
      </c>
      <c r="I45" s="102">
        <v>3.5</v>
      </c>
      <c r="J45" s="102">
        <v>3.5</v>
      </c>
      <c r="K45" s="102">
        <v>3.5</v>
      </c>
      <c r="L45" s="102">
        <v>3.5</v>
      </c>
      <c r="M45" s="102">
        <v>3.5</v>
      </c>
      <c r="N45" s="102">
        <v>3.5</v>
      </c>
      <c r="O45" s="102">
        <v>3.5</v>
      </c>
      <c r="P45" s="102">
        <v>3.5</v>
      </c>
      <c r="Q45" s="102">
        <v>3.5</v>
      </c>
      <c r="R45" s="102">
        <v>3.5</v>
      </c>
      <c r="S45" s="102">
        <v>3.5</v>
      </c>
      <c r="T45" s="102">
        <v>3.5</v>
      </c>
      <c r="U45" s="102">
        <v>3.5</v>
      </c>
      <c r="V45" s="102">
        <v>3.5</v>
      </c>
      <c r="W45" s="102">
        <v>3.5</v>
      </c>
      <c r="X45" s="102">
        <v>3.5</v>
      </c>
      <c r="Y45" s="102">
        <v>3.5</v>
      </c>
      <c r="Z45" s="102">
        <v>3.5</v>
      </c>
      <c r="AA45" s="102">
        <v>3.5</v>
      </c>
      <c r="AB45" s="102">
        <v>3.5</v>
      </c>
      <c r="AC45" s="102">
        <v>3.5</v>
      </c>
      <c r="AD45" s="102">
        <v>3.5</v>
      </c>
      <c r="AE45" s="102">
        <v>3.5</v>
      </c>
      <c r="AF45" s="102">
        <v>3.5</v>
      </c>
      <c r="AG45" s="130">
        <v>12</v>
      </c>
      <c r="AH45" s="12">
        <f t="shared" si="8"/>
        <v>3.5</v>
      </c>
      <c r="AI45" s="11">
        <f t="shared" si="9"/>
        <v>3.5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25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25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25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25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25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25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25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25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25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25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25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.75" thickBot="1" x14ac:dyDescent="0.3">
      <c r="A57" s="124" t="s">
        <v>210</v>
      </c>
      <c r="B57" s="122">
        <f>11.1+15.3</f>
        <v>26.4</v>
      </c>
      <c r="C57" s="122">
        <f>11.5+16.6</f>
        <v>28.1</v>
      </c>
      <c r="D57" s="122">
        <f>12.1+17.8</f>
        <v>29.9</v>
      </c>
      <c r="E57" s="122">
        <f>16.4+11.9</f>
        <v>28.299999999999997</v>
      </c>
      <c r="F57" s="122">
        <f>14.7+11.2</f>
        <v>25.9</v>
      </c>
      <c r="G57" s="122">
        <f>14.9+11.2</f>
        <v>26.1</v>
      </c>
      <c r="H57" s="122">
        <f>15.4+10.9</f>
        <v>26.3</v>
      </c>
      <c r="I57" s="122">
        <v>24.9</v>
      </c>
      <c r="J57" s="122">
        <f>14.6+10.4</f>
        <v>25</v>
      </c>
      <c r="K57" s="123">
        <f>24.8</f>
        <v>24.8</v>
      </c>
      <c r="L57" s="123">
        <f>14.8+10.5</f>
        <v>25.3</v>
      </c>
      <c r="M57" s="123">
        <f>14.8+10.5</f>
        <v>25.3</v>
      </c>
      <c r="N57" s="123">
        <f>14.8+10.5</f>
        <v>25.3</v>
      </c>
      <c r="O57" s="123">
        <f>14.8+10.5</f>
        <v>25.3</v>
      </c>
      <c r="P57" s="123">
        <v>28.2</v>
      </c>
      <c r="Q57" s="123">
        <v>28.2</v>
      </c>
      <c r="R57" s="123">
        <v>28.2</v>
      </c>
      <c r="S57" s="123">
        <v>25.63</v>
      </c>
      <c r="T57" s="123">
        <v>25.63</v>
      </c>
      <c r="U57" s="123">
        <v>25.63</v>
      </c>
      <c r="V57" s="123">
        <v>25.63</v>
      </c>
      <c r="W57" s="123">
        <v>25.63</v>
      </c>
      <c r="X57" s="123">
        <v>25.63</v>
      </c>
      <c r="Y57" s="123">
        <v>25.63</v>
      </c>
      <c r="Z57" s="123">
        <v>25.63</v>
      </c>
      <c r="AA57" s="123">
        <v>25.63</v>
      </c>
      <c r="AB57" s="123">
        <v>25.63</v>
      </c>
      <c r="AC57" s="123">
        <v>25.63</v>
      </c>
      <c r="AD57" s="123">
        <v>25.63</v>
      </c>
      <c r="AE57" s="123">
        <v>25.63</v>
      </c>
      <c r="AF57" s="123">
        <v>25.63</v>
      </c>
      <c r="AG57" s="86">
        <v>240</v>
      </c>
      <c r="AH57" s="12">
        <f t="shared" si="8"/>
        <v>29.9</v>
      </c>
      <c r="AI57" s="11">
        <f t="shared" si="9"/>
        <v>24.8</v>
      </c>
      <c r="AK57" s="19"/>
    </row>
    <row r="58" spans="1:88" ht="15.75" thickBot="1" x14ac:dyDescent="0.3">
      <c r="A58" s="121" t="s">
        <v>209</v>
      </c>
      <c r="B58" s="76">
        <f t="shared" ref="B58:C58" si="22">SUM(B11:B56)</f>
        <v>529.15</v>
      </c>
      <c r="C58" s="76">
        <f t="shared" si="22"/>
        <v>529.15</v>
      </c>
      <c r="D58" s="76">
        <f t="shared" ref="D58" si="23">SUM(D11:D56)</f>
        <v>525.25</v>
      </c>
      <c r="E58" s="76">
        <f t="shared" ref="E58:AA58" si="24">SUM(E11:E56)</f>
        <v>526.25</v>
      </c>
      <c r="F58" s="76">
        <f t="shared" si="24"/>
        <v>518.95000000000005</v>
      </c>
      <c r="G58" s="76">
        <f t="shared" si="24"/>
        <v>518.25</v>
      </c>
      <c r="H58" s="76">
        <f t="shared" si="24"/>
        <v>514.04999999999995</v>
      </c>
      <c r="I58" s="76">
        <f t="shared" si="24"/>
        <v>514.04999999999995</v>
      </c>
      <c r="J58" s="76">
        <f t="shared" si="24"/>
        <v>514.04999999999995</v>
      </c>
      <c r="K58" s="76">
        <f t="shared" si="24"/>
        <v>514.04999999999995</v>
      </c>
      <c r="L58" s="76">
        <f t="shared" si="24"/>
        <v>515.25</v>
      </c>
      <c r="M58" s="76">
        <f t="shared" si="24"/>
        <v>515.25</v>
      </c>
      <c r="N58" s="76">
        <f t="shared" si="24"/>
        <v>515.25</v>
      </c>
      <c r="O58" s="76">
        <f t="shared" si="24"/>
        <v>515.25</v>
      </c>
      <c r="P58" s="76">
        <f t="shared" si="24"/>
        <v>515.25</v>
      </c>
      <c r="Q58" s="76">
        <f t="shared" si="24"/>
        <v>515.25</v>
      </c>
      <c r="R58" s="76">
        <f t="shared" si="24"/>
        <v>515.25</v>
      </c>
      <c r="S58" s="76">
        <f t="shared" si="24"/>
        <v>482.6</v>
      </c>
      <c r="T58" s="76">
        <f t="shared" si="24"/>
        <v>495.1</v>
      </c>
      <c r="U58" s="76">
        <f t="shared" si="24"/>
        <v>491.6</v>
      </c>
      <c r="V58" s="76">
        <f t="shared" si="24"/>
        <v>491.6</v>
      </c>
      <c r="W58" s="76">
        <f t="shared" si="24"/>
        <v>485.70000000000005</v>
      </c>
      <c r="X58" s="76">
        <f t="shared" si="24"/>
        <v>479.70000000000005</v>
      </c>
      <c r="Y58" s="76">
        <f t="shared" si="24"/>
        <v>479.1</v>
      </c>
      <c r="Z58" s="76">
        <f t="shared" si="24"/>
        <v>482.40000000000003</v>
      </c>
      <c r="AA58" s="76">
        <f t="shared" si="24"/>
        <v>482.40000000000003</v>
      </c>
      <c r="AB58" s="76">
        <f t="shared" ref="AB58:AC58" si="25">SUM(AB11:AB56)</f>
        <v>482.40000000000003</v>
      </c>
      <c r="AC58" s="76">
        <f t="shared" si="25"/>
        <v>482.40000000000003</v>
      </c>
      <c r="AD58" s="76">
        <f t="shared" ref="AD58:AE58" si="26">SUM(AD11:AD56)</f>
        <v>482.40000000000003</v>
      </c>
      <c r="AE58" s="76">
        <f t="shared" si="26"/>
        <v>482.40000000000003</v>
      </c>
      <c r="AF58" s="76">
        <f t="shared" ref="AF58" si="27">SUM(AF11:AF56)</f>
        <v>482.40000000000003</v>
      </c>
      <c r="AG58" s="93">
        <f>SUM(AG14:AG56)</f>
        <v>1042.4000000000001</v>
      </c>
      <c r="AH58" s="12">
        <f t="shared" si="8"/>
        <v>529.15</v>
      </c>
      <c r="AI58" s="11">
        <f t="shared" si="9"/>
        <v>479.1</v>
      </c>
      <c r="AK58" s="19"/>
    </row>
    <row r="59" spans="1:88" x14ac:dyDescent="0.25">
      <c r="A59" s="120" t="s">
        <v>208</v>
      </c>
      <c r="B59" s="102">
        <v>170</v>
      </c>
      <c r="C59" s="102">
        <v>171</v>
      </c>
      <c r="D59" s="102">
        <v>129.9</v>
      </c>
      <c r="E59" s="102">
        <v>100.7</v>
      </c>
      <c r="F59" s="102">
        <v>100.8</v>
      </c>
      <c r="G59" s="102">
        <v>100.6</v>
      </c>
      <c r="H59" s="102">
        <v>120</v>
      </c>
      <c r="I59" s="102">
        <v>150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19">
        <v>0</v>
      </c>
      <c r="T59" s="119">
        <v>0</v>
      </c>
      <c r="U59" s="119">
        <v>0</v>
      </c>
      <c r="V59" s="119">
        <v>0</v>
      </c>
      <c r="W59" s="102">
        <v>0</v>
      </c>
      <c r="X59" s="102">
        <v>30.9</v>
      </c>
      <c r="Y59" s="102">
        <v>60.4</v>
      </c>
      <c r="Z59" s="102">
        <v>306</v>
      </c>
      <c r="AA59" s="102">
        <v>404</v>
      </c>
      <c r="AB59" s="102">
        <v>300</v>
      </c>
      <c r="AC59" s="102">
        <v>252</v>
      </c>
      <c r="AD59" s="102">
        <v>241</v>
      </c>
      <c r="AE59" s="102">
        <v>222</v>
      </c>
      <c r="AF59" s="102">
        <v>350</v>
      </c>
      <c r="AG59" s="88">
        <v>456</v>
      </c>
      <c r="AH59" s="12">
        <f t="shared" si="8"/>
        <v>404</v>
      </c>
      <c r="AI59" s="11">
        <f t="shared" si="9"/>
        <v>0</v>
      </c>
      <c r="AK59" s="19"/>
    </row>
    <row r="60" spans="1:88" x14ac:dyDescent="0.25">
      <c r="A60" s="118" t="s">
        <v>207</v>
      </c>
      <c r="B60" s="70">
        <v>17.7</v>
      </c>
      <c r="C60" s="70">
        <v>20.7</v>
      </c>
      <c r="D60" s="70">
        <v>20.5</v>
      </c>
      <c r="E60" s="70">
        <v>19.600000000000001</v>
      </c>
      <c r="F60" s="70">
        <v>19.600000000000001</v>
      </c>
      <c r="G60" s="70">
        <v>19.600000000000001</v>
      </c>
      <c r="H60" s="70">
        <v>19.600000000000001</v>
      </c>
      <c r="I60" s="70">
        <v>19.100000000000001</v>
      </c>
      <c r="J60" s="70">
        <v>19.309999999999999</v>
      </c>
      <c r="K60" s="70">
        <v>19</v>
      </c>
      <c r="L60" s="70">
        <v>19</v>
      </c>
      <c r="M60" s="70">
        <v>19</v>
      </c>
      <c r="N60" s="70">
        <v>19</v>
      </c>
      <c r="O60" s="70">
        <v>19</v>
      </c>
      <c r="P60" s="70">
        <v>19</v>
      </c>
      <c r="Q60" s="70">
        <v>19</v>
      </c>
      <c r="R60" s="70">
        <v>19</v>
      </c>
      <c r="S60" s="70">
        <v>18.7</v>
      </c>
      <c r="T60" s="70">
        <v>18.899999999999999</v>
      </c>
      <c r="U60" s="70">
        <v>18.8</v>
      </c>
      <c r="V60" s="70">
        <v>18.2</v>
      </c>
      <c r="W60" s="70">
        <v>19.100000000000001</v>
      </c>
      <c r="X60" s="70">
        <v>18.5</v>
      </c>
      <c r="Y60" s="70">
        <v>18.5</v>
      </c>
      <c r="Z60" s="70">
        <v>18.7</v>
      </c>
      <c r="AA60" s="70">
        <v>18.8</v>
      </c>
      <c r="AB60" s="70">
        <v>18.8</v>
      </c>
      <c r="AC60" s="70">
        <v>18.8</v>
      </c>
      <c r="AD60" s="70">
        <v>18.8</v>
      </c>
      <c r="AE60" s="70">
        <v>18.8</v>
      </c>
      <c r="AF60" s="70">
        <v>18.8</v>
      </c>
      <c r="AG60" s="86">
        <v>60</v>
      </c>
      <c r="AH60" s="12">
        <f t="shared" si="8"/>
        <v>20.7</v>
      </c>
      <c r="AI60" s="11">
        <f t="shared" si="9"/>
        <v>17.7</v>
      </c>
      <c r="AK60" s="19"/>
    </row>
    <row r="61" spans="1:88" ht="15.75" thickBot="1" x14ac:dyDescent="0.3">
      <c r="A61" s="117" t="s">
        <v>206</v>
      </c>
      <c r="B61" s="110">
        <v>22.5</v>
      </c>
      <c r="C61" s="110">
        <v>22.5</v>
      </c>
      <c r="D61" s="110">
        <v>22.5</v>
      </c>
      <c r="E61" s="110">
        <v>22.5</v>
      </c>
      <c r="F61" s="110">
        <v>22.5</v>
      </c>
      <c r="G61" s="110">
        <v>22.5</v>
      </c>
      <c r="H61" s="110">
        <v>22.5</v>
      </c>
      <c r="I61" s="110">
        <v>22.5</v>
      </c>
      <c r="J61" s="110">
        <v>22.5</v>
      </c>
      <c r="K61" s="110">
        <v>22.5</v>
      </c>
      <c r="L61" s="110">
        <v>22.5</v>
      </c>
      <c r="M61" s="110">
        <v>22.5</v>
      </c>
      <c r="N61" s="110">
        <v>22.5</v>
      </c>
      <c r="O61" s="110">
        <v>22.5</v>
      </c>
      <c r="P61" s="110">
        <v>20.100000000000001</v>
      </c>
      <c r="Q61" s="110">
        <v>20.100000000000001</v>
      </c>
      <c r="R61" s="110">
        <v>20.100000000000001</v>
      </c>
      <c r="S61" s="110">
        <v>20.2</v>
      </c>
      <c r="T61" s="110">
        <v>18.399999999999999</v>
      </c>
      <c r="U61" s="110">
        <v>16.5</v>
      </c>
      <c r="V61" s="110">
        <v>22.4</v>
      </c>
      <c r="W61" s="110">
        <v>22.3</v>
      </c>
      <c r="X61" s="110">
        <v>22.4</v>
      </c>
      <c r="Y61" s="110">
        <v>22.4</v>
      </c>
      <c r="Z61" s="110">
        <v>22.4</v>
      </c>
      <c r="AA61" s="110">
        <v>22.4</v>
      </c>
      <c r="AB61" s="110">
        <v>22.4</v>
      </c>
      <c r="AC61" s="110">
        <v>22.4</v>
      </c>
      <c r="AD61" s="110">
        <v>22.4</v>
      </c>
      <c r="AE61" s="110">
        <v>22.4</v>
      </c>
      <c r="AF61" s="110">
        <v>22.4</v>
      </c>
      <c r="AG61" s="109">
        <v>22.1</v>
      </c>
      <c r="AH61" s="12">
        <f t="shared" si="8"/>
        <v>22.5</v>
      </c>
      <c r="AI61" s="11">
        <f t="shared" si="9"/>
        <v>16.5</v>
      </c>
      <c r="AK61" s="19"/>
    </row>
    <row r="62" spans="1:88" ht="15.75" thickBot="1" x14ac:dyDescent="0.3">
      <c r="A62" s="116" t="s">
        <v>205</v>
      </c>
      <c r="B62" s="76">
        <f t="shared" ref="B62:C62" si="28">SUM(B59:B61)</f>
        <v>210.2</v>
      </c>
      <c r="C62" s="76">
        <f t="shared" si="28"/>
        <v>214.2</v>
      </c>
      <c r="D62" s="76">
        <f t="shared" ref="D62" si="29">SUM(D59:D61)</f>
        <v>172.9</v>
      </c>
      <c r="E62" s="76">
        <f t="shared" ref="E62:AG62" si="30">SUM(E59:E61)</f>
        <v>142.80000000000001</v>
      </c>
      <c r="F62" s="76">
        <f t="shared" si="30"/>
        <v>142.9</v>
      </c>
      <c r="G62" s="76">
        <f t="shared" si="30"/>
        <v>142.69999999999999</v>
      </c>
      <c r="H62" s="76">
        <f t="shared" si="30"/>
        <v>162.1</v>
      </c>
      <c r="I62" s="76">
        <f t="shared" si="30"/>
        <v>191.6</v>
      </c>
      <c r="J62" s="76">
        <f t="shared" si="30"/>
        <v>41.81</v>
      </c>
      <c r="K62" s="76">
        <f t="shared" si="30"/>
        <v>41.5</v>
      </c>
      <c r="L62" s="76">
        <f t="shared" si="30"/>
        <v>41.5</v>
      </c>
      <c r="M62" s="76">
        <f t="shared" si="30"/>
        <v>41.5</v>
      </c>
      <c r="N62" s="76">
        <f t="shared" si="30"/>
        <v>41.5</v>
      </c>
      <c r="O62" s="76">
        <f t="shared" si="30"/>
        <v>41.5</v>
      </c>
      <c r="P62" s="76">
        <f t="shared" si="30"/>
        <v>39.1</v>
      </c>
      <c r="Q62" s="76">
        <f t="shared" si="30"/>
        <v>39.1</v>
      </c>
      <c r="R62" s="76">
        <f t="shared" si="30"/>
        <v>39.1</v>
      </c>
      <c r="S62" s="76">
        <f t="shared" si="30"/>
        <v>38.9</v>
      </c>
      <c r="T62" s="76">
        <f t="shared" si="30"/>
        <v>37.299999999999997</v>
      </c>
      <c r="U62" s="76">
        <f t="shared" si="30"/>
        <v>35.299999999999997</v>
      </c>
      <c r="V62" s="76">
        <f t="shared" si="30"/>
        <v>40.599999999999994</v>
      </c>
      <c r="W62" s="76">
        <f t="shared" si="30"/>
        <v>41.400000000000006</v>
      </c>
      <c r="X62" s="76">
        <f t="shared" si="30"/>
        <v>71.8</v>
      </c>
      <c r="Y62" s="76">
        <f t="shared" si="30"/>
        <v>101.30000000000001</v>
      </c>
      <c r="Z62" s="76">
        <f t="shared" si="30"/>
        <v>347.09999999999997</v>
      </c>
      <c r="AA62" s="76">
        <f t="shared" si="30"/>
        <v>445.2</v>
      </c>
      <c r="AB62" s="76">
        <f t="shared" ref="AB62:AC62" si="31">SUM(AB59:AB61)</f>
        <v>341.2</v>
      </c>
      <c r="AC62" s="76">
        <f t="shared" si="31"/>
        <v>293.2</v>
      </c>
      <c r="AD62" s="76">
        <f t="shared" ref="AD62:AE62" si="32">SUM(AD59:AD61)</f>
        <v>282.2</v>
      </c>
      <c r="AE62" s="76">
        <f t="shared" si="32"/>
        <v>263.2</v>
      </c>
      <c r="AF62" s="76">
        <f t="shared" ref="AF62" si="33">SUM(AF59:AF61)</f>
        <v>391.2</v>
      </c>
      <c r="AG62" s="93">
        <f t="shared" si="30"/>
        <v>538.1</v>
      </c>
      <c r="AH62" s="12">
        <f t="shared" si="8"/>
        <v>445.2</v>
      </c>
      <c r="AI62" s="11">
        <f t="shared" si="9"/>
        <v>35.299999999999997</v>
      </c>
      <c r="AK62" s="19"/>
    </row>
    <row r="63" spans="1:88" x14ac:dyDescent="0.25">
      <c r="A63" s="89" t="s">
        <v>204</v>
      </c>
      <c r="B63" s="102">
        <v>68.900000000000006</v>
      </c>
      <c r="C63" s="102">
        <v>60.9</v>
      </c>
      <c r="D63" s="102">
        <v>60.9</v>
      </c>
      <c r="E63" s="102">
        <v>60.8</v>
      </c>
      <c r="F63" s="102">
        <v>60.9</v>
      </c>
      <c r="G63" s="102">
        <v>60.9</v>
      </c>
      <c r="H63" s="102">
        <v>60.9</v>
      </c>
      <c r="I63" s="102">
        <v>60.9</v>
      </c>
      <c r="J63" s="102">
        <v>51.3</v>
      </c>
      <c r="K63" s="102">
        <v>30</v>
      </c>
      <c r="L63" s="102">
        <v>31.6</v>
      </c>
      <c r="M63" s="102">
        <v>31.3</v>
      </c>
      <c r="N63" s="102">
        <v>31.3</v>
      </c>
      <c r="O63" s="102">
        <v>61</v>
      </c>
      <c r="P63" s="102">
        <v>61</v>
      </c>
      <c r="Q63" s="102">
        <v>61</v>
      </c>
      <c r="R63" s="102">
        <v>76</v>
      </c>
      <c r="S63" s="102">
        <v>96.5</v>
      </c>
      <c r="T63" s="102">
        <v>80.5</v>
      </c>
      <c r="U63" s="102">
        <v>81.3</v>
      </c>
      <c r="V63" s="102">
        <v>80.5</v>
      </c>
      <c r="W63" s="102">
        <v>81.2</v>
      </c>
      <c r="X63" s="102">
        <v>75.8</v>
      </c>
      <c r="Y63" s="102">
        <v>74.900000000000006</v>
      </c>
      <c r="Z63" s="102">
        <v>106.9</v>
      </c>
      <c r="AA63" s="102">
        <v>136</v>
      </c>
      <c r="AB63" s="102">
        <v>136</v>
      </c>
      <c r="AC63" s="102">
        <v>136</v>
      </c>
      <c r="AD63" s="102">
        <v>136</v>
      </c>
      <c r="AE63" s="102">
        <v>101</v>
      </c>
      <c r="AF63" s="102">
        <v>80</v>
      </c>
      <c r="AG63" s="88">
        <v>144</v>
      </c>
      <c r="AH63" s="12">
        <f t="shared" si="8"/>
        <v>136</v>
      </c>
      <c r="AI63" s="11">
        <f t="shared" si="9"/>
        <v>30</v>
      </c>
      <c r="AK63" s="19"/>
    </row>
    <row r="64" spans="1:88" x14ac:dyDescent="0.25">
      <c r="A64" s="87" t="s">
        <v>203</v>
      </c>
      <c r="B64" s="102">
        <v>33.9</v>
      </c>
      <c r="C64" s="102">
        <v>33.6</v>
      </c>
      <c r="D64" s="102">
        <v>33.799999999999997</v>
      </c>
      <c r="E64" s="70">
        <v>34.299999999999997</v>
      </c>
      <c r="F64" s="70">
        <v>33.6</v>
      </c>
      <c r="G64" s="70">
        <v>35.200000000000003</v>
      </c>
      <c r="H64" s="70">
        <v>34.799999999999997</v>
      </c>
      <c r="I64" s="70">
        <v>60</v>
      </c>
      <c r="J64" s="70">
        <v>45</v>
      </c>
      <c r="K64" s="70">
        <v>44</v>
      </c>
      <c r="L64" s="70">
        <v>59</v>
      </c>
      <c r="M64" s="70">
        <v>59.4</v>
      </c>
      <c r="N64" s="70">
        <v>50</v>
      </c>
      <c r="O64" s="70">
        <v>42</v>
      </c>
      <c r="P64" s="70">
        <v>42</v>
      </c>
      <c r="Q64" s="70">
        <v>42</v>
      </c>
      <c r="R64" s="70">
        <v>45</v>
      </c>
      <c r="S64" s="70">
        <v>43.7</v>
      </c>
      <c r="T64" s="70">
        <v>44.6</v>
      </c>
      <c r="U64" s="70">
        <v>44.3</v>
      </c>
      <c r="V64" s="70">
        <v>44.4</v>
      </c>
      <c r="W64" s="102">
        <v>46.3</v>
      </c>
      <c r="X64" s="102">
        <v>45.5</v>
      </c>
      <c r="Y64" s="102">
        <v>45</v>
      </c>
      <c r="Z64" s="102">
        <v>44.7</v>
      </c>
      <c r="AA64" s="102">
        <v>60</v>
      </c>
      <c r="AB64" s="102">
        <v>59</v>
      </c>
      <c r="AC64" s="102">
        <v>59</v>
      </c>
      <c r="AD64" s="102">
        <v>59</v>
      </c>
      <c r="AE64" s="102">
        <v>25</v>
      </c>
      <c r="AF64" s="102">
        <v>35</v>
      </c>
      <c r="AG64" s="86">
        <v>70</v>
      </c>
      <c r="AH64" s="12">
        <f t="shared" si="8"/>
        <v>60</v>
      </c>
      <c r="AI64" s="11">
        <f t="shared" si="9"/>
        <v>25</v>
      </c>
      <c r="AK64" s="19"/>
    </row>
    <row r="65" spans="1:75" x14ac:dyDescent="0.25">
      <c r="A65" s="87" t="s">
        <v>202</v>
      </c>
      <c r="B65" s="102">
        <v>52.8</v>
      </c>
      <c r="C65" s="102">
        <v>35.6</v>
      </c>
      <c r="D65" s="102">
        <v>34.200000000000003</v>
      </c>
      <c r="E65" s="70">
        <v>34.200000000000003</v>
      </c>
      <c r="F65" s="70">
        <v>34.200000000000003</v>
      </c>
      <c r="G65" s="70">
        <v>34.200000000000003</v>
      </c>
      <c r="H65" s="70">
        <v>45.8</v>
      </c>
      <c r="I65" s="70">
        <v>32</v>
      </c>
      <c r="J65" s="70">
        <v>33.6</v>
      </c>
      <c r="K65" s="70">
        <v>33</v>
      </c>
      <c r="L65" s="70">
        <v>33.5</v>
      </c>
      <c r="M65" s="70">
        <v>33.6</v>
      </c>
      <c r="N65" s="70">
        <v>33</v>
      </c>
      <c r="O65" s="70">
        <v>33</v>
      </c>
      <c r="P65" s="70">
        <v>33</v>
      </c>
      <c r="Q65" s="70">
        <v>33</v>
      </c>
      <c r="R65" s="70">
        <v>17</v>
      </c>
      <c r="S65" s="70">
        <v>19.399999999999999</v>
      </c>
      <c r="T65" s="70">
        <v>19.600000000000001</v>
      </c>
      <c r="U65" s="70">
        <v>22.3</v>
      </c>
      <c r="V65" s="70">
        <v>22.4</v>
      </c>
      <c r="W65" s="102">
        <v>22.5</v>
      </c>
      <c r="X65" s="102">
        <v>15.7</v>
      </c>
      <c r="Y65" s="102">
        <v>22</v>
      </c>
      <c r="Z65" s="102">
        <v>55.1</v>
      </c>
      <c r="AA65" s="102">
        <v>55</v>
      </c>
      <c r="AB65" s="102">
        <v>55</v>
      </c>
      <c r="AC65" s="102">
        <v>55</v>
      </c>
      <c r="AD65" s="102">
        <v>55</v>
      </c>
      <c r="AE65" s="102">
        <v>55</v>
      </c>
      <c r="AF65" s="102">
        <v>55</v>
      </c>
      <c r="AG65" s="86">
        <v>69</v>
      </c>
      <c r="AH65" s="12">
        <f t="shared" si="8"/>
        <v>55.1</v>
      </c>
      <c r="AI65" s="11">
        <f t="shared" si="9"/>
        <v>15.7</v>
      </c>
      <c r="AK65" s="19"/>
    </row>
    <row r="66" spans="1:75" x14ac:dyDescent="0.25">
      <c r="A66" s="87" t="s">
        <v>201</v>
      </c>
      <c r="B66" s="102">
        <v>60</v>
      </c>
      <c r="C66" s="102">
        <v>60.4</v>
      </c>
      <c r="D66" s="102">
        <v>60.4</v>
      </c>
      <c r="E66" s="70">
        <v>60.4</v>
      </c>
      <c r="F66" s="70">
        <v>60.4</v>
      </c>
      <c r="G66" s="70">
        <v>60.4</v>
      </c>
      <c r="H66" s="70">
        <v>60.4</v>
      </c>
      <c r="I66" s="70">
        <v>60.4</v>
      </c>
      <c r="J66" s="70">
        <v>60.4</v>
      </c>
      <c r="K66" s="122">
        <v>60</v>
      </c>
      <c r="L66" s="122">
        <v>60.4</v>
      </c>
      <c r="M66" s="70">
        <v>60.4</v>
      </c>
      <c r="N66" s="70">
        <v>60.4</v>
      </c>
      <c r="O66" s="70">
        <v>60.4</v>
      </c>
      <c r="P66" s="70">
        <v>60.4</v>
      </c>
      <c r="Q66" s="70">
        <v>60.4</v>
      </c>
      <c r="R66" s="70">
        <v>60.4</v>
      </c>
      <c r="S66" s="70">
        <v>60</v>
      </c>
      <c r="T66" s="70">
        <v>59.7</v>
      </c>
      <c r="U66" s="70">
        <v>54.2</v>
      </c>
      <c r="V66" s="70">
        <v>50.6</v>
      </c>
      <c r="W66" s="102">
        <v>52.4</v>
      </c>
      <c r="X66" s="102">
        <v>52.4</v>
      </c>
      <c r="Y66" s="102">
        <v>52.4</v>
      </c>
      <c r="Z66" s="102">
        <v>55.9</v>
      </c>
      <c r="AA66" s="102">
        <v>60.2</v>
      </c>
      <c r="AB66" s="102">
        <v>60.2</v>
      </c>
      <c r="AC66" s="102">
        <v>60.2</v>
      </c>
      <c r="AD66" s="102">
        <v>60.2</v>
      </c>
      <c r="AE66" s="102">
        <v>60.2</v>
      </c>
      <c r="AF66" s="102">
        <v>60.2</v>
      </c>
      <c r="AG66" s="86">
        <v>60</v>
      </c>
      <c r="AH66" s="12">
        <f t="shared" si="8"/>
        <v>60.4</v>
      </c>
      <c r="AI66" s="11">
        <f t="shared" si="9"/>
        <v>50.6</v>
      </c>
      <c r="AK66" s="19"/>
    </row>
    <row r="67" spans="1:75" x14ac:dyDescent="0.25">
      <c r="A67" s="87" t="s">
        <v>200</v>
      </c>
      <c r="B67" s="102">
        <v>10</v>
      </c>
      <c r="C67" s="102">
        <v>0</v>
      </c>
      <c r="D67" s="102">
        <v>0</v>
      </c>
      <c r="E67" s="102">
        <v>0</v>
      </c>
      <c r="F67" s="70">
        <v>0</v>
      </c>
      <c r="G67" s="70">
        <v>0</v>
      </c>
      <c r="H67" s="70">
        <v>0</v>
      </c>
      <c r="I67" s="70">
        <v>10</v>
      </c>
      <c r="J67" s="70">
        <v>10</v>
      </c>
      <c r="K67" s="70">
        <v>10</v>
      </c>
      <c r="L67" s="122">
        <v>10</v>
      </c>
      <c r="M67" s="70">
        <v>10.4</v>
      </c>
      <c r="N67" s="70">
        <v>10.4</v>
      </c>
      <c r="O67" s="70">
        <v>22</v>
      </c>
      <c r="P67" s="70">
        <v>22</v>
      </c>
      <c r="Q67" s="70">
        <v>15</v>
      </c>
      <c r="R67" s="70">
        <v>15</v>
      </c>
      <c r="S67" s="70">
        <v>14.7</v>
      </c>
      <c r="T67" s="70">
        <v>10.4</v>
      </c>
      <c r="U67" s="70">
        <v>12.2</v>
      </c>
      <c r="V67" s="70">
        <v>14.6</v>
      </c>
      <c r="W67" s="102">
        <v>14.6</v>
      </c>
      <c r="X67" s="102">
        <v>22.8</v>
      </c>
      <c r="Y67" s="102">
        <v>22.8</v>
      </c>
      <c r="Z67" s="102">
        <v>27.3</v>
      </c>
      <c r="AA67" s="102">
        <v>22</v>
      </c>
      <c r="AB67" s="102">
        <v>14.1</v>
      </c>
      <c r="AC67" s="102">
        <v>14.1</v>
      </c>
      <c r="AD67" s="102">
        <v>14.1</v>
      </c>
      <c r="AE67" s="102">
        <v>14.1</v>
      </c>
      <c r="AF67" s="102">
        <v>14.1</v>
      </c>
      <c r="AG67" s="86">
        <v>30</v>
      </c>
      <c r="AH67" s="12">
        <f t="shared" si="8"/>
        <v>27.3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25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1</v>
      </c>
      <c r="J68" s="102">
        <v>1</v>
      </c>
      <c r="K68" s="102">
        <v>2.2999999999999998</v>
      </c>
      <c r="L68" s="70">
        <v>4.3</v>
      </c>
      <c r="M68" s="70">
        <v>5.8</v>
      </c>
      <c r="N68" s="70">
        <v>5.8</v>
      </c>
      <c r="O68" s="70">
        <v>5.8</v>
      </c>
      <c r="P68" s="70">
        <v>5.8</v>
      </c>
      <c r="Q68" s="70">
        <v>5.8</v>
      </c>
      <c r="R68" s="70">
        <v>5.8</v>
      </c>
      <c r="S68" s="70">
        <v>10</v>
      </c>
      <c r="T68" s="70">
        <v>8.1999999999999993</v>
      </c>
      <c r="U68" s="70">
        <v>4.8</v>
      </c>
      <c r="V68" s="70">
        <v>1.7</v>
      </c>
      <c r="W68" s="102">
        <v>0.9</v>
      </c>
      <c r="X68" s="102">
        <v>0.2</v>
      </c>
      <c r="Y68" s="102">
        <v>0.2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10</v>
      </c>
      <c r="AI68" s="11">
        <f t="shared" si="9"/>
        <v>0</v>
      </c>
      <c r="AK68" s="19"/>
      <c r="AY68" s="1" t="s">
        <v>198</v>
      </c>
      <c r="AZ68" s="78">
        <f>ROUND(C81,0)</f>
        <v>29</v>
      </c>
      <c r="BA68" s="83">
        <f t="shared" ref="BA68:BD72" si="34">D81</f>
        <v>26.3</v>
      </c>
      <c r="BB68" s="83">
        <f t="shared" si="34"/>
        <v>23</v>
      </c>
      <c r="BC68" s="83">
        <f t="shared" si="34"/>
        <v>25.1</v>
      </c>
      <c r="BD68" s="83">
        <f t="shared" si="34"/>
        <v>24.5</v>
      </c>
      <c r="BE68" s="78">
        <f>I81</f>
        <v>30</v>
      </c>
      <c r="BF68" s="78">
        <f>K81</f>
        <v>53.4</v>
      </c>
      <c r="BG68" s="78">
        <f t="shared" ref="BG68:BP72" si="35">M81</f>
        <v>63.5</v>
      </c>
      <c r="BH68" s="78">
        <f t="shared" si="35"/>
        <v>71</v>
      </c>
      <c r="BI68" s="78">
        <f t="shared" si="35"/>
        <v>55</v>
      </c>
      <c r="BJ68" s="78">
        <f t="shared" si="35"/>
        <v>63.6</v>
      </c>
      <c r="BK68" s="78">
        <f t="shared" si="35"/>
        <v>62</v>
      </c>
      <c r="BL68" s="78">
        <f t="shared" si="35"/>
        <v>71</v>
      </c>
      <c r="BM68" s="78">
        <f t="shared" si="35"/>
        <v>66.7</v>
      </c>
      <c r="BN68" s="78">
        <f t="shared" si="35"/>
        <v>70.400000000000006</v>
      </c>
      <c r="BO68" s="78">
        <f t="shared" si="35"/>
        <v>77.5</v>
      </c>
      <c r="BP68" s="78">
        <f t="shared" si="35"/>
        <v>73.099999999999994</v>
      </c>
      <c r="BQ68" s="78">
        <f>X81</f>
        <v>65.7</v>
      </c>
      <c r="BR68" s="78">
        <f>Z81</f>
        <v>71</v>
      </c>
      <c r="BS68" s="83">
        <f>AB81</f>
        <v>70.599999999999994</v>
      </c>
      <c r="BT68" s="83">
        <f t="shared" ref="BT68:BV72" si="36">AD81</f>
        <v>67.900000000000006</v>
      </c>
      <c r="BU68" s="83">
        <f t="shared" si="36"/>
        <v>57</v>
      </c>
      <c r="BV68" s="83">
        <f t="shared" si="36"/>
        <v>45</v>
      </c>
      <c r="BW68" s="83">
        <f>B81</f>
        <v>17.7</v>
      </c>
    </row>
    <row r="69" spans="1:75" x14ac:dyDescent="0.25">
      <c r="A69" s="87" t="s">
        <v>197</v>
      </c>
      <c r="B69" s="70">
        <v>15.2</v>
      </c>
      <c r="C69" s="70">
        <v>15.2</v>
      </c>
      <c r="D69" s="70">
        <v>16</v>
      </c>
      <c r="E69" s="70">
        <v>16</v>
      </c>
      <c r="F69" s="70">
        <v>16</v>
      </c>
      <c r="G69" s="70">
        <v>16</v>
      </c>
      <c r="H69" s="70">
        <v>16</v>
      </c>
      <c r="I69" s="70">
        <v>16</v>
      </c>
      <c r="J69" s="70">
        <v>16</v>
      </c>
      <c r="K69" s="70">
        <v>16</v>
      </c>
      <c r="L69" s="70">
        <v>16</v>
      </c>
      <c r="M69" s="70">
        <v>16</v>
      </c>
      <c r="N69" s="70">
        <v>16</v>
      </c>
      <c r="O69" s="70">
        <v>16</v>
      </c>
      <c r="P69" s="70">
        <v>16</v>
      </c>
      <c r="Q69" s="70">
        <v>16</v>
      </c>
      <c r="R69" s="70">
        <v>16</v>
      </c>
      <c r="S69" s="70">
        <v>14.9</v>
      </c>
      <c r="T69" s="70">
        <v>14.9</v>
      </c>
      <c r="U69" s="70">
        <v>15</v>
      </c>
      <c r="V69" s="70">
        <v>15</v>
      </c>
      <c r="W69" s="70">
        <v>15</v>
      </c>
      <c r="X69" s="70">
        <v>15</v>
      </c>
      <c r="Y69" s="70">
        <v>15</v>
      </c>
      <c r="Z69" s="70">
        <v>15</v>
      </c>
      <c r="AA69" s="70">
        <v>15</v>
      </c>
      <c r="AB69" s="70">
        <v>15</v>
      </c>
      <c r="AC69" s="70">
        <v>15</v>
      </c>
      <c r="AD69" s="70">
        <v>15</v>
      </c>
      <c r="AE69" s="70">
        <v>15</v>
      </c>
      <c r="AF69" s="70">
        <v>15</v>
      </c>
      <c r="AG69" s="86">
        <v>24</v>
      </c>
      <c r="AH69" s="12">
        <f t="shared" si="8"/>
        <v>16</v>
      </c>
      <c r="AI69" s="11">
        <f t="shared" si="9"/>
        <v>14.9</v>
      </c>
      <c r="AK69" s="19"/>
      <c r="AY69" s="1" t="s">
        <v>196</v>
      </c>
      <c r="AZ69" s="78">
        <f>ROUND(C82,0)</f>
        <v>0</v>
      </c>
      <c r="BA69" s="83">
        <f t="shared" si="34"/>
        <v>0</v>
      </c>
      <c r="BB69" s="83">
        <f t="shared" si="34"/>
        <v>0</v>
      </c>
      <c r="BC69" s="83">
        <f t="shared" si="34"/>
        <v>0</v>
      </c>
      <c r="BD69" s="83">
        <f t="shared" si="34"/>
        <v>0</v>
      </c>
      <c r="BE69" s="78">
        <f>I82</f>
        <v>0</v>
      </c>
      <c r="BF69" s="78">
        <f>K82</f>
        <v>105.8</v>
      </c>
      <c r="BG69" s="78">
        <f t="shared" si="35"/>
        <v>119.6</v>
      </c>
      <c r="BH69" s="78">
        <f t="shared" si="35"/>
        <v>113</v>
      </c>
      <c r="BI69" s="78">
        <f t="shared" si="35"/>
        <v>122</v>
      </c>
      <c r="BJ69" s="78">
        <f t="shared" si="35"/>
        <v>121.9</v>
      </c>
      <c r="BK69" s="78">
        <f t="shared" si="35"/>
        <v>121</v>
      </c>
      <c r="BL69" s="78">
        <f t="shared" si="35"/>
        <v>117</v>
      </c>
      <c r="BM69" s="78">
        <f t="shared" si="35"/>
        <v>117.1</v>
      </c>
      <c r="BN69" s="78">
        <f t="shared" si="35"/>
        <v>125.5</v>
      </c>
      <c r="BO69" s="78">
        <f t="shared" si="35"/>
        <v>129.69999999999999</v>
      </c>
      <c r="BP69" s="78">
        <f t="shared" si="35"/>
        <v>121.7</v>
      </c>
      <c r="BQ69" s="78">
        <f>X82</f>
        <v>124.2</v>
      </c>
      <c r="BR69" s="78">
        <f>Z82</f>
        <v>0</v>
      </c>
      <c r="BS69" s="83">
        <f>AB82</f>
        <v>0</v>
      </c>
      <c r="BT69" s="83">
        <f t="shared" si="36"/>
        <v>0</v>
      </c>
      <c r="BU69" s="83">
        <f t="shared" si="36"/>
        <v>0</v>
      </c>
      <c r="BV69" s="83">
        <f t="shared" si="36"/>
        <v>0</v>
      </c>
      <c r="BW69" s="83">
        <f>B82</f>
        <v>0</v>
      </c>
    </row>
    <row r="70" spans="1:75" x14ac:dyDescent="0.25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110</v>
      </c>
      <c r="BA70" s="83">
        <f t="shared" si="34"/>
        <v>115.2</v>
      </c>
      <c r="BB70" s="83">
        <f t="shared" si="34"/>
        <v>114.5</v>
      </c>
      <c r="BC70" s="83">
        <f t="shared" si="34"/>
        <v>114.7</v>
      </c>
      <c r="BD70" s="83">
        <f t="shared" si="34"/>
        <v>127.7</v>
      </c>
      <c r="BE70" s="78">
        <f>I83</f>
        <v>100</v>
      </c>
      <c r="BF70" s="78">
        <f>K83</f>
        <v>437</v>
      </c>
      <c r="BG70" s="78">
        <f t="shared" si="35"/>
        <v>489.9</v>
      </c>
      <c r="BH70" s="78">
        <f t="shared" si="35"/>
        <v>509</v>
      </c>
      <c r="BI70" s="78">
        <f t="shared" si="35"/>
        <v>512</v>
      </c>
      <c r="BJ70" s="78">
        <f t="shared" si="35"/>
        <v>507.4</v>
      </c>
      <c r="BK70" s="78">
        <f t="shared" si="35"/>
        <v>484</v>
      </c>
      <c r="BL70" s="78">
        <f t="shared" si="35"/>
        <v>446</v>
      </c>
      <c r="BM70" s="78">
        <f t="shared" si="35"/>
        <v>445.6</v>
      </c>
      <c r="BN70" s="78">
        <f t="shared" si="35"/>
        <v>464.7</v>
      </c>
      <c r="BO70" s="78">
        <f t="shared" si="35"/>
        <v>459.3</v>
      </c>
      <c r="BP70" s="78">
        <f t="shared" si="35"/>
        <v>460.6</v>
      </c>
      <c r="BQ70" s="78">
        <f>X83</f>
        <v>386.5</v>
      </c>
      <c r="BR70" s="78">
        <f>Z83</f>
        <v>199.1</v>
      </c>
      <c r="BS70" s="83">
        <f>AB83</f>
        <v>182</v>
      </c>
      <c r="BT70" s="83">
        <f t="shared" si="36"/>
        <v>189</v>
      </c>
      <c r="BU70" s="83">
        <f t="shared" si="36"/>
        <v>224</v>
      </c>
      <c r="BV70" s="83">
        <f t="shared" si="36"/>
        <v>65</v>
      </c>
      <c r="BW70" s="83">
        <f>B83</f>
        <v>135</v>
      </c>
    </row>
    <row r="71" spans="1:75" s="115" customFormat="1" x14ac:dyDescent="0.25">
      <c r="A71" s="87" t="s">
        <v>193</v>
      </c>
      <c r="B71" s="70">
        <v>13.5</v>
      </c>
      <c r="C71" s="70">
        <v>13.6</v>
      </c>
      <c r="D71" s="70">
        <v>13.7</v>
      </c>
      <c r="E71" s="70">
        <v>13.7</v>
      </c>
      <c r="F71" s="70">
        <v>13.7</v>
      </c>
      <c r="G71" s="70">
        <v>13.7</v>
      </c>
      <c r="H71" s="70">
        <v>13.7</v>
      </c>
      <c r="I71" s="70">
        <v>13.7</v>
      </c>
      <c r="J71" s="70">
        <v>13.7</v>
      </c>
      <c r="K71" s="70">
        <v>13.7</v>
      </c>
      <c r="L71" s="70">
        <v>13.7</v>
      </c>
      <c r="M71" s="70">
        <v>13.7</v>
      </c>
      <c r="N71" s="70">
        <v>13.7</v>
      </c>
      <c r="O71" s="70">
        <v>13.7</v>
      </c>
      <c r="P71" s="70">
        <v>13.7</v>
      </c>
      <c r="Q71" s="70">
        <v>13.7</v>
      </c>
      <c r="R71" s="70">
        <v>13.7</v>
      </c>
      <c r="S71" s="70">
        <v>11.8</v>
      </c>
      <c r="T71" s="70">
        <v>11.7</v>
      </c>
      <c r="U71" s="70">
        <v>11.8</v>
      </c>
      <c r="V71" s="70">
        <v>11.8</v>
      </c>
      <c r="W71" s="70">
        <v>11.9</v>
      </c>
      <c r="X71" s="70">
        <v>11.9</v>
      </c>
      <c r="Y71" s="70">
        <v>11.9</v>
      </c>
      <c r="Z71" s="70">
        <v>11.8</v>
      </c>
      <c r="AA71" s="70">
        <v>11.8</v>
      </c>
      <c r="AB71" s="70">
        <v>11.8</v>
      </c>
      <c r="AC71" s="70">
        <v>11.8</v>
      </c>
      <c r="AD71" s="70">
        <v>11.8</v>
      </c>
      <c r="AE71" s="70">
        <v>11.8</v>
      </c>
      <c r="AF71" s="70">
        <v>11.8</v>
      </c>
      <c r="AG71" s="86">
        <v>14.1</v>
      </c>
      <c r="AH71" s="12">
        <f t="shared" si="8"/>
        <v>13.7</v>
      </c>
      <c r="AI71" s="11">
        <f t="shared" si="9"/>
        <v>11.7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15</v>
      </c>
      <c r="BA71" s="83">
        <f t="shared" si="34"/>
        <v>15</v>
      </c>
      <c r="BB71" s="83">
        <f t="shared" si="34"/>
        <v>14.5</v>
      </c>
      <c r="BC71" s="83">
        <f t="shared" si="34"/>
        <v>13.9</v>
      </c>
      <c r="BD71" s="83">
        <f t="shared" si="34"/>
        <v>14</v>
      </c>
      <c r="BE71" s="78">
        <f>I84</f>
        <v>12</v>
      </c>
      <c r="BF71" s="78">
        <f>K84</f>
        <v>18.2</v>
      </c>
      <c r="BG71" s="78">
        <f t="shared" si="35"/>
        <v>55.8</v>
      </c>
      <c r="BH71" s="78">
        <f t="shared" si="35"/>
        <v>48</v>
      </c>
      <c r="BI71" s="78">
        <f t="shared" si="35"/>
        <v>42</v>
      </c>
      <c r="BJ71" s="78">
        <f t="shared" si="35"/>
        <v>47.6</v>
      </c>
      <c r="BK71" s="78">
        <f t="shared" si="35"/>
        <v>52</v>
      </c>
      <c r="BL71" s="78">
        <f t="shared" si="35"/>
        <v>52</v>
      </c>
      <c r="BM71" s="78">
        <f t="shared" si="35"/>
        <v>60.5</v>
      </c>
      <c r="BN71" s="78">
        <f t="shared" si="35"/>
        <v>50.3</v>
      </c>
      <c r="BO71" s="78">
        <f t="shared" si="35"/>
        <v>49.4</v>
      </c>
      <c r="BP71" s="78">
        <f t="shared" si="35"/>
        <v>52.4</v>
      </c>
      <c r="BQ71" s="78">
        <f>X84</f>
        <v>35.6</v>
      </c>
      <c r="BR71" s="78">
        <f>Z84</f>
        <v>23.9</v>
      </c>
      <c r="BS71" s="83">
        <f>AB84</f>
        <v>20.8</v>
      </c>
      <c r="BT71" s="83">
        <f t="shared" si="36"/>
        <v>20.8</v>
      </c>
      <c r="BU71" s="83">
        <f t="shared" si="36"/>
        <v>23.4</v>
      </c>
      <c r="BV71" s="83">
        <f t="shared" si="36"/>
        <v>23.4</v>
      </c>
      <c r="BW71" s="83">
        <f>B84</f>
        <v>14.9</v>
      </c>
    </row>
    <row r="72" spans="1:75" x14ac:dyDescent="0.25">
      <c r="A72" s="111" t="s">
        <v>191</v>
      </c>
      <c r="B72" s="70">
        <v>8.3000000000000007</v>
      </c>
      <c r="C72" s="70">
        <v>8.3000000000000007</v>
      </c>
      <c r="D72" s="70">
        <v>8</v>
      </c>
      <c r="E72" s="70">
        <v>8</v>
      </c>
      <c r="F72" s="70">
        <v>8</v>
      </c>
      <c r="G72" s="70">
        <v>8</v>
      </c>
      <c r="H72" s="70">
        <v>8</v>
      </c>
      <c r="I72" s="70">
        <v>7.9</v>
      </c>
      <c r="J72" s="70">
        <v>7.9</v>
      </c>
      <c r="K72" s="70">
        <v>7.9</v>
      </c>
      <c r="L72" s="70">
        <v>7.9</v>
      </c>
      <c r="M72" s="70">
        <v>7.9</v>
      </c>
      <c r="N72" s="70">
        <v>7.9</v>
      </c>
      <c r="O72" s="70">
        <v>7.9</v>
      </c>
      <c r="P72" s="70">
        <v>7.9</v>
      </c>
      <c r="Q72" s="70">
        <v>7.9</v>
      </c>
      <c r="R72" s="70">
        <v>7.9</v>
      </c>
      <c r="S72" s="70">
        <v>6</v>
      </c>
      <c r="T72" s="70">
        <v>6.4</v>
      </c>
      <c r="U72" s="70">
        <v>6.5</v>
      </c>
      <c r="V72" s="70">
        <v>6.5</v>
      </c>
      <c r="W72" s="70">
        <v>6.5</v>
      </c>
      <c r="X72" s="70">
        <v>6.5</v>
      </c>
      <c r="Y72" s="70">
        <v>6.5</v>
      </c>
      <c r="Z72" s="70">
        <v>7</v>
      </c>
      <c r="AA72" s="70">
        <v>7</v>
      </c>
      <c r="AB72" s="70">
        <v>7</v>
      </c>
      <c r="AC72" s="70">
        <v>7</v>
      </c>
      <c r="AD72" s="70">
        <v>7</v>
      </c>
      <c r="AE72" s="70">
        <v>7</v>
      </c>
      <c r="AF72" s="70">
        <v>7</v>
      </c>
      <c r="AG72" s="86">
        <v>14</v>
      </c>
      <c r="AH72" s="12">
        <f t="shared" si="8"/>
        <v>8.3000000000000007</v>
      </c>
      <c r="AI72" s="11">
        <f t="shared" si="9"/>
        <v>6</v>
      </c>
      <c r="AK72" s="19"/>
      <c r="AY72" s="1" t="s">
        <v>190</v>
      </c>
      <c r="AZ72" s="78">
        <f>ROUND(C85,0)</f>
        <v>0</v>
      </c>
      <c r="BA72" s="83">
        <f t="shared" si="34"/>
        <v>0</v>
      </c>
      <c r="BB72" s="83">
        <f t="shared" si="34"/>
        <v>0</v>
      </c>
      <c r="BC72" s="83">
        <f t="shared" si="34"/>
        <v>0</v>
      </c>
      <c r="BD72" s="83">
        <f t="shared" si="34"/>
        <v>0</v>
      </c>
      <c r="BE72" s="78">
        <f>I85</f>
        <v>0</v>
      </c>
      <c r="BF72" s="78">
        <f>K85</f>
        <v>118.1</v>
      </c>
      <c r="BG72" s="78">
        <f t="shared" si="35"/>
        <v>128.19999999999999</v>
      </c>
      <c r="BH72" s="78">
        <f t="shared" si="35"/>
        <v>112</v>
      </c>
      <c r="BI72" s="78">
        <f t="shared" si="35"/>
        <v>115</v>
      </c>
      <c r="BJ72" s="78">
        <f t="shared" si="35"/>
        <v>128.5</v>
      </c>
      <c r="BK72" s="78">
        <f t="shared" si="35"/>
        <v>132.5</v>
      </c>
      <c r="BL72" s="78">
        <f t="shared" si="35"/>
        <v>132.5</v>
      </c>
      <c r="BM72" s="78">
        <f t="shared" si="35"/>
        <v>131.80000000000001</v>
      </c>
      <c r="BN72" s="78">
        <f t="shared" si="35"/>
        <v>127.3</v>
      </c>
      <c r="BO72" s="78">
        <f t="shared" si="35"/>
        <v>130.69999999999999</v>
      </c>
      <c r="BP72" s="78">
        <f t="shared" si="35"/>
        <v>117.9</v>
      </c>
      <c r="BQ72" s="78">
        <f>X85</f>
        <v>69.900000000000006</v>
      </c>
      <c r="BR72" s="78">
        <f>Z85</f>
        <v>41.9</v>
      </c>
      <c r="BS72" s="83">
        <f>AB85</f>
        <v>0</v>
      </c>
      <c r="BT72" s="83">
        <f t="shared" si="36"/>
        <v>0</v>
      </c>
      <c r="BU72" s="83">
        <f t="shared" si="36"/>
        <v>0</v>
      </c>
      <c r="BV72" s="83">
        <f t="shared" si="36"/>
        <v>0</v>
      </c>
      <c r="BW72" s="83">
        <f>B85</f>
        <v>0</v>
      </c>
    </row>
    <row r="73" spans="1:75" x14ac:dyDescent="0.25">
      <c r="A73" s="87" t="s">
        <v>189</v>
      </c>
      <c r="B73" s="70">
        <v>4.5</v>
      </c>
      <c r="C73" s="70">
        <v>4.5</v>
      </c>
      <c r="D73" s="70">
        <v>4.5</v>
      </c>
      <c r="E73" s="70">
        <v>4.5</v>
      </c>
      <c r="F73" s="70">
        <v>4.5</v>
      </c>
      <c r="G73" s="70">
        <v>4.5</v>
      </c>
      <c r="H73" s="70">
        <v>4.5</v>
      </c>
      <c r="I73" s="70">
        <v>4.5</v>
      </c>
      <c r="J73" s="70">
        <v>4.5</v>
      </c>
      <c r="K73" s="70">
        <v>4.5</v>
      </c>
      <c r="L73" s="70">
        <v>4.5</v>
      </c>
      <c r="M73" s="70">
        <v>4.5</v>
      </c>
      <c r="N73" s="70">
        <v>4.5</v>
      </c>
      <c r="O73" s="70">
        <v>4.5</v>
      </c>
      <c r="P73" s="70">
        <v>4.5</v>
      </c>
      <c r="Q73" s="70">
        <v>4.5</v>
      </c>
      <c r="R73" s="70">
        <v>4.5</v>
      </c>
      <c r="S73" s="70">
        <v>4.5</v>
      </c>
      <c r="T73" s="70">
        <v>4.5</v>
      </c>
      <c r="U73" s="70">
        <v>4.5</v>
      </c>
      <c r="V73" s="70">
        <v>4.5</v>
      </c>
      <c r="W73" s="70">
        <v>4.5</v>
      </c>
      <c r="X73" s="70">
        <v>4.5</v>
      </c>
      <c r="Y73" s="70">
        <v>4.5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8"/>
        <v>4.5</v>
      </c>
      <c r="AI73" s="11">
        <f t="shared" si="9"/>
        <v>4</v>
      </c>
      <c r="AK73" s="19"/>
      <c r="AY73" s="1" t="s">
        <v>188</v>
      </c>
      <c r="AZ73" s="78">
        <f>ROUND(C91,0)</f>
        <v>44</v>
      </c>
      <c r="BA73" s="78">
        <f>D91</f>
        <v>43.8</v>
      </c>
      <c r="BB73" s="78">
        <f>E91</f>
        <v>41.2</v>
      </c>
      <c r="BC73" s="78">
        <f>F91</f>
        <v>39.6</v>
      </c>
      <c r="BD73" s="78">
        <f>G91</f>
        <v>38.5</v>
      </c>
      <c r="BE73" s="78">
        <f>I91</f>
        <v>45</v>
      </c>
      <c r="BF73" s="78">
        <f>K91</f>
        <v>43.1</v>
      </c>
      <c r="BG73" s="78">
        <f t="shared" ref="BG73:BP73" si="37">M91</f>
        <v>49.2</v>
      </c>
      <c r="BH73" s="78">
        <f t="shared" si="37"/>
        <v>55</v>
      </c>
      <c r="BI73" s="78">
        <f t="shared" si="37"/>
        <v>55</v>
      </c>
      <c r="BJ73" s="78">
        <f t="shared" si="37"/>
        <v>53.8</v>
      </c>
      <c r="BK73" s="78">
        <f t="shared" si="37"/>
        <v>56.7</v>
      </c>
      <c r="BL73" s="78">
        <f t="shared" si="37"/>
        <v>56.7</v>
      </c>
      <c r="BM73" s="78">
        <f t="shared" si="37"/>
        <v>56.8</v>
      </c>
      <c r="BN73" s="78">
        <f t="shared" si="37"/>
        <v>50.5</v>
      </c>
      <c r="BO73" s="78">
        <f t="shared" si="37"/>
        <v>52.7</v>
      </c>
      <c r="BP73" s="78">
        <f t="shared" si="37"/>
        <v>51.9</v>
      </c>
      <c r="BQ73" s="78">
        <f>X91</f>
        <v>41</v>
      </c>
      <c r="BR73" s="78">
        <f>Z91</f>
        <v>34.299999999999997</v>
      </c>
      <c r="BS73" s="78">
        <f>AB91</f>
        <v>36</v>
      </c>
      <c r="BT73" s="78">
        <f>AD91</f>
        <v>38</v>
      </c>
      <c r="BU73" s="78">
        <f>AE91</f>
        <v>44</v>
      </c>
      <c r="BV73" s="78">
        <f>AF91</f>
        <v>45</v>
      </c>
      <c r="BW73" s="78">
        <f>B91</f>
        <v>43.8</v>
      </c>
    </row>
    <row r="74" spans="1:75" x14ac:dyDescent="0.25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.75" thickBot="1" x14ac:dyDescent="0.3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3.54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</v>
      </c>
      <c r="AK75" s="19"/>
      <c r="AZ75" s="78">
        <f t="shared" ref="AZ75:BW80" si="38">VALUE(AZ68)</f>
        <v>29</v>
      </c>
      <c r="BA75" s="78">
        <f t="shared" si="38"/>
        <v>26.3</v>
      </c>
      <c r="BB75" s="78">
        <f t="shared" si="38"/>
        <v>23</v>
      </c>
      <c r="BC75" s="78">
        <f t="shared" si="38"/>
        <v>25.1</v>
      </c>
      <c r="BD75" s="78">
        <f t="shared" si="38"/>
        <v>24.5</v>
      </c>
      <c r="BE75" s="78">
        <f t="shared" si="38"/>
        <v>30</v>
      </c>
      <c r="BF75" s="78">
        <f t="shared" si="38"/>
        <v>53.4</v>
      </c>
      <c r="BG75" s="78">
        <f t="shared" si="38"/>
        <v>63.5</v>
      </c>
      <c r="BH75" s="78">
        <f t="shared" si="38"/>
        <v>71</v>
      </c>
      <c r="BI75" s="78">
        <f t="shared" si="38"/>
        <v>55</v>
      </c>
      <c r="BJ75" s="78">
        <f t="shared" si="38"/>
        <v>63.6</v>
      </c>
      <c r="BK75" s="78">
        <f t="shared" si="38"/>
        <v>62</v>
      </c>
      <c r="BL75" s="78">
        <f t="shared" si="38"/>
        <v>71</v>
      </c>
      <c r="BM75" s="78">
        <f t="shared" si="38"/>
        <v>66.7</v>
      </c>
      <c r="BN75" s="78">
        <f t="shared" si="38"/>
        <v>70.400000000000006</v>
      </c>
      <c r="BO75" s="78">
        <f t="shared" si="38"/>
        <v>77.5</v>
      </c>
      <c r="BP75" s="78">
        <f t="shared" si="38"/>
        <v>73.099999999999994</v>
      </c>
      <c r="BQ75" s="78">
        <f t="shared" si="38"/>
        <v>65.7</v>
      </c>
      <c r="BR75" s="78">
        <f t="shared" si="38"/>
        <v>71</v>
      </c>
      <c r="BS75" s="78">
        <f t="shared" si="38"/>
        <v>70.599999999999994</v>
      </c>
      <c r="BT75" s="78">
        <f t="shared" si="38"/>
        <v>67.900000000000006</v>
      </c>
      <c r="BU75" s="78">
        <f t="shared" si="38"/>
        <v>57</v>
      </c>
      <c r="BV75" s="78">
        <f t="shared" si="38"/>
        <v>45</v>
      </c>
      <c r="BW75" s="78">
        <f t="shared" si="38"/>
        <v>17.7</v>
      </c>
    </row>
    <row r="76" spans="1:75" ht="15.75" thickBot="1" x14ac:dyDescent="0.3">
      <c r="A76" s="77" t="s">
        <v>186</v>
      </c>
      <c r="B76" s="76">
        <f t="shared" ref="B76:C76" si="39">SUM(B63:B75)</f>
        <v>272.64000000000004</v>
      </c>
      <c r="C76" s="76">
        <f t="shared" si="39"/>
        <v>237.64</v>
      </c>
      <c r="D76" s="76">
        <f t="shared" ref="D76" si="40">SUM(D63:D75)</f>
        <v>237.03999999999996</v>
      </c>
      <c r="E76" s="76">
        <f t="shared" ref="E76:AG76" si="41">SUM(E63:E75)</f>
        <v>237.44</v>
      </c>
      <c r="F76" s="76">
        <f t="shared" si="41"/>
        <v>236.83999999999997</v>
      </c>
      <c r="G76" s="76">
        <f t="shared" si="41"/>
        <v>238.44</v>
      </c>
      <c r="H76" s="76">
        <f t="shared" si="41"/>
        <v>249.64</v>
      </c>
      <c r="I76" s="76">
        <f t="shared" si="41"/>
        <v>271.94</v>
      </c>
      <c r="J76" s="76">
        <f t="shared" si="41"/>
        <v>248.94</v>
      </c>
      <c r="K76" s="76">
        <f t="shared" si="41"/>
        <v>226.94</v>
      </c>
      <c r="L76" s="76">
        <f t="shared" si="41"/>
        <v>246.44</v>
      </c>
      <c r="M76" s="76">
        <f t="shared" si="41"/>
        <v>248.54000000000002</v>
      </c>
      <c r="N76" s="76">
        <f t="shared" si="41"/>
        <v>238.54</v>
      </c>
      <c r="O76" s="76">
        <f t="shared" si="41"/>
        <v>271.84000000000003</v>
      </c>
      <c r="P76" s="76">
        <f t="shared" si="41"/>
        <v>271.84000000000003</v>
      </c>
      <c r="Q76" s="76">
        <f t="shared" si="41"/>
        <v>264.84000000000003</v>
      </c>
      <c r="R76" s="76">
        <f t="shared" si="41"/>
        <v>266.84000000000003</v>
      </c>
      <c r="S76" s="76">
        <f t="shared" si="41"/>
        <v>287.04000000000002</v>
      </c>
      <c r="T76" s="76">
        <f t="shared" si="41"/>
        <v>266.04000000000002</v>
      </c>
      <c r="U76" s="76">
        <f t="shared" si="41"/>
        <v>262.44000000000005</v>
      </c>
      <c r="V76" s="76">
        <f t="shared" si="41"/>
        <v>257.54000000000002</v>
      </c>
      <c r="W76" s="76">
        <f t="shared" si="41"/>
        <v>261.34000000000003</v>
      </c>
      <c r="X76" s="76">
        <f t="shared" si="41"/>
        <v>255.84</v>
      </c>
      <c r="Y76" s="76">
        <f t="shared" si="41"/>
        <v>260.70000000000005</v>
      </c>
      <c r="Z76" s="76">
        <f t="shared" si="41"/>
        <v>333.24000000000007</v>
      </c>
      <c r="AA76" s="76">
        <f t="shared" si="41"/>
        <v>376.54</v>
      </c>
      <c r="AB76" s="76">
        <f t="shared" ref="AB76:AC76" si="42">SUM(AB63:AB75)</f>
        <v>367.64000000000004</v>
      </c>
      <c r="AC76" s="76">
        <f t="shared" si="42"/>
        <v>367.64000000000004</v>
      </c>
      <c r="AD76" s="76">
        <f t="shared" ref="AD76:AE76" si="43">SUM(AD63:AD75)</f>
        <v>367.64000000000004</v>
      </c>
      <c r="AE76" s="76">
        <f t="shared" si="43"/>
        <v>298.64</v>
      </c>
      <c r="AF76" s="76">
        <f t="shared" ref="AF76" si="44">SUM(AF63:AF75)</f>
        <v>287.64</v>
      </c>
      <c r="AG76" s="93">
        <f t="shared" si="41"/>
        <v>489.91</v>
      </c>
      <c r="AH76" s="12">
        <f t="shared" si="8"/>
        <v>376.54</v>
      </c>
      <c r="AI76" s="11">
        <f t="shared" si="9"/>
        <v>226.94</v>
      </c>
      <c r="AK76" s="19"/>
      <c r="AZ76" s="78">
        <f t="shared" si="38"/>
        <v>0</v>
      </c>
      <c r="BA76" s="78">
        <f t="shared" si="38"/>
        <v>0</v>
      </c>
      <c r="BB76" s="78">
        <f t="shared" si="38"/>
        <v>0</v>
      </c>
      <c r="BC76" s="78">
        <f t="shared" si="38"/>
        <v>0</v>
      </c>
      <c r="BD76" s="78">
        <f t="shared" si="38"/>
        <v>0</v>
      </c>
      <c r="BE76" s="78">
        <f t="shared" si="38"/>
        <v>0</v>
      </c>
      <c r="BF76" s="78">
        <f t="shared" si="38"/>
        <v>105.8</v>
      </c>
      <c r="BG76" s="78">
        <f t="shared" si="38"/>
        <v>119.6</v>
      </c>
      <c r="BH76" s="78">
        <f t="shared" si="38"/>
        <v>113</v>
      </c>
      <c r="BI76" s="78">
        <f t="shared" si="38"/>
        <v>122</v>
      </c>
      <c r="BJ76" s="78">
        <f t="shared" si="38"/>
        <v>121.9</v>
      </c>
      <c r="BK76" s="78">
        <f t="shared" si="38"/>
        <v>121</v>
      </c>
      <c r="BL76" s="78">
        <f t="shared" si="38"/>
        <v>117</v>
      </c>
      <c r="BM76" s="78">
        <f t="shared" si="38"/>
        <v>117.1</v>
      </c>
      <c r="BN76" s="78">
        <f t="shared" si="38"/>
        <v>125.5</v>
      </c>
      <c r="BO76" s="78">
        <f t="shared" si="38"/>
        <v>129.69999999999999</v>
      </c>
      <c r="BP76" s="78">
        <f t="shared" si="38"/>
        <v>121.7</v>
      </c>
      <c r="BQ76" s="78">
        <f t="shared" si="38"/>
        <v>124.2</v>
      </c>
      <c r="BR76" s="78">
        <f t="shared" si="38"/>
        <v>0</v>
      </c>
      <c r="BS76" s="78">
        <f t="shared" si="38"/>
        <v>0</v>
      </c>
      <c r="BT76" s="78">
        <f t="shared" si="38"/>
        <v>0</v>
      </c>
      <c r="BU76" s="78">
        <f t="shared" si="38"/>
        <v>0</v>
      </c>
      <c r="BV76" s="78">
        <f t="shared" si="38"/>
        <v>0</v>
      </c>
      <c r="BW76" s="78">
        <f t="shared" si="38"/>
        <v>0</v>
      </c>
    </row>
    <row r="77" spans="1:75" x14ac:dyDescent="0.25">
      <c r="A77" s="89" t="s">
        <v>185</v>
      </c>
      <c r="B77" s="102">
        <v>59.4</v>
      </c>
      <c r="C77" s="102">
        <v>59.4</v>
      </c>
      <c r="D77" s="102">
        <v>59.4</v>
      </c>
      <c r="E77" s="102">
        <v>59.4</v>
      </c>
      <c r="F77" s="102">
        <v>59.4</v>
      </c>
      <c r="G77" s="102">
        <v>59.4</v>
      </c>
      <c r="H77" s="102">
        <v>59.4</v>
      </c>
      <c r="I77" s="102">
        <v>59</v>
      </c>
      <c r="J77" s="102">
        <v>34</v>
      </c>
      <c r="K77" s="102">
        <v>60</v>
      </c>
      <c r="L77" s="102">
        <v>60</v>
      </c>
      <c r="M77" s="102">
        <v>45</v>
      </c>
      <c r="N77" s="102">
        <v>45</v>
      </c>
      <c r="O77" s="102">
        <v>59</v>
      </c>
      <c r="P77" s="102">
        <v>50</v>
      </c>
      <c r="Q77" s="102">
        <v>50</v>
      </c>
      <c r="R77" s="102">
        <v>40</v>
      </c>
      <c r="S77" s="102">
        <v>10.1</v>
      </c>
      <c r="T77" s="102">
        <v>19.5</v>
      </c>
      <c r="U77" s="102">
        <v>29.3</v>
      </c>
      <c r="V77" s="102">
        <v>29.4</v>
      </c>
      <c r="W77" s="102">
        <v>29.5</v>
      </c>
      <c r="X77" s="102">
        <v>13.9</v>
      </c>
      <c r="Y77" s="102">
        <v>13</v>
      </c>
      <c r="Z77" s="102">
        <v>59</v>
      </c>
      <c r="AA77" s="102">
        <v>59.3</v>
      </c>
      <c r="AB77" s="102">
        <v>59.3</v>
      </c>
      <c r="AC77" s="102">
        <v>59.3</v>
      </c>
      <c r="AD77" s="102">
        <v>59.3</v>
      </c>
      <c r="AE77" s="102">
        <v>40</v>
      </c>
      <c r="AF77" s="102">
        <v>30</v>
      </c>
      <c r="AG77" s="88">
        <v>60</v>
      </c>
      <c r="AH77" s="12">
        <f t="shared" si="8"/>
        <v>60</v>
      </c>
      <c r="AI77" s="11">
        <f t="shared" si="9"/>
        <v>10.1</v>
      </c>
      <c r="AK77" s="19"/>
      <c r="AZ77" s="78">
        <f t="shared" si="38"/>
        <v>110</v>
      </c>
      <c r="BA77" s="78">
        <f t="shared" si="38"/>
        <v>115.2</v>
      </c>
      <c r="BB77" s="78">
        <f t="shared" si="38"/>
        <v>114.5</v>
      </c>
      <c r="BC77" s="78">
        <f t="shared" si="38"/>
        <v>114.7</v>
      </c>
      <c r="BD77" s="78">
        <f t="shared" si="38"/>
        <v>127.7</v>
      </c>
      <c r="BE77" s="78">
        <f t="shared" si="38"/>
        <v>100</v>
      </c>
      <c r="BF77" s="78">
        <f t="shared" si="38"/>
        <v>437</v>
      </c>
      <c r="BG77" s="78">
        <f t="shared" si="38"/>
        <v>489.9</v>
      </c>
      <c r="BH77" s="78">
        <f t="shared" si="38"/>
        <v>509</v>
      </c>
      <c r="BI77" s="78">
        <f t="shared" si="38"/>
        <v>512</v>
      </c>
      <c r="BJ77" s="78">
        <f t="shared" si="38"/>
        <v>507.4</v>
      </c>
      <c r="BK77" s="78">
        <f t="shared" si="38"/>
        <v>484</v>
      </c>
      <c r="BL77" s="78">
        <f t="shared" si="38"/>
        <v>446</v>
      </c>
      <c r="BM77" s="78">
        <f t="shared" si="38"/>
        <v>445.6</v>
      </c>
      <c r="BN77" s="78">
        <f t="shared" si="38"/>
        <v>464.7</v>
      </c>
      <c r="BO77" s="78">
        <f t="shared" si="38"/>
        <v>459.3</v>
      </c>
      <c r="BP77" s="78">
        <f t="shared" si="38"/>
        <v>460.6</v>
      </c>
      <c r="BQ77" s="78">
        <f t="shared" si="38"/>
        <v>386.5</v>
      </c>
      <c r="BR77" s="78">
        <f t="shared" si="38"/>
        <v>199.1</v>
      </c>
      <c r="BS77" s="78">
        <f t="shared" si="38"/>
        <v>182</v>
      </c>
      <c r="BT77" s="78">
        <f t="shared" si="38"/>
        <v>189</v>
      </c>
      <c r="BU77" s="78">
        <f t="shared" si="38"/>
        <v>224</v>
      </c>
      <c r="BV77" s="78">
        <f t="shared" si="38"/>
        <v>65</v>
      </c>
      <c r="BW77" s="78">
        <f t="shared" si="38"/>
        <v>135</v>
      </c>
    </row>
    <row r="78" spans="1:75" x14ac:dyDescent="0.25">
      <c r="A78" s="87" t="s">
        <v>184</v>
      </c>
      <c r="B78" s="70">
        <v>27.6</v>
      </c>
      <c r="C78" s="70">
        <v>27.6</v>
      </c>
      <c r="D78" s="70">
        <v>27.6</v>
      </c>
      <c r="E78" s="70">
        <v>27.7</v>
      </c>
      <c r="F78" s="70">
        <v>27.8</v>
      </c>
      <c r="G78" s="70">
        <v>27.8</v>
      </c>
      <c r="H78" s="70">
        <v>27.8</v>
      </c>
      <c r="I78" s="70">
        <v>27</v>
      </c>
      <c r="J78" s="70">
        <v>15.2</v>
      </c>
      <c r="K78" s="70">
        <v>24.3</v>
      </c>
      <c r="L78" s="70">
        <v>28</v>
      </c>
      <c r="M78" s="70">
        <v>17.600000000000001</v>
      </c>
      <c r="N78" s="70">
        <v>20.7</v>
      </c>
      <c r="O78" s="70">
        <v>28</v>
      </c>
      <c r="P78" s="70">
        <v>27.4</v>
      </c>
      <c r="Q78" s="70">
        <v>27.4</v>
      </c>
      <c r="R78" s="70">
        <v>20</v>
      </c>
      <c r="S78" s="70">
        <v>2.4</v>
      </c>
      <c r="T78" s="70">
        <v>4.9000000000000004</v>
      </c>
      <c r="U78" s="70">
        <v>13.7</v>
      </c>
      <c r="V78" s="70">
        <v>14.1</v>
      </c>
      <c r="W78" s="70">
        <v>14.2</v>
      </c>
      <c r="X78" s="70">
        <v>6.8</v>
      </c>
      <c r="Y78" s="70">
        <v>6.8</v>
      </c>
      <c r="Z78" s="70">
        <v>22</v>
      </c>
      <c r="AA78" s="70">
        <v>28.9</v>
      </c>
      <c r="AB78" s="70">
        <v>28.9</v>
      </c>
      <c r="AC78" s="70">
        <v>28.9</v>
      </c>
      <c r="AD78" s="70">
        <v>28.9</v>
      </c>
      <c r="AE78" s="70">
        <v>20</v>
      </c>
      <c r="AF78" s="70">
        <v>13</v>
      </c>
      <c r="AG78" s="86">
        <v>32</v>
      </c>
      <c r="AH78" s="12">
        <f t="shared" si="8"/>
        <v>28.9</v>
      </c>
      <c r="AI78" s="11">
        <f t="shared" si="9"/>
        <v>2.4</v>
      </c>
      <c r="AK78" s="19"/>
      <c r="AZ78" s="78">
        <f t="shared" si="38"/>
        <v>15</v>
      </c>
      <c r="BA78" s="78">
        <f t="shared" si="38"/>
        <v>15</v>
      </c>
      <c r="BB78" s="78">
        <f t="shared" si="38"/>
        <v>14.5</v>
      </c>
      <c r="BC78" s="78">
        <f t="shared" si="38"/>
        <v>13.9</v>
      </c>
      <c r="BD78" s="78">
        <f t="shared" si="38"/>
        <v>14</v>
      </c>
      <c r="BE78" s="78">
        <f t="shared" si="38"/>
        <v>12</v>
      </c>
      <c r="BF78" s="78">
        <f t="shared" si="38"/>
        <v>18.2</v>
      </c>
      <c r="BG78" s="78">
        <f t="shared" si="38"/>
        <v>55.8</v>
      </c>
      <c r="BH78" s="78">
        <f t="shared" si="38"/>
        <v>48</v>
      </c>
      <c r="BI78" s="78">
        <f t="shared" si="38"/>
        <v>42</v>
      </c>
      <c r="BJ78" s="78">
        <f t="shared" si="38"/>
        <v>47.6</v>
      </c>
      <c r="BK78" s="78">
        <f t="shared" si="38"/>
        <v>52</v>
      </c>
      <c r="BL78" s="78">
        <f t="shared" si="38"/>
        <v>52</v>
      </c>
      <c r="BM78" s="78">
        <f t="shared" si="38"/>
        <v>60.5</v>
      </c>
      <c r="BN78" s="78">
        <f t="shared" si="38"/>
        <v>50.3</v>
      </c>
      <c r="BO78" s="78">
        <f t="shared" si="38"/>
        <v>49.4</v>
      </c>
      <c r="BP78" s="78">
        <f t="shared" si="38"/>
        <v>52.4</v>
      </c>
      <c r="BQ78" s="78">
        <f t="shared" si="38"/>
        <v>35.6</v>
      </c>
      <c r="BR78" s="78">
        <f t="shared" si="38"/>
        <v>23.9</v>
      </c>
      <c r="BS78" s="78">
        <f t="shared" si="38"/>
        <v>20.8</v>
      </c>
      <c r="BT78" s="78">
        <f t="shared" si="38"/>
        <v>20.8</v>
      </c>
      <c r="BU78" s="78">
        <f t="shared" si="38"/>
        <v>23.4</v>
      </c>
      <c r="BV78" s="78">
        <f t="shared" si="38"/>
        <v>23.4</v>
      </c>
      <c r="BW78" s="78">
        <f t="shared" si="38"/>
        <v>14.9</v>
      </c>
    </row>
    <row r="79" spans="1:75" ht="15.75" thickBot="1" x14ac:dyDescent="0.3">
      <c r="A79" s="111" t="s">
        <v>183</v>
      </c>
      <c r="B79" s="110">
        <v>10.1</v>
      </c>
      <c r="C79" s="110">
        <v>10.1</v>
      </c>
      <c r="D79" s="110">
        <v>10.1</v>
      </c>
      <c r="E79" s="110">
        <v>10.1</v>
      </c>
      <c r="F79" s="110">
        <v>10.1</v>
      </c>
      <c r="G79" s="110">
        <v>10.1</v>
      </c>
      <c r="H79" s="110">
        <v>10.1</v>
      </c>
      <c r="I79" s="110">
        <v>10</v>
      </c>
      <c r="J79" s="110">
        <v>5.5</v>
      </c>
      <c r="K79" s="110">
        <v>8.9</v>
      </c>
      <c r="L79" s="110">
        <v>10.5</v>
      </c>
      <c r="M79" s="110">
        <v>6.4</v>
      </c>
      <c r="N79" s="110">
        <v>7.6</v>
      </c>
      <c r="O79" s="110">
        <v>10</v>
      </c>
      <c r="P79" s="110">
        <v>10</v>
      </c>
      <c r="Q79" s="110">
        <v>10</v>
      </c>
      <c r="R79" s="110">
        <v>10</v>
      </c>
      <c r="S79" s="110">
        <v>0.9</v>
      </c>
      <c r="T79" s="110">
        <v>1.8</v>
      </c>
      <c r="U79" s="110">
        <v>5</v>
      </c>
      <c r="V79" s="110">
        <v>5.2</v>
      </c>
      <c r="W79" s="110">
        <v>5.2</v>
      </c>
      <c r="X79" s="110">
        <v>2.5</v>
      </c>
      <c r="Y79" s="110">
        <v>3</v>
      </c>
      <c r="Z79" s="110">
        <v>8</v>
      </c>
      <c r="AA79" s="110">
        <v>10.6</v>
      </c>
      <c r="AB79" s="110">
        <v>10.6</v>
      </c>
      <c r="AC79" s="110">
        <v>10.6</v>
      </c>
      <c r="AD79" s="110">
        <v>10.6</v>
      </c>
      <c r="AE79" s="110">
        <v>7</v>
      </c>
      <c r="AF79" s="110">
        <v>4.9000000000000004</v>
      </c>
      <c r="AG79" s="109">
        <v>14</v>
      </c>
      <c r="AH79" s="12">
        <f t="shared" si="8"/>
        <v>10.6</v>
      </c>
      <c r="AI79" s="11">
        <f t="shared" si="9"/>
        <v>0.9</v>
      </c>
      <c r="AK79" s="19"/>
      <c r="AZ79" s="78">
        <f t="shared" si="38"/>
        <v>0</v>
      </c>
      <c r="BA79" s="78">
        <f t="shared" si="38"/>
        <v>0</v>
      </c>
      <c r="BB79" s="78">
        <f t="shared" si="38"/>
        <v>0</v>
      </c>
      <c r="BC79" s="78">
        <f t="shared" si="38"/>
        <v>0</v>
      </c>
      <c r="BD79" s="78">
        <f t="shared" si="38"/>
        <v>0</v>
      </c>
      <c r="BE79" s="78">
        <f t="shared" si="38"/>
        <v>0</v>
      </c>
      <c r="BF79" s="78">
        <f t="shared" si="38"/>
        <v>118.1</v>
      </c>
      <c r="BG79" s="78">
        <f t="shared" si="38"/>
        <v>128.19999999999999</v>
      </c>
      <c r="BH79" s="78">
        <f t="shared" si="38"/>
        <v>112</v>
      </c>
      <c r="BI79" s="78">
        <f t="shared" si="38"/>
        <v>115</v>
      </c>
      <c r="BJ79" s="78">
        <f t="shared" si="38"/>
        <v>128.5</v>
      </c>
      <c r="BK79" s="78">
        <f t="shared" si="38"/>
        <v>132.5</v>
      </c>
      <c r="BL79" s="78">
        <f t="shared" si="38"/>
        <v>132.5</v>
      </c>
      <c r="BM79" s="78">
        <f t="shared" si="38"/>
        <v>131.80000000000001</v>
      </c>
      <c r="BN79" s="78">
        <f t="shared" si="38"/>
        <v>127.3</v>
      </c>
      <c r="BO79" s="78">
        <f t="shared" si="38"/>
        <v>130.69999999999999</v>
      </c>
      <c r="BP79" s="78">
        <f t="shared" si="38"/>
        <v>117.9</v>
      </c>
      <c r="BQ79" s="78">
        <f t="shared" si="38"/>
        <v>69.900000000000006</v>
      </c>
      <c r="BR79" s="78">
        <f t="shared" si="38"/>
        <v>41.9</v>
      </c>
      <c r="BS79" s="78">
        <f t="shared" si="38"/>
        <v>0</v>
      </c>
      <c r="BT79" s="78">
        <f t="shared" si="38"/>
        <v>0</v>
      </c>
      <c r="BU79" s="78">
        <f t="shared" si="38"/>
        <v>0</v>
      </c>
      <c r="BV79" s="78">
        <f t="shared" si="38"/>
        <v>0</v>
      </c>
      <c r="BW79" s="78">
        <f t="shared" si="38"/>
        <v>0</v>
      </c>
    </row>
    <row r="80" spans="1:75" ht="15.75" thickBot="1" x14ac:dyDescent="0.3">
      <c r="A80" s="77" t="s">
        <v>182</v>
      </c>
      <c r="B80" s="76">
        <f t="shared" ref="B80:C80" si="45">B77+B78+B79</f>
        <v>97.1</v>
      </c>
      <c r="C80" s="76">
        <f t="shared" si="45"/>
        <v>97.1</v>
      </c>
      <c r="D80" s="76">
        <f t="shared" ref="D80" si="46">D77+D78+D79</f>
        <v>97.1</v>
      </c>
      <c r="E80" s="76">
        <f t="shared" ref="E80:AA80" si="47">E77+E78+E79</f>
        <v>97.199999999999989</v>
      </c>
      <c r="F80" s="76">
        <f t="shared" si="47"/>
        <v>97.3</v>
      </c>
      <c r="G80" s="76">
        <f t="shared" si="47"/>
        <v>97.3</v>
      </c>
      <c r="H80" s="76">
        <f t="shared" si="47"/>
        <v>97.3</v>
      </c>
      <c r="I80" s="76">
        <f t="shared" si="47"/>
        <v>96</v>
      </c>
      <c r="J80" s="76">
        <f t="shared" si="47"/>
        <v>54.7</v>
      </c>
      <c r="K80" s="76">
        <f t="shared" si="47"/>
        <v>93.2</v>
      </c>
      <c r="L80" s="76">
        <f t="shared" si="47"/>
        <v>98.5</v>
      </c>
      <c r="M80" s="76">
        <f t="shared" si="47"/>
        <v>69</v>
      </c>
      <c r="N80" s="76">
        <f t="shared" si="47"/>
        <v>73.3</v>
      </c>
      <c r="O80" s="76">
        <f t="shared" si="47"/>
        <v>97</v>
      </c>
      <c r="P80" s="76">
        <f t="shared" si="47"/>
        <v>87.4</v>
      </c>
      <c r="Q80" s="76">
        <f t="shared" si="47"/>
        <v>87.4</v>
      </c>
      <c r="R80" s="76">
        <f t="shared" si="47"/>
        <v>70</v>
      </c>
      <c r="S80" s="76">
        <f t="shared" si="47"/>
        <v>13.4</v>
      </c>
      <c r="T80" s="76">
        <f t="shared" si="47"/>
        <v>26.2</v>
      </c>
      <c r="U80" s="76">
        <f t="shared" si="47"/>
        <v>48</v>
      </c>
      <c r="V80" s="76">
        <f t="shared" si="47"/>
        <v>48.7</v>
      </c>
      <c r="W80" s="76">
        <f t="shared" si="47"/>
        <v>48.900000000000006</v>
      </c>
      <c r="X80" s="76">
        <f t="shared" si="47"/>
        <v>23.2</v>
      </c>
      <c r="Y80" s="76">
        <f t="shared" si="47"/>
        <v>22.8</v>
      </c>
      <c r="Z80" s="76">
        <f t="shared" si="47"/>
        <v>89</v>
      </c>
      <c r="AA80" s="76">
        <f t="shared" si="47"/>
        <v>98.799999999999983</v>
      </c>
      <c r="AB80" s="76">
        <f t="shared" ref="AB80:AC80" si="48">AB77+AB78+AB79</f>
        <v>98.799999999999983</v>
      </c>
      <c r="AC80" s="76">
        <f t="shared" si="48"/>
        <v>98.799999999999983</v>
      </c>
      <c r="AD80" s="76">
        <f t="shared" ref="AD80:AE80" si="49">AD77+AD78+AD79</f>
        <v>98.799999999999983</v>
      </c>
      <c r="AE80" s="76">
        <f t="shared" si="49"/>
        <v>67</v>
      </c>
      <c r="AF80" s="76">
        <f t="shared" ref="AF80" si="50">AF77+AF78+AF79</f>
        <v>47.9</v>
      </c>
      <c r="AG80" s="93">
        <f>SUM(AG77:AG79)</f>
        <v>106</v>
      </c>
      <c r="AH80" s="12">
        <f t="shared" si="8"/>
        <v>98.799999999999983</v>
      </c>
      <c r="AI80" s="11">
        <f t="shared" si="9"/>
        <v>13.4</v>
      </c>
      <c r="AK80" s="19"/>
      <c r="AZ80" s="78">
        <f t="shared" si="38"/>
        <v>44</v>
      </c>
      <c r="BA80" s="78">
        <f t="shared" si="38"/>
        <v>43.8</v>
      </c>
      <c r="BB80" s="78">
        <f t="shared" si="38"/>
        <v>41.2</v>
      </c>
      <c r="BC80" s="78">
        <f t="shared" si="38"/>
        <v>39.6</v>
      </c>
      <c r="BD80" s="78">
        <f t="shared" si="38"/>
        <v>38.5</v>
      </c>
      <c r="BE80" s="78">
        <f t="shared" si="38"/>
        <v>45</v>
      </c>
      <c r="BF80" s="78">
        <f t="shared" si="38"/>
        <v>43.1</v>
      </c>
      <c r="BG80" s="78">
        <f t="shared" si="38"/>
        <v>49.2</v>
      </c>
      <c r="BH80" s="78">
        <f t="shared" si="38"/>
        <v>55</v>
      </c>
      <c r="BI80" s="78">
        <f t="shared" si="38"/>
        <v>55</v>
      </c>
      <c r="BJ80" s="78">
        <f t="shared" si="38"/>
        <v>53.8</v>
      </c>
      <c r="BK80" s="78">
        <f t="shared" si="38"/>
        <v>56.7</v>
      </c>
      <c r="BL80" s="78">
        <f t="shared" si="38"/>
        <v>56.7</v>
      </c>
      <c r="BM80" s="78">
        <f t="shared" si="38"/>
        <v>56.8</v>
      </c>
      <c r="BN80" s="78">
        <f t="shared" si="38"/>
        <v>50.5</v>
      </c>
      <c r="BO80" s="78">
        <f t="shared" si="38"/>
        <v>52.7</v>
      </c>
      <c r="BP80" s="78">
        <f t="shared" si="38"/>
        <v>51.9</v>
      </c>
      <c r="BQ80" s="78">
        <f t="shared" si="38"/>
        <v>41</v>
      </c>
      <c r="BR80" s="78">
        <f t="shared" si="38"/>
        <v>34.299999999999997</v>
      </c>
      <c r="BS80" s="78">
        <f t="shared" si="38"/>
        <v>36</v>
      </c>
      <c r="BT80" s="78">
        <f t="shared" si="38"/>
        <v>38</v>
      </c>
      <c r="BU80" s="78">
        <f t="shared" si="38"/>
        <v>44</v>
      </c>
      <c r="BV80" s="78">
        <f t="shared" si="38"/>
        <v>45</v>
      </c>
      <c r="BW80" s="78">
        <f t="shared" si="38"/>
        <v>43.8</v>
      </c>
    </row>
    <row r="81" spans="1:64" x14ac:dyDescent="0.25">
      <c r="A81" s="89" t="s">
        <v>157</v>
      </c>
      <c r="B81" s="102">
        <v>17.7</v>
      </c>
      <c r="C81" s="102">
        <v>29</v>
      </c>
      <c r="D81" s="102">
        <v>26.3</v>
      </c>
      <c r="E81" s="102">
        <v>23</v>
      </c>
      <c r="F81" s="102">
        <v>25.1</v>
      </c>
      <c r="G81" s="102">
        <v>24.5</v>
      </c>
      <c r="H81" s="102">
        <v>25.3</v>
      </c>
      <c r="I81" s="102">
        <v>30</v>
      </c>
      <c r="J81" s="102">
        <v>55</v>
      </c>
      <c r="K81" s="102">
        <v>53.4</v>
      </c>
      <c r="L81" s="102">
        <v>58</v>
      </c>
      <c r="M81" s="102">
        <v>63.5</v>
      </c>
      <c r="N81" s="102">
        <v>71</v>
      </c>
      <c r="O81" s="102">
        <v>55</v>
      </c>
      <c r="P81" s="102">
        <v>63.6</v>
      </c>
      <c r="Q81" s="102">
        <v>62</v>
      </c>
      <c r="R81" s="102">
        <v>71</v>
      </c>
      <c r="S81" s="102">
        <v>66.7</v>
      </c>
      <c r="T81" s="102">
        <v>70.400000000000006</v>
      </c>
      <c r="U81" s="102">
        <v>77.5</v>
      </c>
      <c r="V81" s="102">
        <v>73.099999999999994</v>
      </c>
      <c r="W81" s="102">
        <v>80.010000000000005</v>
      </c>
      <c r="X81" s="102">
        <v>65.7</v>
      </c>
      <c r="Y81" s="102">
        <v>66.900000000000006</v>
      </c>
      <c r="Z81" s="102">
        <v>71</v>
      </c>
      <c r="AA81" s="102">
        <v>70.599999999999994</v>
      </c>
      <c r="AB81" s="102">
        <v>70.599999999999994</v>
      </c>
      <c r="AC81" s="102">
        <v>67.900000000000006</v>
      </c>
      <c r="AD81" s="102">
        <v>67.900000000000006</v>
      </c>
      <c r="AE81" s="102">
        <v>57</v>
      </c>
      <c r="AF81" s="102">
        <v>45</v>
      </c>
      <c r="AG81" s="88"/>
      <c r="AH81" s="12">
        <f t="shared" si="8"/>
        <v>80.010000000000005</v>
      </c>
      <c r="AI81" s="11">
        <f t="shared" si="9"/>
        <v>17.7</v>
      </c>
      <c r="AK81" s="19"/>
      <c r="AY81" s="78"/>
    </row>
    <row r="82" spans="1:64" x14ac:dyDescent="0.25">
      <c r="A82" s="87" t="s">
        <v>160</v>
      </c>
      <c r="B82" s="70">
        <v>0</v>
      </c>
      <c r="C82" s="70">
        <v>0</v>
      </c>
      <c r="D82" s="70">
        <v>0</v>
      </c>
      <c r="E82" s="70"/>
      <c r="F82" s="70"/>
      <c r="G82" s="70"/>
      <c r="H82" s="70"/>
      <c r="I82" s="70"/>
      <c r="J82" s="70">
        <v>97</v>
      </c>
      <c r="K82" s="70">
        <v>105.8</v>
      </c>
      <c r="L82" s="70">
        <v>128.5</v>
      </c>
      <c r="M82" s="70">
        <v>119.6</v>
      </c>
      <c r="N82" s="70">
        <v>113</v>
      </c>
      <c r="O82" s="70">
        <v>122</v>
      </c>
      <c r="P82" s="70">
        <v>121.9</v>
      </c>
      <c r="Q82" s="70">
        <v>121</v>
      </c>
      <c r="R82" s="70">
        <v>117</v>
      </c>
      <c r="S82" s="70">
        <v>117.1</v>
      </c>
      <c r="T82" s="70">
        <v>125.5</v>
      </c>
      <c r="U82" s="70">
        <v>129.69999999999999</v>
      </c>
      <c r="V82" s="70">
        <v>121.7</v>
      </c>
      <c r="W82" s="70">
        <v>125.7</v>
      </c>
      <c r="X82" s="70">
        <v>124.2</v>
      </c>
      <c r="Y82" s="70">
        <v>131.4</v>
      </c>
      <c r="Z82" s="70">
        <v>0</v>
      </c>
      <c r="AA82" s="70">
        <v>0</v>
      </c>
      <c r="AB82" s="70">
        <v>0</v>
      </c>
      <c r="AC82" s="70">
        <v>0</v>
      </c>
      <c r="AD82" s="70">
        <v>0</v>
      </c>
      <c r="AE82" s="70">
        <v>0</v>
      </c>
      <c r="AF82" s="70">
        <v>0</v>
      </c>
      <c r="AG82" s="86"/>
      <c r="AH82" s="12">
        <f t="shared" ref="AH82:AH125" si="51">MAX(B82:AF82)</f>
        <v>131.4</v>
      </c>
      <c r="AI82" s="11">
        <f t="shared" ref="AI82:AI125" si="52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25">
      <c r="A83" s="87" t="s">
        <v>181</v>
      </c>
      <c r="B83" s="70">
        <v>135</v>
      </c>
      <c r="C83" s="70">
        <v>110</v>
      </c>
      <c r="D83" s="70">
        <v>115.2</v>
      </c>
      <c r="E83" s="70">
        <v>114.5</v>
      </c>
      <c r="F83" s="70">
        <v>114.7</v>
      </c>
      <c r="G83" s="70">
        <v>127.7</v>
      </c>
      <c r="H83" s="70">
        <v>112.7</v>
      </c>
      <c r="I83" s="70">
        <v>100</v>
      </c>
      <c r="J83" s="70">
        <v>360</v>
      </c>
      <c r="K83" s="70">
        <v>437</v>
      </c>
      <c r="L83" s="70">
        <v>463.3</v>
      </c>
      <c r="M83" s="70">
        <v>489.9</v>
      </c>
      <c r="N83" s="70">
        <v>509</v>
      </c>
      <c r="O83" s="70">
        <v>512</v>
      </c>
      <c r="P83" s="70">
        <v>507.4</v>
      </c>
      <c r="Q83" s="70">
        <v>484</v>
      </c>
      <c r="R83" s="70">
        <v>446</v>
      </c>
      <c r="S83" s="70">
        <v>445.6</v>
      </c>
      <c r="T83" s="70">
        <v>464.7</v>
      </c>
      <c r="U83" s="70">
        <v>459.3</v>
      </c>
      <c r="V83" s="70">
        <v>460.6</v>
      </c>
      <c r="W83" s="70">
        <v>459</v>
      </c>
      <c r="X83" s="70">
        <v>386.5</v>
      </c>
      <c r="Y83" s="70">
        <v>405.5</v>
      </c>
      <c r="Z83" s="70">
        <v>199.1</v>
      </c>
      <c r="AA83" s="70">
        <v>127.3</v>
      </c>
      <c r="AB83" s="70">
        <v>182</v>
      </c>
      <c r="AC83" s="70">
        <v>189</v>
      </c>
      <c r="AD83" s="70">
        <v>189</v>
      </c>
      <c r="AE83" s="70">
        <v>224</v>
      </c>
      <c r="AF83" s="70">
        <v>65</v>
      </c>
      <c r="AG83" s="96"/>
      <c r="AH83" s="12">
        <f t="shared" si="51"/>
        <v>512</v>
      </c>
      <c r="AI83" s="11">
        <f t="shared" si="52"/>
        <v>65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25">
      <c r="A84" s="87" t="s">
        <v>161</v>
      </c>
      <c r="B84" s="85">
        <v>14.9</v>
      </c>
      <c r="C84" s="85">
        <v>14.6</v>
      </c>
      <c r="D84" s="85">
        <v>15</v>
      </c>
      <c r="E84" s="85">
        <v>14.5</v>
      </c>
      <c r="F84" s="85">
        <v>13.9</v>
      </c>
      <c r="G84" s="85">
        <v>14</v>
      </c>
      <c r="H84" s="85">
        <v>12.2</v>
      </c>
      <c r="I84" s="85">
        <v>12</v>
      </c>
      <c r="J84" s="85">
        <v>35.299999999999997</v>
      </c>
      <c r="K84" s="85">
        <v>18.2</v>
      </c>
      <c r="L84" s="85">
        <v>54</v>
      </c>
      <c r="M84" s="85">
        <v>55.8</v>
      </c>
      <c r="N84" s="85">
        <v>48</v>
      </c>
      <c r="O84" s="85">
        <v>42</v>
      </c>
      <c r="P84" s="85">
        <v>47.6</v>
      </c>
      <c r="Q84" s="85">
        <v>52</v>
      </c>
      <c r="R84" s="85">
        <v>52</v>
      </c>
      <c r="S84" s="85">
        <v>60.5</v>
      </c>
      <c r="T84" s="85">
        <v>50.3</v>
      </c>
      <c r="U84" s="85">
        <v>49.4</v>
      </c>
      <c r="V84" s="85">
        <v>52.4</v>
      </c>
      <c r="W84" s="85">
        <v>41.4</v>
      </c>
      <c r="X84" s="85">
        <v>35.6</v>
      </c>
      <c r="Y84" s="85">
        <v>26.6</v>
      </c>
      <c r="Z84" s="85">
        <v>23.9</v>
      </c>
      <c r="AA84" s="85">
        <v>22.8</v>
      </c>
      <c r="AB84" s="85">
        <v>20.8</v>
      </c>
      <c r="AC84" s="85">
        <v>20.8</v>
      </c>
      <c r="AD84" s="85">
        <v>20.8</v>
      </c>
      <c r="AE84" s="85">
        <v>23.4</v>
      </c>
      <c r="AF84" s="85">
        <v>23.4</v>
      </c>
      <c r="AG84" s="96"/>
      <c r="AH84" s="12">
        <f t="shared" si="51"/>
        <v>60.5</v>
      </c>
      <c r="AI84" s="11">
        <f t="shared" si="52"/>
        <v>12</v>
      </c>
      <c r="AK84" s="19"/>
      <c r="AY84" s="78"/>
      <c r="BF84" s="83"/>
      <c r="BG84" s="78">
        <f t="array" ref="BG84:BL107">TRANSPOSE(AZ68:BW73)</f>
        <v>29</v>
      </c>
      <c r="BH84" s="78">
        <v>0</v>
      </c>
      <c r="BI84" s="78">
        <v>110</v>
      </c>
      <c r="BJ84" s="78">
        <v>15</v>
      </c>
      <c r="BK84" s="78">
        <v>0</v>
      </c>
      <c r="BL84" s="78">
        <v>44</v>
      </c>
    </row>
    <row r="85" spans="1:64" x14ac:dyDescent="0.25">
      <c r="A85" s="87" t="s">
        <v>180</v>
      </c>
      <c r="B85" s="102">
        <v>0</v>
      </c>
      <c r="C85" s="102">
        <v>0</v>
      </c>
      <c r="D85" s="102">
        <v>0</v>
      </c>
      <c r="E85" s="102"/>
      <c r="F85" s="102"/>
      <c r="G85" s="102"/>
      <c r="H85" s="102"/>
      <c r="I85" s="102"/>
      <c r="J85" s="102">
        <v>91.2</v>
      </c>
      <c r="K85" s="102">
        <v>118.1</v>
      </c>
      <c r="L85" s="102">
        <v>130.69999999999999</v>
      </c>
      <c r="M85" s="102">
        <v>128.19999999999999</v>
      </c>
      <c r="N85" s="102">
        <v>112</v>
      </c>
      <c r="O85" s="102">
        <v>115</v>
      </c>
      <c r="P85" s="102">
        <v>128.5</v>
      </c>
      <c r="Q85" s="102">
        <v>132.5</v>
      </c>
      <c r="R85" s="102">
        <v>132.5</v>
      </c>
      <c r="S85" s="102">
        <v>131.80000000000001</v>
      </c>
      <c r="T85" s="102">
        <v>127.3</v>
      </c>
      <c r="U85" s="102">
        <v>130.69999999999999</v>
      </c>
      <c r="V85" s="102">
        <v>117.9</v>
      </c>
      <c r="W85" s="102">
        <v>96.7</v>
      </c>
      <c r="X85" s="102">
        <v>69.900000000000006</v>
      </c>
      <c r="Y85" s="102">
        <v>73.3</v>
      </c>
      <c r="Z85" s="102">
        <v>41.9</v>
      </c>
      <c r="AA85" s="102">
        <v>0</v>
      </c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51"/>
        <v>132.5</v>
      </c>
      <c r="AI85" s="11">
        <f t="shared" si="52"/>
        <v>0</v>
      </c>
      <c r="AK85" s="19"/>
      <c r="AY85" s="78"/>
      <c r="BF85" s="83"/>
      <c r="BG85" s="78">
        <v>26.3</v>
      </c>
      <c r="BH85" s="78">
        <v>0</v>
      </c>
      <c r="BI85" s="78">
        <v>115.2</v>
      </c>
      <c r="BJ85" s="78">
        <v>15</v>
      </c>
      <c r="BK85" s="78">
        <v>0</v>
      </c>
      <c r="BL85" s="78">
        <v>43.8</v>
      </c>
    </row>
    <row r="86" spans="1:64" x14ac:dyDescent="0.25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51"/>
        <v>0</v>
      </c>
      <c r="AI86" s="11">
        <f t="shared" si="52"/>
        <v>0</v>
      </c>
      <c r="AK86" s="19"/>
      <c r="AY86" s="78"/>
      <c r="BF86" s="83"/>
      <c r="BG86" s="78">
        <v>23</v>
      </c>
      <c r="BH86" s="78">
        <v>0</v>
      </c>
      <c r="BI86" s="78">
        <v>114.5</v>
      </c>
      <c r="BJ86" s="78">
        <v>14.5</v>
      </c>
      <c r="BK86" s="78">
        <v>0</v>
      </c>
      <c r="BL86" s="78">
        <v>41.2</v>
      </c>
    </row>
    <row r="87" spans="1:64" ht="15.75" thickBot="1" x14ac:dyDescent="0.3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51"/>
        <v>0</v>
      </c>
      <c r="AI87" s="11">
        <f t="shared" si="52"/>
        <v>0</v>
      </c>
      <c r="AK87" s="19"/>
      <c r="AL87" s="108" t="s">
        <v>177</v>
      </c>
      <c r="AM87" s="108"/>
      <c r="AY87" s="78"/>
      <c r="BF87" s="78"/>
      <c r="BG87" s="78">
        <v>25.1</v>
      </c>
      <c r="BH87" s="78">
        <v>0</v>
      </c>
      <c r="BI87" s="78">
        <v>114.7</v>
      </c>
      <c r="BJ87" s="78">
        <v>13.9</v>
      </c>
      <c r="BK87" s="78">
        <v>0</v>
      </c>
      <c r="BL87" s="78">
        <v>39.6</v>
      </c>
    </row>
    <row r="88" spans="1:64" x14ac:dyDescent="0.25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51"/>
        <v>0</v>
      </c>
      <c r="AI88" s="11">
        <f t="shared" si="52"/>
        <v>0</v>
      </c>
      <c r="AK88" s="107"/>
      <c r="AL88" s="106"/>
      <c r="AM88" s="106"/>
      <c r="AN88" s="105"/>
      <c r="AY88" s="78"/>
      <c r="BF88" s="78"/>
      <c r="BG88" s="78">
        <v>24.5</v>
      </c>
      <c r="BH88" s="78">
        <v>0</v>
      </c>
      <c r="BI88" s="78">
        <v>127.7</v>
      </c>
      <c r="BJ88" s="78">
        <v>14</v>
      </c>
      <c r="BK88" s="78">
        <v>0</v>
      </c>
      <c r="BL88" s="78">
        <v>38.5</v>
      </c>
    </row>
    <row r="89" spans="1:64" x14ac:dyDescent="0.25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51"/>
        <v>0</v>
      </c>
      <c r="AI89" s="11">
        <f t="shared" si="52"/>
        <v>0</v>
      </c>
      <c r="AK89" s="104" t="s">
        <v>174</v>
      </c>
      <c r="AL89" s="70"/>
      <c r="AM89" s="85"/>
      <c r="AN89" s="103"/>
      <c r="AY89" s="78"/>
      <c r="BF89" s="78"/>
      <c r="BG89" s="78">
        <v>30</v>
      </c>
      <c r="BH89" s="78">
        <v>0</v>
      </c>
      <c r="BI89" s="78">
        <v>100</v>
      </c>
      <c r="BJ89" s="78">
        <v>12</v>
      </c>
      <c r="BK89" s="78">
        <v>0</v>
      </c>
      <c r="BL89" s="78">
        <v>45</v>
      </c>
    </row>
    <row r="90" spans="1:64" x14ac:dyDescent="0.25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51"/>
        <v>0</v>
      </c>
      <c r="AI90" s="11">
        <f t="shared" si="52"/>
        <v>0</v>
      </c>
      <c r="AK90" s="104" t="s">
        <v>172</v>
      </c>
      <c r="AL90" s="85"/>
      <c r="AM90" s="85"/>
      <c r="AN90" s="103"/>
      <c r="AY90" s="78"/>
      <c r="BF90" s="78"/>
      <c r="BG90" s="78">
        <v>53.4</v>
      </c>
      <c r="BH90" s="78">
        <v>105.8</v>
      </c>
      <c r="BI90" s="78">
        <v>437</v>
      </c>
      <c r="BJ90" s="78">
        <v>18.2</v>
      </c>
      <c r="BK90" s="78">
        <v>118.1</v>
      </c>
      <c r="BL90" s="78">
        <v>43.1</v>
      </c>
    </row>
    <row r="91" spans="1:64" ht="15.75" thickBot="1" x14ac:dyDescent="0.3">
      <c r="A91" s="82" t="s">
        <v>171</v>
      </c>
      <c r="B91" s="97">
        <v>43.8</v>
      </c>
      <c r="C91" s="97">
        <v>44</v>
      </c>
      <c r="D91" s="97">
        <v>43.8</v>
      </c>
      <c r="E91" s="97">
        <v>41.2</v>
      </c>
      <c r="F91" s="97">
        <v>39.6</v>
      </c>
      <c r="G91" s="97">
        <v>38.5</v>
      </c>
      <c r="H91" s="97">
        <v>36.4</v>
      </c>
      <c r="I91" s="97">
        <v>45</v>
      </c>
      <c r="J91" s="97">
        <v>43.8</v>
      </c>
      <c r="K91" s="97">
        <v>43.1</v>
      </c>
      <c r="L91" s="97">
        <v>52</v>
      </c>
      <c r="M91" s="97">
        <v>49.2</v>
      </c>
      <c r="N91" s="97">
        <v>55</v>
      </c>
      <c r="O91" s="97">
        <v>55</v>
      </c>
      <c r="P91" s="97">
        <v>53.8</v>
      </c>
      <c r="Q91" s="97">
        <v>56.7</v>
      </c>
      <c r="R91" s="97">
        <v>56.7</v>
      </c>
      <c r="S91" s="97">
        <v>56.8</v>
      </c>
      <c r="T91" s="97">
        <v>50.5</v>
      </c>
      <c r="U91" s="97">
        <v>52.7</v>
      </c>
      <c r="V91" s="97">
        <v>51.9</v>
      </c>
      <c r="W91" s="97">
        <v>38.200000000000003</v>
      </c>
      <c r="X91" s="97">
        <v>41</v>
      </c>
      <c r="Y91" s="97">
        <v>38</v>
      </c>
      <c r="Z91" s="97">
        <v>34.299999999999997</v>
      </c>
      <c r="AA91" s="97">
        <v>35</v>
      </c>
      <c r="AB91" s="97">
        <v>36</v>
      </c>
      <c r="AC91" s="97">
        <v>38</v>
      </c>
      <c r="AD91" s="97">
        <v>38</v>
      </c>
      <c r="AE91" s="97">
        <v>44</v>
      </c>
      <c r="AF91" s="97">
        <v>45</v>
      </c>
      <c r="AG91" s="80"/>
      <c r="AH91" s="12">
        <f t="shared" si="51"/>
        <v>56.8</v>
      </c>
      <c r="AI91" s="11">
        <f t="shared" si="52"/>
        <v>34.299999999999997</v>
      </c>
      <c r="AK91" s="98"/>
      <c r="AL91" s="102"/>
      <c r="AM91" s="102"/>
      <c r="AN91" s="101"/>
      <c r="AY91" s="78"/>
      <c r="BF91" s="78"/>
      <c r="BG91" s="78">
        <v>63.5</v>
      </c>
      <c r="BH91" s="78">
        <v>119.6</v>
      </c>
      <c r="BI91" s="78">
        <v>489.9</v>
      </c>
      <c r="BJ91" s="78">
        <v>55.8</v>
      </c>
      <c r="BK91" s="78">
        <v>128.19999999999999</v>
      </c>
      <c r="BL91" s="78">
        <v>49.2</v>
      </c>
    </row>
    <row r="92" spans="1:64" ht="15.75" thickBot="1" x14ac:dyDescent="0.3">
      <c r="A92" s="77" t="s">
        <v>170</v>
      </c>
      <c r="B92" s="76">
        <f t="shared" ref="B92" si="53">SUMIF(B81:B91,"&gt;0")</f>
        <v>211.39999999999998</v>
      </c>
      <c r="C92" s="76">
        <f t="shared" ref="C92:AA92" si="54">SUMIF(C81:C91,"&gt;0")</f>
        <v>197.6</v>
      </c>
      <c r="D92" s="76">
        <f t="shared" si="54"/>
        <v>200.3</v>
      </c>
      <c r="E92" s="76">
        <f t="shared" si="54"/>
        <v>193.2</v>
      </c>
      <c r="F92" s="76">
        <f t="shared" si="54"/>
        <v>193.3</v>
      </c>
      <c r="G92" s="76">
        <f t="shared" si="54"/>
        <v>204.7</v>
      </c>
      <c r="H92" s="76">
        <f t="shared" si="54"/>
        <v>186.6</v>
      </c>
      <c r="I92" s="76">
        <f t="shared" si="54"/>
        <v>187</v>
      </c>
      <c r="J92" s="76">
        <f t="shared" si="54"/>
        <v>682.3</v>
      </c>
      <c r="K92" s="76">
        <f t="shared" si="54"/>
        <v>775.60000000000014</v>
      </c>
      <c r="L92" s="76">
        <f t="shared" si="54"/>
        <v>886.5</v>
      </c>
      <c r="M92" s="76">
        <f t="shared" si="54"/>
        <v>906.2</v>
      </c>
      <c r="N92" s="76">
        <f t="shared" si="54"/>
        <v>908</v>
      </c>
      <c r="O92" s="76">
        <f t="shared" si="54"/>
        <v>901</v>
      </c>
      <c r="P92" s="76">
        <f t="shared" si="54"/>
        <v>922.8</v>
      </c>
      <c r="Q92" s="76">
        <f t="shared" si="54"/>
        <v>908.2</v>
      </c>
      <c r="R92" s="76">
        <f t="shared" si="54"/>
        <v>875.2</v>
      </c>
      <c r="S92" s="76">
        <f t="shared" si="54"/>
        <v>878.5</v>
      </c>
      <c r="T92" s="76">
        <f t="shared" si="54"/>
        <v>888.69999999999993</v>
      </c>
      <c r="U92" s="76">
        <f t="shared" si="54"/>
        <v>899.3</v>
      </c>
      <c r="V92" s="76">
        <f t="shared" si="54"/>
        <v>877.6</v>
      </c>
      <c r="W92" s="76">
        <f t="shared" si="54"/>
        <v>841.0100000000001</v>
      </c>
      <c r="X92" s="76">
        <f t="shared" si="54"/>
        <v>722.9</v>
      </c>
      <c r="Y92" s="76">
        <f t="shared" si="54"/>
        <v>741.69999999999993</v>
      </c>
      <c r="Z92" s="76">
        <f t="shared" si="54"/>
        <v>370.2</v>
      </c>
      <c r="AA92" s="76">
        <f t="shared" si="54"/>
        <v>255.7</v>
      </c>
      <c r="AB92" s="76">
        <f t="shared" ref="AB92:AC92" si="55">SUMIF(AB81:AB91,"&gt;0")</f>
        <v>309.39999999999998</v>
      </c>
      <c r="AC92" s="76">
        <f t="shared" si="55"/>
        <v>315.7</v>
      </c>
      <c r="AD92" s="76">
        <f t="shared" ref="AD92:AE92" si="56">SUMIF(AD81:AD91,"&gt;0")</f>
        <v>315.7</v>
      </c>
      <c r="AE92" s="76">
        <f t="shared" si="56"/>
        <v>348.4</v>
      </c>
      <c r="AF92" s="76">
        <f t="shared" ref="AF92" si="57">SUMIF(AF81:AF91,"&gt;0")</f>
        <v>178.4</v>
      </c>
      <c r="AG92" s="75">
        <f>SUM(AG81:AG91)</f>
        <v>0</v>
      </c>
      <c r="AH92" s="12">
        <f t="shared" si="51"/>
        <v>922.8</v>
      </c>
      <c r="AI92" s="11">
        <f t="shared" si="52"/>
        <v>178.4</v>
      </c>
      <c r="AK92" s="98"/>
      <c r="AL92" s="97"/>
      <c r="AM92" s="100"/>
      <c r="AN92" s="220"/>
      <c r="AY92" s="78"/>
      <c r="BF92" s="78"/>
      <c r="BG92" s="78">
        <v>71</v>
      </c>
      <c r="BH92" s="78">
        <v>113</v>
      </c>
      <c r="BI92" s="78">
        <v>509</v>
      </c>
      <c r="BJ92" s="78">
        <v>48</v>
      </c>
      <c r="BK92" s="78">
        <v>112</v>
      </c>
      <c r="BL92" s="78">
        <v>55</v>
      </c>
    </row>
    <row r="93" spans="1:64" x14ac:dyDescent="0.25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51"/>
        <v>0</v>
      </c>
      <c r="AI93" s="11">
        <f t="shared" si="52"/>
        <v>0</v>
      </c>
      <c r="AK93" s="98"/>
      <c r="AL93" s="97"/>
      <c r="AM93" s="97"/>
      <c r="AN93" s="221"/>
      <c r="BF93" s="78"/>
      <c r="BG93" s="78">
        <v>55</v>
      </c>
      <c r="BH93" s="78">
        <v>122</v>
      </c>
      <c r="BI93" s="78">
        <v>512</v>
      </c>
      <c r="BJ93" s="78">
        <v>42</v>
      </c>
      <c r="BK93" s="78">
        <v>115</v>
      </c>
      <c r="BL93" s="78">
        <v>55</v>
      </c>
    </row>
    <row r="94" spans="1:64" ht="15.75" thickBot="1" x14ac:dyDescent="0.3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51"/>
        <v>0</v>
      </c>
      <c r="AI94" s="11">
        <f t="shared" si="52"/>
        <v>0</v>
      </c>
      <c r="AK94" s="95"/>
      <c r="AL94" s="67"/>
      <c r="AM94" s="67"/>
      <c r="AN94" s="94"/>
      <c r="BF94" s="78"/>
      <c r="BG94" s="78">
        <v>63.6</v>
      </c>
      <c r="BH94" s="78">
        <v>121.9</v>
      </c>
      <c r="BI94" s="78">
        <v>507.4</v>
      </c>
      <c r="BJ94" s="78">
        <v>47.6</v>
      </c>
      <c r="BK94" s="78">
        <v>128.5</v>
      </c>
      <c r="BL94" s="78">
        <v>53.8</v>
      </c>
    </row>
    <row r="95" spans="1:64" ht="15.75" thickBot="1" x14ac:dyDescent="0.3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51"/>
        <v>0</v>
      </c>
      <c r="AI95" s="11">
        <f t="shared" si="52"/>
        <v>0</v>
      </c>
      <c r="BF95" s="78"/>
      <c r="BG95" s="78">
        <v>62</v>
      </c>
      <c r="BH95" s="78">
        <v>121</v>
      </c>
      <c r="BI95" s="78">
        <v>484</v>
      </c>
      <c r="BJ95" s="78">
        <v>52</v>
      </c>
      <c r="BK95" s="78">
        <v>132.5</v>
      </c>
      <c r="BL95" s="78">
        <v>56.7</v>
      </c>
    </row>
    <row r="96" spans="1:64" ht="15.75" thickBot="1" x14ac:dyDescent="0.3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>
        <v>0</v>
      </c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51"/>
        <v>0</v>
      </c>
      <c r="AI96" s="11">
        <f t="shared" si="52"/>
        <v>0</v>
      </c>
      <c r="BF96" s="78"/>
      <c r="BG96" s="78">
        <v>71</v>
      </c>
      <c r="BH96" s="78">
        <v>117</v>
      </c>
      <c r="BI96" s="78">
        <v>446</v>
      </c>
      <c r="BJ96" s="78">
        <v>52</v>
      </c>
      <c r="BK96" s="78">
        <v>132.5</v>
      </c>
      <c r="BL96" s="78">
        <v>56.7</v>
      </c>
    </row>
    <row r="97" spans="1:64" ht="15.75" thickBot="1" x14ac:dyDescent="0.3">
      <c r="A97" s="77" t="s">
        <v>165</v>
      </c>
      <c r="B97" s="90">
        <f t="shared" ref="B97" si="58">B58+B62+B80+B76+B92+B96</f>
        <v>1320.4899999999998</v>
      </c>
      <c r="C97" s="90">
        <f t="shared" ref="C97:AG97" si="59">C58+C62+C80+C76+C92+C96</f>
        <v>1275.6899999999998</v>
      </c>
      <c r="D97" s="90">
        <f t="shared" si="59"/>
        <v>1232.5899999999999</v>
      </c>
      <c r="E97" s="90">
        <f t="shared" si="59"/>
        <v>1196.8900000000001</v>
      </c>
      <c r="F97" s="90">
        <f t="shared" si="59"/>
        <v>1189.29</v>
      </c>
      <c r="G97" s="90">
        <f t="shared" si="59"/>
        <v>1201.3900000000001</v>
      </c>
      <c r="H97" s="90">
        <f t="shared" si="59"/>
        <v>1209.6899999999998</v>
      </c>
      <c r="I97" s="90">
        <f t="shared" si="59"/>
        <v>1260.5899999999999</v>
      </c>
      <c r="J97" s="90">
        <f t="shared" si="59"/>
        <v>1541.8</v>
      </c>
      <c r="K97" s="90">
        <f t="shared" si="59"/>
        <v>1651.2900000000002</v>
      </c>
      <c r="L97" s="90">
        <f t="shared" si="59"/>
        <v>1788.19</v>
      </c>
      <c r="M97" s="90">
        <f t="shared" si="59"/>
        <v>1780.49</v>
      </c>
      <c r="N97" s="90">
        <f t="shared" si="59"/>
        <v>1776.59</v>
      </c>
      <c r="O97" s="90">
        <f t="shared" si="59"/>
        <v>1826.5900000000001</v>
      </c>
      <c r="P97" s="90">
        <f t="shared" si="59"/>
        <v>1836.3899999999999</v>
      </c>
      <c r="Q97" s="90">
        <f t="shared" si="59"/>
        <v>1814.79</v>
      </c>
      <c r="R97" s="90">
        <f t="shared" si="59"/>
        <v>1766.39</v>
      </c>
      <c r="S97" s="90">
        <f t="shared" si="59"/>
        <v>1700.44</v>
      </c>
      <c r="T97" s="90">
        <f t="shared" si="59"/>
        <v>1713.3400000000001</v>
      </c>
      <c r="U97" s="90">
        <f t="shared" si="59"/>
        <v>1736.6399999999999</v>
      </c>
      <c r="V97" s="90">
        <f t="shared" si="59"/>
        <v>1716.04</v>
      </c>
      <c r="W97" s="90">
        <f t="shared" si="59"/>
        <v>1678.3500000000001</v>
      </c>
      <c r="X97" s="90">
        <f t="shared" si="59"/>
        <v>1553.44</v>
      </c>
      <c r="Y97" s="90">
        <f t="shared" si="59"/>
        <v>1605.6</v>
      </c>
      <c r="Z97" s="90">
        <f t="shared" si="59"/>
        <v>1621.94</v>
      </c>
      <c r="AA97" s="90">
        <f t="shared" si="59"/>
        <v>1658.64</v>
      </c>
      <c r="AB97" s="90">
        <f t="shared" ref="AB97:AC97" si="60">AB58+AB62+AB80+AB76+AB92+AB96</f>
        <v>1599.44</v>
      </c>
      <c r="AC97" s="90">
        <f t="shared" si="60"/>
        <v>1557.74</v>
      </c>
      <c r="AD97" s="90">
        <f t="shared" ref="AD97:AE97" si="61">AD58+AD62+AD80+AD76+AD92+AD96</f>
        <v>1546.74</v>
      </c>
      <c r="AE97" s="90">
        <f t="shared" si="61"/>
        <v>1459.6399999999999</v>
      </c>
      <c r="AF97" s="90">
        <f t="shared" ref="AF97" si="62">AF58+AF62+AF80+AF76+AF92+AF96</f>
        <v>1387.54</v>
      </c>
      <c r="AG97" s="93">
        <f t="shared" si="59"/>
        <v>2231.81</v>
      </c>
      <c r="AH97" s="12">
        <f t="shared" si="51"/>
        <v>1836.3899999999999</v>
      </c>
      <c r="AI97" s="11">
        <f t="shared" si="52"/>
        <v>1189.29</v>
      </c>
      <c r="BF97" s="78"/>
      <c r="BG97" s="78">
        <v>66.7</v>
      </c>
      <c r="BH97" s="78">
        <v>117.1</v>
      </c>
      <c r="BI97" s="78">
        <v>445.6</v>
      </c>
      <c r="BJ97" s="78">
        <v>60.5</v>
      </c>
      <c r="BK97" s="78">
        <v>131.80000000000001</v>
      </c>
      <c r="BL97" s="78">
        <v>56.8</v>
      </c>
    </row>
    <row r="98" spans="1:64" ht="15.75" thickBot="1" x14ac:dyDescent="0.3">
      <c r="A98" s="92" t="s">
        <v>164</v>
      </c>
      <c r="B98" s="91">
        <v>350</v>
      </c>
      <c r="C98" s="91">
        <v>350</v>
      </c>
      <c r="D98" s="91">
        <v>350</v>
      </c>
      <c r="E98" s="91">
        <v>350</v>
      </c>
      <c r="F98" s="91">
        <v>350</v>
      </c>
      <c r="G98" s="91">
        <v>350</v>
      </c>
      <c r="H98" s="91">
        <v>350</v>
      </c>
      <c r="I98" s="91">
        <v>300</v>
      </c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>
        <v>200</v>
      </c>
      <c r="Y98" s="91">
        <v>250</v>
      </c>
      <c r="Z98" s="91">
        <v>280</v>
      </c>
      <c r="AA98" s="91">
        <v>280</v>
      </c>
      <c r="AB98" s="91">
        <v>281</v>
      </c>
      <c r="AC98" s="91">
        <v>282</v>
      </c>
      <c r="AD98" s="91">
        <v>283</v>
      </c>
      <c r="AE98" s="91">
        <v>250</v>
      </c>
      <c r="AF98" s="91">
        <v>251</v>
      </c>
      <c r="AG98" s="75"/>
      <c r="AH98" s="12">
        <f t="shared" si="51"/>
        <v>350</v>
      </c>
      <c r="AI98" s="11">
        <f t="shared" si="52"/>
        <v>200</v>
      </c>
      <c r="BF98" s="78"/>
      <c r="BG98" s="78">
        <v>70.400000000000006</v>
      </c>
      <c r="BH98" s="78">
        <v>125.5</v>
      </c>
      <c r="BI98" s="78">
        <v>464.7</v>
      </c>
      <c r="BJ98" s="78">
        <v>50.3</v>
      </c>
      <c r="BK98" s="78">
        <v>127.3</v>
      </c>
      <c r="BL98" s="78">
        <v>50.5</v>
      </c>
    </row>
    <row r="99" spans="1:64" ht="15.75" thickBot="1" x14ac:dyDescent="0.3">
      <c r="A99" s="77" t="s">
        <v>163</v>
      </c>
      <c r="B99" s="90">
        <f t="shared" ref="B99" si="63">B97+B98</f>
        <v>1670.4899999999998</v>
      </c>
      <c r="C99" s="90">
        <f t="shared" ref="C99:AA99" si="64">C97+C98</f>
        <v>1625.6899999999998</v>
      </c>
      <c r="D99" s="90">
        <f t="shared" si="64"/>
        <v>1582.59</v>
      </c>
      <c r="E99" s="90">
        <f t="shared" si="64"/>
        <v>1546.89</v>
      </c>
      <c r="F99" s="90">
        <f t="shared" si="64"/>
        <v>1539.29</v>
      </c>
      <c r="G99" s="90">
        <f t="shared" si="64"/>
        <v>1551.39</v>
      </c>
      <c r="H99" s="90">
        <f t="shared" si="64"/>
        <v>1559.6899999999998</v>
      </c>
      <c r="I99" s="90">
        <f t="shared" si="64"/>
        <v>1560.59</v>
      </c>
      <c r="J99" s="90">
        <f t="shared" si="64"/>
        <v>1541.8</v>
      </c>
      <c r="K99" s="90">
        <f t="shared" si="64"/>
        <v>1651.2900000000002</v>
      </c>
      <c r="L99" s="90">
        <f t="shared" si="64"/>
        <v>1788.19</v>
      </c>
      <c r="M99" s="90">
        <f t="shared" si="64"/>
        <v>1780.49</v>
      </c>
      <c r="N99" s="90">
        <f t="shared" si="64"/>
        <v>1776.59</v>
      </c>
      <c r="O99" s="90">
        <f t="shared" si="64"/>
        <v>1826.5900000000001</v>
      </c>
      <c r="P99" s="90">
        <f t="shared" si="64"/>
        <v>1836.3899999999999</v>
      </c>
      <c r="Q99" s="90">
        <f t="shared" si="64"/>
        <v>1814.79</v>
      </c>
      <c r="R99" s="90">
        <f t="shared" si="64"/>
        <v>1766.39</v>
      </c>
      <c r="S99" s="90">
        <f t="shared" si="64"/>
        <v>1700.44</v>
      </c>
      <c r="T99" s="90">
        <f t="shared" si="64"/>
        <v>1713.3400000000001</v>
      </c>
      <c r="U99" s="90">
        <f t="shared" si="64"/>
        <v>1736.6399999999999</v>
      </c>
      <c r="V99" s="90">
        <f t="shared" si="64"/>
        <v>1716.04</v>
      </c>
      <c r="W99" s="90">
        <f t="shared" si="64"/>
        <v>1678.3500000000001</v>
      </c>
      <c r="X99" s="90">
        <f t="shared" si="64"/>
        <v>1753.44</v>
      </c>
      <c r="Y99" s="90">
        <f t="shared" si="64"/>
        <v>1855.6</v>
      </c>
      <c r="Z99" s="90">
        <f t="shared" si="64"/>
        <v>1901.94</v>
      </c>
      <c r="AA99" s="90">
        <f t="shared" si="64"/>
        <v>1938.64</v>
      </c>
      <c r="AB99" s="90">
        <f t="shared" ref="AB99:AC99" si="65">AB97+AB98</f>
        <v>1880.44</v>
      </c>
      <c r="AC99" s="90">
        <f t="shared" si="65"/>
        <v>1839.74</v>
      </c>
      <c r="AD99" s="90">
        <f t="shared" ref="AD99:AE99" si="66">AD97+AD98</f>
        <v>1829.74</v>
      </c>
      <c r="AE99" s="90">
        <f t="shared" si="66"/>
        <v>1709.6399999999999</v>
      </c>
      <c r="AF99" s="90">
        <f t="shared" ref="AF99" si="67">AF97+AF98</f>
        <v>1638.54</v>
      </c>
      <c r="AG99" s="75">
        <f>AG96+AG92+AG80+AG76+AG58+AG98</f>
        <v>1693.71</v>
      </c>
      <c r="AH99" s="12">
        <f t="shared" si="51"/>
        <v>1938.64</v>
      </c>
      <c r="AI99" s="11">
        <f t="shared" si="52"/>
        <v>1539.29</v>
      </c>
      <c r="BF99" s="78"/>
      <c r="BG99" s="78">
        <v>77.5</v>
      </c>
      <c r="BH99" s="78">
        <v>129.69999999999999</v>
      </c>
      <c r="BI99" s="78">
        <v>459.3</v>
      </c>
      <c r="BJ99" s="78">
        <v>49.4</v>
      </c>
      <c r="BK99" s="78">
        <v>130.69999999999999</v>
      </c>
      <c r="BL99" s="78">
        <v>52.7</v>
      </c>
    </row>
    <row r="100" spans="1:64" ht="15.75" thickBot="1" x14ac:dyDescent="0.3">
      <c r="A100" s="77" t="s">
        <v>162</v>
      </c>
      <c r="B100" s="90">
        <f t="shared" ref="B100" si="68">B99-(B107)</f>
        <v>1670.4899999999998</v>
      </c>
      <c r="C100" s="90">
        <f t="shared" ref="C100:AA100" si="69">C99-(C107)</f>
        <v>1625.6899999999998</v>
      </c>
      <c r="D100" s="90">
        <f t="shared" si="69"/>
        <v>1582.59</v>
      </c>
      <c r="E100" s="90">
        <f t="shared" si="69"/>
        <v>1546.89</v>
      </c>
      <c r="F100" s="90">
        <f t="shared" si="69"/>
        <v>1539.29</v>
      </c>
      <c r="G100" s="90">
        <f t="shared" si="69"/>
        <v>1551.39</v>
      </c>
      <c r="H100" s="90">
        <f t="shared" si="69"/>
        <v>1559.6899999999998</v>
      </c>
      <c r="I100" s="90">
        <f t="shared" si="69"/>
        <v>1560.59</v>
      </c>
      <c r="J100" s="90">
        <f t="shared" si="69"/>
        <v>1541.8</v>
      </c>
      <c r="K100" s="90">
        <f t="shared" si="69"/>
        <v>1651.2900000000002</v>
      </c>
      <c r="L100" s="90">
        <f t="shared" si="69"/>
        <v>1788.19</v>
      </c>
      <c r="M100" s="90">
        <f t="shared" si="69"/>
        <v>1780.49</v>
      </c>
      <c r="N100" s="90">
        <f t="shared" si="69"/>
        <v>1776.59</v>
      </c>
      <c r="O100" s="90">
        <f t="shared" si="69"/>
        <v>1826.5900000000001</v>
      </c>
      <c r="P100" s="90">
        <f t="shared" si="69"/>
        <v>1836.3899999999999</v>
      </c>
      <c r="Q100" s="90">
        <f t="shared" si="69"/>
        <v>1814.79</v>
      </c>
      <c r="R100" s="90">
        <f t="shared" si="69"/>
        <v>1766.39</v>
      </c>
      <c r="S100" s="90">
        <f t="shared" si="69"/>
        <v>1700.44</v>
      </c>
      <c r="T100" s="90">
        <f t="shared" si="69"/>
        <v>1713.3400000000001</v>
      </c>
      <c r="U100" s="90">
        <f t="shared" si="69"/>
        <v>1736.6399999999999</v>
      </c>
      <c r="V100" s="90">
        <f t="shared" si="69"/>
        <v>1716.04</v>
      </c>
      <c r="W100" s="90">
        <f t="shared" si="69"/>
        <v>1678.3500000000001</v>
      </c>
      <c r="X100" s="90">
        <f t="shared" si="69"/>
        <v>1753.44</v>
      </c>
      <c r="Y100" s="90">
        <f t="shared" si="69"/>
        <v>1855.6</v>
      </c>
      <c r="Z100" s="90">
        <f t="shared" si="69"/>
        <v>1901.94</v>
      </c>
      <c r="AA100" s="90">
        <f t="shared" si="69"/>
        <v>1938.64</v>
      </c>
      <c r="AB100" s="90">
        <f t="shared" ref="AB100:AC100" si="70">AB99-(AB107)</f>
        <v>1880.44</v>
      </c>
      <c r="AC100" s="90">
        <f t="shared" si="70"/>
        <v>1839.74</v>
      </c>
      <c r="AD100" s="90">
        <f t="shared" ref="AD100:AE100" si="71">AD99-(AD107)</f>
        <v>1829.74</v>
      </c>
      <c r="AE100" s="90">
        <f t="shared" si="71"/>
        <v>1709.6399999999999</v>
      </c>
      <c r="AF100" s="90">
        <f t="shared" ref="AF100" si="72">AF99-(AF107)</f>
        <v>1638.54</v>
      </c>
      <c r="AG100" s="75"/>
      <c r="AH100" s="12">
        <f t="shared" si="51"/>
        <v>1938.64</v>
      </c>
      <c r="AI100" s="11">
        <f t="shared" si="52"/>
        <v>1539.29</v>
      </c>
      <c r="BF100" s="78"/>
      <c r="BG100" s="78">
        <v>73.099999999999994</v>
      </c>
      <c r="BH100" s="78">
        <v>121.7</v>
      </c>
      <c r="BI100" s="78">
        <v>460.6</v>
      </c>
      <c r="BJ100" s="78">
        <v>52.4</v>
      </c>
      <c r="BK100" s="78">
        <v>117.9</v>
      </c>
      <c r="BL100" s="78">
        <v>51.9</v>
      </c>
    </row>
    <row r="101" spans="1:64" x14ac:dyDescent="0.25">
      <c r="A101" s="89" t="s">
        <v>161</v>
      </c>
      <c r="B101" s="85">
        <f t="shared" ref="B101" si="73">IF(B84&lt;0,B84*-1,0)</f>
        <v>0</v>
      </c>
      <c r="C101" s="85">
        <f t="shared" ref="C101:AA101" si="74">IF(C84&lt;0,C84*-1,0)</f>
        <v>0</v>
      </c>
      <c r="D101" s="85">
        <f t="shared" si="74"/>
        <v>0</v>
      </c>
      <c r="E101" s="85">
        <f t="shared" si="74"/>
        <v>0</v>
      </c>
      <c r="F101" s="85">
        <f t="shared" si="74"/>
        <v>0</v>
      </c>
      <c r="G101" s="85">
        <f t="shared" si="74"/>
        <v>0</v>
      </c>
      <c r="H101" s="85">
        <f t="shared" si="74"/>
        <v>0</v>
      </c>
      <c r="I101" s="85">
        <f t="shared" si="74"/>
        <v>0</v>
      </c>
      <c r="J101" s="85">
        <f t="shared" si="74"/>
        <v>0</v>
      </c>
      <c r="K101" s="85">
        <f t="shared" si="74"/>
        <v>0</v>
      </c>
      <c r="L101" s="85">
        <f t="shared" si="74"/>
        <v>0</v>
      </c>
      <c r="M101" s="85">
        <f t="shared" si="74"/>
        <v>0</v>
      </c>
      <c r="N101" s="85">
        <f t="shared" si="74"/>
        <v>0</v>
      </c>
      <c r="O101" s="85">
        <f t="shared" si="74"/>
        <v>0</v>
      </c>
      <c r="P101" s="85">
        <f t="shared" si="74"/>
        <v>0</v>
      </c>
      <c r="Q101" s="85">
        <f t="shared" si="74"/>
        <v>0</v>
      </c>
      <c r="R101" s="85">
        <f t="shared" si="74"/>
        <v>0</v>
      </c>
      <c r="S101" s="85">
        <f t="shared" si="74"/>
        <v>0</v>
      </c>
      <c r="T101" s="85">
        <f t="shared" si="74"/>
        <v>0</v>
      </c>
      <c r="U101" s="85">
        <f t="shared" si="74"/>
        <v>0</v>
      </c>
      <c r="V101" s="85">
        <f t="shared" si="74"/>
        <v>0</v>
      </c>
      <c r="W101" s="85">
        <f t="shared" si="74"/>
        <v>0</v>
      </c>
      <c r="X101" s="85">
        <f t="shared" si="74"/>
        <v>0</v>
      </c>
      <c r="Y101" s="85">
        <f t="shared" si="74"/>
        <v>0</v>
      </c>
      <c r="Z101" s="85">
        <f t="shared" si="74"/>
        <v>0</v>
      </c>
      <c r="AA101" s="85">
        <f t="shared" si="74"/>
        <v>0</v>
      </c>
      <c r="AB101" s="85">
        <f t="shared" ref="AB101:AC101" si="75">IF(AB84&lt;0,AB84*-1,0)</f>
        <v>0</v>
      </c>
      <c r="AC101" s="85">
        <f t="shared" si="75"/>
        <v>0</v>
      </c>
      <c r="AD101" s="85">
        <f t="shared" ref="AD101:AE101" si="76">IF(AD84&lt;0,AD84*-1,0)</f>
        <v>0</v>
      </c>
      <c r="AE101" s="85">
        <f t="shared" si="76"/>
        <v>0</v>
      </c>
      <c r="AF101" s="85">
        <f t="shared" ref="AF101" si="77">IF(AF84&lt;0,AF84*-1,0)</f>
        <v>0</v>
      </c>
      <c r="AG101" s="88"/>
      <c r="AH101" s="12">
        <f t="shared" si="51"/>
        <v>0</v>
      </c>
      <c r="AI101" s="11">
        <f t="shared" si="52"/>
        <v>0</v>
      </c>
      <c r="BF101" s="83"/>
      <c r="BG101" s="78">
        <v>65.7</v>
      </c>
      <c r="BH101" s="78">
        <v>124.2</v>
      </c>
      <c r="BI101" s="78">
        <v>386.5</v>
      </c>
      <c r="BJ101" s="78">
        <v>35.6</v>
      </c>
      <c r="BK101" s="78">
        <v>69.900000000000006</v>
      </c>
      <c r="BL101" s="78">
        <v>41</v>
      </c>
    </row>
    <row r="102" spans="1:64" x14ac:dyDescent="0.25">
      <c r="A102" s="87" t="s">
        <v>160</v>
      </c>
      <c r="B102" s="85">
        <f t="shared" ref="B102" si="78">IF(B82&lt;0,B82*-1,0)</f>
        <v>0</v>
      </c>
      <c r="C102" s="85">
        <f t="shared" ref="C102:AA102" si="79">IF(C82&lt;0,C82*-1,0)</f>
        <v>0</v>
      </c>
      <c r="D102" s="85">
        <f t="shared" si="79"/>
        <v>0</v>
      </c>
      <c r="E102" s="85">
        <f t="shared" si="79"/>
        <v>0</v>
      </c>
      <c r="F102" s="85">
        <f t="shared" si="79"/>
        <v>0</v>
      </c>
      <c r="G102" s="85">
        <f t="shared" si="79"/>
        <v>0</v>
      </c>
      <c r="H102" s="85">
        <f t="shared" si="79"/>
        <v>0</v>
      </c>
      <c r="I102" s="85">
        <f t="shared" si="79"/>
        <v>0</v>
      </c>
      <c r="J102" s="85">
        <f t="shared" si="79"/>
        <v>0</v>
      </c>
      <c r="K102" s="85">
        <f t="shared" si="79"/>
        <v>0</v>
      </c>
      <c r="L102" s="85">
        <f t="shared" si="79"/>
        <v>0</v>
      </c>
      <c r="M102" s="85">
        <f t="shared" si="79"/>
        <v>0</v>
      </c>
      <c r="N102" s="85">
        <f t="shared" si="79"/>
        <v>0</v>
      </c>
      <c r="O102" s="85">
        <f t="shared" si="79"/>
        <v>0</v>
      </c>
      <c r="P102" s="85">
        <f t="shared" si="79"/>
        <v>0</v>
      </c>
      <c r="Q102" s="85">
        <f t="shared" si="79"/>
        <v>0</v>
      </c>
      <c r="R102" s="85">
        <f t="shared" si="79"/>
        <v>0</v>
      </c>
      <c r="S102" s="85">
        <f t="shared" si="79"/>
        <v>0</v>
      </c>
      <c r="T102" s="85">
        <f t="shared" si="79"/>
        <v>0</v>
      </c>
      <c r="U102" s="85">
        <f t="shared" si="79"/>
        <v>0</v>
      </c>
      <c r="V102" s="85">
        <f t="shared" si="79"/>
        <v>0</v>
      </c>
      <c r="W102" s="85">
        <f t="shared" si="79"/>
        <v>0</v>
      </c>
      <c r="X102" s="85">
        <f t="shared" si="79"/>
        <v>0</v>
      </c>
      <c r="Y102" s="85">
        <f t="shared" si="79"/>
        <v>0</v>
      </c>
      <c r="Z102" s="85">
        <f t="shared" si="79"/>
        <v>0</v>
      </c>
      <c r="AA102" s="85">
        <f t="shared" si="79"/>
        <v>0</v>
      </c>
      <c r="AB102" s="85">
        <f t="shared" ref="AB102:AC102" si="80">IF(AB82&lt;0,AB82*-1,0)</f>
        <v>0</v>
      </c>
      <c r="AC102" s="85">
        <f t="shared" si="80"/>
        <v>0</v>
      </c>
      <c r="AD102" s="85">
        <f t="shared" ref="AD102:AE102" si="81">IF(AD82&lt;0,AD82*-1,0)</f>
        <v>0</v>
      </c>
      <c r="AE102" s="85">
        <f t="shared" si="81"/>
        <v>0</v>
      </c>
      <c r="AF102" s="85">
        <f t="shared" ref="AF102" si="82">IF(AF82&lt;0,AF82*-1,0)</f>
        <v>0</v>
      </c>
      <c r="AG102" s="86"/>
      <c r="AH102" s="12">
        <f t="shared" si="51"/>
        <v>0</v>
      </c>
      <c r="AI102" s="11">
        <f t="shared" si="52"/>
        <v>0</v>
      </c>
      <c r="BF102" s="83"/>
      <c r="BG102" s="78">
        <v>71</v>
      </c>
      <c r="BH102" s="78">
        <v>0</v>
      </c>
      <c r="BI102" s="78">
        <v>199.1</v>
      </c>
      <c r="BJ102" s="78">
        <v>23.9</v>
      </c>
      <c r="BK102" s="78">
        <v>41.9</v>
      </c>
      <c r="BL102" s="78">
        <v>34.299999999999997</v>
      </c>
    </row>
    <row r="103" spans="1:64" x14ac:dyDescent="0.25">
      <c r="A103" s="82" t="s">
        <v>159</v>
      </c>
      <c r="B103" s="85">
        <f t="shared" ref="B103" si="83">IF(B85&lt;0,B85*-1,0)</f>
        <v>0</v>
      </c>
      <c r="C103" s="85">
        <f t="shared" ref="C103:AA103" si="84">IF(C85&lt;0,C85*-1,0)</f>
        <v>0</v>
      </c>
      <c r="D103" s="85">
        <f t="shared" si="84"/>
        <v>0</v>
      </c>
      <c r="E103" s="85">
        <f t="shared" si="84"/>
        <v>0</v>
      </c>
      <c r="F103" s="85">
        <f t="shared" si="84"/>
        <v>0</v>
      </c>
      <c r="G103" s="85">
        <f t="shared" si="84"/>
        <v>0</v>
      </c>
      <c r="H103" s="85">
        <f t="shared" si="84"/>
        <v>0</v>
      </c>
      <c r="I103" s="85">
        <f t="shared" si="84"/>
        <v>0</v>
      </c>
      <c r="J103" s="85">
        <f t="shared" si="84"/>
        <v>0</v>
      </c>
      <c r="K103" s="85">
        <f t="shared" si="84"/>
        <v>0</v>
      </c>
      <c r="L103" s="85">
        <f t="shared" si="84"/>
        <v>0</v>
      </c>
      <c r="M103" s="85">
        <f t="shared" si="84"/>
        <v>0</v>
      </c>
      <c r="N103" s="85">
        <f t="shared" si="84"/>
        <v>0</v>
      </c>
      <c r="O103" s="85">
        <f t="shared" si="84"/>
        <v>0</v>
      </c>
      <c r="P103" s="85">
        <f t="shared" si="84"/>
        <v>0</v>
      </c>
      <c r="Q103" s="85">
        <f t="shared" si="84"/>
        <v>0</v>
      </c>
      <c r="R103" s="85">
        <f t="shared" si="84"/>
        <v>0</v>
      </c>
      <c r="S103" s="85">
        <f t="shared" si="84"/>
        <v>0</v>
      </c>
      <c r="T103" s="85">
        <f t="shared" si="84"/>
        <v>0</v>
      </c>
      <c r="U103" s="85">
        <f t="shared" si="84"/>
        <v>0</v>
      </c>
      <c r="V103" s="85">
        <f t="shared" si="84"/>
        <v>0</v>
      </c>
      <c r="W103" s="85">
        <f t="shared" si="84"/>
        <v>0</v>
      </c>
      <c r="X103" s="85">
        <f t="shared" si="84"/>
        <v>0</v>
      </c>
      <c r="Y103" s="85">
        <f t="shared" si="84"/>
        <v>0</v>
      </c>
      <c r="Z103" s="85">
        <f t="shared" si="84"/>
        <v>0</v>
      </c>
      <c r="AA103" s="85">
        <f t="shared" si="84"/>
        <v>0</v>
      </c>
      <c r="AB103" s="85">
        <f t="shared" ref="AB103:AC103" si="85">IF(AB85&lt;0,AB85*-1,0)</f>
        <v>0</v>
      </c>
      <c r="AC103" s="85">
        <f t="shared" si="85"/>
        <v>0</v>
      </c>
      <c r="AD103" s="85">
        <f t="shared" ref="AD103:AE103" si="86">IF(AD85&lt;0,AD85*-1,0)</f>
        <v>0</v>
      </c>
      <c r="AE103" s="85">
        <f t="shared" si="86"/>
        <v>0</v>
      </c>
      <c r="AF103" s="85">
        <f t="shared" ref="AF103" si="87">IF(AF85&lt;0,AF85*-1,0)</f>
        <v>0</v>
      </c>
      <c r="AG103" s="84"/>
      <c r="AH103" s="12">
        <f t="shared" si="51"/>
        <v>0</v>
      </c>
      <c r="AI103" s="11">
        <f t="shared" si="52"/>
        <v>0</v>
      </c>
      <c r="BF103" s="83"/>
      <c r="BG103" s="78">
        <v>70.599999999999994</v>
      </c>
      <c r="BH103" s="78">
        <v>0</v>
      </c>
      <c r="BI103" s="78">
        <v>182</v>
      </c>
      <c r="BJ103" s="78">
        <v>20.8</v>
      </c>
      <c r="BK103" s="78">
        <v>0</v>
      </c>
      <c r="BL103" s="78">
        <v>36</v>
      </c>
    </row>
    <row r="104" spans="1:64" x14ac:dyDescent="0.25">
      <c r="A104" s="82" t="s">
        <v>158</v>
      </c>
      <c r="B104" s="85">
        <f t="shared" ref="B104" si="88">IF(B83&lt;0,B83*-1,0)</f>
        <v>0</v>
      </c>
      <c r="C104" s="85">
        <f t="shared" ref="C104:AA104" si="89">IF(C83&lt;0,C83*-1,0)</f>
        <v>0</v>
      </c>
      <c r="D104" s="85">
        <f t="shared" si="89"/>
        <v>0</v>
      </c>
      <c r="E104" s="85">
        <f t="shared" si="89"/>
        <v>0</v>
      </c>
      <c r="F104" s="85">
        <f t="shared" si="89"/>
        <v>0</v>
      </c>
      <c r="G104" s="85">
        <f t="shared" si="89"/>
        <v>0</v>
      </c>
      <c r="H104" s="85">
        <f t="shared" si="89"/>
        <v>0</v>
      </c>
      <c r="I104" s="85">
        <f t="shared" si="89"/>
        <v>0</v>
      </c>
      <c r="J104" s="85">
        <f t="shared" si="89"/>
        <v>0</v>
      </c>
      <c r="K104" s="85">
        <f t="shared" si="89"/>
        <v>0</v>
      </c>
      <c r="L104" s="85">
        <f t="shared" si="89"/>
        <v>0</v>
      </c>
      <c r="M104" s="85">
        <f t="shared" si="89"/>
        <v>0</v>
      </c>
      <c r="N104" s="85">
        <f t="shared" si="89"/>
        <v>0</v>
      </c>
      <c r="O104" s="85">
        <f t="shared" si="89"/>
        <v>0</v>
      </c>
      <c r="P104" s="85">
        <f t="shared" si="89"/>
        <v>0</v>
      </c>
      <c r="Q104" s="85">
        <f t="shared" si="89"/>
        <v>0</v>
      </c>
      <c r="R104" s="85">
        <f t="shared" si="89"/>
        <v>0</v>
      </c>
      <c r="S104" s="85">
        <f t="shared" si="89"/>
        <v>0</v>
      </c>
      <c r="T104" s="85">
        <f t="shared" si="89"/>
        <v>0</v>
      </c>
      <c r="U104" s="85">
        <f t="shared" si="89"/>
        <v>0</v>
      </c>
      <c r="V104" s="85">
        <f t="shared" si="89"/>
        <v>0</v>
      </c>
      <c r="W104" s="85">
        <f t="shared" si="89"/>
        <v>0</v>
      </c>
      <c r="X104" s="85">
        <f t="shared" si="89"/>
        <v>0</v>
      </c>
      <c r="Y104" s="85">
        <f t="shared" si="89"/>
        <v>0</v>
      </c>
      <c r="Z104" s="85">
        <f t="shared" si="89"/>
        <v>0</v>
      </c>
      <c r="AA104" s="85">
        <f t="shared" si="89"/>
        <v>0</v>
      </c>
      <c r="AB104" s="85">
        <f t="shared" ref="AB104:AC104" si="90">IF(AB83&lt;0,AB83*-1,0)</f>
        <v>0</v>
      </c>
      <c r="AC104" s="85">
        <f t="shared" si="90"/>
        <v>0</v>
      </c>
      <c r="AD104" s="85">
        <f t="shared" ref="AD104:AE104" si="91">IF(AD83&lt;0,AD83*-1,0)</f>
        <v>0</v>
      </c>
      <c r="AE104" s="85">
        <f t="shared" si="91"/>
        <v>0</v>
      </c>
      <c r="AF104" s="85">
        <f t="shared" ref="AF104" si="92">IF(AF83&lt;0,AF83*-1,0)</f>
        <v>0</v>
      </c>
      <c r="AG104" s="84"/>
      <c r="AH104" s="12">
        <f t="shared" si="51"/>
        <v>0</v>
      </c>
      <c r="AI104" s="11">
        <f t="shared" si="52"/>
        <v>0</v>
      </c>
      <c r="BF104" s="83"/>
      <c r="BG104" s="78">
        <v>67.900000000000006</v>
      </c>
      <c r="BH104" s="78">
        <v>0</v>
      </c>
      <c r="BI104" s="78">
        <v>189</v>
      </c>
      <c r="BJ104" s="78">
        <v>20.8</v>
      </c>
      <c r="BK104" s="78">
        <v>0</v>
      </c>
      <c r="BL104" s="78">
        <v>38</v>
      </c>
    </row>
    <row r="105" spans="1:64" x14ac:dyDescent="0.25">
      <c r="A105" s="82" t="s">
        <v>157</v>
      </c>
      <c r="B105" s="85">
        <f t="shared" ref="B105" si="93">IF(B81&lt;0,B81*-1,0)</f>
        <v>0</v>
      </c>
      <c r="C105" s="85">
        <f t="shared" ref="C105:AA105" si="94">IF(C81&lt;0,C81*-1,0)</f>
        <v>0</v>
      </c>
      <c r="D105" s="85">
        <f t="shared" si="94"/>
        <v>0</v>
      </c>
      <c r="E105" s="85">
        <f t="shared" si="94"/>
        <v>0</v>
      </c>
      <c r="F105" s="85">
        <f t="shared" si="94"/>
        <v>0</v>
      </c>
      <c r="G105" s="85">
        <f t="shared" si="94"/>
        <v>0</v>
      </c>
      <c r="H105" s="85">
        <f t="shared" si="94"/>
        <v>0</v>
      </c>
      <c r="I105" s="85">
        <f t="shared" si="94"/>
        <v>0</v>
      </c>
      <c r="J105" s="85">
        <f t="shared" si="94"/>
        <v>0</v>
      </c>
      <c r="K105" s="85">
        <f t="shared" si="94"/>
        <v>0</v>
      </c>
      <c r="L105" s="85">
        <f t="shared" si="94"/>
        <v>0</v>
      </c>
      <c r="M105" s="85">
        <f t="shared" si="94"/>
        <v>0</v>
      </c>
      <c r="N105" s="85">
        <f t="shared" si="94"/>
        <v>0</v>
      </c>
      <c r="O105" s="85">
        <f t="shared" si="94"/>
        <v>0</v>
      </c>
      <c r="P105" s="85">
        <f t="shared" si="94"/>
        <v>0</v>
      </c>
      <c r="Q105" s="85">
        <f t="shared" si="94"/>
        <v>0</v>
      </c>
      <c r="R105" s="85">
        <f t="shared" si="94"/>
        <v>0</v>
      </c>
      <c r="S105" s="85">
        <f t="shared" si="94"/>
        <v>0</v>
      </c>
      <c r="T105" s="85">
        <f t="shared" si="94"/>
        <v>0</v>
      </c>
      <c r="U105" s="85">
        <f t="shared" si="94"/>
        <v>0</v>
      </c>
      <c r="V105" s="85">
        <f t="shared" si="94"/>
        <v>0</v>
      </c>
      <c r="W105" s="85">
        <f t="shared" si="94"/>
        <v>0</v>
      </c>
      <c r="X105" s="85">
        <f t="shared" si="94"/>
        <v>0</v>
      </c>
      <c r="Y105" s="85">
        <f t="shared" si="94"/>
        <v>0</v>
      </c>
      <c r="Z105" s="85">
        <f t="shared" si="94"/>
        <v>0</v>
      </c>
      <c r="AA105" s="85">
        <f t="shared" si="94"/>
        <v>0</v>
      </c>
      <c r="AB105" s="85">
        <f t="shared" ref="AB105:AC105" si="95">IF(AB81&lt;0,AB81*-1,0)</f>
        <v>0</v>
      </c>
      <c r="AC105" s="85">
        <f t="shared" si="95"/>
        <v>0</v>
      </c>
      <c r="AD105" s="85">
        <f t="shared" ref="AD105:AE105" si="96">IF(AD81&lt;0,AD81*-1,0)</f>
        <v>0</v>
      </c>
      <c r="AE105" s="85">
        <f t="shared" si="96"/>
        <v>0</v>
      </c>
      <c r="AF105" s="85">
        <f t="shared" ref="AF105" si="97">IF(AF81&lt;0,AF81*-1,0)</f>
        <v>0</v>
      </c>
      <c r="AG105" s="84"/>
      <c r="AH105" s="12">
        <f t="shared" si="51"/>
        <v>0</v>
      </c>
      <c r="AI105" s="11">
        <f t="shared" si="52"/>
        <v>0</v>
      </c>
      <c r="BF105" s="83"/>
      <c r="BG105" s="78">
        <v>57</v>
      </c>
      <c r="BH105" s="78">
        <v>0</v>
      </c>
      <c r="BI105" s="78">
        <v>224</v>
      </c>
      <c r="BJ105" s="78">
        <v>23.4</v>
      </c>
      <c r="BK105" s="78">
        <v>0</v>
      </c>
      <c r="BL105" s="78">
        <v>44</v>
      </c>
    </row>
    <row r="106" spans="1:64" ht="15.75" thickBot="1" x14ac:dyDescent="0.3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51"/>
        <v>0</v>
      </c>
      <c r="AI106" s="11">
        <f t="shared" si="52"/>
        <v>0</v>
      </c>
      <c r="BG106" s="78">
        <v>45</v>
      </c>
      <c r="BH106" s="78">
        <v>0</v>
      </c>
      <c r="BI106" s="78">
        <v>65</v>
      </c>
      <c r="BJ106" s="78">
        <v>23.4</v>
      </c>
      <c r="BK106" s="78">
        <v>0</v>
      </c>
      <c r="BL106" s="78">
        <v>45</v>
      </c>
    </row>
    <row r="107" spans="1:64" ht="15.75" thickBot="1" x14ac:dyDescent="0.3">
      <c r="A107" s="79" t="s">
        <v>155</v>
      </c>
      <c r="B107" s="76">
        <f t="shared" ref="B107" si="98">SUM(B101:B106)</f>
        <v>0</v>
      </c>
      <c r="C107" s="76">
        <f t="shared" ref="C107:AA107" si="99">SUM(C101:C106)</f>
        <v>0</v>
      </c>
      <c r="D107" s="76">
        <f t="shared" si="99"/>
        <v>0</v>
      </c>
      <c r="E107" s="76">
        <f t="shared" si="99"/>
        <v>0</v>
      </c>
      <c r="F107" s="76">
        <f t="shared" si="99"/>
        <v>0</v>
      </c>
      <c r="G107" s="76">
        <f t="shared" si="99"/>
        <v>0</v>
      </c>
      <c r="H107" s="76">
        <f t="shared" si="99"/>
        <v>0</v>
      </c>
      <c r="I107" s="76">
        <f t="shared" si="99"/>
        <v>0</v>
      </c>
      <c r="J107" s="76">
        <f t="shared" si="99"/>
        <v>0</v>
      </c>
      <c r="K107" s="76">
        <f t="shared" si="99"/>
        <v>0</v>
      </c>
      <c r="L107" s="76">
        <f t="shared" si="99"/>
        <v>0</v>
      </c>
      <c r="M107" s="76">
        <f t="shared" si="99"/>
        <v>0</v>
      </c>
      <c r="N107" s="76">
        <f t="shared" si="99"/>
        <v>0</v>
      </c>
      <c r="O107" s="76">
        <f t="shared" si="99"/>
        <v>0</v>
      </c>
      <c r="P107" s="76">
        <f t="shared" si="99"/>
        <v>0</v>
      </c>
      <c r="Q107" s="76">
        <f t="shared" si="99"/>
        <v>0</v>
      </c>
      <c r="R107" s="76">
        <f t="shared" si="99"/>
        <v>0</v>
      </c>
      <c r="S107" s="76">
        <f t="shared" si="99"/>
        <v>0</v>
      </c>
      <c r="T107" s="76">
        <f t="shared" si="99"/>
        <v>0</v>
      </c>
      <c r="U107" s="76">
        <f t="shared" si="99"/>
        <v>0</v>
      </c>
      <c r="V107" s="76">
        <f t="shared" si="99"/>
        <v>0</v>
      </c>
      <c r="W107" s="76">
        <f t="shared" si="99"/>
        <v>0</v>
      </c>
      <c r="X107" s="76">
        <f t="shared" si="99"/>
        <v>0</v>
      </c>
      <c r="Y107" s="76">
        <f t="shared" si="99"/>
        <v>0</v>
      </c>
      <c r="Z107" s="76">
        <f t="shared" si="99"/>
        <v>0</v>
      </c>
      <c r="AA107" s="76">
        <f t="shared" si="99"/>
        <v>0</v>
      </c>
      <c r="AB107" s="76">
        <f t="shared" ref="AB107:AC107" si="100">SUM(AB101:AB106)</f>
        <v>0</v>
      </c>
      <c r="AC107" s="76">
        <f t="shared" si="100"/>
        <v>0</v>
      </c>
      <c r="AD107" s="76">
        <f t="shared" ref="AD107" si="101">SUM(AD101:AD106)</f>
        <v>0</v>
      </c>
      <c r="AE107" s="76">
        <v>0</v>
      </c>
      <c r="AF107" s="76">
        <v>0</v>
      </c>
      <c r="AG107" s="75"/>
      <c r="AH107" s="12">
        <f t="shared" si="51"/>
        <v>0</v>
      </c>
      <c r="AI107" s="11">
        <f t="shared" si="52"/>
        <v>0</v>
      </c>
      <c r="AK107" s="19"/>
      <c r="BG107" s="78">
        <v>17.7</v>
      </c>
      <c r="BH107" s="78">
        <v>0</v>
      </c>
      <c r="BI107" s="78">
        <v>135</v>
      </c>
      <c r="BJ107" s="78">
        <v>14.9</v>
      </c>
      <c r="BK107" s="78">
        <v>0</v>
      </c>
      <c r="BL107" s="78">
        <v>43.8</v>
      </c>
    </row>
    <row r="108" spans="1:64" ht="15.75" thickBot="1" x14ac:dyDescent="0.3">
      <c r="A108" s="77" t="s">
        <v>154</v>
      </c>
      <c r="B108" s="76">
        <f t="shared" ref="B108" si="102">B92-B107</f>
        <v>211.39999999999998</v>
      </c>
      <c r="C108" s="76">
        <f t="shared" ref="C108:AA108" si="103">C92-C107</f>
        <v>197.6</v>
      </c>
      <c r="D108" s="76">
        <f t="shared" si="103"/>
        <v>200.3</v>
      </c>
      <c r="E108" s="76">
        <f t="shared" si="103"/>
        <v>193.2</v>
      </c>
      <c r="F108" s="76">
        <f t="shared" si="103"/>
        <v>193.3</v>
      </c>
      <c r="G108" s="76">
        <f t="shared" si="103"/>
        <v>204.7</v>
      </c>
      <c r="H108" s="76">
        <f t="shared" si="103"/>
        <v>186.6</v>
      </c>
      <c r="I108" s="76">
        <f t="shared" si="103"/>
        <v>187</v>
      </c>
      <c r="J108" s="76">
        <f t="shared" si="103"/>
        <v>682.3</v>
      </c>
      <c r="K108" s="76">
        <f t="shared" si="103"/>
        <v>775.60000000000014</v>
      </c>
      <c r="L108" s="76">
        <f t="shared" si="103"/>
        <v>886.5</v>
      </c>
      <c r="M108" s="76">
        <f t="shared" si="103"/>
        <v>906.2</v>
      </c>
      <c r="N108" s="76">
        <f t="shared" si="103"/>
        <v>908</v>
      </c>
      <c r="O108" s="76">
        <f t="shared" si="103"/>
        <v>901</v>
      </c>
      <c r="P108" s="76">
        <f t="shared" si="103"/>
        <v>922.8</v>
      </c>
      <c r="Q108" s="76">
        <f t="shared" si="103"/>
        <v>908.2</v>
      </c>
      <c r="R108" s="76">
        <f t="shared" si="103"/>
        <v>875.2</v>
      </c>
      <c r="S108" s="76">
        <f t="shared" si="103"/>
        <v>878.5</v>
      </c>
      <c r="T108" s="76">
        <f t="shared" si="103"/>
        <v>888.69999999999993</v>
      </c>
      <c r="U108" s="76">
        <f t="shared" si="103"/>
        <v>899.3</v>
      </c>
      <c r="V108" s="76">
        <f t="shared" si="103"/>
        <v>877.6</v>
      </c>
      <c r="W108" s="76">
        <f t="shared" si="103"/>
        <v>841.0100000000001</v>
      </c>
      <c r="X108" s="76">
        <f t="shared" si="103"/>
        <v>722.9</v>
      </c>
      <c r="Y108" s="76">
        <f t="shared" si="103"/>
        <v>741.69999999999993</v>
      </c>
      <c r="Z108" s="76">
        <f t="shared" si="103"/>
        <v>370.2</v>
      </c>
      <c r="AA108" s="76">
        <f t="shared" si="103"/>
        <v>255.7</v>
      </c>
      <c r="AB108" s="76">
        <f t="shared" ref="AB108:AC108" si="104">AB92-AB107</f>
        <v>309.39999999999998</v>
      </c>
      <c r="AC108" s="76">
        <f t="shared" si="104"/>
        <v>315.7</v>
      </c>
      <c r="AD108" s="76">
        <f t="shared" ref="AD108:AE108" si="105">AD92-AD107</f>
        <v>315.7</v>
      </c>
      <c r="AE108" s="76">
        <f t="shared" si="105"/>
        <v>348.4</v>
      </c>
      <c r="AF108" s="76">
        <f t="shared" ref="AF108" si="106">AF92-AF107</f>
        <v>178.4</v>
      </c>
      <c r="AG108" s="75"/>
      <c r="AH108" s="12">
        <f t="shared" si="51"/>
        <v>922.8</v>
      </c>
      <c r="AI108" s="11">
        <f t="shared" si="52"/>
        <v>178.4</v>
      </c>
    </row>
    <row r="109" spans="1:64" x14ac:dyDescent="0.25">
      <c r="A109" s="25" t="s">
        <v>153</v>
      </c>
      <c r="B109" s="74">
        <v>50.01</v>
      </c>
      <c r="C109" s="74">
        <v>50</v>
      </c>
      <c r="D109" s="74">
        <v>49.99</v>
      </c>
      <c r="E109" s="74">
        <v>50.021000000000001</v>
      </c>
      <c r="F109" s="74">
        <v>50.023000000000003</v>
      </c>
      <c r="G109" s="74">
        <v>49.911999999999999</v>
      </c>
      <c r="H109" s="74">
        <v>50.002000000000002</v>
      </c>
      <c r="I109" s="74">
        <v>49.911000000000001</v>
      </c>
      <c r="J109" s="74">
        <v>49.938000000000002</v>
      </c>
      <c r="K109" s="74">
        <v>50.052999999999997</v>
      </c>
      <c r="L109" s="74">
        <v>50.07</v>
      </c>
      <c r="M109" s="74">
        <v>50.036999999999999</v>
      </c>
      <c r="N109" s="74">
        <v>50.006999999999998</v>
      </c>
      <c r="O109" s="74">
        <v>50.015999999999998</v>
      </c>
      <c r="P109" s="74">
        <v>50.029000000000003</v>
      </c>
      <c r="Q109" s="74">
        <v>50.012</v>
      </c>
      <c r="R109" s="74">
        <v>50.012</v>
      </c>
      <c r="S109" s="74">
        <v>50.075000000000003</v>
      </c>
      <c r="T109" s="74">
        <v>50.000999999999998</v>
      </c>
      <c r="U109" s="74">
        <v>50.018999999999998</v>
      </c>
      <c r="V109" s="74">
        <v>50.036999999999999</v>
      </c>
      <c r="W109" s="74">
        <v>50.08</v>
      </c>
      <c r="X109" s="74">
        <v>50.220999999999997</v>
      </c>
      <c r="Y109" s="74">
        <v>50.072000000000003</v>
      </c>
      <c r="Z109" s="74">
        <v>50.04</v>
      </c>
      <c r="AA109" s="74">
        <v>49.984000000000002</v>
      </c>
      <c r="AB109" s="74">
        <v>50.145400000000002</v>
      </c>
      <c r="AC109" s="74">
        <v>50.145400000000002</v>
      </c>
      <c r="AD109" s="74">
        <v>50.145400000000002</v>
      </c>
      <c r="AE109" s="74">
        <v>50.04</v>
      </c>
      <c r="AF109" s="74">
        <v>50.03</v>
      </c>
      <c r="AG109" s="73"/>
      <c r="AH109" s="12">
        <f t="shared" si="51"/>
        <v>50.220999999999997</v>
      </c>
      <c r="AI109" s="11">
        <f t="shared" si="52"/>
        <v>49.911000000000001</v>
      </c>
    </row>
    <row r="110" spans="1:64" x14ac:dyDescent="0.25">
      <c r="A110" s="22" t="s">
        <v>152</v>
      </c>
      <c r="B110" s="70">
        <v>130.9</v>
      </c>
      <c r="C110" s="70">
        <v>131.30000000000001</v>
      </c>
      <c r="D110" s="70">
        <v>131.19999999999999</v>
      </c>
      <c r="E110" s="70">
        <v>131.19999999999999</v>
      </c>
      <c r="F110" s="70">
        <v>131.6</v>
      </c>
      <c r="G110" s="70">
        <v>131.5</v>
      </c>
      <c r="H110" s="70">
        <v>130.9</v>
      </c>
      <c r="I110" s="70">
        <v>129</v>
      </c>
      <c r="J110" s="70">
        <v>128.19999999999999</v>
      </c>
      <c r="K110" s="70">
        <v>126.4</v>
      </c>
      <c r="L110" s="70">
        <v>125.4</v>
      </c>
      <c r="M110" s="70">
        <v>124.7</v>
      </c>
      <c r="N110" s="70">
        <v>124.7</v>
      </c>
      <c r="O110" s="70">
        <v>123.6</v>
      </c>
      <c r="P110" s="70">
        <v>125</v>
      </c>
      <c r="Q110" s="70">
        <v>126.6</v>
      </c>
      <c r="R110" s="70">
        <v>126.6</v>
      </c>
      <c r="S110" s="70">
        <v>124.9</v>
      </c>
      <c r="T110" s="70">
        <v>122.8</v>
      </c>
      <c r="U110" s="70">
        <v>124.7</v>
      </c>
      <c r="V110" s="70">
        <v>124.6</v>
      </c>
      <c r="W110" s="70">
        <v>125.3</v>
      </c>
      <c r="X110" s="70">
        <v>128.19999999999999</v>
      </c>
      <c r="Y110" s="70">
        <v>126.7</v>
      </c>
      <c r="Z110" s="70">
        <v>128.6</v>
      </c>
      <c r="AA110" s="70">
        <v>128.6</v>
      </c>
      <c r="AB110" s="70">
        <v>129</v>
      </c>
      <c r="AC110" s="70">
        <v>129</v>
      </c>
      <c r="AD110" s="70">
        <v>129</v>
      </c>
      <c r="AE110" s="70">
        <v>129</v>
      </c>
      <c r="AF110" s="70">
        <v>129</v>
      </c>
      <c r="AG110" s="69"/>
      <c r="AH110" s="12">
        <f t="shared" si="51"/>
        <v>131.6</v>
      </c>
      <c r="AI110" s="11">
        <f t="shared" si="52"/>
        <v>122.8</v>
      </c>
    </row>
    <row r="111" spans="1:64" x14ac:dyDescent="0.25">
      <c r="A111" s="22" t="s">
        <v>151</v>
      </c>
      <c r="B111" s="70">
        <v>134</v>
      </c>
      <c r="C111" s="70">
        <v>134.5</v>
      </c>
      <c r="D111" s="70">
        <v>134.4</v>
      </c>
      <c r="E111" s="70">
        <v>134.5</v>
      </c>
      <c r="F111" s="70">
        <v>134.69999999999999</v>
      </c>
      <c r="G111" s="70">
        <v>134.30000000000001</v>
      </c>
      <c r="H111" s="70">
        <v>133.4</v>
      </c>
      <c r="I111" s="70">
        <v>131</v>
      </c>
      <c r="J111" s="70">
        <v>131</v>
      </c>
      <c r="K111" s="70">
        <v>129.19999999999999</v>
      </c>
      <c r="L111" s="70">
        <v>128.32</v>
      </c>
      <c r="M111" s="70">
        <v>127.5</v>
      </c>
      <c r="N111" s="70">
        <v>127.8</v>
      </c>
      <c r="O111" s="70">
        <v>126.3</v>
      </c>
      <c r="P111" s="70">
        <v>127.5</v>
      </c>
      <c r="Q111" s="70">
        <v>128.4</v>
      </c>
      <c r="R111" s="70">
        <v>128.4</v>
      </c>
      <c r="S111" s="70">
        <v>127.2</v>
      </c>
      <c r="T111" s="70">
        <v>125.4</v>
      </c>
      <c r="U111" s="70">
        <v>127.3</v>
      </c>
      <c r="V111" s="70">
        <v>127.7</v>
      </c>
      <c r="W111" s="70">
        <v>128.19999999999999</v>
      </c>
      <c r="X111" s="70">
        <v>130.30000000000001</v>
      </c>
      <c r="Y111" s="70">
        <v>129.30000000000001</v>
      </c>
      <c r="Z111" s="70">
        <v>130.5</v>
      </c>
      <c r="AA111" s="70">
        <v>130.9</v>
      </c>
      <c r="AB111" s="70">
        <v>131.19999999999999</v>
      </c>
      <c r="AC111" s="70">
        <v>131.19999999999999</v>
      </c>
      <c r="AD111" s="70">
        <v>131.19999999999999</v>
      </c>
      <c r="AE111" s="70">
        <v>132</v>
      </c>
      <c r="AF111" s="70">
        <v>132</v>
      </c>
      <c r="AG111" s="69"/>
      <c r="AH111" s="12">
        <f t="shared" si="51"/>
        <v>134.69999999999999</v>
      </c>
      <c r="AI111" s="11">
        <f t="shared" si="52"/>
        <v>125.4</v>
      </c>
    </row>
    <row r="112" spans="1:64" x14ac:dyDescent="0.25">
      <c r="A112" s="22" t="s">
        <v>150</v>
      </c>
      <c r="B112" s="70">
        <v>132.1</v>
      </c>
      <c r="C112" s="70">
        <v>131.9</v>
      </c>
      <c r="D112" s="70">
        <v>132.9</v>
      </c>
      <c r="E112" s="70">
        <v>133.80000000000001</v>
      </c>
      <c r="F112" s="70">
        <v>134.30000000000001</v>
      </c>
      <c r="G112" s="70">
        <v>135</v>
      </c>
      <c r="H112" s="70">
        <v>131.80000000000001</v>
      </c>
      <c r="I112" s="70">
        <v>130</v>
      </c>
      <c r="J112" s="70">
        <v>128.5</v>
      </c>
      <c r="K112" s="70">
        <v>128.5</v>
      </c>
      <c r="L112" s="70">
        <v>125.8</v>
      </c>
      <c r="M112" s="70">
        <v>126.5</v>
      </c>
      <c r="N112" s="70">
        <v>126.1</v>
      </c>
      <c r="O112" s="70">
        <v>124</v>
      </c>
      <c r="P112" s="70">
        <v>124.2</v>
      </c>
      <c r="Q112" s="70">
        <v>126</v>
      </c>
      <c r="R112" s="70">
        <v>126</v>
      </c>
      <c r="S112" s="70">
        <v>125.8</v>
      </c>
      <c r="T112" s="70">
        <v>125.9</v>
      </c>
      <c r="U112" s="70">
        <v>124.9</v>
      </c>
      <c r="V112" s="70">
        <v>127</v>
      </c>
      <c r="W112" s="70">
        <v>127.1</v>
      </c>
      <c r="X112" s="70">
        <v>127.6</v>
      </c>
      <c r="Y112" s="70">
        <v>123.8</v>
      </c>
      <c r="Z112" s="70">
        <v>128.19999999999999</v>
      </c>
      <c r="AA112" s="70">
        <v>127.5</v>
      </c>
      <c r="AB112" s="70">
        <v>129</v>
      </c>
      <c r="AC112" s="70">
        <v>129</v>
      </c>
      <c r="AD112" s="70">
        <v>129</v>
      </c>
      <c r="AE112" s="70">
        <v>127.3</v>
      </c>
      <c r="AF112" s="70">
        <v>127.3</v>
      </c>
      <c r="AG112" s="69"/>
      <c r="AH112" s="12">
        <f t="shared" si="51"/>
        <v>135</v>
      </c>
      <c r="AI112" s="11">
        <f t="shared" si="52"/>
        <v>123.8</v>
      </c>
    </row>
    <row r="113" spans="1:35" x14ac:dyDescent="0.25">
      <c r="A113" s="72" t="s">
        <v>149</v>
      </c>
      <c r="B113" s="70">
        <v>132.1</v>
      </c>
      <c r="C113" s="70">
        <v>132.1</v>
      </c>
      <c r="D113" s="70">
        <v>133.30000000000001</v>
      </c>
      <c r="E113" s="70">
        <v>134.30000000000001</v>
      </c>
      <c r="F113" s="70">
        <v>134.80000000000001</v>
      </c>
      <c r="G113" s="70">
        <v>135</v>
      </c>
      <c r="H113" s="70">
        <v>131.19999999999999</v>
      </c>
      <c r="I113" s="70">
        <v>130</v>
      </c>
      <c r="J113" s="70">
        <v>126.5</v>
      </c>
      <c r="K113" s="70">
        <v>125.6</v>
      </c>
      <c r="L113" s="70">
        <v>123.9</v>
      </c>
      <c r="M113" s="70">
        <v>124.8</v>
      </c>
      <c r="N113" s="70">
        <v>123.7</v>
      </c>
      <c r="O113" s="70">
        <v>122</v>
      </c>
      <c r="P113" s="70">
        <v>123.8</v>
      </c>
      <c r="Q113" s="70">
        <v>124</v>
      </c>
      <c r="R113" s="70">
        <v>124</v>
      </c>
      <c r="S113" s="70">
        <v>125.3</v>
      </c>
      <c r="T113" s="70">
        <v>124.2</v>
      </c>
      <c r="U113" s="70">
        <v>122.9</v>
      </c>
      <c r="V113" s="70">
        <v>125.1</v>
      </c>
      <c r="W113" s="70">
        <v>122.9</v>
      </c>
      <c r="X113" s="70">
        <v>125.9</v>
      </c>
      <c r="Y113" s="70">
        <v>121</v>
      </c>
      <c r="Z113" s="70">
        <v>124.1</v>
      </c>
      <c r="AA113" s="70">
        <v>124.2</v>
      </c>
      <c r="AB113" s="70">
        <v>128</v>
      </c>
      <c r="AC113" s="70">
        <v>128</v>
      </c>
      <c r="AD113" s="70">
        <v>128</v>
      </c>
      <c r="AE113" s="70">
        <v>126.2</v>
      </c>
      <c r="AF113" s="70">
        <v>126.2</v>
      </c>
      <c r="AG113" s="69"/>
      <c r="AH113" s="12">
        <f t="shared" si="51"/>
        <v>135</v>
      </c>
      <c r="AI113" s="11">
        <f t="shared" si="52"/>
        <v>121</v>
      </c>
    </row>
    <row r="114" spans="1:35" x14ac:dyDescent="0.25">
      <c r="A114" s="72" t="s">
        <v>148</v>
      </c>
      <c r="B114" s="56">
        <v>135.69999999999999</v>
      </c>
      <c r="C114" s="56">
        <v>136.80000000000001</v>
      </c>
      <c r="D114" s="56">
        <v>135.4</v>
      </c>
      <c r="E114" s="56">
        <v>136.69999999999999</v>
      </c>
      <c r="F114" s="56">
        <v>136.30000000000001</v>
      </c>
      <c r="G114" s="56">
        <v>135.9</v>
      </c>
      <c r="H114" s="56">
        <v>134.19999999999999</v>
      </c>
      <c r="I114" s="56">
        <v>131</v>
      </c>
      <c r="J114" s="56">
        <v>130.9</v>
      </c>
      <c r="K114" s="56">
        <v>130.9</v>
      </c>
      <c r="L114" s="56">
        <v>130.19999999999999</v>
      </c>
      <c r="M114" s="56">
        <v>129.9</v>
      </c>
      <c r="N114" s="56">
        <v>131.30000000000001</v>
      </c>
      <c r="O114" s="56">
        <v>131</v>
      </c>
      <c r="P114" s="56">
        <v>132</v>
      </c>
      <c r="Q114" s="56">
        <v>135</v>
      </c>
      <c r="R114" s="56">
        <v>135</v>
      </c>
      <c r="S114" s="56">
        <v>136</v>
      </c>
      <c r="T114" s="56">
        <v>128.9</v>
      </c>
      <c r="U114" s="56">
        <v>135.1</v>
      </c>
      <c r="V114" s="56">
        <v>133.6</v>
      </c>
      <c r="W114" s="56">
        <v>133</v>
      </c>
      <c r="X114" s="56">
        <v>135.80000000000001</v>
      </c>
      <c r="Y114" s="56">
        <v>135.5</v>
      </c>
      <c r="Z114" s="56">
        <v>136</v>
      </c>
      <c r="AA114" s="56">
        <v>136.69999999999999</v>
      </c>
      <c r="AB114" s="56">
        <v>134.6</v>
      </c>
      <c r="AC114" s="56">
        <v>134.6</v>
      </c>
      <c r="AD114" s="56">
        <v>134.6</v>
      </c>
      <c r="AE114" s="56">
        <v>136</v>
      </c>
      <c r="AF114" s="56">
        <v>136</v>
      </c>
      <c r="AG114" s="71"/>
      <c r="AH114" s="12">
        <f t="shared" si="51"/>
        <v>136.80000000000001</v>
      </c>
      <c r="AI114" s="11">
        <f t="shared" si="52"/>
        <v>128.9</v>
      </c>
    </row>
    <row r="115" spans="1:35" x14ac:dyDescent="0.25">
      <c r="A115" s="22" t="s">
        <v>147</v>
      </c>
      <c r="B115" s="70">
        <v>132.80000000000001</v>
      </c>
      <c r="C115" s="70">
        <v>131.19999999999999</v>
      </c>
      <c r="D115" s="70">
        <v>132.80000000000001</v>
      </c>
      <c r="E115" s="70">
        <v>133.80000000000001</v>
      </c>
      <c r="F115" s="70">
        <v>134.19999999999999</v>
      </c>
      <c r="G115" s="70">
        <v>134.30000000000001</v>
      </c>
      <c r="H115" s="70">
        <v>133</v>
      </c>
      <c r="I115" s="70">
        <v>131</v>
      </c>
      <c r="J115" s="70">
        <v>125.3</v>
      </c>
      <c r="K115" s="70">
        <v>125.6</v>
      </c>
      <c r="L115" s="70">
        <v>127.8</v>
      </c>
      <c r="M115" s="70">
        <v>127</v>
      </c>
      <c r="N115" s="70">
        <v>126.5</v>
      </c>
      <c r="O115" s="70">
        <v>127</v>
      </c>
      <c r="P115" s="70">
        <v>131.80000000000001</v>
      </c>
      <c r="Q115" s="70">
        <v>132</v>
      </c>
      <c r="R115" s="70">
        <v>132</v>
      </c>
      <c r="S115" s="70">
        <v>129.5</v>
      </c>
      <c r="T115" s="70">
        <v>132.69999999999999</v>
      </c>
      <c r="U115" s="70">
        <v>126.6</v>
      </c>
      <c r="V115" s="70">
        <v>127.4</v>
      </c>
      <c r="W115" s="70">
        <v>129.19999999999999</v>
      </c>
      <c r="X115" s="70">
        <v>127.7</v>
      </c>
      <c r="Y115" s="70">
        <v>127.6</v>
      </c>
      <c r="Z115" s="70">
        <v>127.7</v>
      </c>
      <c r="AA115" s="70">
        <v>134.6</v>
      </c>
      <c r="AB115" s="70">
        <v>133</v>
      </c>
      <c r="AC115" s="70">
        <v>133</v>
      </c>
      <c r="AD115" s="70">
        <v>133</v>
      </c>
      <c r="AE115" s="70">
        <v>136</v>
      </c>
      <c r="AF115" s="70">
        <v>136</v>
      </c>
      <c r="AG115" s="69"/>
      <c r="AH115" s="12">
        <f t="shared" si="51"/>
        <v>136</v>
      </c>
      <c r="AI115" s="11">
        <f t="shared" si="52"/>
        <v>125.3</v>
      </c>
    </row>
    <row r="116" spans="1:35" ht="15.75" thickBot="1" x14ac:dyDescent="0.3">
      <c r="A116" s="22" t="s">
        <v>146</v>
      </c>
      <c r="B116" s="67">
        <v>66.8</v>
      </c>
      <c r="C116" s="67">
        <v>67.099999999999994</v>
      </c>
      <c r="D116" s="67">
        <v>67.099999999999994</v>
      </c>
      <c r="E116" s="67">
        <v>67.2</v>
      </c>
      <c r="F116" s="67">
        <v>67.2</v>
      </c>
      <c r="G116" s="67">
        <v>67</v>
      </c>
      <c r="H116" s="67">
        <v>66.3</v>
      </c>
      <c r="I116" s="67">
        <v>131.4</v>
      </c>
      <c r="J116" s="67">
        <v>65.3</v>
      </c>
      <c r="K116" s="67">
        <v>64.400000000000006</v>
      </c>
      <c r="L116" s="67">
        <v>64</v>
      </c>
      <c r="M116" s="67">
        <v>63.8</v>
      </c>
      <c r="N116" s="67">
        <v>63.9</v>
      </c>
      <c r="O116" s="67">
        <v>62.9</v>
      </c>
      <c r="P116" s="67">
        <v>63.4</v>
      </c>
      <c r="Q116" s="67">
        <v>64</v>
      </c>
      <c r="R116" s="67">
        <v>64</v>
      </c>
      <c r="S116" s="67">
        <v>63.3</v>
      </c>
      <c r="T116" s="67">
        <v>62.7</v>
      </c>
      <c r="U116" s="67">
        <v>63.1</v>
      </c>
      <c r="V116" s="67">
        <v>63.4</v>
      </c>
      <c r="W116" s="67">
        <v>63.7</v>
      </c>
      <c r="X116" s="67">
        <v>64.8</v>
      </c>
      <c r="Y116" s="67">
        <v>64.2</v>
      </c>
      <c r="Z116" s="67">
        <v>64.7</v>
      </c>
      <c r="AA116" s="67">
        <v>65.2</v>
      </c>
      <c r="AB116" s="67">
        <v>65.2</v>
      </c>
      <c r="AC116" s="67">
        <v>65.2</v>
      </c>
      <c r="AD116" s="67">
        <v>65.2</v>
      </c>
      <c r="AE116" s="67">
        <v>66.099999999999994</v>
      </c>
      <c r="AF116" s="67">
        <v>66.099999999999994</v>
      </c>
      <c r="AG116" s="66"/>
      <c r="AH116" s="12">
        <f t="shared" si="51"/>
        <v>131.4</v>
      </c>
      <c r="AI116" s="11">
        <f t="shared" si="52"/>
        <v>62.7</v>
      </c>
    </row>
    <row r="117" spans="1:35" ht="15.75" thickBot="1" x14ac:dyDescent="0.3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51"/>
        <v>0</v>
      </c>
      <c r="AI117" s="11">
        <f t="shared" si="52"/>
        <v>0</v>
      </c>
    </row>
    <row r="118" spans="1:35" ht="15.75" thickBot="1" x14ac:dyDescent="0.3">
      <c r="A118" s="65" t="s">
        <v>144</v>
      </c>
      <c r="B118" s="64">
        <f t="shared" ref="B118" si="107">SUM(B22,B28,B31:B32,B66,B68:B69,B71,B73,B119:B123,B155,B161,B167,B176,B178,B190,B197,B200:B201,B208,B210,B212,B216:B218,B220:B222,B227,B233:B234,B236:B238,B246,B251)</f>
        <v>142.84</v>
      </c>
      <c r="C118" s="64">
        <f t="shared" ref="C118:O118" si="108">SUM(C22,C28,C31:C32,C66,C68:C69,C71,C73,C119:C123,C155,C161,C167,C176,C178,C190,C197,C200:C201,C208,C210,C212,C216:C218,C220:C222,C227,C233:C234,C236:C238,C246,C251)</f>
        <v>132.54</v>
      </c>
      <c r="D118" s="64">
        <f t="shared" si="108"/>
        <v>124.04</v>
      </c>
      <c r="E118" s="64">
        <f t="shared" si="108"/>
        <v>126.04000000000002</v>
      </c>
      <c r="F118" s="64">
        <f t="shared" si="108"/>
        <v>122.53999999999999</v>
      </c>
      <c r="G118" s="64">
        <f t="shared" si="108"/>
        <v>147.94</v>
      </c>
      <c r="H118" s="64">
        <f t="shared" si="108"/>
        <v>189.04</v>
      </c>
      <c r="I118" s="64">
        <f t="shared" si="108"/>
        <v>245.24</v>
      </c>
      <c r="J118" s="64">
        <f t="shared" si="108"/>
        <v>260.73999999999995</v>
      </c>
      <c r="K118" s="64">
        <f t="shared" si="108"/>
        <v>226.64000000000001</v>
      </c>
      <c r="L118" s="64">
        <f t="shared" si="108"/>
        <v>245.44</v>
      </c>
      <c r="M118" s="64">
        <f t="shared" si="108"/>
        <v>306.94</v>
      </c>
      <c r="N118" s="64">
        <f t="shared" si="108"/>
        <v>295.64</v>
      </c>
      <c r="O118" s="64">
        <f t="shared" si="108"/>
        <v>307.24</v>
      </c>
      <c r="P118" s="64">
        <v>42</v>
      </c>
      <c r="Q118" s="64">
        <f t="shared" ref="Q118:X118" si="109">SUM(Q22,Q28,Q31:Q32,Q66,Q68:Q69,Q71,Q73,Q119:Q123,Q155,Q161,Q167,Q176,Q178,Q190,Q197,Q200:Q201,Q208,Q210,Q212,Q216:Q218,Q220:Q222,Q227,Q233:Q234,Q236:Q238,Q246,Q251)</f>
        <v>309.83999999999997</v>
      </c>
      <c r="R118" s="64">
        <f t="shared" si="109"/>
        <v>309.83999999999997</v>
      </c>
      <c r="S118" s="64">
        <f t="shared" si="109"/>
        <v>299.33999999999997</v>
      </c>
      <c r="T118" s="64">
        <f t="shared" si="109"/>
        <v>310.33999999999997</v>
      </c>
      <c r="U118" s="64">
        <f t="shared" si="109"/>
        <v>302.33999999999997</v>
      </c>
      <c r="V118" s="64">
        <f t="shared" si="109"/>
        <v>289.64</v>
      </c>
      <c r="W118" s="64">
        <f t="shared" si="109"/>
        <v>291.83999999999997</v>
      </c>
      <c r="X118" s="64">
        <f t="shared" si="109"/>
        <v>300.94</v>
      </c>
      <c r="Y118" s="64">
        <f>SUM(Y20,Y26,Y37:Y38,Y66,Y68:Y69,Y71,Y73,Y119:Y123,Y148,Y154,Y160,Y169,Y171,Y183,Y190,Y193:Y194,Y201,Y203,Y205,Y209:Y211,Y213:Y215,Y220,Y226:Y227,Y229:Y231,Y239,Y244)</f>
        <v>335</v>
      </c>
      <c r="Z118" s="64">
        <f>SUM(Z20,Z26,Z37:Z38,Z66,Z68:Z69,Z71,Z73,Z119:Z123,Z148,Z154,Z160,Z169,Z171,Z183,Z190,Z193:Z194,Z201,Z203,Z205,Z209:Z211,Z213:Z215,Z220,Z226:Z227,Z229:Z231,Z239,Z244)</f>
        <v>355.9</v>
      </c>
      <c r="AA118" s="64">
        <f t="shared" ref="AA118" si="110">SUM(AA22,AA28,AA31:AA32,AA66,AA68:AA69,AA71,AA73,AA119:AA123,AA155,AA161,AA167,AA176,AA178,AA190,AA197,AA200:AA201,AA208,AA210,AA212,AA216:AA218,AA220:AA222,AA227,AA233:AA234,AA236:AA238,AA246,AA251)</f>
        <v>318.64</v>
      </c>
      <c r="AB118" s="64">
        <f t="shared" ref="AB118:AC118" si="111">SUM(AB22,AB28,AB31:AB32,AB66,AB68:AB69,AB71,AB73,AB119:AB123,AB155,AB161,AB167,AB176,AB178,AB190,AB197,AB200:AB201,AB208,AB210,AB212,AB216:AB218,AB220:AB222,AB227,AB233:AB234,AB236:AB238,AB246,AB251)</f>
        <v>279.33999999999997</v>
      </c>
      <c r="AC118" s="64">
        <f t="shared" si="111"/>
        <v>279.33999999999997</v>
      </c>
      <c r="AD118" s="64">
        <f t="shared" ref="AD118:AE118" si="112">SUM(AD22,AD28,AD31:AD32,AD66,AD68:AD69,AD71,AD73,AD119:AD123,AD155,AD161,AD167,AD176,AD178,AD190,AD197,AD200:AD201,AD208,AD210,AD212,AD216:AD218,AD220:AD222,AD227,AD233:AD234,AD236:AD238,AD246,AD251)</f>
        <v>279.33999999999997</v>
      </c>
      <c r="AE118" s="64">
        <f t="shared" si="112"/>
        <v>181.33999999999997</v>
      </c>
      <c r="AF118" s="64">
        <f t="shared" ref="AF118" si="113">SUM(AF22,AF28,AF31:AF32,AF66,AF68:AF69,AF71,AF73,AF119:AF123,AF155,AF161,AF167,AF176,AF178,AF190,AF197,AF200:AF201,AF208,AF210,AF212,AF216:AF218,AF220:AF222,AF227,AF233:AF234,AF236:AF238,AF246,AF251)</f>
        <v>143.33999999999997</v>
      </c>
      <c r="AG118" s="63"/>
      <c r="AH118" s="12">
        <f t="shared" si="51"/>
        <v>355.9</v>
      </c>
      <c r="AI118" s="11">
        <f t="shared" si="52"/>
        <v>42</v>
      </c>
    </row>
    <row r="119" spans="1:35" x14ac:dyDescent="0.25">
      <c r="A119" s="59" t="s">
        <v>143</v>
      </c>
      <c r="B119" s="62">
        <v>8.6</v>
      </c>
      <c r="C119" s="62">
        <v>7.4</v>
      </c>
      <c r="D119" s="62">
        <v>8.8000000000000007</v>
      </c>
      <c r="E119" s="62">
        <v>13</v>
      </c>
      <c r="F119" s="62">
        <v>9.9</v>
      </c>
      <c r="G119" s="62">
        <v>9.6</v>
      </c>
      <c r="H119" s="62">
        <v>12</v>
      </c>
      <c r="I119" s="62">
        <v>14.1</v>
      </c>
      <c r="J119" s="62">
        <v>8.9</v>
      </c>
      <c r="K119" s="62">
        <v>-2.2999999999999998</v>
      </c>
      <c r="L119" s="62">
        <v>3.1</v>
      </c>
      <c r="M119" s="62">
        <v>3.8</v>
      </c>
      <c r="N119" s="62">
        <v>1.7</v>
      </c>
      <c r="O119" s="62">
        <v>10.7</v>
      </c>
      <c r="P119" s="62">
        <v>11.3</v>
      </c>
      <c r="Q119" s="62">
        <v>10.8</v>
      </c>
      <c r="R119" s="62">
        <v>10.8</v>
      </c>
      <c r="S119" s="62">
        <v>10.199999999999999</v>
      </c>
      <c r="T119" s="62">
        <v>10</v>
      </c>
      <c r="U119" s="62">
        <v>9.6</v>
      </c>
      <c r="V119" s="62">
        <v>9.9</v>
      </c>
      <c r="W119" s="62">
        <v>10.7</v>
      </c>
      <c r="X119" s="62">
        <v>6.9</v>
      </c>
      <c r="Y119" s="62">
        <v>6.7</v>
      </c>
      <c r="Z119" s="62">
        <v>23.6</v>
      </c>
      <c r="AA119" s="62">
        <v>29.7</v>
      </c>
      <c r="AB119" s="62">
        <v>33</v>
      </c>
      <c r="AC119" s="62">
        <v>33</v>
      </c>
      <c r="AD119" s="62">
        <v>33</v>
      </c>
      <c r="AE119" s="62">
        <v>27</v>
      </c>
      <c r="AF119" s="62">
        <v>27</v>
      </c>
      <c r="AG119" s="55">
        <v>75</v>
      </c>
      <c r="AH119" s="12">
        <f t="shared" si="51"/>
        <v>33</v>
      </c>
      <c r="AI119" s="11">
        <f t="shared" si="52"/>
        <v>-2.2999999999999998</v>
      </c>
    </row>
    <row r="120" spans="1:35" x14ac:dyDescent="0.25">
      <c r="A120" s="57" t="s">
        <v>142</v>
      </c>
      <c r="B120" s="61">
        <v>20.100000000000001</v>
      </c>
      <c r="C120" s="61">
        <v>18.8</v>
      </c>
      <c r="D120" s="61">
        <v>21.5</v>
      </c>
      <c r="E120" s="61">
        <v>26</v>
      </c>
      <c r="F120" s="61">
        <v>22.2</v>
      </c>
      <c r="G120" s="61">
        <v>21.1</v>
      </c>
      <c r="H120" s="61">
        <v>22</v>
      </c>
      <c r="I120" s="61">
        <v>17.600000000000001</v>
      </c>
      <c r="J120" s="61">
        <v>9.6999999999999993</v>
      </c>
      <c r="K120" s="61">
        <v>-5.8</v>
      </c>
      <c r="L120" s="61">
        <v>0.9</v>
      </c>
      <c r="M120" s="61">
        <v>1.7</v>
      </c>
      <c r="N120" s="61">
        <v>-1.8</v>
      </c>
      <c r="O120" s="61">
        <v>-5.2</v>
      </c>
      <c r="P120" s="61">
        <v>4.9000000000000004</v>
      </c>
      <c r="Q120" s="61">
        <v>7.3</v>
      </c>
      <c r="R120" s="61">
        <v>7.3</v>
      </c>
      <c r="S120" s="61">
        <v>13.6</v>
      </c>
      <c r="T120" s="61">
        <v>3.7</v>
      </c>
      <c r="U120" s="61">
        <v>9.8000000000000007</v>
      </c>
      <c r="V120" s="61">
        <v>10.6</v>
      </c>
      <c r="W120" s="61">
        <v>12.4</v>
      </c>
      <c r="X120" s="61">
        <v>16.5</v>
      </c>
      <c r="Y120" s="61">
        <v>15.2</v>
      </c>
      <c r="Z120" s="61">
        <v>37.299999999999997</v>
      </c>
      <c r="AA120" s="61">
        <v>47.6</v>
      </c>
      <c r="AB120" s="61">
        <v>52</v>
      </c>
      <c r="AC120" s="61">
        <v>52</v>
      </c>
      <c r="AD120" s="61">
        <v>52</v>
      </c>
      <c r="AE120" s="61">
        <v>43</v>
      </c>
      <c r="AF120" s="61">
        <v>43</v>
      </c>
      <c r="AG120" s="55">
        <v>240</v>
      </c>
      <c r="AH120" s="12">
        <f t="shared" si="51"/>
        <v>52</v>
      </c>
      <c r="AI120" s="11">
        <f t="shared" si="52"/>
        <v>-5.8</v>
      </c>
    </row>
    <row r="121" spans="1:35" x14ac:dyDescent="0.25">
      <c r="A121" s="57" t="s">
        <v>141</v>
      </c>
      <c r="B121" s="61">
        <f>-21.7-32.1</f>
        <v>-53.8</v>
      </c>
      <c r="C121" s="61">
        <f>-22.6-33.5</f>
        <v>-56.1</v>
      </c>
      <c r="D121" s="61">
        <f>-24.8-34.8</f>
        <v>-59.599999999999994</v>
      </c>
      <c r="E121" s="61">
        <f>-26-37</f>
        <v>-63</v>
      </c>
      <c r="F121" s="61">
        <f>-23-34</f>
        <v>-57</v>
      </c>
      <c r="G121" s="61">
        <f>-18-29</f>
        <v>-47</v>
      </c>
      <c r="H121" s="61">
        <f>-11-22</f>
        <v>-33</v>
      </c>
      <c r="I121" s="61">
        <v>-2.5</v>
      </c>
      <c r="J121" s="61">
        <v>11</v>
      </c>
      <c r="K121" s="61">
        <f>-18-10.5</f>
        <v>-28.5</v>
      </c>
      <c r="L121" s="61">
        <f>-19-12.5</f>
        <v>-31.5</v>
      </c>
      <c r="M121" s="61">
        <v>29</v>
      </c>
      <c r="N121" s="61">
        <f>16+12</f>
        <v>28</v>
      </c>
      <c r="O121" s="61">
        <v>28</v>
      </c>
      <c r="P121" s="61">
        <v>29.3</v>
      </c>
      <c r="Q121" s="61">
        <v>26</v>
      </c>
      <c r="R121" s="61">
        <v>26</v>
      </c>
      <c r="S121" s="61">
        <v>19.8</v>
      </c>
      <c r="T121" s="61">
        <v>20</v>
      </c>
      <c r="U121" s="61">
        <v>15.4</v>
      </c>
      <c r="V121" s="61">
        <v>12.6</v>
      </c>
      <c r="W121" s="61">
        <v>13.6</v>
      </c>
      <c r="X121" s="61">
        <v>19</v>
      </c>
      <c r="Y121" s="61">
        <v>28</v>
      </c>
      <c r="Z121" s="61">
        <v>-6</v>
      </c>
      <c r="AA121" s="61">
        <v>-45</v>
      </c>
      <c r="AB121" s="61">
        <v>-60</v>
      </c>
      <c r="AC121" s="61">
        <v>-60</v>
      </c>
      <c r="AD121" s="61">
        <v>-60</v>
      </c>
      <c r="AE121" s="61">
        <v>-85</v>
      </c>
      <c r="AF121" s="61">
        <v>-87</v>
      </c>
      <c r="AG121" s="55">
        <v>240</v>
      </c>
      <c r="AH121" s="12">
        <f t="shared" si="51"/>
        <v>29.3</v>
      </c>
      <c r="AI121" s="11">
        <f t="shared" si="52"/>
        <v>-87</v>
      </c>
    </row>
    <row r="122" spans="1:35" ht="15.75" thickBot="1" x14ac:dyDescent="0.3">
      <c r="A122" s="57" t="s">
        <v>140</v>
      </c>
      <c r="B122" s="61">
        <v>25.6</v>
      </c>
      <c r="C122" s="61">
        <v>24.6</v>
      </c>
      <c r="D122" s="61">
        <v>25.1</v>
      </c>
      <c r="E122" s="61">
        <v>24</v>
      </c>
      <c r="F122" s="61">
        <v>25</v>
      </c>
      <c r="G122" s="61">
        <v>27.8</v>
      </c>
      <c r="H122" s="61">
        <v>33.1</v>
      </c>
      <c r="I122" s="61">
        <v>19.3</v>
      </c>
      <c r="J122" s="61">
        <v>16.7</v>
      </c>
      <c r="K122" s="61">
        <v>29.7</v>
      </c>
      <c r="L122" s="61">
        <v>28.2</v>
      </c>
      <c r="M122" s="61">
        <v>21.2</v>
      </c>
      <c r="N122" s="61">
        <v>19</v>
      </c>
      <c r="O122" s="61">
        <v>27</v>
      </c>
      <c r="P122" s="61">
        <v>25.1</v>
      </c>
      <c r="Q122" s="61">
        <v>29</v>
      </c>
      <c r="R122" s="61">
        <v>29</v>
      </c>
      <c r="S122" s="61">
        <v>4.5</v>
      </c>
      <c r="T122" s="61">
        <v>15.4</v>
      </c>
      <c r="U122" s="61">
        <v>16.899999999999999</v>
      </c>
      <c r="V122" s="61">
        <v>18.100000000000001</v>
      </c>
      <c r="W122" s="61">
        <v>17.2</v>
      </c>
      <c r="X122" s="61">
        <v>19.8</v>
      </c>
      <c r="Y122" s="61">
        <v>21.7</v>
      </c>
      <c r="Z122" s="61">
        <v>40.299999999999997</v>
      </c>
      <c r="AA122" s="61">
        <v>43.6</v>
      </c>
      <c r="AB122" s="61">
        <v>43</v>
      </c>
      <c r="AC122" s="61">
        <v>43</v>
      </c>
      <c r="AD122" s="61">
        <v>43</v>
      </c>
      <c r="AE122" s="61">
        <v>19</v>
      </c>
      <c r="AF122" s="61">
        <v>12</v>
      </c>
      <c r="AG122" s="55">
        <v>60</v>
      </c>
      <c r="AH122" s="12">
        <f t="shared" si="51"/>
        <v>43.6</v>
      </c>
      <c r="AI122" s="11">
        <f t="shared" si="52"/>
        <v>4.5</v>
      </c>
    </row>
    <row r="123" spans="1:35" x14ac:dyDescent="0.25">
      <c r="A123" s="59" t="s">
        <v>139</v>
      </c>
      <c r="B123" s="58">
        <v>18.2</v>
      </c>
      <c r="C123" s="58">
        <v>13.2</v>
      </c>
      <c r="D123" s="58">
        <v>5.2</v>
      </c>
      <c r="E123" s="58">
        <v>3</v>
      </c>
      <c r="F123" s="58">
        <v>0.5</v>
      </c>
      <c r="G123" s="58">
        <v>14.5</v>
      </c>
      <c r="H123" s="58">
        <v>33</v>
      </c>
      <c r="I123" s="58">
        <v>73.8</v>
      </c>
      <c r="J123" s="58">
        <v>91.5</v>
      </c>
      <c r="K123" s="58">
        <v>109.7</v>
      </c>
      <c r="L123" s="58">
        <v>118.5</v>
      </c>
      <c r="M123" s="58">
        <v>123.5</v>
      </c>
      <c r="N123" s="58">
        <v>121</v>
      </c>
      <c r="O123" s="58">
        <v>119</v>
      </c>
      <c r="P123" s="58">
        <v>116</v>
      </c>
      <c r="Q123" s="58">
        <v>109</v>
      </c>
      <c r="R123" s="58">
        <v>109</v>
      </c>
      <c r="S123" s="58">
        <v>124.8</v>
      </c>
      <c r="T123" s="58">
        <v>137</v>
      </c>
      <c r="U123" s="58">
        <v>135.1</v>
      </c>
      <c r="V123" s="58">
        <v>129.6</v>
      </c>
      <c r="W123" s="58">
        <v>127.9</v>
      </c>
      <c r="X123" s="58">
        <v>129.4</v>
      </c>
      <c r="Y123" s="58">
        <v>145.5</v>
      </c>
      <c r="Z123" s="58">
        <v>140.1</v>
      </c>
      <c r="AA123" s="58">
        <v>126.4</v>
      </c>
      <c r="AB123" s="58">
        <v>95</v>
      </c>
      <c r="AC123" s="58">
        <v>95</v>
      </c>
      <c r="AD123" s="58">
        <v>95</v>
      </c>
      <c r="AE123" s="58">
        <v>61</v>
      </c>
      <c r="AF123" s="58">
        <v>32</v>
      </c>
      <c r="AG123" s="60">
        <v>120</v>
      </c>
      <c r="AH123" s="12">
        <f t="shared" si="51"/>
        <v>145.5</v>
      </c>
      <c r="AI123" s="11">
        <f t="shared" si="52"/>
        <v>0.5</v>
      </c>
    </row>
    <row r="124" spans="1:35" x14ac:dyDescent="0.25">
      <c r="A124" s="57" t="s">
        <v>138</v>
      </c>
      <c r="B124" s="58">
        <v>32.200000000000003</v>
      </c>
      <c r="C124" s="58">
        <v>30</v>
      </c>
      <c r="D124" s="58">
        <v>25.7</v>
      </c>
      <c r="E124" s="58">
        <v>21.4</v>
      </c>
      <c r="F124" s="58">
        <v>23.1</v>
      </c>
      <c r="G124" s="58">
        <v>29.4</v>
      </c>
      <c r="H124" s="58">
        <v>38.5</v>
      </c>
      <c r="I124" s="58">
        <v>59</v>
      </c>
      <c r="J124" s="58">
        <v>68.7</v>
      </c>
      <c r="K124" s="58">
        <v>77.5</v>
      </c>
      <c r="L124" s="58">
        <v>80.900000000000006</v>
      </c>
      <c r="M124" s="58">
        <v>84.1</v>
      </c>
      <c r="N124" s="58">
        <v>80</v>
      </c>
      <c r="O124" s="58">
        <v>119</v>
      </c>
      <c r="P124" s="58">
        <v>76.7</v>
      </c>
      <c r="Q124" s="58">
        <v>75</v>
      </c>
      <c r="R124" s="58">
        <v>75</v>
      </c>
      <c r="S124" s="58">
        <v>82.1</v>
      </c>
      <c r="T124" s="58">
        <v>87.6</v>
      </c>
      <c r="U124" s="58">
        <v>84.2</v>
      </c>
      <c r="V124" s="58">
        <v>85.3</v>
      </c>
      <c r="W124" s="58">
        <v>84.3</v>
      </c>
      <c r="X124" s="58">
        <v>85.1</v>
      </c>
      <c r="Y124" s="58">
        <v>91.7</v>
      </c>
      <c r="Z124" s="58">
        <v>89</v>
      </c>
      <c r="AA124" s="58">
        <v>84.3</v>
      </c>
      <c r="AB124" s="58">
        <v>70</v>
      </c>
      <c r="AC124" s="58">
        <v>70</v>
      </c>
      <c r="AD124" s="58">
        <v>70</v>
      </c>
      <c r="AE124" s="58">
        <v>53</v>
      </c>
      <c r="AF124" s="58">
        <v>38</v>
      </c>
      <c r="AG124" s="60"/>
      <c r="AH124" s="12">
        <f t="shared" si="51"/>
        <v>119</v>
      </c>
      <c r="AI124" s="11">
        <f t="shared" si="52"/>
        <v>21.4</v>
      </c>
    </row>
    <row r="125" spans="1:35" x14ac:dyDescent="0.25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51"/>
        <v>0</v>
      </c>
      <c r="AI125" s="11">
        <f t="shared" si="52"/>
        <v>0</v>
      </c>
    </row>
    <row r="126" spans="1:35" ht="15.75" thickBot="1" x14ac:dyDescent="0.3">
      <c r="A126" s="57" t="s">
        <v>136</v>
      </c>
      <c r="B126" s="58">
        <v>32</v>
      </c>
      <c r="C126" s="58">
        <v>30.1</v>
      </c>
      <c r="D126" s="58">
        <v>24.9</v>
      </c>
      <c r="E126" s="58">
        <v>19.5</v>
      </c>
      <c r="F126" s="58">
        <v>19.7</v>
      </c>
      <c r="G126" s="58">
        <v>25.6</v>
      </c>
      <c r="H126" s="58">
        <v>28</v>
      </c>
      <c r="I126" s="58">
        <v>61</v>
      </c>
      <c r="J126" s="58">
        <v>72.2</v>
      </c>
      <c r="K126" s="58">
        <v>93.7</v>
      </c>
      <c r="L126" s="58">
        <v>94.9</v>
      </c>
      <c r="M126" s="58">
        <v>101.2</v>
      </c>
      <c r="N126" s="58">
        <v>98</v>
      </c>
      <c r="O126" s="58">
        <v>100</v>
      </c>
      <c r="P126" s="58">
        <v>98</v>
      </c>
      <c r="Q126" s="58">
        <v>90</v>
      </c>
      <c r="R126" s="58">
        <v>90</v>
      </c>
      <c r="S126" s="58">
        <v>102.2</v>
      </c>
      <c r="T126" s="58">
        <v>108.5</v>
      </c>
      <c r="U126" s="58">
        <v>102.5</v>
      </c>
      <c r="V126" s="58">
        <v>108.4</v>
      </c>
      <c r="W126" s="58">
        <v>101.3</v>
      </c>
      <c r="X126" s="58">
        <v>93.4</v>
      </c>
      <c r="Y126" s="58">
        <v>109.9</v>
      </c>
      <c r="Z126" s="58">
        <v>77.7</v>
      </c>
      <c r="AA126" s="58">
        <v>65.8</v>
      </c>
      <c r="AB126" s="58">
        <v>50</v>
      </c>
      <c r="AC126" s="58">
        <v>50</v>
      </c>
      <c r="AD126" s="58">
        <v>50</v>
      </c>
      <c r="AE126" s="58">
        <v>55</v>
      </c>
      <c r="AF126" s="58">
        <v>54</v>
      </c>
      <c r="AG126" s="55"/>
      <c r="AH126" s="12">
        <f>MAX(B126:AF126)</f>
        <v>109.9</v>
      </c>
      <c r="AI126" s="11">
        <f>MIN(B126:AF126)</f>
        <v>19.5</v>
      </c>
    </row>
    <row r="127" spans="1:35" x14ac:dyDescent="0.25">
      <c r="A127" s="59" t="s">
        <v>135</v>
      </c>
      <c r="B127" s="58">
        <v>-100</v>
      </c>
      <c r="C127" s="58">
        <v>-103.7</v>
      </c>
      <c r="D127" s="58">
        <v>-87.9</v>
      </c>
      <c r="E127" s="58">
        <v>-76.599999999999994</v>
      </c>
      <c r="F127" s="58">
        <v>-74.900000000000006</v>
      </c>
      <c r="G127" s="58">
        <v>-67.3</v>
      </c>
      <c r="H127" s="58">
        <v>-66.7</v>
      </c>
      <c r="I127" s="58">
        <v>14</v>
      </c>
      <c r="J127" s="58">
        <v>22</v>
      </c>
      <c r="K127" s="58">
        <v>31</v>
      </c>
      <c r="L127" s="58">
        <v>35.5</v>
      </c>
      <c r="M127" s="58">
        <v>37.200000000000003</v>
      </c>
      <c r="N127" s="58">
        <v>36</v>
      </c>
      <c r="O127" s="58">
        <v>36</v>
      </c>
      <c r="P127" s="58">
        <v>36.799999999999997</v>
      </c>
      <c r="Q127" s="58">
        <v>33</v>
      </c>
      <c r="R127" s="58">
        <v>33</v>
      </c>
      <c r="S127" s="58">
        <v>37.700000000000003</v>
      </c>
      <c r="T127" s="58">
        <v>43.5</v>
      </c>
      <c r="U127" s="58">
        <v>41.6</v>
      </c>
      <c r="V127" s="58">
        <v>41.6</v>
      </c>
      <c r="W127" s="58">
        <v>41.6</v>
      </c>
      <c r="X127" s="58">
        <v>26.9</v>
      </c>
      <c r="Y127" s="58">
        <v>20.2</v>
      </c>
      <c r="Z127" s="58">
        <v>-102.2</v>
      </c>
      <c r="AA127" s="58">
        <v>-156.69999999999999</v>
      </c>
      <c r="AB127" s="58">
        <v>-124</v>
      </c>
      <c r="AC127" s="58">
        <v>-124</v>
      </c>
      <c r="AD127" s="58">
        <v>-124</v>
      </c>
      <c r="AE127" s="58">
        <v>-102</v>
      </c>
      <c r="AF127" s="58">
        <v>-175</v>
      </c>
      <c r="AG127" s="55"/>
      <c r="AH127" s="12">
        <f>MAX(B127:AF127)</f>
        <v>43.5</v>
      </c>
      <c r="AI127" s="11">
        <f>MIN(B127:AF127)</f>
        <v>-175</v>
      </c>
    </row>
    <row r="128" spans="1:35" x14ac:dyDescent="0.25">
      <c r="A128" s="57" t="s">
        <v>134</v>
      </c>
      <c r="B128" s="56">
        <v>-52.3</v>
      </c>
      <c r="C128" s="56">
        <v>-48.7</v>
      </c>
      <c r="D128" s="56">
        <v>46.8</v>
      </c>
      <c r="E128" s="56">
        <v>-44</v>
      </c>
      <c r="F128" s="56">
        <v>-45.2</v>
      </c>
      <c r="G128" s="56">
        <v>-43.1</v>
      </c>
      <c r="H128" s="56">
        <v>-49.3</v>
      </c>
      <c r="I128" s="56">
        <v>-55</v>
      </c>
      <c r="J128" s="56">
        <v>-56.7</v>
      </c>
      <c r="K128" s="56">
        <v>-61.9</v>
      </c>
      <c r="L128" s="56">
        <v>-65</v>
      </c>
      <c r="M128" s="56">
        <v>-63</v>
      </c>
      <c r="N128" s="56">
        <v>-60</v>
      </c>
      <c r="O128" s="56">
        <v>-60</v>
      </c>
      <c r="P128" s="56">
        <v>-61.2</v>
      </c>
      <c r="Q128" s="56">
        <v>-59</v>
      </c>
      <c r="R128" s="56">
        <v>-59</v>
      </c>
      <c r="S128" s="56">
        <v>-65.900000000000006</v>
      </c>
      <c r="T128" s="56">
        <v>-64.2</v>
      </c>
      <c r="U128" s="56">
        <v>-65.900000000000006</v>
      </c>
      <c r="V128" s="56">
        <v>-67.8</v>
      </c>
      <c r="W128" s="56">
        <v>-68.099999999999994</v>
      </c>
      <c r="X128" s="56">
        <v>-68.099999999999994</v>
      </c>
      <c r="Y128" s="56">
        <v>-68.099999999999994</v>
      </c>
      <c r="Z128" s="56">
        <v>-68.099999999999994</v>
      </c>
      <c r="AA128" s="56">
        <v>-66.7</v>
      </c>
      <c r="AB128" s="56">
        <v>-63.9</v>
      </c>
      <c r="AC128" s="56">
        <v>-63.9</v>
      </c>
      <c r="AD128" s="56">
        <v>-63.9</v>
      </c>
      <c r="AE128" s="56">
        <v>-63.9</v>
      </c>
      <c r="AF128" s="56">
        <v>-65</v>
      </c>
      <c r="AG128" s="55"/>
      <c r="AH128" s="12">
        <f>MAX(B128:AF128)</f>
        <v>46.8</v>
      </c>
      <c r="AI128" s="11">
        <f>MIN(B128:AF128)</f>
        <v>-68.099999999999994</v>
      </c>
    </row>
    <row r="129" spans="1:37" x14ac:dyDescent="0.25">
      <c r="A129" s="57" t="s">
        <v>133</v>
      </c>
      <c r="B129" s="56">
        <v>88</v>
      </c>
      <c r="C129" s="56">
        <v>30.4</v>
      </c>
      <c r="D129" s="56">
        <v>81.400000000000006</v>
      </c>
      <c r="E129" s="56">
        <v>75.900000000000006</v>
      </c>
      <c r="F129" s="56">
        <v>75.7</v>
      </c>
      <c r="G129" s="56">
        <v>69.2</v>
      </c>
      <c r="H129" s="56">
        <v>67</v>
      </c>
      <c r="I129" s="56">
        <v>49.6</v>
      </c>
      <c r="J129" s="56">
        <v>59.1</v>
      </c>
      <c r="K129" s="56">
        <v>72.3</v>
      </c>
      <c r="L129" s="56">
        <v>81.400000000000006</v>
      </c>
      <c r="M129" s="56">
        <v>82.3</v>
      </c>
      <c r="N129" s="56">
        <v>88</v>
      </c>
      <c r="O129" s="56">
        <v>90</v>
      </c>
      <c r="P129" s="56">
        <v>93.7</v>
      </c>
      <c r="Q129" s="56">
        <v>90</v>
      </c>
      <c r="R129" s="56">
        <v>90</v>
      </c>
      <c r="S129" s="56">
        <v>78.599999999999994</v>
      </c>
      <c r="T129" s="56">
        <v>68.2</v>
      </c>
      <c r="U129" s="56">
        <v>66.3</v>
      </c>
      <c r="V129" s="56">
        <v>72.400000000000006</v>
      </c>
      <c r="W129" s="56">
        <v>63.6</v>
      </c>
      <c r="X129" s="56">
        <v>51</v>
      </c>
      <c r="Y129" s="56">
        <v>57.4</v>
      </c>
      <c r="Z129" s="56">
        <v>66.5</v>
      </c>
      <c r="AA129" s="56">
        <v>121.8</v>
      </c>
      <c r="AB129" s="56">
        <v>120</v>
      </c>
      <c r="AC129" s="56">
        <v>120</v>
      </c>
      <c r="AD129" s="56">
        <v>120</v>
      </c>
      <c r="AE129" s="56">
        <v>115</v>
      </c>
      <c r="AF129" s="56">
        <v>110</v>
      </c>
      <c r="AG129" s="55"/>
      <c r="AH129" s="12">
        <f>MAX(B129:AF129)</f>
        <v>121.8</v>
      </c>
      <c r="AI129" s="11">
        <f>MIN(B129:AF129)</f>
        <v>30.4</v>
      </c>
    </row>
    <row r="130" spans="1:37" ht="15.75" thickBot="1" x14ac:dyDescent="0.3">
      <c r="A130" s="57" t="s">
        <v>132</v>
      </c>
      <c r="B130" s="56">
        <v>98.3</v>
      </c>
      <c r="C130" s="56">
        <v>94</v>
      </c>
      <c r="D130" s="56">
        <v>92</v>
      </c>
      <c r="E130" s="56">
        <v>85.9</v>
      </c>
      <c r="F130" s="56">
        <v>85</v>
      </c>
      <c r="G130" s="56">
        <v>80.5</v>
      </c>
      <c r="H130" s="56">
        <v>76.5</v>
      </c>
      <c r="I130" s="56">
        <v>56.4</v>
      </c>
      <c r="J130" s="56">
        <v>66.599999999999994</v>
      </c>
      <c r="K130" s="56">
        <v>71.900000000000006</v>
      </c>
      <c r="L130" s="56">
        <v>83.6</v>
      </c>
      <c r="M130" s="56">
        <v>84.3</v>
      </c>
      <c r="N130" s="56">
        <v>88</v>
      </c>
      <c r="O130" s="56">
        <v>86</v>
      </c>
      <c r="P130" s="56">
        <v>94.4</v>
      </c>
      <c r="Q130" s="56">
        <v>94</v>
      </c>
      <c r="R130" s="56">
        <v>94</v>
      </c>
      <c r="S130" s="56">
        <v>84.2</v>
      </c>
      <c r="T130" s="56">
        <v>72.8</v>
      </c>
      <c r="U130" s="56">
        <v>65.599999999999994</v>
      </c>
      <c r="V130" s="56">
        <v>73.400000000000006</v>
      </c>
      <c r="W130" s="56">
        <v>68.099999999999994</v>
      </c>
      <c r="X130" s="56">
        <v>63.5</v>
      </c>
      <c r="Y130" s="56">
        <v>65.3</v>
      </c>
      <c r="Z130" s="56">
        <v>75.2</v>
      </c>
      <c r="AA130" s="56">
        <v>127.5</v>
      </c>
      <c r="AB130" s="56">
        <v>130</v>
      </c>
      <c r="AC130" s="56">
        <v>130</v>
      </c>
      <c r="AD130" s="56">
        <v>130</v>
      </c>
      <c r="AE130" s="56">
        <v>125</v>
      </c>
      <c r="AF130" s="56">
        <v>118</v>
      </c>
      <c r="AG130" s="55"/>
      <c r="AH130" s="12">
        <f>MAX(B130:AF130)</f>
        <v>130</v>
      </c>
      <c r="AI130" s="11">
        <f>MIN(B130:AF130)</f>
        <v>56.4</v>
      </c>
    </row>
    <row r="131" spans="1:37" x14ac:dyDescent="0.25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25">
      <c r="A132" s="47" t="s">
        <v>130</v>
      </c>
      <c r="B132" s="51">
        <v>1982.9</v>
      </c>
      <c r="C132" s="51">
        <v>1982.76</v>
      </c>
      <c r="D132" s="51">
        <v>1982.69</v>
      </c>
      <c r="E132" s="51">
        <v>1982.71</v>
      </c>
      <c r="F132" s="51">
        <v>1982.84</v>
      </c>
      <c r="G132" s="51">
        <v>1982.94</v>
      </c>
      <c r="H132" s="51"/>
      <c r="I132" s="51">
        <v>1982.96</v>
      </c>
      <c r="J132" s="51"/>
      <c r="K132" s="51">
        <v>1983.23</v>
      </c>
      <c r="L132" s="51"/>
      <c r="M132" s="51">
        <v>1983.66</v>
      </c>
      <c r="N132" s="51">
        <v>1984.2</v>
      </c>
      <c r="O132" s="51">
        <v>1984.38</v>
      </c>
      <c r="P132" s="51">
        <v>1984.69</v>
      </c>
      <c r="Q132" s="51"/>
      <c r="R132" s="51"/>
      <c r="S132" s="51">
        <v>1985.45</v>
      </c>
      <c r="T132" s="51">
        <v>1985.77</v>
      </c>
      <c r="U132" s="51">
        <v>1986.05</v>
      </c>
      <c r="V132" s="51">
        <v>1986.32</v>
      </c>
      <c r="W132" s="51">
        <v>1986.5</v>
      </c>
      <c r="X132" s="51">
        <v>1986.62</v>
      </c>
      <c r="Y132" s="51"/>
      <c r="Z132" s="51">
        <v>1986.75</v>
      </c>
      <c r="AA132" s="51"/>
      <c r="AB132" s="51">
        <v>1986.12</v>
      </c>
      <c r="AC132" s="51"/>
      <c r="AD132" s="51">
        <v>1985.78</v>
      </c>
      <c r="AE132" s="51">
        <v>1985.49</v>
      </c>
      <c r="AF132" s="50">
        <v>1984.92</v>
      </c>
      <c r="AG132" s="44"/>
      <c r="AH132" s="12"/>
      <c r="AI132" s="11"/>
    </row>
    <row r="133" spans="1:37" x14ac:dyDescent="0.25">
      <c r="A133" s="47" t="s">
        <v>129</v>
      </c>
      <c r="B133" s="49">
        <v>519.20000000000005</v>
      </c>
      <c r="C133" s="49">
        <v>519.16999999999996</v>
      </c>
      <c r="D133" s="49">
        <v>519.21</v>
      </c>
      <c r="E133" s="49">
        <v>519.26</v>
      </c>
      <c r="F133" s="49">
        <v>519.32000000000005</v>
      </c>
      <c r="G133" s="49">
        <v>519.44000000000005</v>
      </c>
      <c r="H133" s="49"/>
      <c r="I133" s="49">
        <v>519.54</v>
      </c>
      <c r="J133" s="49"/>
      <c r="K133" s="49">
        <v>519.74</v>
      </c>
      <c r="L133" s="49"/>
      <c r="M133" s="49">
        <v>520.12</v>
      </c>
      <c r="N133" s="49">
        <v>520.5</v>
      </c>
      <c r="O133" s="49">
        <v>520.85</v>
      </c>
      <c r="P133" s="49">
        <v>521</v>
      </c>
      <c r="Q133" s="49">
        <v>521.11</v>
      </c>
      <c r="R133" s="49">
        <v>521.23</v>
      </c>
      <c r="S133" s="49">
        <v>521.26</v>
      </c>
      <c r="T133" s="49">
        <v>521.15</v>
      </c>
      <c r="U133" s="49">
        <v>521.15</v>
      </c>
      <c r="V133" s="49">
        <v>521.12</v>
      </c>
      <c r="W133" s="49"/>
      <c r="X133" s="49">
        <v>521.1</v>
      </c>
      <c r="Y133" s="49"/>
      <c r="Z133" s="49">
        <v>521.04</v>
      </c>
      <c r="AA133" s="49"/>
      <c r="AB133" s="49">
        <v>520.66</v>
      </c>
      <c r="AC133" s="49"/>
      <c r="AD133" s="49">
        <v>520.13</v>
      </c>
      <c r="AE133" s="49">
        <v>519.79999999999995</v>
      </c>
      <c r="AF133" s="48">
        <v>519.65</v>
      </c>
      <c r="AG133" s="44"/>
      <c r="AH133" s="12"/>
      <c r="AI133" s="11"/>
    </row>
    <row r="134" spans="1:37" x14ac:dyDescent="0.25">
      <c r="A134" s="47" t="s">
        <v>128</v>
      </c>
      <c r="B134" s="49"/>
      <c r="C134" s="49"/>
      <c r="D134" s="49">
        <v>622.87</v>
      </c>
      <c r="E134" s="49">
        <v>623.11</v>
      </c>
      <c r="F134" s="49">
        <v>623.26</v>
      </c>
      <c r="G134" s="49">
        <v>623.47</v>
      </c>
      <c r="H134" s="49"/>
      <c r="I134" s="49">
        <v>623.55999999999995</v>
      </c>
      <c r="J134" s="49"/>
      <c r="K134" s="49">
        <v>623.58000000000004</v>
      </c>
      <c r="L134" s="49"/>
      <c r="M134" s="49">
        <v>623.5</v>
      </c>
      <c r="N134" s="49">
        <v>623.37</v>
      </c>
      <c r="O134" s="49">
        <v>623.37</v>
      </c>
      <c r="P134" s="49">
        <v>623.37</v>
      </c>
      <c r="Q134" s="49">
        <v>623.41999999999996</v>
      </c>
      <c r="R134" s="49">
        <v>623.41</v>
      </c>
      <c r="S134" s="49">
        <v>623.45000000000005</v>
      </c>
      <c r="T134" s="49">
        <v>623.41</v>
      </c>
      <c r="U134" s="49">
        <v>623.39</v>
      </c>
      <c r="V134" s="49">
        <v>623.35</v>
      </c>
      <c r="W134" s="49"/>
      <c r="X134" s="49">
        <v>623.26</v>
      </c>
      <c r="Y134" s="49"/>
      <c r="Z134" s="49">
        <v>623.14</v>
      </c>
      <c r="AA134" s="49"/>
      <c r="AB134" s="49">
        <v>622.82000000000005</v>
      </c>
      <c r="AC134" s="49"/>
      <c r="AD134" s="49">
        <v>622.5</v>
      </c>
      <c r="AE134" s="49">
        <v>622.76</v>
      </c>
      <c r="AF134" s="48">
        <v>622.99</v>
      </c>
      <c r="AG134" s="44"/>
      <c r="AH134" s="12"/>
      <c r="AI134" s="11"/>
    </row>
    <row r="135" spans="1:37" x14ac:dyDescent="0.25">
      <c r="A135" s="47" t="s">
        <v>127</v>
      </c>
      <c r="B135" s="49">
        <v>334.12</v>
      </c>
      <c r="C135" s="49">
        <v>334.15</v>
      </c>
      <c r="D135" s="49">
        <v>334.4</v>
      </c>
      <c r="E135" s="49">
        <v>334.57</v>
      </c>
      <c r="F135" s="49">
        <v>334.61</v>
      </c>
      <c r="G135" s="49">
        <v>334.62</v>
      </c>
      <c r="H135" s="49"/>
      <c r="I135" s="49">
        <v>334.61</v>
      </c>
      <c r="J135" s="49"/>
      <c r="K135" s="49">
        <v>334.55</v>
      </c>
      <c r="L135" s="49"/>
      <c r="M135" s="49">
        <v>334.56</v>
      </c>
      <c r="N135" s="49"/>
      <c r="O135" s="49">
        <v>334.56</v>
      </c>
      <c r="P135" s="49">
        <v>334.57</v>
      </c>
      <c r="Q135" s="49">
        <v>334.57</v>
      </c>
      <c r="R135" s="49"/>
      <c r="S135" s="49">
        <v>335.23</v>
      </c>
      <c r="T135" s="49">
        <v>335.33</v>
      </c>
      <c r="U135" s="49">
        <v>335.76</v>
      </c>
      <c r="V135" s="49">
        <v>335.97</v>
      </c>
      <c r="W135" s="49"/>
      <c r="X135" s="49">
        <v>336.31</v>
      </c>
      <c r="Y135" s="49"/>
      <c r="Z135" s="49">
        <v>336.35</v>
      </c>
      <c r="AA135" s="49"/>
      <c r="AB135" s="49">
        <v>336.26</v>
      </c>
      <c r="AC135" s="49"/>
      <c r="AD135" s="49">
        <v>336.19</v>
      </c>
      <c r="AE135" s="49">
        <v>336.09</v>
      </c>
      <c r="AF135" s="48"/>
      <c r="AG135" s="44"/>
      <c r="AH135" s="12"/>
      <c r="AI135" s="11"/>
    </row>
    <row r="136" spans="1:37" x14ac:dyDescent="0.25">
      <c r="A136" s="47" t="s">
        <v>126</v>
      </c>
      <c r="B136" s="49">
        <v>882.5</v>
      </c>
      <c r="C136" s="49">
        <v>883.1</v>
      </c>
      <c r="D136" s="49">
        <v>884.1</v>
      </c>
      <c r="E136" s="49">
        <v>885.1</v>
      </c>
      <c r="F136" s="49">
        <v>885.6</v>
      </c>
      <c r="G136" s="49">
        <v>886.3</v>
      </c>
      <c r="H136" s="49"/>
      <c r="I136" s="49">
        <v>886.8</v>
      </c>
      <c r="J136" s="49"/>
      <c r="K136" s="49">
        <v>886.8</v>
      </c>
      <c r="L136" s="49"/>
      <c r="M136" s="49">
        <v>886.9</v>
      </c>
      <c r="N136" s="49">
        <v>887</v>
      </c>
      <c r="O136" s="49">
        <v>887</v>
      </c>
      <c r="P136" s="49">
        <v>886.2</v>
      </c>
      <c r="Q136" s="49"/>
      <c r="R136" s="49"/>
      <c r="S136" s="49">
        <v>885.6</v>
      </c>
      <c r="T136" s="49">
        <v>885.4</v>
      </c>
      <c r="U136" s="49">
        <v>885.4</v>
      </c>
      <c r="V136" s="49">
        <v>995.1</v>
      </c>
      <c r="W136" s="49"/>
      <c r="X136" s="49">
        <v>884.9</v>
      </c>
      <c r="Y136" s="49"/>
      <c r="Z136" s="49">
        <v>883.9</v>
      </c>
      <c r="AA136" s="49">
        <v>882.7</v>
      </c>
      <c r="AB136" s="49"/>
      <c r="AC136" s="49">
        <v>882.4</v>
      </c>
      <c r="AD136" s="49">
        <v>882.4</v>
      </c>
      <c r="AE136" s="49">
        <v>882.4</v>
      </c>
      <c r="AF136" s="48"/>
      <c r="AG136" s="44"/>
      <c r="AH136" s="12"/>
      <c r="AI136" s="11"/>
    </row>
    <row r="137" spans="1:37" ht="15.75" thickBot="1" x14ac:dyDescent="0.3">
      <c r="A137" s="47" t="s">
        <v>125</v>
      </c>
      <c r="B137" s="46">
        <v>1505.38</v>
      </c>
      <c r="C137" s="46"/>
      <c r="D137" s="46"/>
      <c r="E137" s="46"/>
      <c r="F137" s="46"/>
      <c r="G137" s="46"/>
      <c r="H137" s="46"/>
      <c r="I137" s="46">
        <v>1505.17</v>
      </c>
      <c r="J137" s="46"/>
      <c r="K137" s="46"/>
      <c r="L137" s="46"/>
      <c r="M137" s="46">
        <v>1505.11</v>
      </c>
      <c r="N137" s="46"/>
      <c r="O137" s="46">
        <v>1505.06</v>
      </c>
      <c r="P137" s="46"/>
      <c r="Q137" s="46"/>
      <c r="R137" s="46"/>
      <c r="S137" s="46">
        <v>1504.95</v>
      </c>
      <c r="T137" s="46"/>
      <c r="U137" s="46"/>
      <c r="V137" s="46"/>
      <c r="W137" s="46"/>
      <c r="X137" s="46"/>
      <c r="Y137" s="46"/>
      <c r="Z137" s="46"/>
      <c r="AA137" s="46"/>
      <c r="AB137" s="46">
        <v>1504.85</v>
      </c>
      <c r="AC137" s="46"/>
      <c r="AD137" s="46"/>
      <c r="AE137" s="46"/>
      <c r="AF137" s="45"/>
      <c r="AG137" s="44"/>
      <c r="AH137" s="12"/>
      <c r="AI137" s="11"/>
    </row>
    <row r="138" spans="1:37" ht="15.75" thickBot="1" x14ac:dyDescent="0.3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25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25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25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25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25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25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25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25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25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25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25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25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25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25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25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25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25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25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25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25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25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25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25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25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25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25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25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25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25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25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25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25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25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25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25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25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25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25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25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25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25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25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25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25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25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25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25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25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25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25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25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25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25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25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25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25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25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25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25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25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25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25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25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25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25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25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25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25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25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25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25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25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25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25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25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25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25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25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25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25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25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25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25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25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25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25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25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25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25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25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25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25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25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25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25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25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25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25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25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25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25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25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25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25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.75" thickBot="1" x14ac:dyDescent="0.3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.75" thickBot="1" x14ac:dyDescent="0.3">
      <c r="A244" s="31" t="s">
        <v>17</v>
      </c>
      <c r="B244" s="30">
        <f t="shared" ref="B244:AG244" si="114">SUM(B139:B243)</f>
        <v>0</v>
      </c>
      <c r="C244" s="14">
        <f t="shared" si="114"/>
        <v>0</v>
      </c>
      <c r="D244" s="14">
        <f t="shared" si="114"/>
        <v>0</v>
      </c>
      <c r="E244" s="14">
        <f t="shared" si="114"/>
        <v>0</v>
      </c>
      <c r="F244" s="14">
        <f t="shared" si="114"/>
        <v>0</v>
      </c>
      <c r="G244" s="14">
        <f t="shared" si="114"/>
        <v>0</v>
      </c>
      <c r="H244" s="14">
        <f t="shared" si="114"/>
        <v>0</v>
      </c>
      <c r="I244" s="14">
        <f t="shared" si="114"/>
        <v>0</v>
      </c>
      <c r="J244" s="14">
        <f t="shared" si="114"/>
        <v>0</v>
      </c>
      <c r="K244" s="14">
        <f t="shared" si="114"/>
        <v>0</v>
      </c>
      <c r="L244" s="14">
        <f t="shared" si="114"/>
        <v>0</v>
      </c>
      <c r="M244" s="14">
        <f t="shared" si="114"/>
        <v>0</v>
      </c>
      <c r="N244" s="14">
        <f t="shared" si="114"/>
        <v>0</v>
      </c>
      <c r="O244" s="14">
        <f t="shared" si="114"/>
        <v>0</v>
      </c>
      <c r="P244" s="14">
        <f t="shared" si="114"/>
        <v>0</v>
      </c>
      <c r="Q244" s="14">
        <f t="shared" si="114"/>
        <v>0</v>
      </c>
      <c r="R244" s="14">
        <f t="shared" si="114"/>
        <v>0</v>
      </c>
      <c r="S244" s="14">
        <f t="shared" si="114"/>
        <v>0</v>
      </c>
      <c r="T244" s="14">
        <f t="shared" si="114"/>
        <v>0</v>
      </c>
      <c r="U244" s="14">
        <f t="shared" si="114"/>
        <v>0</v>
      </c>
      <c r="V244" s="14">
        <f t="shared" si="114"/>
        <v>0</v>
      </c>
      <c r="W244" s="14">
        <f t="shared" si="114"/>
        <v>0</v>
      </c>
      <c r="X244" s="14">
        <f t="shared" si="114"/>
        <v>0</v>
      </c>
      <c r="Y244" s="14">
        <f t="shared" si="114"/>
        <v>0</v>
      </c>
      <c r="Z244" s="14">
        <f t="shared" si="114"/>
        <v>0</v>
      </c>
      <c r="AA244" s="14">
        <f t="shared" si="114"/>
        <v>0</v>
      </c>
      <c r="AB244" s="14">
        <f t="shared" si="114"/>
        <v>0</v>
      </c>
      <c r="AC244" s="14">
        <f t="shared" si="114"/>
        <v>0</v>
      </c>
      <c r="AD244" s="14">
        <f t="shared" si="114"/>
        <v>0</v>
      </c>
      <c r="AE244" s="14">
        <f t="shared" si="114"/>
        <v>0</v>
      </c>
      <c r="AF244" s="29">
        <f t="shared" si="114"/>
        <v>0</v>
      </c>
      <c r="AG244" s="28">
        <f t="shared" si="114"/>
        <v>412.72299999999984</v>
      </c>
      <c r="AH244" s="12"/>
      <c r="AI244" s="11"/>
      <c r="AK244" s="19"/>
    </row>
    <row r="245" spans="1:37" ht="15.75" thickBot="1" x14ac:dyDescent="0.3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25">
      <c r="A246" s="25" t="s">
        <v>16</v>
      </c>
      <c r="B246" s="24">
        <f t="shared" ref="B246:B251" si="115">AF246</f>
        <v>0.3</v>
      </c>
      <c r="C246" s="24">
        <v>0.3</v>
      </c>
      <c r="D246" s="24">
        <f t="shared" ref="D246:AF251" si="116">C246</f>
        <v>0.3</v>
      </c>
      <c r="E246" s="24">
        <f t="shared" si="116"/>
        <v>0.3</v>
      </c>
      <c r="F246" s="24">
        <f t="shared" si="116"/>
        <v>0.3</v>
      </c>
      <c r="G246" s="24">
        <f t="shared" si="116"/>
        <v>0.3</v>
      </c>
      <c r="H246" s="24">
        <f t="shared" si="116"/>
        <v>0.3</v>
      </c>
      <c r="I246" s="24">
        <f t="shared" si="116"/>
        <v>0.3</v>
      </c>
      <c r="J246" s="24">
        <f t="shared" si="116"/>
        <v>0.3</v>
      </c>
      <c r="K246" s="24">
        <f t="shared" si="116"/>
        <v>0.3</v>
      </c>
      <c r="L246" s="24">
        <f t="shared" si="116"/>
        <v>0.3</v>
      </c>
      <c r="M246" s="24">
        <f t="shared" si="116"/>
        <v>0.3</v>
      </c>
      <c r="N246" s="24">
        <f t="shared" si="116"/>
        <v>0.3</v>
      </c>
      <c r="O246" s="24">
        <f t="shared" si="116"/>
        <v>0.3</v>
      </c>
      <c r="P246" s="24">
        <f t="shared" si="116"/>
        <v>0.3</v>
      </c>
      <c r="Q246" s="24">
        <f t="shared" si="116"/>
        <v>0.3</v>
      </c>
      <c r="R246" s="24">
        <f t="shared" si="116"/>
        <v>0.3</v>
      </c>
      <c r="S246" s="24">
        <f t="shared" si="116"/>
        <v>0.3</v>
      </c>
      <c r="T246" s="24">
        <f t="shared" si="116"/>
        <v>0.3</v>
      </c>
      <c r="U246" s="24">
        <f t="shared" si="116"/>
        <v>0.3</v>
      </c>
      <c r="V246" s="24">
        <f t="shared" si="116"/>
        <v>0.3</v>
      </c>
      <c r="W246" s="24">
        <f t="shared" si="116"/>
        <v>0.3</v>
      </c>
      <c r="X246" s="24">
        <f t="shared" si="116"/>
        <v>0.3</v>
      </c>
      <c r="Y246" s="24">
        <f t="shared" si="116"/>
        <v>0.3</v>
      </c>
      <c r="Z246" s="24">
        <f t="shared" si="116"/>
        <v>0.3</v>
      </c>
      <c r="AA246" s="24">
        <f t="shared" si="116"/>
        <v>0.3</v>
      </c>
      <c r="AB246" s="24">
        <f t="shared" si="116"/>
        <v>0.3</v>
      </c>
      <c r="AC246" s="24">
        <f t="shared" si="116"/>
        <v>0.3</v>
      </c>
      <c r="AD246" s="24">
        <f t="shared" si="116"/>
        <v>0.3</v>
      </c>
      <c r="AE246" s="24">
        <f t="shared" si="116"/>
        <v>0.3</v>
      </c>
      <c r="AF246" s="24">
        <f t="shared" si="116"/>
        <v>0.3</v>
      </c>
      <c r="AG246" s="23">
        <v>2.4</v>
      </c>
      <c r="AH246" s="12"/>
      <c r="AI246" s="11"/>
      <c r="AK246" s="19"/>
    </row>
    <row r="247" spans="1:37" x14ac:dyDescent="0.25">
      <c r="A247" s="22" t="s">
        <v>15</v>
      </c>
      <c r="B247" s="21">
        <f t="shared" si="115"/>
        <v>0.4</v>
      </c>
      <c r="C247" s="21">
        <v>0.4</v>
      </c>
      <c r="D247" s="21">
        <f t="shared" si="116"/>
        <v>0.4</v>
      </c>
      <c r="E247" s="21">
        <f t="shared" si="116"/>
        <v>0.4</v>
      </c>
      <c r="F247" s="21">
        <f t="shared" si="116"/>
        <v>0.4</v>
      </c>
      <c r="G247" s="21">
        <f t="shared" si="116"/>
        <v>0.4</v>
      </c>
      <c r="H247" s="21">
        <f t="shared" si="116"/>
        <v>0.4</v>
      </c>
      <c r="I247" s="21">
        <f t="shared" si="116"/>
        <v>0.4</v>
      </c>
      <c r="J247" s="21">
        <f t="shared" si="116"/>
        <v>0.4</v>
      </c>
      <c r="K247" s="21">
        <f t="shared" si="116"/>
        <v>0.4</v>
      </c>
      <c r="L247" s="21">
        <f t="shared" si="116"/>
        <v>0.4</v>
      </c>
      <c r="M247" s="21">
        <f t="shared" si="116"/>
        <v>0.4</v>
      </c>
      <c r="N247" s="21">
        <f t="shared" si="116"/>
        <v>0.4</v>
      </c>
      <c r="O247" s="21">
        <f t="shared" si="116"/>
        <v>0.4</v>
      </c>
      <c r="P247" s="21">
        <f t="shared" si="116"/>
        <v>0.4</v>
      </c>
      <c r="Q247" s="21">
        <f t="shared" si="116"/>
        <v>0.4</v>
      </c>
      <c r="R247" s="21">
        <f t="shared" si="116"/>
        <v>0.4</v>
      </c>
      <c r="S247" s="21">
        <f t="shared" si="116"/>
        <v>0.4</v>
      </c>
      <c r="T247" s="21">
        <f t="shared" si="116"/>
        <v>0.4</v>
      </c>
      <c r="U247" s="21">
        <f t="shared" si="116"/>
        <v>0.4</v>
      </c>
      <c r="V247" s="21">
        <f t="shared" si="116"/>
        <v>0.4</v>
      </c>
      <c r="W247" s="21">
        <f t="shared" si="116"/>
        <v>0.4</v>
      </c>
      <c r="X247" s="21">
        <f t="shared" si="116"/>
        <v>0.4</v>
      </c>
      <c r="Y247" s="21">
        <f t="shared" si="116"/>
        <v>0.4</v>
      </c>
      <c r="Z247" s="21">
        <f t="shared" si="116"/>
        <v>0.4</v>
      </c>
      <c r="AA247" s="21">
        <f t="shared" si="116"/>
        <v>0.4</v>
      </c>
      <c r="AB247" s="21">
        <f t="shared" si="116"/>
        <v>0.4</v>
      </c>
      <c r="AC247" s="21">
        <f t="shared" si="116"/>
        <v>0.4</v>
      </c>
      <c r="AD247" s="21">
        <f t="shared" si="116"/>
        <v>0.4</v>
      </c>
      <c r="AE247" s="21">
        <f t="shared" si="116"/>
        <v>0.4</v>
      </c>
      <c r="AF247" s="21">
        <f t="shared" si="116"/>
        <v>0.4</v>
      </c>
      <c r="AG247" s="20">
        <v>2</v>
      </c>
      <c r="AH247" s="12"/>
      <c r="AI247" s="11"/>
      <c r="AK247" s="19"/>
    </row>
    <row r="248" spans="1:37" x14ac:dyDescent="0.25">
      <c r="A248" s="22" t="s">
        <v>14</v>
      </c>
      <c r="B248" s="21">
        <f t="shared" si="115"/>
        <v>1.5</v>
      </c>
      <c r="C248" s="21">
        <v>1.5</v>
      </c>
      <c r="D248" s="21">
        <f t="shared" si="116"/>
        <v>1.5</v>
      </c>
      <c r="E248" s="21">
        <f t="shared" si="116"/>
        <v>1.5</v>
      </c>
      <c r="F248" s="21">
        <f t="shared" si="116"/>
        <v>1.5</v>
      </c>
      <c r="G248" s="21">
        <f t="shared" si="116"/>
        <v>1.5</v>
      </c>
      <c r="H248" s="21">
        <f t="shared" si="116"/>
        <v>1.5</v>
      </c>
      <c r="I248" s="21">
        <f t="shared" si="116"/>
        <v>1.5</v>
      </c>
      <c r="J248" s="21">
        <f t="shared" si="116"/>
        <v>1.5</v>
      </c>
      <c r="K248" s="21">
        <f t="shared" si="116"/>
        <v>1.5</v>
      </c>
      <c r="L248" s="21">
        <f t="shared" si="116"/>
        <v>1.5</v>
      </c>
      <c r="M248" s="21">
        <f t="shared" si="116"/>
        <v>1.5</v>
      </c>
      <c r="N248" s="21">
        <f t="shared" si="116"/>
        <v>1.5</v>
      </c>
      <c r="O248" s="21">
        <f t="shared" si="116"/>
        <v>1.5</v>
      </c>
      <c r="P248" s="21">
        <f t="shared" si="116"/>
        <v>1.5</v>
      </c>
      <c r="Q248" s="21">
        <f t="shared" si="116"/>
        <v>1.5</v>
      </c>
      <c r="R248" s="21">
        <f t="shared" si="116"/>
        <v>1.5</v>
      </c>
      <c r="S248" s="21">
        <f t="shared" si="116"/>
        <v>1.5</v>
      </c>
      <c r="T248" s="21">
        <f t="shared" si="116"/>
        <v>1.5</v>
      </c>
      <c r="U248" s="21">
        <f t="shared" si="116"/>
        <v>1.5</v>
      </c>
      <c r="V248" s="21">
        <f t="shared" si="116"/>
        <v>1.5</v>
      </c>
      <c r="W248" s="21">
        <f t="shared" si="116"/>
        <v>1.5</v>
      </c>
      <c r="X248" s="21">
        <f t="shared" si="116"/>
        <v>1.5</v>
      </c>
      <c r="Y248" s="21">
        <f t="shared" si="116"/>
        <v>1.5</v>
      </c>
      <c r="Z248" s="21">
        <f t="shared" si="116"/>
        <v>1.5</v>
      </c>
      <c r="AA248" s="21">
        <f t="shared" si="116"/>
        <v>1.5</v>
      </c>
      <c r="AB248" s="21">
        <f t="shared" si="116"/>
        <v>1.5</v>
      </c>
      <c r="AC248" s="21">
        <f t="shared" si="116"/>
        <v>1.5</v>
      </c>
      <c r="AD248" s="21">
        <f t="shared" si="116"/>
        <v>1.5</v>
      </c>
      <c r="AE248" s="21">
        <f t="shared" si="116"/>
        <v>1.5</v>
      </c>
      <c r="AF248" s="21">
        <f t="shared" si="116"/>
        <v>1.5</v>
      </c>
      <c r="AG248" s="20">
        <v>1.5</v>
      </c>
      <c r="AH248" s="12"/>
      <c r="AI248" s="11"/>
      <c r="AK248" s="19"/>
    </row>
    <row r="249" spans="1:37" x14ac:dyDescent="0.25">
      <c r="A249" s="22" t="s">
        <v>13</v>
      </c>
      <c r="B249" s="21">
        <f t="shared" si="115"/>
        <v>0.3</v>
      </c>
      <c r="C249" s="21">
        <v>0.3</v>
      </c>
      <c r="D249" s="21">
        <f t="shared" si="116"/>
        <v>0.3</v>
      </c>
      <c r="E249" s="21">
        <f t="shared" si="116"/>
        <v>0.3</v>
      </c>
      <c r="F249" s="21">
        <f t="shared" si="116"/>
        <v>0.3</v>
      </c>
      <c r="G249" s="21">
        <f t="shared" si="116"/>
        <v>0.3</v>
      </c>
      <c r="H249" s="21">
        <f t="shared" si="116"/>
        <v>0.3</v>
      </c>
      <c r="I249" s="21">
        <f t="shared" si="116"/>
        <v>0.3</v>
      </c>
      <c r="J249" s="21">
        <f t="shared" si="116"/>
        <v>0.3</v>
      </c>
      <c r="K249" s="21">
        <f t="shared" si="116"/>
        <v>0.3</v>
      </c>
      <c r="L249" s="21">
        <f t="shared" si="116"/>
        <v>0.3</v>
      </c>
      <c r="M249" s="21">
        <f t="shared" si="116"/>
        <v>0.3</v>
      </c>
      <c r="N249" s="21">
        <f t="shared" si="116"/>
        <v>0.3</v>
      </c>
      <c r="O249" s="21">
        <f t="shared" si="116"/>
        <v>0.3</v>
      </c>
      <c r="P249" s="21">
        <f t="shared" si="116"/>
        <v>0.3</v>
      </c>
      <c r="Q249" s="21">
        <f t="shared" si="116"/>
        <v>0.3</v>
      </c>
      <c r="R249" s="21">
        <f t="shared" si="116"/>
        <v>0.3</v>
      </c>
      <c r="S249" s="21">
        <f t="shared" si="116"/>
        <v>0.3</v>
      </c>
      <c r="T249" s="21">
        <f t="shared" si="116"/>
        <v>0.3</v>
      </c>
      <c r="U249" s="21">
        <f t="shared" si="116"/>
        <v>0.3</v>
      </c>
      <c r="V249" s="21">
        <f t="shared" si="116"/>
        <v>0.3</v>
      </c>
      <c r="W249" s="21">
        <f t="shared" si="116"/>
        <v>0.3</v>
      </c>
      <c r="X249" s="21">
        <f t="shared" si="116"/>
        <v>0.3</v>
      </c>
      <c r="Y249" s="21">
        <f t="shared" si="116"/>
        <v>0.3</v>
      </c>
      <c r="Z249" s="21">
        <f t="shared" si="116"/>
        <v>0.3</v>
      </c>
      <c r="AA249" s="21">
        <f t="shared" si="116"/>
        <v>0.3</v>
      </c>
      <c r="AB249" s="21">
        <f t="shared" si="116"/>
        <v>0.3</v>
      </c>
      <c r="AC249" s="21">
        <f t="shared" si="116"/>
        <v>0.3</v>
      </c>
      <c r="AD249" s="21">
        <f t="shared" si="116"/>
        <v>0.3</v>
      </c>
      <c r="AE249" s="21">
        <f t="shared" si="116"/>
        <v>0.3</v>
      </c>
      <c r="AF249" s="21">
        <f t="shared" si="116"/>
        <v>0.3</v>
      </c>
      <c r="AG249" s="20">
        <v>1</v>
      </c>
      <c r="AH249" s="12"/>
      <c r="AI249" s="11"/>
      <c r="AK249" s="19"/>
    </row>
    <row r="250" spans="1:37" x14ac:dyDescent="0.25">
      <c r="A250" s="22" t="s">
        <v>12</v>
      </c>
      <c r="B250" s="21">
        <f t="shared" si="115"/>
        <v>0.4</v>
      </c>
      <c r="C250" s="21">
        <v>0.4</v>
      </c>
      <c r="D250" s="21">
        <f t="shared" si="116"/>
        <v>0.4</v>
      </c>
      <c r="E250" s="21">
        <f t="shared" si="116"/>
        <v>0.4</v>
      </c>
      <c r="F250" s="21">
        <f t="shared" si="116"/>
        <v>0.4</v>
      </c>
      <c r="G250" s="21">
        <f t="shared" si="116"/>
        <v>0.4</v>
      </c>
      <c r="H250" s="21">
        <f t="shared" si="116"/>
        <v>0.4</v>
      </c>
      <c r="I250" s="21">
        <f t="shared" si="116"/>
        <v>0.4</v>
      </c>
      <c r="J250" s="21">
        <f t="shared" si="116"/>
        <v>0.4</v>
      </c>
      <c r="K250" s="21">
        <f t="shared" si="116"/>
        <v>0.4</v>
      </c>
      <c r="L250" s="21">
        <f t="shared" si="116"/>
        <v>0.4</v>
      </c>
      <c r="M250" s="21">
        <f t="shared" si="116"/>
        <v>0.4</v>
      </c>
      <c r="N250" s="21">
        <f t="shared" si="116"/>
        <v>0.4</v>
      </c>
      <c r="O250" s="21">
        <f t="shared" si="116"/>
        <v>0.4</v>
      </c>
      <c r="P250" s="21">
        <f t="shared" si="116"/>
        <v>0.4</v>
      </c>
      <c r="Q250" s="21">
        <f t="shared" si="116"/>
        <v>0.4</v>
      </c>
      <c r="R250" s="21">
        <f t="shared" si="116"/>
        <v>0.4</v>
      </c>
      <c r="S250" s="21">
        <f t="shared" si="116"/>
        <v>0.4</v>
      </c>
      <c r="T250" s="21">
        <f t="shared" si="116"/>
        <v>0.4</v>
      </c>
      <c r="U250" s="21">
        <f t="shared" si="116"/>
        <v>0.4</v>
      </c>
      <c r="V250" s="21">
        <f t="shared" si="116"/>
        <v>0.4</v>
      </c>
      <c r="W250" s="21">
        <f t="shared" si="116"/>
        <v>0.4</v>
      </c>
      <c r="X250" s="21">
        <f t="shared" si="116"/>
        <v>0.4</v>
      </c>
      <c r="Y250" s="21">
        <f t="shared" si="116"/>
        <v>0.4</v>
      </c>
      <c r="Z250" s="21">
        <f t="shared" si="116"/>
        <v>0.4</v>
      </c>
      <c r="AA250" s="21">
        <f t="shared" si="116"/>
        <v>0.4</v>
      </c>
      <c r="AB250" s="21">
        <f t="shared" si="116"/>
        <v>0.4</v>
      </c>
      <c r="AC250" s="21">
        <f t="shared" si="116"/>
        <v>0.4</v>
      </c>
      <c r="AD250" s="21">
        <f t="shared" si="116"/>
        <v>0.4</v>
      </c>
      <c r="AE250" s="21">
        <f t="shared" si="116"/>
        <v>0.4</v>
      </c>
      <c r="AF250" s="21">
        <f t="shared" si="116"/>
        <v>0.4</v>
      </c>
      <c r="AG250" s="20">
        <v>1</v>
      </c>
      <c r="AH250" s="12"/>
      <c r="AI250" s="11"/>
      <c r="AK250" s="19"/>
    </row>
    <row r="251" spans="1:37" ht="15.75" thickBot="1" x14ac:dyDescent="0.3">
      <c r="A251" s="18" t="s">
        <v>11</v>
      </c>
      <c r="B251" s="17">
        <f t="shared" si="115"/>
        <v>0.64</v>
      </c>
      <c r="C251" s="17">
        <v>0.64</v>
      </c>
      <c r="D251" s="17">
        <f t="shared" si="116"/>
        <v>0.64</v>
      </c>
      <c r="E251" s="17">
        <f t="shared" si="116"/>
        <v>0.64</v>
      </c>
      <c r="F251" s="17">
        <f t="shared" si="116"/>
        <v>0.64</v>
      </c>
      <c r="G251" s="17">
        <f t="shared" si="116"/>
        <v>0.64</v>
      </c>
      <c r="H251" s="17">
        <f t="shared" si="116"/>
        <v>0.64</v>
      </c>
      <c r="I251" s="17">
        <f t="shared" si="116"/>
        <v>0.64</v>
      </c>
      <c r="J251" s="17">
        <f t="shared" si="116"/>
        <v>0.64</v>
      </c>
      <c r="K251" s="17">
        <f t="shared" si="116"/>
        <v>0.64</v>
      </c>
      <c r="L251" s="17">
        <f t="shared" si="116"/>
        <v>0.64</v>
      </c>
      <c r="M251" s="17">
        <f t="shared" si="116"/>
        <v>0.64</v>
      </c>
      <c r="N251" s="17">
        <f t="shared" si="116"/>
        <v>0.64</v>
      </c>
      <c r="O251" s="17">
        <f t="shared" si="116"/>
        <v>0.64</v>
      </c>
      <c r="P251" s="17">
        <f t="shared" si="116"/>
        <v>0.64</v>
      </c>
      <c r="Q251" s="17">
        <f t="shared" si="116"/>
        <v>0.64</v>
      </c>
      <c r="R251" s="17">
        <f t="shared" si="116"/>
        <v>0.64</v>
      </c>
      <c r="S251" s="17">
        <f t="shared" si="116"/>
        <v>0.64</v>
      </c>
      <c r="T251" s="17">
        <f t="shared" si="116"/>
        <v>0.64</v>
      </c>
      <c r="U251" s="17">
        <f t="shared" si="116"/>
        <v>0.64</v>
      </c>
      <c r="V251" s="17">
        <f t="shared" si="116"/>
        <v>0.64</v>
      </c>
      <c r="W251" s="17">
        <f t="shared" si="116"/>
        <v>0.64</v>
      </c>
      <c r="X251" s="17">
        <f t="shared" si="116"/>
        <v>0.64</v>
      </c>
      <c r="Y251" s="17">
        <f t="shared" si="116"/>
        <v>0.64</v>
      </c>
      <c r="Z251" s="17">
        <f t="shared" si="116"/>
        <v>0.64</v>
      </c>
      <c r="AA251" s="17">
        <f t="shared" si="116"/>
        <v>0.64</v>
      </c>
      <c r="AB251" s="17">
        <f t="shared" si="116"/>
        <v>0.64</v>
      </c>
      <c r="AC251" s="17">
        <f t="shared" si="116"/>
        <v>0.64</v>
      </c>
      <c r="AD251" s="17">
        <f t="shared" si="116"/>
        <v>0.64</v>
      </c>
      <c r="AE251" s="17">
        <f t="shared" si="116"/>
        <v>0.64</v>
      </c>
      <c r="AF251" s="17">
        <f t="shared" si="116"/>
        <v>0.64</v>
      </c>
      <c r="AG251" s="16">
        <v>0.66</v>
      </c>
      <c r="AH251" s="12"/>
      <c r="AI251" s="11"/>
    </row>
    <row r="252" spans="1:37" ht="15.75" thickBot="1" x14ac:dyDescent="0.3">
      <c r="A252" s="15" t="s">
        <v>10</v>
      </c>
      <c r="B252" s="14">
        <f t="shared" ref="B252:AG252" si="117">SUM(B246:B251)</f>
        <v>3.54</v>
      </c>
      <c r="C252" s="14">
        <f t="shared" si="117"/>
        <v>3.54</v>
      </c>
      <c r="D252" s="14">
        <f t="shared" si="117"/>
        <v>3.54</v>
      </c>
      <c r="E252" s="14">
        <f t="shared" si="117"/>
        <v>3.54</v>
      </c>
      <c r="F252" s="14">
        <f t="shared" si="117"/>
        <v>3.54</v>
      </c>
      <c r="G252" s="14">
        <f t="shared" si="117"/>
        <v>3.54</v>
      </c>
      <c r="H252" s="14">
        <f t="shared" si="117"/>
        <v>3.54</v>
      </c>
      <c r="I252" s="14">
        <f t="shared" si="117"/>
        <v>3.54</v>
      </c>
      <c r="J252" s="14">
        <f t="shared" si="117"/>
        <v>3.54</v>
      </c>
      <c r="K252" s="14">
        <f t="shared" si="117"/>
        <v>3.54</v>
      </c>
      <c r="L252" s="14">
        <f t="shared" si="117"/>
        <v>3.54</v>
      </c>
      <c r="M252" s="14">
        <f t="shared" si="117"/>
        <v>3.54</v>
      </c>
      <c r="N252" s="14">
        <f t="shared" si="117"/>
        <v>3.54</v>
      </c>
      <c r="O252" s="14">
        <f t="shared" si="117"/>
        <v>3.54</v>
      </c>
      <c r="P252" s="14">
        <f t="shared" si="117"/>
        <v>3.54</v>
      </c>
      <c r="Q252" s="14">
        <f t="shared" si="117"/>
        <v>3.54</v>
      </c>
      <c r="R252" s="14">
        <f t="shared" si="117"/>
        <v>3.54</v>
      </c>
      <c r="S252" s="14">
        <f t="shared" si="117"/>
        <v>3.54</v>
      </c>
      <c r="T252" s="14">
        <f t="shared" si="117"/>
        <v>3.54</v>
      </c>
      <c r="U252" s="14">
        <f t="shared" si="117"/>
        <v>3.54</v>
      </c>
      <c r="V252" s="14">
        <f t="shared" si="117"/>
        <v>3.54</v>
      </c>
      <c r="W252" s="14">
        <f t="shared" si="117"/>
        <v>3.54</v>
      </c>
      <c r="X252" s="14">
        <f t="shared" si="117"/>
        <v>3.54</v>
      </c>
      <c r="Y252" s="14">
        <f t="shared" si="117"/>
        <v>3.54</v>
      </c>
      <c r="Z252" s="14">
        <f t="shared" si="117"/>
        <v>3.54</v>
      </c>
      <c r="AA252" s="14">
        <f t="shared" si="117"/>
        <v>3.54</v>
      </c>
      <c r="AB252" s="14">
        <f t="shared" si="117"/>
        <v>3.54</v>
      </c>
      <c r="AC252" s="14">
        <f t="shared" si="117"/>
        <v>3.54</v>
      </c>
      <c r="AD252" s="14">
        <f t="shared" si="117"/>
        <v>3.54</v>
      </c>
      <c r="AE252" s="14">
        <f t="shared" si="117"/>
        <v>3.54</v>
      </c>
      <c r="AF252" s="14">
        <f t="shared" si="117"/>
        <v>3.54</v>
      </c>
      <c r="AG252" s="13">
        <f t="shared" si="117"/>
        <v>8.56</v>
      </c>
      <c r="AH252" s="12"/>
      <c r="AI252" s="11"/>
    </row>
    <row r="253" spans="1:37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25">
      <c r="A256" s="9" t="s">
        <v>9</v>
      </c>
      <c r="B256" s="8">
        <f>MAX(G99:N99)</f>
        <v>1788.19</v>
      </c>
      <c r="C256" s="7">
        <f>INDEX(G9:N9,1,MATCH(MAX(G99:N99),G99:N99,0))</f>
        <v>0.3125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25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2080/10/18)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25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25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25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25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25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25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25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25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25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25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25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25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25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25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1991" priority="115">
      <formula>$AH11=0</formula>
    </cfRule>
  </conditionalFormatting>
  <conditionalFormatting sqref="A132:A253">
    <cfRule type="expression" dxfId="1990" priority="116">
      <formula>$AH132=0</formula>
    </cfRule>
  </conditionalFormatting>
  <conditionalFormatting sqref="B8">
    <cfRule type="expression" dxfId="1989" priority="173">
      <formula>C$9&gt;=20/24</formula>
    </cfRule>
    <cfRule type="expression" dxfId="1988" priority="170">
      <formula>AND(C$9&gt;=14/24,C$9&lt;20/24)</formula>
    </cfRule>
    <cfRule type="expression" dxfId="1987" priority="171">
      <formula>AND(C$9&gt;=8/24,C$9&lt;14/24)</formula>
    </cfRule>
    <cfRule type="expression" dxfId="1986" priority="172">
      <formula>C$9&lt;8/24</formula>
    </cfRule>
  </conditionalFormatting>
  <conditionalFormatting sqref="B11:D52 E12:G52 H20:R52 S34:V34">
    <cfRule type="expression" dxfId="1985" priority="9">
      <formula>B11&gt;$AG11</formula>
    </cfRule>
    <cfRule type="expression" dxfId="1984" priority="13">
      <formula>B$9&lt;8/24</formula>
    </cfRule>
    <cfRule type="expression" dxfId="1983" priority="10">
      <formula>B$9&gt;=20/24</formula>
    </cfRule>
    <cfRule type="expression" dxfId="1982" priority="11">
      <formula>AND(B$9&gt;=14/24,B$9&lt;20/24)</formula>
    </cfRule>
    <cfRule type="expression" dxfId="1981" priority="12">
      <formula>AND(B$9&gt;=8/24,B$9&lt;14/24)</formula>
    </cfRule>
  </conditionalFormatting>
  <conditionalFormatting sqref="B55:D57 E55:R55">
    <cfRule type="expression" dxfId="1980" priority="14">
      <formula>B$9&gt;=20/24</formula>
    </cfRule>
  </conditionalFormatting>
  <conditionalFormatting sqref="B56:D80 E67:E74 F69:X74">
    <cfRule type="expression" dxfId="1979" priority="4">
      <formula>B56&gt;$AG56</formula>
    </cfRule>
  </conditionalFormatting>
  <conditionalFormatting sqref="B59:D68">
    <cfRule type="expression" dxfId="1978" priority="18">
      <formula>AND(B$9&gt;=14/24,B$9&lt;20/24)</formula>
    </cfRule>
    <cfRule type="expression" dxfId="1977" priority="19">
      <formula>AND(B$9&gt;=8/24,B$9&lt;14/24)</formula>
    </cfRule>
    <cfRule type="expression" dxfId="1976" priority="20">
      <formula>B$9&lt;8/24</formula>
    </cfRule>
    <cfRule type="expression" dxfId="1975" priority="17">
      <formula>B$9&gt;=20/24</formula>
    </cfRule>
  </conditionalFormatting>
  <conditionalFormatting sqref="B53:R55">
    <cfRule type="expression" dxfId="1974" priority="26">
      <formula>B53&gt;$AG53</formula>
    </cfRule>
  </conditionalFormatting>
  <conditionalFormatting sqref="B69:U74 C77:D91 B77:B99 B101:AF117 B119:AF137">
    <cfRule type="expression" dxfId="1973" priority="5">
      <formula>B$9&gt;=20/24</formula>
    </cfRule>
    <cfRule type="expression" dxfId="1972" priority="6">
      <formula>AND(B$9&gt;=14/24,B$9&lt;20/24)</formula>
    </cfRule>
    <cfRule type="expression" dxfId="1971" priority="8">
      <formula>B$9&lt;8/24</formula>
    </cfRule>
    <cfRule type="expression" dxfId="1970" priority="7">
      <formula>AND(B$9&gt;=8/24,B$9&lt;14/24)</formula>
    </cfRule>
  </conditionalFormatting>
  <conditionalFormatting sqref="B9:AF10 E11 H12:K19 T13:V17 L13:S19 T18:AF18 T19:V33 S20:S33 W20:W34 X20:AF52 S35:W52 V69:AF74 E77:AA91 AB77:AF99 C92:AA99 B244:AF244 B246:B252">
    <cfRule type="expression" dxfId="1969" priority="68">
      <formula>AND(B$9&gt;=14/24,B$9&lt;20/24)</formula>
    </cfRule>
    <cfRule type="expression" dxfId="1968" priority="69">
      <formula>AND(B$9&gt;=8/24,B$9&lt;14/24)</formula>
    </cfRule>
    <cfRule type="expression" dxfId="1967" priority="70">
      <formula>B$9&lt;8/24</formula>
    </cfRule>
  </conditionalFormatting>
  <conditionalFormatting sqref="B53:AF54">
    <cfRule type="expression" dxfId="1966" priority="2">
      <formula>AND(B$9&gt;=14/24,B$9&lt;20/24)</formula>
    </cfRule>
    <cfRule type="expression" dxfId="1965" priority="3">
      <formula>AND(B$9&gt;=8/24,B$9&lt;14/24)</formula>
    </cfRule>
    <cfRule type="expression" dxfId="1964" priority="1">
      <formula>B$9&gt;=20/24</formula>
    </cfRule>
  </conditionalFormatting>
  <conditionalFormatting sqref="D246:AF252">
    <cfRule type="expression" dxfId="1963" priority="157">
      <formula>AND(D$9&gt;=8/24,D$9&lt;14/24)</formula>
    </cfRule>
    <cfRule type="expression" dxfId="1962" priority="156">
      <formula>AND(D$9&gt;=14/24,D$9&lt;20/24)</formula>
    </cfRule>
    <cfRule type="expression" dxfId="1961" priority="155">
      <formula>D$9&gt;=20/24</formula>
    </cfRule>
    <cfRule type="expression" dxfId="1960" priority="158">
      <formula>D$9&lt;8/24</formula>
    </cfRule>
  </conditionalFormatting>
  <conditionalFormatting sqref="E11 H12:K19 T13:V17 L13:S19 T18:AF18 T19:V33 S20:S33 W20:W34 X20:AF52 S35:W52 V69:AF74 E77:AA91 AB77:AF99 B9:AF10 C92:AA99 B244:AF244 B246:B252">
    <cfRule type="expression" dxfId="1959" priority="67">
      <formula>B$9&gt;=20/24</formula>
    </cfRule>
  </conditionalFormatting>
  <conditionalFormatting sqref="E67:E68">
    <cfRule type="expression" dxfId="1958" priority="24">
      <formula>E$9&lt;8/24</formula>
    </cfRule>
    <cfRule type="expression" dxfId="1957" priority="23">
      <formula>AND(E$9&gt;=8/24,E$9&lt;14/24)</formula>
    </cfRule>
    <cfRule type="expression" dxfId="1956" priority="22">
      <formula>AND(E$9&gt;=14/24,E$9&lt;20/24)</formula>
    </cfRule>
    <cfRule type="expression" dxfId="1955" priority="21">
      <formula>E$9&gt;=20/24</formula>
    </cfRule>
  </conditionalFormatting>
  <conditionalFormatting sqref="E63:I66 J64:J66">
    <cfRule type="expression" dxfId="1954" priority="81">
      <formula>AND(E$9&gt;=14/24,E$9&lt;20/24)</formula>
    </cfRule>
    <cfRule type="expression" dxfId="1953" priority="83">
      <formula>E$9&lt;8/24</formula>
    </cfRule>
    <cfRule type="expression" dxfId="1952" priority="82">
      <formula>AND(E$9&gt;=8/24,E$9&lt;14/24)</formula>
    </cfRule>
    <cfRule type="expression" dxfId="1951" priority="80">
      <formula>E$9&gt;=20/24</formula>
    </cfRule>
  </conditionalFormatting>
  <conditionalFormatting sqref="E11:K11 L11:V12 W11:AF17 W19:AF19">
    <cfRule type="expression" dxfId="1950" priority="88">
      <formula>E$9&lt;8/24</formula>
    </cfRule>
    <cfRule type="expression" dxfId="1949" priority="85">
      <formula>E$9&gt;=20/24</formula>
    </cfRule>
    <cfRule type="expression" dxfId="1948" priority="84">
      <formula>E11&gt;$AG11</formula>
    </cfRule>
    <cfRule type="expression" dxfId="1947" priority="87">
      <formula>AND(E$9&gt;=8/24,E$9&lt;14/24)</formula>
    </cfRule>
    <cfRule type="expression" dxfId="1946" priority="86">
      <formula>AND(E$9&gt;=14/24,E$9&lt;20/24)</formula>
    </cfRule>
  </conditionalFormatting>
  <conditionalFormatting sqref="E53:R55 B53:D57">
    <cfRule type="expression" dxfId="1945" priority="25">
      <formula>B$9&lt;8/24</formula>
    </cfRule>
  </conditionalFormatting>
  <conditionalFormatting sqref="E55:R55 B55:D57">
    <cfRule type="expression" dxfId="1944" priority="15">
      <formula>AND(B$9&gt;=14/24,B$9&lt;20/24)</formula>
    </cfRule>
    <cfRule type="expression" dxfId="1943" priority="16">
      <formula>AND(B$9&gt;=8/24,B$9&lt;14/24)</formula>
    </cfRule>
  </conditionalFormatting>
  <conditionalFormatting sqref="E56:AF56">
    <cfRule type="expression" dxfId="1942" priority="71">
      <formula>E56&gt;$AG56</formula>
    </cfRule>
  </conditionalFormatting>
  <conditionalFormatting sqref="E59:AF62">
    <cfRule type="expression" dxfId="1941" priority="94">
      <formula>AND(E$9&gt;=14/24,E$9&lt;20/24)</formula>
    </cfRule>
    <cfRule type="expression" dxfId="1940" priority="95">
      <formula>AND(E$9&gt;=8/24,E$9&lt;14/24)</formula>
    </cfRule>
    <cfRule type="expression" dxfId="1939" priority="93">
      <formula>E$9&gt;=20/24</formula>
    </cfRule>
    <cfRule type="expression" dxfId="1938" priority="96">
      <formula>E$9&lt;8/24</formula>
    </cfRule>
  </conditionalFormatting>
  <conditionalFormatting sqref="F67:K68">
    <cfRule type="expression" dxfId="1937" priority="78">
      <formula>F$9&lt;8/24</formula>
    </cfRule>
    <cfRule type="expression" dxfId="1936" priority="77">
      <formula>AND(F$9&gt;=8/24,F$9&lt;14/24)</formula>
    </cfRule>
    <cfRule type="expression" dxfId="1935" priority="76">
      <formula>AND(F$9&gt;=14/24,F$9&lt;20/24)</formula>
    </cfRule>
    <cfRule type="expression" dxfId="1934" priority="75">
      <formula>F$9&gt;=20/24</formula>
    </cfRule>
  </conditionalFormatting>
  <conditionalFormatting sqref="F63:L65">
    <cfRule type="expression" dxfId="1933" priority="108">
      <formula>AND(F$9&gt;=14/24,F$9&lt;20/24)</formula>
    </cfRule>
    <cfRule type="expression" dxfId="1932" priority="107">
      <formula>F$9&gt;=20/24</formula>
    </cfRule>
    <cfRule type="expression" dxfId="1931" priority="109">
      <formula>AND(F$9&gt;=8/24,F$9&lt;14/24)</formula>
    </cfRule>
    <cfRule type="expression" dxfId="1930" priority="110">
      <formula>F$9&lt;8/24</formula>
    </cfRule>
  </conditionalFormatting>
  <conditionalFormatting sqref="L68:V68">
    <cfRule type="expression" dxfId="1929" priority="106">
      <formula>L$9&lt;8/24</formula>
    </cfRule>
    <cfRule type="expression" dxfId="1928" priority="105">
      <formula>AND(L$9&gt;=8/24,L$9&lt;14/24)</formula>
    </cfRule>
    <cfRule type="expression" dxfId="1927" priority="104">
      <formula>AND(L$9&gt;=14/24,L$9&lt;20/24)</formula>
    </cfRule>
    <cfRule type="expression" dxfId="1926" priority="103">
      <formula>L$9&gt;=20/24</formula>
    </cfRule>
  </conditionalFormatting>
  <conditionalFormatting sqref="M8 S8 AB8">
    <cfRule type="expression" dxfId="1925" priority="164">
      <formula>N$9&lt;8/24</formula>
    </cfRule>
    <cfRule type="expression" dxfId="1924" priority="163">
      <formula>AND(N$9&gt;=8/24,N$9&lt;14/24)</formula>
    </cfRule>
    <cfRule type="expression" dxfId="1923" priority="162">
      <formula>AND(N$9&gt;=14/24,N$9&lt;20/24)</formula>
    </cfRule>
  </conditionalFormatting>
  <conditionalFormatting sqref="M63:V67">
    <cfRule type="expression" dxfId="1922" priority="114">
      <formula>M$9&lt;8/24</formula>
    </cfRule>
    <cfRule type="expression" dxfId="1921" priority="112">
      <formula>AND(M$9&gt;=14/24,M$9&lt;20/24)</formula>
    </cfRule>
    <cfRule type="expression" dxfId="1920" priority="111">
      <formula>M$9&gt;=20/24</formula>
    </cfRule>
    <cfRule type="expression" dxfId="1919" priority="113">
      <formula>AND(M$9&gt;=8/24,M$9&lt;14/24)</formula>
    </cfRule>
  </conditionalFormatting>
  <conditionalFormatting sqref="O3:P3">
    <cfRule type="iconSet" priority="159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918" priority="161">
      <formula>N$9&gt;=20/24</formula>
    </cfRule>
  </conditionalFormatting>
  <conditionalFormatting sqref="S8">
    <cfRule type="expression" dxfId="1917" priority="149">
      <formula>AND(U$9&gt;=14/24,U$9&lt;20/24)</formula>
    </cfRule>
    <cfRule type="expression" dxfId="1916" priority="150">
      <formula>AND(U$9&gt;=8/24,U$9&lt;14/24)</formula>
    </cfRule>
    <cfRule type="expression" dxfId="1915" priority="148">
      <formula>U$9&gt;=20/24</formula>
    </cfRule>
    <cfRule type="expression" dxfId="1914" priority="151">
      <formula>U$9&lt;8/24</formula>
    </cfRule>
  </conditionalFormatting>
  <conditionalFormatting sqref="S53:AF57 E56:R57">
    <cfRule type="expression" dxfId="1913" priority="79">
      <formula>E$9&lt;8/24</formula>
    </cfRule>
  </conditionalFormatting>
  <conditionalFormatting sqref="S55:AF57 E56:R57">
    <cfRule type="expression" dxfId="1912" priority="73">
      <formula>AND(E$9&gt;=14/24,E$9&lt;20/24)</formula>
    </cfRule>
    <cfRule type="expression" dxfId="1911" priority="74">
      <formula>AND(E$9&gt;=8/24,E$9&lt;14/24)</formula>
    </cfRule>
    <cfRule type="expression" dxfId="1910" priority="72">
      <formula>E$9&gt;=20/24</formula>
    </cfRule>
  </conditionalFormatting>
  <conditionalFormatting sqref="T63:AF68">
    <cfRule type="expression" dxfId="1909" priority="99">
      <formula>AND(T$9&gt;=8/24,T$9&lt;14/24)</formula>
    </cfRule>
    <cfRule type="expression" dxfId="1908" priority="97">
      <formula>T$9&gt;=20/24</formula>
    </cfRule>
    <cfRule type="expression" dxfId="1907" priority="98">
      <formula>AND(T$9&gt;=14/24,T$9&lt;20/24)</formula>
    </cfRule>
    <cfRule type="expression" dxfId="1906" priority="100">
      <formula>T$9&lt;8/24</formula>
    </cfRule>
  </conditionalFormatting>
  <conditionalFormatting sqref="V3 AB3">
    <cfRule type="iconSet" priority="160">
      <iconSet iconSet="3TrafficLights2" reverse="1">
        <cfvo type="percent" val="0"/>
        <cfvo type="num" val="1"/>
        <cfvo type="num" val="1"/>
      </iconSet>
    </cfRule>
  </conditionalFormatting>
  <conditionalFormatting sqref="X20:AF55 S35:W55 E11 H12:K19 T13:V17 L13:S19 T18:AF18 T19:V33 S20:S33 W20:W34 E57:AA62 AB57:AF80 AG62 N63:AA65 E63:M66 N66:X68 Y66:AA74 F67:M68 E75:AA80 AG80">
    <cfRule type="expression" dxfId="1905" priority="66">
      <formula>E11&gt;$AG11</formula>
    </cfRule>
  </conditionalFormatting>
  <conditionalFormatting sqref="AB8">
    <cfRule type="expression" dxfId="1904" priority="144">
      <formula>AD$9&gt;=20/24</formula>
    </cfRule>
    <cfRule type="expression" dxfId="1903" priority="145">
      <formula>AND(AD$9&gt;=14/24,AD$9&lt;20/24)</formula>
    </cfRule>
    <cfRule type="expression" dxfId="1902" priority="147">
      <formula>AD$9&lt;8/24</formula>
    </cfRule>
    <cfRule type="expression" dxfId="1901" priority="146">
      <formula>AND(AD$9&gt;=8/24,AD$9&lt;14/24)</formula>
    </cfRule>
  </conditionalFormatting>
  <conditionalFormatting sqref="AG58">
    <cfRule type="expression" dxfId="1900" priority="139">
      <formula>AG58&gt;$AG58</formula>
    </cfRule>
  </conditionalFormatting>
  <conditionalFormatting sqref="AG62">
    <cfRule type="expression" dxfId="1899" priority="124">
      <formula>AND(AG$9&gt;=8/24,AG$9&lt;14/24)</formula>
    </cfRule>
    <cfRule type="expression" dxfId="1898" priority="122">
      <formula>AG$9&gt;=20/24</formula>
    </cfRule>
    <cfRule type="expression" dxfId="1897" priority="123">
      <formula>AND(AG$9&gt;=14/24,AG$9&lt;20/24)</formula>
    </cfRule>
    <cfRule type="expression" dxfId="1896" priority="125">
      <formula>AG$9&lt;8/24</formula>
    </cfRule>
  </conditionalFormatting>
  <conditionalFormatting sqref="AG75:AG76">
    <cfRule type="expression" dxfId="1895" priority="117">
      <formula>AG75&gt;$AG75</formula>
    </cfRule>
  </conditionalFormatting>
  <conditionalFormatting sqref="AG80">
    <cfRule type="expression" dxfId="1894" priority="118">
      <formula>AG$9&gt;=20/24</formula>
    </cfRule>
    <cfRule type="expression" dxfId="1893" priority="120">
      <formula>AND(AG$9&gt;=8/24,AG$9&lt;14/24)</formula>
    </cfRule>
    <cfRule type="expression" dxfId="1892" priority="121">
      <formula>AG$9&lt;8/24</formula>
    </cfRule>
    <cfRule type="expression" dxfId="1891" priority="119">
      <formula>AND(AG$9&gt;=14/24,AG$9&lt;20/24)</formula>
    </cfRule>
  </conditionalFormatting>
  <conditionalFormatting sqref="AG97">
    <cfRule type="expression" dxfId="1890" priority="142">
      <formula>AND(AG$9&gt;=8/24,AG$9&lt;14/24)</formula>
    </cfRule>
    <cfRule type="expression" dxfId="1889" priority="141">
      <formula>AND(AG$9&gt;=14/24,AG$9&lt;20/24)</formula>
    </cfRule>
    <cfRule type="expression" dxfId="1888" priority="140">
      <formula>AG$9&gt;=20/24</formula>
    </cfRule>
    <cfRule type="expression" dxfId="1887" priority="143">
      <formula>AG$9&lt;8/24</formula>
    </cfRule>
  </conditionalFormatting>
  <conditionalFormatting sqref="AL4:AL6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37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36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69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53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52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886" priority="165">
      <formula>AJ$9&gt;=20/24</formula>
    </cfRule>
    <cfRule type="expression" dxfId="1885" priority="167">
      <formula>AND(AJ$9&gt;=8/24,AJ$9&lt;14/24)</formula>
    </cfRule>
    <cfRule type="expression" dxfId="1884" priority="168">
      <formula>AJ$9&lt;8/24</formula>
    </cfRule>
    <cfRule type="expression" dxfId="1883" priority="166">
      <formula>AND(AJ$9&gt;=14/24,AJ$9&lt;20/24)</formula>
    </cfRule>
  </conditionalFormatting>
  <conditionalFormatting sqref="AL88:AN88 AL94:AN94">
    <cfRule type="expression" dxfId="1882" priority="134">
      <formula>AND(AL$9&gt;=8/24,AL$9&lt;14/24)</formula>
    </cfRule>
    <cfRule type="expression" dxfId="1881" priority="135">
      <formula>AL$9&lt;8/24</formula>
    </cfRule>
    <cfRule type="expression" dxfId="1880" priority="133">
      <formula>AND(AL$9&gt;=14/24,AL$9&lt;20/24)</formula>
    </cfRule>
    <cfRule type="expression" dxfId="1879" priority="132">
      <formula>AL$9&gt;=20/24</formula>
    </cfRule>
  </conditionalFormatting>
  <conditionalFormatting sqref="AM15:AM21 AN16:AR21">
    <cfRule type="expression" dxfId="1878" priority="40">
      <formula>AND(AX$9&gt;=14/24,AX$9&lt;20/24)</formula>
    </cfRule>
    <cfRule type="expression" dxfId="1877" priority="41">
      <formula>AND(AX$9&gt;=8/24,AX$9&lt;14/24)</formula>
    </cfRule>
    <cfRule type="expression" dxfId="1876" priority="42">
      <formula>AX$9&lt;8/24</formula>
    </cfRule>
    <cfRule type="expression" dxfId="1875" priority="39">
      <formula>AX$9&gt;=20/24</formula>
    </cfRule>
  </conditionalFormatting>
  <conditionalFormatting sqref="AN89:AN92">
    <cfRule type="expression" dxfId="1874" priority="130">
      <formula>AND(AN$9&gt;=8/24,AN$9&lt;14/24)</formula>
    </cfRule>
    <cfRule type="expression" dxfId="1873" priority="131">
      <formula>AN$9&lt;8/24</formula>
    </cfRule>
    <cfRule type="expression" dxfId="1872" priority="128">
      <formula>AN$9&gt;=20/24</formula>
    </cfRule>
    <cfRule type="expression" dxfId="1871" priority="129">
      <formula>AND(AN$9&gt;=14/24,AN$9&lt;20/24)</formula>
    </cfRule>
  </conditionalFormatting>
  <conditionalFormatting sqref="AN15:AR15">
    <cfRule type="expression" dxfId="1870" priority="30">
      <formula>U$9&lt;8/24</formula>
    </cfRule>
    <cfRule type="expression" dxfId="1869" priority="27">
      <formula>U$9&gt;=20/24</formula>
    </cfRule>
    <cfRule type="expression" dxfId="1868" priority="28">
      <formula>AND(U$9&gt;=14/24,U$9&lt;20/24)</formula>
    </cfRule>
    <cfRule type="expression" dxfId="1867" priority="29">
      <formula>AND(U$9&gt;=8/24,U$9&lt;14/24)</formula>
    </cfRule>
  </conditionalFormatting>
  <conditionalFormatting sqref="AS15">
    <cfRule type="expression" dxfId="1866" priority="37">
      <formula>AND(AA$9&gt;=8/24,AA$9&lt;14/24)</formula>
    </cfRule>
    <cfRule type="expression" dxfId="1865" priority="36">
      <formula>AND(AA$9&gt;=14/24,AA$9&lt;20/24)</formula>
    </cfRule>
    <cfRule type="expression" dxfId="1864" priority="35">
      <formula>AA$9&gt;=20/24</formula>
    </cfRule>
    <cfRule type="expression" dxfId="1863" priority="38">
      <formula>AA$9&lt;8/24</formula>
    </cfRule>
  </conditionalFormatting>
  <conditionalFormatting sqref="AS16:AS21">
    <cfRule type="expression" dxfId="1862" priority="45">
      <formula>AND(BE$9&gt;=8/24,BE$9&lt;14/24)</formula>
    </cfRule>
    <cfRule type="expression" dxfId="1861" priority="46">
      <formula>BE$9&lt;8/24</formula>
    </cfRule>
    <cfRule type="expression" dxfId="1860" priority="44">
      <formula>AND(BE$9&gt;=14/24,BE$9&lt;20/24)</formula>
    </cfRule>
    <cfRule type="expression" dxfId="1859" priority="43">
      <formula>BE$9&gt;=20/24</formula>
    </cfRule>
  </conditionalFormatting>
  <conditionalFormatting sqref="AT15 AX15:BJ15">
    <cfRule type="expression" dxfId="1858" priority="49">
      <formula>AND(AC$9&gt;=8/24,AC$9&lt;14/24)</formula>
    </cfRule>
    <cfRule type="expression" dxfId="1857" priority="48">
      <formula>AND(AC$9&gt;=14/24,AC$9&lt;20/24)</formula>
    </cfRule>
    <cfRule type="expression" dxfId="1856" priority="47">
      <formula>AC$9&gt;=20/24</formula>
    </cfRule>
    <cfRule type="expression" dxfId="1855" priority="50">
      <formula>AC$9&lt;8/24</formula>
    </cfRule>
  </conditionalFormatting>
  <conditionalFormatting sqref="AT16:AT21">
    <cfRule type="expression" dxfId="1854" priority="51">
      <formula>BG$9&gt;=20/24</formula>
    </cfRule>
    <cfRule type="expression" dxfId="1853" priority="52">
      <formula>AND(BG$9&gt;=14/24,BG$9&lt;20/24)</formula>
    </cfRule>
    <cfRule type="expression" dxfId="1852" priority="53">
      <formula>AND(BG$9&gt;=8/24,BG$9&lt;14/24)</formula>
    </cfRule>
    <cfRule type="expression" dxfId="1851" priority="54">
      <formula>BG$9&lt;8/24</formula>
    </cfRule>
  </conditionalFormatting>
  <conditionalFormatting sqref="AU15:AV15">
    <cfRule type="expression" dxfId="1850" priority="58">
      <formula>AE$9&lt;8/24</formula>
    </cfRule>
    <cfRule type="expression" dxfId="1849" priority="57">
      <formula>AND(AE$9&gt;=8/24,AE$9&lt;14/24)</formula>
    </cfRule>
    <cfRule type="expression" dxfId="1848" priority="56">
      <formula>AND(AE$9&gt;=14/24,AE$9&lt;20/24)</formula>
    </cfRule>
    <cfRule type="expression" dxfId="1847" priority="55">
      <formula>AE$9&gt;=20/24</formula>
    </cfRule>
  </conditionalFormatting>
  <conditionalFormatting sqref="AU16:BJ21">
    <cfRule type="expression" dxfId="1846" priority="62">
      <formula>BI$9&lt;8/24</formula>
    </cfRule>
    <cfRule type="expression" dxfId="1845" priority="61">
      <formula>AND(BI$9&gt;=8/24,BI$9&lt;14/24)</formula>
    </cfRule>
    <cfRule type="expression" dxfId="1844" priority="60">
      <formula>AND(BI$9&gt;=14/24,BI$9&lt;20/24)</formula>
    </cfRule>
    <cfRule type="expression" dxfId="1843" priority="59">
      <formula>BI$9&gt;=20/24</formula>
    </cfRule>
  </conditionalFormatting>
  <conditionalFormatting sqref="AW15">
    <cfRule type="expression" dxfId="1842" priority="32">
      <formula>AND(B$9&gt;=14/24,B$9&lt;20/24)</formula>
    </cfRule>
    <cfRule type="expression" dxfId="1841" priority="31">
      <formula>B$9&gt;=20/24</formula>
    </cfRule>
    <cfRule type="expression" dxfId="1840" priority="34">
      <formula>B$9&lt;8/24</formula>
    </cfRule>
    <cfRule type="expression" dxfId="1839" priority="33">
      <formula>AND(B$9&gt;=8/24,B$9&lt;14/24)</formula>
    </cfRule>
  </conditionalFormatting>
  <pageMargins left="0.7" right="0.7" top="0.75" bottom="0.75" header="0.3" footer="0.3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3EFBC-0C92-4E9A-9AB0-3FCC5B83F5BC}">
  <dimension ref="A1:CJ294"/>
  <sheetViews>
    <sheetView zoomScaleNormal="100" workbookViewId="0">
      <pane xSplit="1" ySplit="10" topLeftCell="B78" activePane="bottomRight" state="frozen"/>
      <selection activeCell="B83" sqref="B83:J83"/>
      <selection pane="topRight" activeCell="B83" sqref="B83:J83"/>
      <selection pane="bottomLeft" activeCell="B83" sqref="B83:J83"/>
      <selection pane="bottomRight" activeCell="B83" sqref="B83:J83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.8554687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20.25" hidden="1" x14ac:dyDescent="0.2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9.5" hidden="1" thickBot="1" x14ac:dyDescent="0.3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3">
      <c r="A4" s="162" t="s">
        <v>273</v>
      </c>
      <c r="B4" s="205" t="str">
        <f ca="1">"2080/"&amp;"10/"&amp;INT(MID(CELL("filename",D6),FIND("]",CELL("filename",D6))+1,200))</f>
        <v>2080/10/19</v>
      </c>
      <c r="C4" s="205"/>
      <c r="D4" s="205"/>
      <c r="E4" s="206" t="str">
        <f ca="1">"2080/"&amp;"10/"&amp;INT(MID(CELL("filename",G6),FIND("]",CELL("filename",G6))+1,200))</f>
        <v>2080/10/19</v>
      </c>
      <c r="F4" s="206"/>
      <c r="G4" s="206"/>
      <c r="H4" s="206" t="str">
        <f ca="1">TEXT(E4,"dddd")</f>
        <v>Saturday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3">
      <c r="A5" s="158"/>
      <c r="B5" s="161">
        <f t="shared" ref="B5:AE5" si="0">C92</f>
        <v>160.80000000000001</v>
      </c>
      <c r="C5" s="161">
        <f t="shared" si="0"/>
        <v>151.9</v>
      </c>
      <c r="D5" s="161">
        <f t="shared" si="0"/>
        <v>198.7</v>
      </c>
      <c r="E5" s="161">
        <f t="shared" si="0"/>
        <v>250.10000000000002</v>
      </c>
      <c r="F5" s="161">
        <f t="shared" si="0"/>
        <v>245.4</v>
      </c>
      <c r="G5" s="161">
        <f t="shared" si="0"/>
        <v>225.5</v>
      </c>
      <c r="H5" s="161">
        <f t="shared" si="0"/>
        <v>232.29999999999998</v>
      </c>
      <c r="I5" s="161">
        <f t="shared" si="0"/>
        <v>508.2</v>
      </c>
      <c r="J5" s="161">
        <f t="shared" si="0"/>
        <v>712.6</v>
      </c>
      <c r="K5" s="161">
        <f t="shared" si="0"/>
        <v>761.1</v>
      </c>
      <c r="L5" s="161">
        <f t="shared" si="0"/>
        <v>716.4</v>
      </c>
      <c r="M5" s="161">
        <f t="shared" si="0"/>
        <v>716.4</v>
      </c>
      <c r="N5" s="161">
        <f t="shared" si="0"/>
        <v>716.4</v>
      </c>
      <c r="O5" s="161">
        <f t="shared" si="0"/>
        <v>806.70000000000016</v>
      </c>
      <c r="P5" s="161">
        <f t="shared" si="0"/>
        <v>751.69999999999993</v>
      </c>
      <c r="Q5" s="161">
        <f t="shared" si="0"/>
        <v>753.9</v>
      </c>
      <c r="R5" s="161">
        <f t="shared" si="0"/>
        <v>788.8</v>
      </c>
      <c r="S5" s="161">
        <f t="shared" si="0"/>
        <v>836.1</v>
      </c>
      <c r="T5" s="161">
        <f t="shared" si="0"/>
        <v>799.2</v>
      </c>
      <c r="U5" s="161">
        <f t="shared" si="0"/>
        <v>763.2410000000001</v>
      </c>
      <c r="V5" s="161">
        <f t="shared" si="0"/>
        <v>767.5</v>
      </c>
      <c r="W5" s="161">
        <f t="shared" si="0"/>
        <v>673.66</v>
      </c>
      <c r="X5" s="161">
        <f t="shared" si="0"/>
        <v>558.49999999999989</v>
      </c>
      <c r="Y5" s="161">
        <f t="shared" si="0"/>
        <v>519.90000000000009</v>
      </c>
      <c r="Z5" s="161">
        <f t="shared" si="0"/>
        <v>425.70000000000005</v>
      </c>
      <c r="AA5" s="161">
        <f t="shared" si="0"/>
        <v>140.80000000000001</v>
      </c>
      <c r="AB5" s="161">
        <f t="shared" si="0"/>
        <v>154.4</v>
      </c>
      <c r="AC5" s="161">
        <f t="shared" si="0"/>
        <v>187.9</v>
      </c>
      <c r="AD5" s="161">
        <f t="shared" si="0"/>
        <v>161.69999999999999</v>
      </c>
      <c r="AE5" s="161">
        <f t="shared" si="0"/>
        <v>181.39999999999998</v>
      </c>
      <c r="AF5" s="161">
        <f>B92</f>
        <v>288.8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3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1609MW at 7:30hr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5" thickBot="1" x14ac:dyDescent="0.3">
      <c r="A7" s="151" t="str">
        <f>"Base Load="&amp;ROUND(MIN($B$7:$AF$7),0)</f>
        <v>Base Load=1451</v>
      </c>
      <c r="B7" s="150">
        <f t="shared" ref="B7:AF7" si="1">B100</f>
        <v>1569.54</v>
      </c>
      <c r="C7" s="150">
        <f t="shared" si="1"/>
        <v>1523.54</v>
      </c>
      <c r="D7" s="150">
        <f t="shared" si="1"/>
        <v>1492.54</v>
      </c>
      <c r="E7" s="150">
        <f t="shared" si="1"/>
        <v>1475.94</v>
      </c>
      <c r="F7" s="150">
        <f t="shared" si="1"/>
        <v>1455.44</v>
      </c>
      <c r="G7" s="150">
        <f t="shared" si="1"/>
        <v>1450.74</v>
      </c>
      <c r="H7" s="150">
        <f t="shared" si="1"/>
        <v>1464.24</v>
      </c>
      <c r="I7" s="150">
        <f t="shared" si="1"/>
        <v>1527.74</v>
      </c>
      <c r="J7" s="150">
        <f t="shared" si="1"/>
        <v>1458.94</v>
      </c>
      <c r="K7" s="150">
        <f t="shared" si="1"/>
        <v>1549.1399999999999</v>
      </c>
      <c r="L7" s="150">
        <f t="shared" si="1"/>
        <v>1609.04</v>
      </c>
      <c r="M7" s="150">
        <f t="shared" si="1"/>
        <v>1554.3400000000001</v>
      </c>
      <c r="N7" s="150">
        <f t="shared" si="1"/>
        <v>1528.44</v>
      </c>
      <c r="O7" s="150">
        <f t="shared" si="1"/>
        <v>1528.1399999999999</v>
      </c>
      <c r="P7" s="150">
        <f t="shared" si="1"/>
        <v>1633.2400000000002</v>
      </c>
      <c r="Q7" s="150">
        <f t="shared" si="1"/>
        <v>1559.1399999999999</v>
      </c>
      <c r="R7" s="150">
        <f t="shared" si="1"/>
        <v>1572.3400000000001</v>
      </c>
      <c r="S7" s="150">
        <f t="shared" si="1"/>
        <v>1578.84</v>
      </c>
      <c r="T7" s="150">
        <f t="shared" si="1"/>
        <v>1612.74</v>
      </c>
      <c r="U7" s="150">
        <f t="shared" si="1"/>
        <v>1527.54</v>
      </c>
      <c r="V7" s="150">
        <f t="shared" si="1"/>
        <v>1533.5810000000001</v>
      </c>
      <c r="W7" s="150">
        <f t="shared" si="1"/>
        <v>1524.04</v>
      </c>
      <c r="X7" s="150">
        <f t="shared" si="1"/>
        <v>1497.4</v>
      </c>
      <c r="Y7" s="150">
        <f t="shared" si="1"/>
        <v>1466.94</v>
      </c>
      <c r="Z7" s="150">
        <f t="shared" si="1"/>
        <v>1915.24</v>
      </c>
      <c r="AA7" s="150">
        <f t="shared" si="1"/>
        <v>1947.04</v>
      </c>
      <c r="AB7" s="150">
        <f t="shared" si="1"/>
        <v>1862.5399999999997</v>
      </c>
      <c r="AC7" s="150">
        <f t="shared" si="1"/>
        <v>1848.14</v>
      </c>
      <c r="AD7" s="150">
        <f t="shared" si="1"/>
        <v>1869.8400000000001</v>
      </c>
      <c r="AE7" s="150">
        <f t="shared" si="1"/>
        <v>1722.7400000000002</v>
      </c>
      <c r="AF7" s="150">
        <f t="shared" si="1"/>
        <v>1650.6399999999999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7.25" thickTop="1" thickBot="1" x14ac:dyDescent="0.3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1915.24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2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1915.24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.75" thickBot="1" x14ac:dyDescent="0.3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25">
      <c r="A11" s="89" t="s">
        <v>264</v>
      </c>
      <c r="B11" s="102">
        <v>17.7</v>
      </c>
      <c r="C11" s="102">
        <v>17.7</v>
      </c>
      <c r="D11" s="102">
        <v>17.7</v>
      </c>
      <c r="E11" s="102">
        <v>20.7</v>
      </c>
      <c r="F11" s="102">
        <v>21.3</v>
      </c>
      <c r="G11" s="102">
        <v>21.3</v>
      </c>
      <c r="H11" s="102">
        <v>21.3</v>
      </c>
      <c r="I11" s="102">
        <v>20</v>
      </c>
      <c r="J11" s="102">
        <v>20</v>
      </c>
      <c r="K11" s="102">
        <v>19</v>
      </c>
      <c r="L11" s="102">
        <v>19</v>
      </c>
      <c r="M11" s="102">
        <v>19</v>
      </c>
      <c r="N11" s="102">
        <v>19.3</v>
      </c>
      <c r="O11" s="102">
        <v>19.3</v>
      </c>
      <c r="P11" s="102">
        <v>19.3</v>
      </c>
      <c r="Q11" s="102">
        <v>19.3</v>
      </c>
      <c r="R11" s="102">
        <v>19.3</v>
      </c>
      <c r="S11" s="102">
        <v>19.3</v>
      </c>
      <c r="T11" s="102">
        <v>19.3</v>
      </c>
      <c r="U11" s="102">
        <v>19.3</v>
      </c>
      <c r="V11" s="102">
        <v>19.3</v>
      </c>
      <c r="W11" s="102">
        <v>19.3</v>
      </c>
      <c r="X11" s="102">
        <v>19.3</v>
      </c>
      <c r="Y11" s="102">
        <v>19.3</v>
      </c>
      <c r="Z11" s="102">
        <v>19.3</v>
      </c>
      <c r="AA11" s="102">
        <v>19.3</v>
      </c>
      <c r="AB11" s="102">
        <v>19.3</v>
      </c>
      <c r="AC11" s="102">
        <v>19.3</v>
      </c>
      <c r="AD11" s="102">
        <v>19.3</v>
      </c>
      <c r="AE11" s="102">
        <v>19.3</v>
      </c>
      <c r="AF11" s="102">
        <v>19.3</v>
      </c>
      <c r="AG11" s="140">
        <v>86</v>
      </c>
      <c r="AH11" s="12">
        <f t="shared" ref="AH11:AH16" si="2">MAX(B11:AF11)</f>
        <v>21.3</v>
      </c>
      <c r="AI11" s="11">
        <f t="shared" ref="AI11:AI16" si="3">MIN(B11:AF11)</f>
        <v>17.7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25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>
        <v>11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>
        <v>11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19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25">
      <c r="A13" s="89" t="s">
        <v>262</v>
      </c>
      <c r="B13" s="102">
        <v>15</v>
      </c>
      <c r="C13" s="102">
        <v>15</v>
      </c>
      <c r="D13" s="102">
        <v>15</v>
      </c>
      <c r="E13" s="102">
        <v>15</v>
      </c>
      <c r="F13" s="102">
        <v>18</v>
      </c>
      <c r="G13" s="102">
        <v>18</v>
      </c>
      <c r="H13" s="102">
        <v>18</v>
      </c>
      <c r="I13" s="102">
        <v>18</v>
      </c>
      <c r="J13" s="102">
        <v>18</v>
      </c>
      <c r="K13" s="102">
        <v>18</v>
      </c>
      <c r="L13" s="102">
        <v>18</v>
      </c>
      <c r="M13" s="102">
        <v>18</v>
      </c>
      <c r="N13" s="102">
        <v>16</v>
      </c>
      <c r="O13" s="102">
        <v>16</v>
      </c>
      <c r="P13" s="102">
        <v>16</v>
      </c>
      <c r="Q13" s="102">
        <v>16</v>
      </c>
      <c r="R13" s="102">
        <v>16</v>
      </c>
      <c r="S13" s="102">
        <v>16</v>
      </c>
      <c r="T13" s="102">
        <v>16</v>
      </c>
      <c r="U13" s="102">
        <v>16</v>
      </c>
      <c r="V13" s="102">
        <v>16</v>
      </c>
      <c r="W13" s="102">
        <v>16</v>
      </c>
      <c r="X13" s="102">
        <v>16</v>
      </c>
      <c r="Y13" s="102">
        <v>16</v>
      </c>
      <c r="Z13" s="102">
        <v>16</v>
      </c>
      <c r="AA13" s="102">
        <v>16</v>
      </c>
      <c r="AB13" s="102">
        <v>16</v>
      </c>
      <c r="AC13" s="102">
        <v>16</v>
      </c>
      <c r="AD13" s="102">
        <v>16</v>
      </c>
      <c r="AE13" s="102">
        <v>16</v>
      </c>
      <c r="AF13" s="102">
        <v>16</v>
      </c>
      <c r="AG13" s="130">
        <v>54</v>
      </c>
      <c r="AH13" s="12">
        <f t="shared" si="2"/>
        <v>18</v>
      </c>
      <c r="AI13" s="11">
        <f t="shared" si="3"/>
        <v>15</v>
      </c>
      <c r="AK13" s="19"/>
      <c r="AL13" s="6" t="str">
        <f ca="1">"Daily Load Curve(Excluding of Export) of Nepal ("&amp;A4&amp;" "&amp;B4&amp;")"</f>
        <v>Daily Load Curve(Excluding of Export) of Nepal (Nepali Date: 2080/10/19)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.75" thickBot="1" x14ac:dyDescent="0.3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.75" thickTop="1" x14ac:dyDescent="0.25">
      <c r="A15" s="89" t="s">
        <v>260</v>
      </c>
      <c r="B15" s="102">
        <v>41.1</v>
      </c>
      <c r="C15" s="102">
        <v>41.1</v>
      </c>
      <c r="D15" s="102">
        <v>50</v>
      </c>
      <c r="E15" s="102">
        <v>50</v>
      </c>
      <c r="F15" s="102">
        <v>50.2</v>
      </c>
      <c r="G15" s="102">
        <v>50.2</v>
      </c>
      <c r="H15" s="102">
        <v>50.2</v>
      </c>
      <c r="I15" s="102">
        <v>50.2</v>
      </c>
      <c r="J15" s="102">
        <v>50.2</v>
      </c>
      <c r="K15" s="102">
        <v>50.2</v>
      </c>
      <c r="L15" s="102">
        <v>50.2</v>
      </c>
      <c r="M15" s="102">
        <v>50.2</v>
      </c>
      <c r="N15" s="102">
        <v>50</v>
      </c>
      <c r="O15" s="102">
        <v>50</v>
      </c>
      <c r="P15" s="102">
        <v>50</v>
      </c>
      <c r="Q15" s="102">
        <v>50</v>
      </c>
      <c r="R15" s="102">
        <v>50</v>
      </c>
      <c r="S15" s="102">
        <v>50</v>
      </c>
      <c r="T15" s="102">
        <v>50</v>
      </c>
      <c r="U15" s="102">
        <v>50</v>
      </c>
      <c r="V15" s="102">
        <v>50</v>
      </c>
      <c r="W15" s="102">
        <v>50</v>
      </c>
      <c r="X15" s="102">
        <v>50</v>
      </c>
      <c r="Y15" s="102">
        <v>50</v>
      </c>
      <c r="Z15" s="102">
        <v>50</v>
      </c>
      <c r="AA15" s="102">
        <v>50</v>
      </c>
      <c r="AB15" s="102">
        <v>50</v>
      </c>
      <c r="AC15" s="102">
        <v>50</v>
      </c>
      <c r="AD15" s="102">
        <v>50</v>
      </c>
      <c r="AE15" s="102">
        <v>50</v>
      </c>
      <c r="AF15" s="102">
        <v>50</v>
      </c>
      <c r="AG15" s="130">
        <v>50</v>
      </c>
      <c r="AH15" s="12">
        <f t="shared" si="2"/>
        <v>50.2</v>
      </c>
      <c r="AI15" s="11">
        <f t="shared" si="3"/>
        <v>41.1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25">
      <c r="A16" s="89" t="s">
        <v>258</v>
      </c>
      <c r="B16" s="102">
        <v>15.2</v>
      </c>
      <c r="C16" s="102">
        <v>15.2</v>
      </c>
      <c r="D16" s="102">
        <v>15.2</v>
      </c>
      <c r="E16" s="102">
        <v>15.2</v>
      </c>
      <c r="F16" s="102">
        <v>15.1</v>
      </c>
      <c r="G16" s="102">
        <v>15.1</v>
      </c>
      <c r="H16" s="102">
        <v>15.1</v>
      </c>
      <c r="I16" s="102">
        <v>15.1</v>
      </c>
      <c r="J16" s="102">
        <v>15.1</v>
      </c>
      <c r="K16" s="102">
        <v>15.1</v>
      </c>
      <c r="L16" s="102">
        <v>15.1</v>
      </c>
      <c r="M16" s="102">
        <v>15.1</v>
      </c>
      <c r="N16" s="102">
        <v>15.2</v>
      </c>
      <c r="O16" s="102">
        <v>15.2</v>
      </c>
      <c r="P16" s="102">
        <v>15.2</v>
      </c>
      <c r="Q16" s="102">
        <v>15.2</v>
      </c>
      <c r="R16" s="102">
        <v>15.2</v>
      </c>
      <c r="S16" s="102">
        <v>15.2</v>
      </c>
      <c r="T16" s="102">
        <v>15.2</v>
      </c>
      <c r="U16" s="102">
        <v>15.2</v>
      </c>
      <c r="V16" s="102">
        <v>15.2</v>
      </c>
      <c r="W16" s="102">
        <v>15.2</v>
      </c>
      <c r="X16" s="102">
        <v>15.2</v>
      </c>
      <c r="Y16" s="102">
        <v>15.2</v>
      </c>
      <c r="Z16" s="102">
        <v>15.2</v>
      </c>
      <c r="AA16" s="102">
        <v>15.2</v>
      </c>
      <c r="AB16" s="102">
        <v>15.2</v>
      </c>
      <c r="AC16" s="102">
        <v>15.2</v>
      </c>
      <c r="AD16" s="102">
        <v>15.2</v>
      </c>
      <c r="AE16" s="102">
        <v>15.2</v>
      </c>
      <c r="AF16" s="102">
        <v>15.2</v>
      </c>
      <c r="AG16" s="130">
        <v>45</v>
      </c>
      <c r="AH16" s="12">
        <f t="shared" si="2"/>
        <v>15.2</v>
      </c>
      <c r="AI16" s="11">
        <f t="shared" si="3"/>
        <v>15.1</v>
      </c>
      <c r="AK16" s="19"/>
      <c r="AL16" s="135" t="s">
        <v>7</v>
      </c>
      <c r="AM16" s="134">
        <f t="shared" ref="AM16:AR16" si="4">B58</f>
        <v>482.40000000000003</v>
      </c>
      <c r="AN16" s="134">
        <f t="shared" si="4"/>
        <v>482.40000000000003</v>
      </c>
      <c r="AO16" s="134">
        <f t="shared" si="4"/>
        <v>491.3</v>
      </c>
      <c r="AP16" s="134">
        <f t="shared" si="4"/>
        <v>496.1</v>
      </c>
      <c r="AQ16" s="134">
        <f t="shared" si="4"/>
        <v>505.3</v>
      </c>
      <c r="AR16" s="134">
        <f t="shared" si="4"/>
        <v>505.3</v>
      </c>
      <c r="AS16" s="134">
        <f>I58</f>
        <v>504</v>
      </c>
      <c r="AT16" s="134">
        <f>K58</f>
        <v>503</v>
      </c>
      <c r="AU16" s="134">
        <f t="shared" ref="AU16:BD16" si="5">M58</f>
        <v>503</v>
      </c>
      <c r="AV16" s="134">
        <f t="shared" si="5"/>
        <v>501.2</v>
      </c>
      <c r="AW16" s="134">
        <f t="shared" si="5"/>
        <v>501.2</v>
      </c>
      <c r="AX16" s="134">
        <f t="shared" si="5"/>
        <v>501.2</v>
      </c>
      <c r="AY16" s="134">
        <f t="shared" si="5"/>
        <v>501.2</v>
      </c>
      <c r="AZ16" s="134">
        <f t="shared" si="5"/>
        <v>501.2</v>
      </c>
      <c r="BA16" s="134">
        <f t="shared" si="5"/>
        <v>501.2</v>
      </c>
      <c r="BB16" s="134">
        <f t="shared" si="5"/>
        <v>501.2</v>
      </c>
      <c r="BC16" s="134">
        <f t="shared" si="5"/>
        <v>501.2</v>
      </c>
      <c r="BD16" s="134">
        <f t="shared" si="5"/>
        <v>501.2</v>
      </c>
      <c r="BE16" s="133">
        <f>X58</f>
        <v>501.2</v>
      </c>
      <c r="BF16" s="133">
        <f>Z58</f>
        <v>501.2</v>
      </c>
      <c r="BG16" s="133">
        <f>AB58</f>
        <v>501.2</v>
      </c>
      <c r="BH16" s="133">
        <f>AD58</f>
        <v>501.2</v>
      </c>
      <c r="BI16" s="133">
        <f>AE58</f>
        <v>501.2</v>
      </c>
      <c r="BJ16" s="133">
        <f>AF58</f>
        <v>490.20000000000005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25">
      <c r="A17" s="89" t="s">
        <v>257</v>
      </c>
      <c r="B17" s="102">
        <v>16</v>
      </c>
      <c r="C17" s="102">
        <v>16</v>
      </c>
      <c r="D17" s="102">
        <v>16</v>
      </c>
      <c r="E17" s="102">
        <v>16</v>
      </c>
      <c r="F17" s="102">
        <v>16</v>
      </c>
      <c r="G17" s="102">
        <v>16</v>
      </c>
      <c r="H17" s="102">
        <v>16</v>
      </c>
      <c r="I17" s="102">
        <v>16</v>
      </c>
      <c r="J17" s="102">
        <v>16</v>
      </c>
      <c r="K17" s="102">
        <v>16</v>
      </c>
      <c r="L17" s="102">
        <v>16</v>
      </c>
      <c r="M17" s="102">
        <v>16</v>
      </c>
      <c r="N17" s="102">
        <v>16</v>
      </c>
      <c r="O17" s="102">
        <v>16</v>
      </c>
      <c r="P17" s="102">
        <v>16</v>
      </c>
      <c r="Q17" s="102">
        <v>16</v>
      </c>
      <c r="R17" s="102">
        <v>16</v>
      </c>
      <c r="S17" s="102">
        <v>16</v>
      </c>
      <c r="T17" s="102">
        <v>16</v>
      </c>
      <c r="U17" s="102">
        <v>16</v>
      </c>
      <c r="V17" s="102">
        <v>16</v>
      </c>
      <c r="W17" s="102">
        <v>16</v>
      </c>
      <c r="X17" s="102">
        <v>16</v>
      </c>
      <c r="Y17" s="102">
        <v>16</v>
      </c>
      <c r="Z17" s="102">
        <v>16</v>
      </c>
      <c r="AA17" s="102">
        <v>16</v>
      </c>
      <c r="AB17" s="102">
        <v>16</v>
      </c>
      <c r="AC17" s="102">
        <v>16</v>
      </c>
      <c r="AD17" s="102">
        <v>16</v>
      </c>
      <c r="AE17" s="102">
        <v>16</v>
      </c>
      <c r="AF17" s="102">
        <v>16</v>
      </c>
      <c r="AG17" s="130">
        <v>44</v>
      </c>
      <c r="AH17" s="12">
        <f>MAX(B17:AG17)</f>
        <v>44</v>
      </c>
      <c r="AI17" s="11">
        <f>MIN(B17:AG17)</f>
        <v>16</v>
      </c>
      <c r="AK17" s="19"/>
      <c r="AL17" s="135" t="s">
        <v>256</v>
      </c>
      <c r="AM17" s="134">
        <f t="shared" ref="AM17:AR17" si="6">B62</f>
        <v>241.20000000000002</v>
      </c>
      <c r="AN17" s="134">
        <f t="shared" si="6"/>
        <v>312.2</v>
      </c>
      <c r="AO17" s="134">
        <f t="shared" si="6"/>
        <v>312.2</v>
      </c>
      <c r="AP17" s="134">
        <f t="shared" si="6"/>
        <v>246</v>
      </c>
      <c r="AQ17" s="134">
        <f t="shared" si="6"/>
        <v>211.8</v>
      </c>
      <c r="AR17" s="134">
        <f t="shared" si="6"/>
        <v>211.8</v>
      </c>
      <c r="AS17" s="134">
        <f>I62</f>
        <v>269.8</v>
      </c>
      <c r="AT17" s="134">
        <f>K62</f>
        <v>41.5</v>
      </c>
      <c r="AU17" s="134">
        <f t="shared" ref="AU17:BD17" si="7">M62</f>
        <v>41.5</v>
      </c>
      <c r="AV17" s="134">
        <f t="shared" si="7"/>
        <v>41.5</v>
      </c>
      <c r="AW17" s="134">
        <f t="shared" si="7"/>
        <v>41.5</v>
      </c>
      <c r="AX17" s="134">
        <f t="shared" si="7"/>
        <v>41.5</v>
      </c>
      <c r="AY17" s="134">
        <f t="shared" si="7"/>
        <v>22.4</v>
      </c>
      <c r="AZ17" s="134">
        <f t="shared" si="7"/>
        <v>40.4</v>
      </c>
      <c r="BA17" s="134">
        <f t="shared" si="7"/>
        <v>40.4</v>
      </c>
      <c r="BB17" s="134">
        <f t="shared" si="7"/>
        <v>40.4</v>
      </c>
      <c r="BC17" s="134">
        <f t="shared" si="7"/>
        <v>40.4</v>
      </c>
      <c r="BD17" s="134">
        <f t="shared" si="7"/>
        <v>40.4</v>
      </c>
      <c r="BE17" s="133">
        <f>X62</f>
        <v>55.5</v>
      </c>
      <c r="BF17" s="133">
        <f>Z62</f>
        <v>180.4</v>
      </c>
      <c r="BG17" s="133">
        <f>AB62</f>
        <v>418.4</v>
      </c>
      <c r="BH17" s="133">
        <f>AD62</f>
        <v>483.40000000000003</v>
      </c>
      <c r="BI17" s="133">
        <f>AE62</f>
        <v>383</v>
      </c>
      <c r="BJ17" s="133">
        <f>AF62</f>
        <v>334.2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25">
      <c r="A18" s="89" t="s">
        <v>255</v>
      </c>
      <c r="B18" s="102">
        <v>12.5</v>
      </c>
      <c r="C18" s="102">
        <v>12.5</v>
      </c>
      <c r="D18" s="102">
        <v>12.5</v>
      </c>
      <c r="E18" s="102">
        <v>11</v>
      </c>
      <c r="F18" s="102">
        <v>11</v>
      </c>
      <c r="G18" s="102">
        <v>11</v>
      </c>
      <c r="H18" s="102">
        <v>11</v>
      </c>
      <c r="I18" s="102">
        <v>11</v>
      </c>
      <c r="J18" s="102">
        <v>11</v>
      </c>
      <c r="K18" s="102">
        <v>11</v>
      </c>
      <c r="L18" s="102">
        <v>11</v>
      </c>
      <c r="M18" s="102">
        <v>11</v>
      </c>
      <c r="N18" s="102">
        <v>11</v>
      </c>
      <c r="O18" s="102">
        <v>11</v>
      </c>
      <c r="P18" s="102">
        <v>11</v>
      </c>
      <c r="Q18" s="102">
        <v>11</v>
      </c>
      <c r="R18" s="102">
        <v>11</v>
      </c>
      <c r="S18" s="102">
        <v>11</v>
      </c>
      <c r="T18" s="102">
        <v>11</v>
      </c>
      <c r="U18" s="102">
        <v>11</v>
      </c>
      <c r="V18" s="102">
        <v>11</v>
      </c>
      <c r="W18" s="102">
        <v>11</v>
      </c>
      <c r="X18" s="102">
        <v>11</v>
      </c>
      <c r="Y18" s="102">
        <v>11</v>
      </c>
      <c r="Z18" s="102">
        <v>11</v>
      </c>
      <c r="AA18" s="102">
        <v>11</v>
      </c>
      <c r="AB18" s="102">
        <v>11</v>
      </c>
      <c r="AC18" s="102">
        <v>11</v>
      </c>
      <c r="AD18" s="102">
        <v>11</v>
      </c>
      <c r="AE18" s="102">
        <v>11</v>
      </c>
      <c r="AF18" s="102">
        <v>11</v>
      </c>
      <c r="AG18" s="130">
        <v>42</v>
      </c>
      <c r="AH18" s="12">
        <f t="shared" ref="AH18:AH81" si="8">MAX(B18:AF18)</f>
        <v>12.5</v>
      </c>
      <c r="AI18" s="11">
        <f t="shared" ref="AI18:AI81" si="9">MIN(B18:AF18)</f>
        <v>11</v>
      </c>
      <c r="AK18" s="19"/>
      <c r="AL18" s="135" t="s">
        <v>254</v>
      </c>
      <c r="AM18" s="134">
        <f t="shared" ref="AM18:AR18" si="10">B76</f>
        <v>279.24</v>
      </c>
      <c r="AN18" s="134">
        <f t="shared" si="10"/>
        <v>289.24</v>
      </c>
      <c r="AO18" s="134">
        <f t="shared" si="10"/>
        <v>289.24</v>
      </c>
      <c r="AP18" s="134">
        <f t="shared" si="10"/>
        <v>287.24</v>
      </c>
      <c r="AQ18" s="134">
        <f t="shared" si="10"/>
        <v>240.34000000000003</v>
      </c>
      <c r="AR18" s="134">
        <f t="shared" si="10"/>
        <v>240.34000000000003</v>
      </c>
      <c r="AS18" s="134">
        <f>I76</f>
        <v>273.74</v>
      </c>
      <c r="AT18" s="134">
        <f>K76</f>
        <v>292.03999999999996</v>
      </c>
      <c r="AU18" s="134">
        <f t="shared" ref="AU18:BD18" si="11">M76</f>
        <v>293.44000000000005</v>
      </c>
      <c r="AV18" s="134">
        <f t="shared" si="11"/>
        <v>269.34000000000009</v>
      </c>
      <c r="AW18" s="134">
        <f t="shared" si="11"/>
        <v>269.04000000000002</v>
      </c>
      <c r="AX18" s="134">
        <f t="shared" si="11"/>
        <v>283.84000000000003</v>
      </c>
      <c r="AY18" s="134">
        <f t="shared" si="11"/>
        <v>283.84000000000003</v>
      </c>
      <c r="AZ18" s="134">
        <f t="shared" si="11"/>
        <v>276.84000000000003</v>
      </c>
      <c r="BA18" s="134">
        <f t="shared" si="11"/>
        <v>248.43999999999997</v>
      </c>
      <c r="BB18" s="134">
        <f t="shared" si="11"/>
        <v>235.03999999999996</v>
      </c>
      <c r="BC18" s="134">
        <f t="shared" si="11"/>
        <v>186.73999999999995</v>
      </c>
      <c r="BD18" s="134">
        <f t="shared" si="11"/>
        <v>186.73999999999995</v>
      </c>
      <c r="BE18" s="133">
        <f>X76</f>
        <v>251.93999999999997</v>
      </c>
      <c r="BF18" s="133">
        <f>Z76</f>
        <v>314.94</v>
      </c>
      <c r="BG18" s="133">
        <f>AB76</f>
        <v>403.34</v>
      </c>
      <c r="BH18" s="133">
        <f>AD76</f>
        <v>349.14</v>
      </c>
      <c r="BI18" s="133">
        <f>AE76</f>
        <v>349.14000000000004</v>
      </c>
      <c r="BJ18" s="133">
        <f>AF76</f>
        <v>326.53999999999996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25">
      <c r="A19" s="89" t="s">
        <v>253</v>
      </c>
      <c r="B19" s="102">
        <v>15.6</v>
      </c>
      <c r="C19" s="102">
        <v>15.6</v>
      </c>
      <c r="D19" s="102">
        <v>15.6</v>
      </c>
      <c r="E19" s="102">
        <v>15.6</v>
      </c>
      <c r="F19" s="102">
        <v>22.6</v>
      </c>
      <c r="G19" s="102">
        <v>22.6</v>
      </c>
      <c r="H19" s="102">
        <v>22.6</v>
      </c>
      <c r="I19" s="102">
        <v>22.6</v>
      </c>
      <c r="J19" s="102">
        <v>22.6</v>
      </c>
      <c r="K19" s="102">
        <v>22.6</v>
      </c>
      <c r="L19" s="102">
        <v>22.6</v>
      </c>
      <c r="M19" s="102">
        <v>22.6</v>
      </c>
      <c r="N19" s="102">
        <v>22.6</v>
      </c>
      <c r="O19" s="102">
        <v>22.6</v>
      </c>
      <c r="P19" s="102">
        <v>22.6</v>
      </c>
      <c r="Q19" s="102">
        <v>22.6</v>
      </c>
      <c r="R19" s="102">
        <v>22.6</v>
      </c>
      <c r="S19" s="102">
        <v>22.6</v>
      </c>
      <c r="T19" s="102">
        <v>22.6</v>
      </c>
      <c r="U19" s="102">
        <v>22.6</v>
      </c>
      <c r="V19" s="102">
        <v>22.6</v>
      </c>
      <c r="W19" s="102">
        <v>22.6</v>
      </c>
      <c r="X19" s="102">
        <v>22.6</v>
      </c>
      <c r="Y19" s="102">
        <v>22.6</v>
      </c>
      <c r="Z19" s="102">
        <v>22.6</v>
      </c>
      <c r="AA19" s="102">
        <v>22.6</v>
      </c>
      <c r="AB19" s="102">
        <v>22.6</v>
      </c>
      <c r="AC19" s="102">
        <v>22.6</v>
      </c>
      <c r="AD19" s="102">
        <v>22.6</v>
      </c>
      <c r="AE19" s="102">
        <v>22.6</v>
      </c>
      <c r="AF19" s="102">
        <v>22.6</v>
      </c>
      <c r="AG19" s="130">
        <v>38.46</v>
      </c>
      <c r="AH19" s="12">
        <f t="shared" si="8"/>
        <v>22.6</v>
      </c>
      <c r="AI19" s="11">
        <f t="shared" si="9"/>
        <v>15.6</v>
      </c>
      <c r="AK19" s="19"/>
      <c r="AL19" s="135" t="s">
        <v>252</v>
      </c>
      <c r="AM19" s="134">
        <f t="shared" ref="AM19:AR19" si="12">B92</f>
        <v>288.8</v>
      </c>
      <c r="AN19" s="134">
        <f t="shared" si="12"/>
        <v>160.80000000000001</v>
      </c>
      <c r="AO19" s="134">
        <f t="shared" si="12"/>
        <v>151.9</v>
      </c>
      <c r="AP19" s="134">
        <f t="shared" si="12"/>
        <v>198.7</v>
      </c>
      <c r="AQ19" s="134">
        <f t="shared" si="12"/>
        <v>250.10000000000002</v>
      </c>
      <c r="AR19" s="134">
        <f t="shared" si="12"/>
        <v>245.4</v>
      </c>
      <c r="AS19" s="134">
        <f>I92</f>
        <v>232.29999999999998</v>
      </c>
      <c r="AT19" s="134">
        <f>K92</f>
        <v>712.6</v>
      </c>
      <c r="AU19" s="134">
        <f t="shared" ref="AU19:BD19" si="13">M92</f>
        <v>716.4</v>
      </c>
      <c r="AV19" s="134">
        <f t="shared" si="13"/>
        <v>716.4</v>
      </c>
      <c r="AW19" s="134">
        <f t="shared" si="13"/>
        <v>716.4</v>
      </c>
      <c r="AX19" s="134">
        <f t="shared" si="13"/>
        <v>806.70000000000016</v>
      </c>
      <c r="AY19" s="134">
        <f t="shared" si="13"/>
        <v>751.69999999999993</v>
      </c>
      <c r="AZ19" s="134">
        <f t="shared" si="13"/>
        <v>753.9</v>
      </c>
      <c r="BA19" s="134">
        <f t="shared" si="13"/>
        <v>788.8</v>
      </c>
      <c r="BB19" s="134">
        <f t="shared" si="13"/>
        <v>836.1</v>
      </c>
      <c r="BC19" s="134">
        <f t="shared" si="13"/>
        <v>799.2</v>
      </c>
      <c r="BD19" s="134">
        <f t="shared" si="13"/>
        <v>763.2410000000001</v>
      </c>
      <c r="BE19" s="133">
        <f>X92</f>
        <v>673.66</v>
      </c>
      <c r="BF19" s="133">
        <f>Z92</f>
        <v>519.90000000000009</v>
      </c>
      <c r="BG19" s="133">
        <f>AB92</f>
        <v>140.80000000000001</v>
      </c>
      <c r="BH19" s="133">
        <f>AD92</f>
        <v>187.9</v>
      </c>
      <c r="BI19" s="133">
        <f>AE92</f>
        <v>161.69999999999999</v>
      </c>
      <c r="BJ19" s="133">
        <f>AF92</f>
        <v>181.39999999999998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25">
      <c r="A20" s="89" t="s">
        <v>251</v>
      </c>
      <c r="B20" s="102">
        <v>14</v>
      </c>
      <c r="C20" s="102">
        <v>14</v>
      </c>
      <c r="D20" s="102">
        <v>14</v>
      </c>
      <c r="E20" s="102">
        <v>14</v>
      </c>
      <c r="F20" s="102">
        <v>14</v>
      </c>
      <c r="G20" s="102">
        <v>14</v>
      </c>
      <c r="H20" s="102">
        <v>14</v>
      </c>
      <c r="I20" s="102">
        <v>14</v>
      </c>
      <c r="J20" s="102">
        <v>14</v>
      </c>
      <c r="K20" s="102">
        <v>14</v>
      </c>
      <c r="L20" s="102">
        <v>14</v>
      </c>
      <c r="M20" s="102">
        <v>14</v>
      </c>
      <c r="N20" s="102">
        <v>14</v>
      </c>
      <c r="O20" s="102">
        <v>14</v>
      </c>
      <c r="P20" s="102">
        <v>14</v>
      </c>
      <c r="Q20" s="102">
        <v>14</v>
      </c>
      <c r="R20" s="102">
        <v>14</v>
      </c>
      <c r="S20" s="102">
        <v>14</v>
      </c>
      <c r="T20" s="102">
        <v>14</v>
      </c>
      <c r="U20" s="102">
        <v>14</v>
      </c>
      <c r="V20" s="102">
        <v>14</v>
      </c>
      <c r="W20" s="102">
        <v>14</v>
      </c>
      <c r="X20" s="102">
        <v>14</v>
      </c>
      <c r="Y20" s="102">
        <v>14</v>
      </c>
      <c r="Z20" s="102">
        <v>14</v>
      </c>
      <c r="AA20" s="102">
        <v>14</v>
      </c>
      <c r="AB20" s="102">
        <v>14</v>
      </c>
      <c r="AC20" s="102">
        <v>14</v>
      </c>
      <c r="AD20" s="102">
        <v>14</v>
      </c>
      <c r="AE20" s="102">
        <v>14</v>
      </c>
      <c r="AF20" s="102">
        <v>14</v>
      </c>
      <c r="AG20" s="130">
        <v>38.46</v>
      </c>
      <c r="AH20" s="12">
        <f t="shared" si="8"/>
        <v>14</v>
      </c>
      <c r="AI20" s="11">
        <f t="shared" si="9"/>
        <v>14</v>
      </c>
      <c r="AK20" s="19"/>
      <c r="AL20" s="135" t="s">
        <v>250</v>
      </c>
      <c r="AM20" s="134">
        <f t="shared" ref="AM20:AR20" si="14">B80</f>
        <v>47.9</v>
      </c>
      <c r="AN20" s="134">
        <f t="shared" si="14"/>
        <v>47.9</v>
      </c>
      <c r="AO20" s="134">
        <f t="shared" si="14"/>
        <v>47.9</v>
      </c>
      <c r="AP20" s="134">
        <f t="shared" si="14"/>
        <v>47.9</v>
      </c>
      <c r="AQ20" s="134">
        <f t="shared" si="14"/>
        <v>47.9</v>
      </c>
      <c r="AR20" s="134">
        <f t="shared" si="14"/>
        <v>47.9</v>
      </c>
      <c r="AS20" s="134">
        <f>I80</f>
        <v>47.9</v>
      </c>
      <c r="AT20" s="134">
        <f>K80</f>
        <v>0</v>
      </c>
      <c r="AU20" s="134">
        <f t="shared" ref="AU20:BD20" si="15">M80</f>
        <v>0</v>
      </c>
      <c r="AV20" s="134">
        <f t="shared" si="15"/>
        <v>0</v>
      </c>
      <c r="AW20" s="134">
        <f t="shared" si="15"/>
        <v>0</v>
      </c>
      <c r="AX20" s="134">
        <f t="shared" si="15"/>
        <v>0</v>
      </c>
      <c r="AY20" s="134">
        <f t="shared" si="15"/>
        <v>0</v>
      </c>
      <c r="AZ20" s="134">
        <f t="shared" si="15"/>
        <v>0</v>
      </c>
      <c r="BA20" s="134">
        <f t="shared" si="15"/>
        <v>0</v>
      </c>
      <c r="BB20" s="134">
        <f t="shared" si="15"/>
        <v>0</v>
      </c>
      <c r="BC20" s="134">
        <f t="shared" si="15"/>
        <v>0</v>
      </c>
      <c r="BD20" s="134">
        <f t="shared" si="15"/>
        <v>42</v>
      </c>
      <c r="BE20" s="133">
        <f>X80</f>
        <v>15.1</v>
      </c>
      <c r="BF20" s="133">
        <f>Z80</f>
        <v>98.8</v>
      </c>
      <c r="BG20" s="133">
        <f>AB80</f>
        <v>98.8</v>
      </c>
      <c r="BH20" s="133">
        <f>AD80</f>
        <v>48.2</v>
      </c>
      <c r="BI20" s="133">
        <f>AE80</f>
        <v>47.699999999999996</v>
      </c>
      <c r="BJ20" s="133">
        <f>AF80</f>
        <v>48.300000000000004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25">
      <c r="A21" s="89" t="s">
        <v>249</v>
      </c>
      <c r="B21" s="102">
        <v>11</v>
      </c>
      <c r="C21" s="102">
        <v>11</v>
      </c>
      <c r="D21" s="102">
        <v>11</v>
      </c>
      <c r="E21" s="102">
        <v>11</v>
      </c>
      <c r="F21" s="102">
        <v>11</v>
      </c>
      <c r="G21" s="102">
        <v>11</v>
      </c>
      <c r="H21" s="102">
        <v>11</v>
      </c>
      <c r="I21" s="102">
        <v>11</v>
      </c>
      <c r="J21" s="102">
        <v>11</v>
      </c>
      <c r="K21" s="102">
        <v>11</v>
      </c>
      <c r="L21" s="102">
        <v>11</v>
      </c>
      <c r="M21" s="102">
        <v>11</v>
      </c>
      <c r="N21" s="102">
        <v>11</v>
      </c>
      <c r="O21" s="102">
        <v>11</v>
      </c>
      <c r="P21" s="102">
        <v>11</v>
      </c>
      <c r="Q21" s="102">
        <v>11</v>
      </c>
      <c r="R21" s="102">
        <v>11</v>
      </c>
      <c r="S21" s="102">
        <v>11</v>
      </c>
      <c r="T21" s="102">
        <v>11</v>
      </c>
      <c r="U21" s="102">
        <v>11</v>
      </c>
      <c r="V21" s="102">
        <v>11</v>
      </c>
      <c r="W21" s="102">
        <v>11</v>
      </c>
      <c r="X21" s="102">
        <v>11</v>
      </c>
      <c r="Y21" s="102">
        <v>11</v>
      </c>
      <c r="Z21" s="102">
        <v>11</v>
      </c>
      <c r="AA21" s="102">
        <v>11</v>
      </c>
      <c r="AB21" s="102">
        <v>11</v>
      </c>
      <c r="AC21" s="102">
        <v>11</v>
      </c>
      <c r="AD21" s="102">
        <v>11</v>
      </c>
      <c r="AE21" s="102">
        <v>11</v>
      </c>
      <c r="AF21" s="102">
        <v>0</v>
      </c>
      <c r="AG21" s="130">
        <v>36</v>
      </c>
      <c r="AH21" s="12">
        <f t="shared" si="8"/>
        <v>11</v>
      </c>
      <c r="AI21" s="11">
        <f t="shared" si="9"/>
        <v>0</v>
      </c>
      <c r="AK21" s="19"/>
      <c r="AL21" s="135" t="s">
        <v>248</v>
      </c>
      <c r="AM21" s="134">
        <f t="shared" ref="AM21:AR21" si="16">B98</f>
        <v>230</v>
      </c>
      <c r="AN21" s="134">
        <f t="shared" si="16"/>
        <v>231</v>
      </c>
      <c r="AO21" s="134">
        <f t="shared" si="16"/>
        <v>200</v>
      </c>
      <c r="AP21" s="134">
        <f t="shared" si="16"/>
        <v>200</v>
      </c>
      <c r="AQ21" s="134">
        <f t="shared" si="16"/>
        <v>200</v>
      </c>
      <c r="AR21" s="134">
        <f t="shared" si="16"/>
        <v>200</v>
      </c>
      <c r="AS21" s="134">
        <f>I98</f>
        <v>200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300</v>
      </c>
      <c r="BG21" s="133">
        <f>AB98</f>
        <v>300</v>
      </c>
      <c r="BH21" s="133">
        <f>AD98</f>
        <v>300</v>
      </c>
      <c r="BI21" s="133">
        <f>AE98</f>
        <v>280</v>
      </c>
      <c r="BJ21" s="133">
        <f>AF98</f>
        <v>270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25">
      <c r="A22" s="89" t="s">
        <v>247</v>
      </c>
      <c r="B22" s="102">
        <v>8.5</v>
      </c>
      <c r="C22" s="102">
        <v>8.5</v>
      </c>
      <c r="D22" s="102">
        <v>8.5</v>
      </c>
      <c r="E22" s="102">
        <v>8.5</v>
      </c>
      <c r="F22" s="102">
        <v>9.9</v>
      </c>
      <c r="G22" s="102">
        <v>9.9</v>
      </c>
      <c r="H22" s="102">
        <v>9.9</v>
      </c>
      <c r="I22" s="102">
        <v>9.9</v>
      </c>
      <c r="J22" s="102">
        <v>9.9</v>
      </c>
      <c r="K22" s="102">
        <v>9.9</v>
      </c>
      <c r="L22" s="102">
        <v>9.9</v>
      </c>
      <c r="M22" s="102">
        <v>9.9</v>
      </c>
      <c r="N22" s="102">
        <v>9.9</v>
      </c>
      <c r="O22" s="102">
        <v>9.9</v>
      </c>
      <c r="P22" s="102">
        <v>9.9</v>
      </c>
      <c r="Q22" s="102">
        <v>9.9</v>
      </c>
      <c r="R22" s="102">
        <v>9.9</v>
      </c>
      <c r="S22" s="102">
        <v>9.9</v>
      </c>
      <c r="T22" s="102">
        <v>9.9</v>
      </c>
      <c r="U22" s="102">
        <v>9.9</v>
      </c>
      <c r="V22" s="102">
        <v>9.9</v>
      </c>
      <c r="W22" s="102">
        <v>9.9</v>
      </c>
      <c r="X22" s="102">
        <v>9.9</v>
      </c>
      <c r="Y22" s="102">
        <v>9.9</v>
      </c>
      <c r="Z22" s="102">
        <v>9.9</v>
      </c>
      <c r="AA22" s="102">
        <v>9.9</v>
      </c>
      <c r="AB22" s="102">
        <v>9.9</v>
      </c>
      <c r="AC22" s="102">
        <v>9.9</v>
      </c>
      <c r="AD22" s="102">
        <v>9.9</v>
      </c>
      <c r="AE22" s="102">
        <v>9.9</v>
      </c>
      <c r="AF22" s="102">
        <v>9.9</v>
      </c>
      <c r="AG22" s="88">
        <v>30</v>
      </c>
      <c r="AH22" s="12">
        <f t="shared" si="8"/>
        <v>9.9</v>
      </c>
      <c r="AI22" s="11">
        <f t="shared" si="9"/>
        <v>8.5</v>
      </c>
      <c r="AK22" s="19"/>
      <c r="AL22" s="132" t="s">
        <v>246</v>
      </c>
      <c r="AM22" s="131">
        <f t="shared" ref="AM22:BJ22" si="18">SUM(AM16:AM21)</f>
        <v>1569.5400000000002</v>
      </c>
      <c r="AN22" s="131">
        <f t="shared" si="18"/>
        <v>1523.5400000000002</v>
      </c>
      <c r="AO22" s="131">
        <f t="shared" si="18"/>
        <v>1492.5400000000002</v>
      </c>
      <c r="AP22" s="131">
        <f t="shared" si="18"/>
        <v>1475.9400000000003</v>
      </c>
      <c r="AQ22" s="131">
        <f t="shared" si="18"/>
        <v>1455.44</v>
      </c>
      <c r="AR22" s="131">
        <f t="shared" si="18"/>
        <v>1450.7400000000002</v>
      </c>
      <c r="AS22" s="131">
        <f t="shared" si="18"/>
        <v>1527.74</v>
      </c>
      <c r="AT22" s="131">
        <f t="shared" si="18"/>
        <v>1549.1399999999999</v>
      </c>
      <c r="AU22" s="131">
        <f t="shared" si="18"/>
        <v>1554.3400000000001</v>
      </c>
      <c r="AV22" s="131">
        <f t="shared" si="18"/>
        <v>1528.44</v>
      </c>
      <c r="AW22" s="131">
        <f t="shared" si="18"/>
        <v>1528.1399999999999</v>
      </c>
      <c r="AX22" s="131">
        <f t="shared" si="18"/>
        <v>1633.2400000000002</v>
      </c>
      <c r="AY22" s="131">
        <f t="shared" si="18"/>
        <v>1559.1399999999999</v>
      </c>
      <c r="AZ22" s="131">
        <f t="shared" si="18"/>
        <v>1572.3400000000001</v>
      </c>
      <c r="BA22" s="131">
        <f t="shared" si="18"/>
        <v>1578.84</v>
      </c>
      <c r="BB22" s="131">
        <f t="shared" si="18"/>
        <v>1612.74</v>
      </c>
      <c r="BC22" s="131">
        <f t="shared" si="18"/>
        <v>1527.54</v>
      </c>
      <c r="BD22" s="131">
        <f t="shared" si="18"/>
        <v>1533.5810000000001</v>
      </c>
      <c r="BE22" s="131">
        <f t="shared" si="18"/>
        <v>1497.3999999999999</v>
      </c>
      <c r="BF22" s="131">
        <f t="shared" si="18"/>
        <v>1915.24</v>
      </c>
      <c r="BG22" s="131">
        <f t="shared" si="18"/>
        <v>1862.5399999999997</v>
      </c>
      <c r="BH22" s="131">
        <f t="shared" si="18"/>
        <v>1869.8400000000001</v>
      </c>
      <c r="BI22" s="131">
        <f t="shared" si="18"/>
        <v>1722.7400000000002</v>
      </c>
      <c r="BJ22" s="131">
        <f t="shared" si="18"/>
        <v>1650.64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25">
      <c r="A23" s="89" t="s">
        <v>245</v>
      </c>
      <c r="B23" s="102">
        <v>5.6</v>
      </c>
      <c r="C23" s="102">
        <v>5.6</v>
      </c>
      <c r="D23" s="102">
        <v>5.6</v>
      </c>
      <c r="E23" s="102">
        <v>5.6</v>
      </c>
      <c r="F23" s="102">
        <v>5.6</v>
      </c>
      <c r="G23" s="102">
        <v>5.6</v>
      </c>
      <c r="H23" s="102">
        <v>5.6</v>
      </c>
      <c r="I23" s="102">
        <v>5.6</v>
      </c>
      <c r="J23" s="102">
        <v>5.6</v>
      </c>
      <c r="K23" s="102">
        <v>5.6</v>
      </c>
      <c r="L23" s="102">
        <v>5.6</v>
      </c>
      <c r="M23" s="102">
        <v>5.6</v>
      </c>
      <c r="N23" s="102">
        <v>5.6</v>
      </c>
      <c r="O23" s="102">
        <v>5.6</v>
      </c>
      <c r="P23" s="102">
        <v>5.6</v>
      </c>
      <c r="Q23" s="102">
        <v>5.6</v>
      </c>
      <c r="R23" s="102">
        <v>5.6</v>
      </c>
      <c r="S23" s="102">
        <v>5.6</v>
      </c>
      <c r="T23" s="102">
        <v>5.6</v>
      </c>
      <c r="U23" s="102">
        <v>5.6</v>
      </c>
      <c r="V23" s="102">
        <v>5.6</v>
      </c>
      <c r="W23" s="102">
        <v>5.6</v>
      </c>
      <c r="X23" s="102">
        <v>5.6</v>
      </c>
      <c r="Y23" s="102">
        <v>5.6</v>
      </c>
      <c r="Z23" s="102">
        <v>5.6</v>
      </c>
      <c r="AA23" s="102">
        <v>5.6</v>
      </c>
      <c r="AB23" s="102">
        <v>5.6</v>
      </c>
      <c r="AC23" s="102">
        <v>5.6</v>
      </c>
      <c r="AD23" s="102">
        <v>5.6</v>
      </c>
      <c r="AE23" s="102">
        <v>5.6</v>
      </c>
      <c r="AF23" s="102">
        <v>5.6</v>
      </c>
      <c r="AG23" s="130">
        <v>24.2</v>
      </c>
      <c r="AH23" s="12">
        <f t="shared" si="8"/>
        <v>5.6</v>
      </c>
      <c r="AI23" s="11">
        <f t="shared" si="9"/>
        <v>5.6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25">
      <c r="A24" s="89" t="s">
        <v>244</v>
      </c>
      <c r="B24" s="102">
        <v>5.9</v>
      </c>
      <c r="C24" s="102">
        <v>5.9</v>
      </c>
      <c r="D24" s="102">
        <v>5.9</v>
      </c>
      <c r="E24" s="102">
        <v>5.9</v>
      </c>
      <c r="F24" s="102">
        <v>6.7</v>
      </c>
      <c r="G24" s="102">
        <v>6.7</v>
      </c>
      <c r="H24" s="102">
        <v>6.7</v>
      </c>
      <c r="I24" s="102">
        <v>6.7</v>
      </c>
      <c r="J24" s="102">
        <v>6.7</v>
      </c>
      <c r="K24" s="102">
        <v>6.7</v>
      </c>
      <c r="L24" s="102">
        <v>6.7</v>
      </c>
      <c r="M24" s="102">
        <v>6.7</v>
      </c>
      <c r="N24" s="102">
        <v>6.7</v>
      </c>
      <c r="O24" s="102">
        <v>6.7</v>
      </c>
      <c r="P24" s="102">
        <v>6.7</v>
      </c>
      <c r="Q24" s="102">
        <v>6.7</v>
      </c>
      <c r="R24" s="102">
        <v>6.7</v>
      </c>
      <c r="S24" s="102">
        <v>6.7</v>
      </c>
      <c r="T24" s="102">
        <v>6.7</v>
      </c>
      <c r="U24" s="102">
        <v>6.7</v>
      </c>
      <c r="V24" s="102">
        <v>6.7</v>
      </c>
      <c r="W24" s="102">
        <v>6.7</v>
      </c>
      <c r="X24" s="102">
        <v>6.7</v>
      </c>
      <c r="Y24" s="102">
        <v>6.7</v>
      </c>
      <c r="Z24" s="102">
        <v>6.7</v>
      </c>
      <c r="AA24" s="102">
        <v>6.7</v>
      </c>
      <c r="AB24" s="102">
        <v>6.7</v>
      </c>
      <c r="AC24" s="102">
        <v>6.7</v>
      </c>
      <c r="AD24" s="102">
        <v>6.7</v>
      </c>
      <c r="AE24" s="102">
        <v>6.7</v>
      </c>
      <c r="AF24" s="102">
        <v>6.7</v>
      </c>
      <c r="AG24" s="130">
        <v>28</v>
      </c>
      <c r="AH24" s="12">
        <f t="shared" si="8"/>
        <v>6.7</v>
      </c>
      <c r="AI24" s="11">
        <f t="shared" si="9"/>
        <v>5.9</v>
      </c>
      <c r="AK24" s="19"/>
      <c r="AL24" s="132" t="s">
        <v>243</v>
      </c>
      <c r="AM24" s="131">
        <f t="shared" ref="AM24:BJ24" si="21">AM22+AM23</f>
        <v>1569.5400000000002</v>
      </c>
      <c r="AN24" s="131">
        <f t="shared" si="21"/>
        <v>1523.5400000000002</v>
      </c>
      <c r="AO24" s="131">
        <f t="shared" si="21"/>
        <v>1492.5400000000002</v>
      </c>
      <c r="AP24" s="131">
        <f t="shared" si="21"/>
        <v>1475.9400000000003</v>
      </c>
      <c r="AQ24" s="131">
        <f t="shared" si="21"/>
        <v>1455.44</v>
      </c>
      <c r="AR24" s="131">
        <f t="shared" si="21"/>
        <v>1450.7400000000002</v>
      </c>
      <c r="AS24" s="131">
        <f t="shared" si="21"/>
        <v>1527.74</v>
      </c>
      <c r="AT24" s="131">
        <f t="shared" si="21"/>
        <v>1549.1399999999999</v>
      </c>
      <c r="AU24" s="131">
        <f t="shared" si="21"/>
        <v>1554.3400000000001</v>
      </c>
      <c r="AV24" s="131">
        <f t="shared" si="21"/>
        <v>1528.44</v>
      </c>
      <c r="AW24" s="131">
        <f t="shared" si="21"/>
        <v>1528.1399999999999</v>
      </c>
      <c r="AX24" s="131">
        <f t="shared" si="21"/>
        <v>1633.2400000000002</v>
      </c>
      <c r="AY24" s="131">
        <f t="shared" si="21"/>
        <v>1559.1399999999999</v>
      </c>
      <c r="AZ24" s="131">
        <f t="shared" si="21"/>
        <v>1572.3400000000001</v>
      </c>
      <c r="BA24" s="131">
        <f t="shared" si="21"/>
        <v>1578.84</v>
      </c>
      <c r="BB24" s="131">
        <f t="shared" si="21"/>
        <v>1612.74</v>
      </c>
      <c r="BC24" s="131">
        <f t="shared" si="21"/>
        <v>1527.54</v>
      </c>
      <c r="BD24" s="131">
        <f t="shared" si="21"/>
        <v>1533.5810000000001</v>
      </c>
      <c r="BE24" s="131">
        <f t="shared" si="21"/>
        <v>1497.3999999999999</v>
      </c>
      <c r="BF24" s="131">
        <f t="shared" si="21"/>
        <v>1915.24</v>
      </c>
      <c r="BG24" s="131">
        <f t="shared" si="21"/>
        <v>1862.5399999999997</v>
      </c>
      <c r="BH24" s="131">
        <f t="shared" si="21"/>
        <v>1869.8400000000001</v>
      </c>
      <c r="BI24" s="131">
        <f t="shared" si="21"/>
        <v>1722.7400000000002</v>
      </c>
      <c r="BJ24" s="131">
        <f t="shared" si="21"/>
        <v>1650.64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25">
      <c r="A25" s="89" t="s">
        <v>242</v>
      </c>
      <c r="B25" s="102">
        <v>8</v>
      </c>
      <c r="C25" s="102">
        <v>8</v>
      </c>
      <c r="D25" s="102">
        <v>8</v>
      </c>
      <c r="E25" s="102">
        <v>8</v>
      </c>
      <c r="F25" s="102">
        <v>7.8</v>
      </c>
      <c r="G25" s="102">
        <v>7.8</v>
      </c>
      <c r="H25" s="102">
        <v>7.8</v>
      </c>
      <c r="I25" s="102">
        <v>7.8</v>
      </c>
      <c r="J25" s="102">
        <v>7.8</v>
      </c>
      <c r="K25" s="102">
        <v>7.8</v>
      </c>
      <c r="L25" s="102">
        <v>7.8</v>
      </c>
      <c r="M25" s="102">
        <v>7.8</v>
      </c>
      <c r="N25" s="102">
        <v>7.8</v>
      </c>
      <c r="O25" s="102">
        <v>7.8</v>
      </c>
      <c r="P25" s="102">
        <v>7.8</v>
      </c>
      <c r="Q25" s="102">
        <v>7.8</v>
      </c>
      <c r="R25" s="102">
        <v>7.8</v>
      </c>
      <c r="S25" s="102">
        <v>7.8</v>
      </c>
      <c r="T25" s="102">
        <v>7.8</v>
      </c>
      <c r="U25" s="102">
        <v>7.8</v>
      </c>
      <c r="V25" s="102">
        <v>7.8</v>
      </c>
      <c r="W25" s="102">
        <v>7.8</v>
      </c>
      <c r="X25" s="102">
        <v>7.8</v>
      </c>
      <c r="Y25" s="102">
        <v>7.8</v>
      </c>
      <c r="Z25" s="102">
        <v>7.8</v>
      </c>
      <c r="AA25" s="102">
        <v>7.8</v>
      </c>
      <c r="AB25" s="102">
        <v>7.8</v>
      </c>
      <c r="AC25" s="102">
        <v>7.8</v>
      </c>
      <c r="AD25" s="102">
        <v>7.8</v>
      </c>
      <c r="AE25" s="102">
        <v>7.8</v>
      </c>
      <c r="AF25" s="102">
        <v>7.8</v>
      </c>
      <c r="AG25" s="88">
        <v>30</v>
      </c>
      <c r="AH25" s="12">
        <f t="shared" si="8"/>
        <v>8</v>
      </c>
      <c r="AI25" s="11">
        <f t="shared" si="9"/>
        <v>7.8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25">
      <c r="A26" s="89" t="s">
        <v>241</v>
      </c>
      <c r="B26" s="102">
        <v>9</v>
      </c>
      <c r="C26" s="102">
        <v>9</v>
      </c>
      <c r="D26" s="102">
        <v>9</v>
      </c>
      <c r="E26" s="102">
        <v>9</v>
      </c>
      <c r="F26" s="102">
        <v>8.5</v>
      </c>
      <c r="G26" s="102">
        <v>8.5</v>
      </c>
      <c r="H26" s="102">
        <v>8.5</v>
      </c>
      <c r="I26" s="102">
        <v>8.5</v>
      </c>
      <c r="J26" s="102">
        <v>8.5</v>
      </c>
      <c r="K26" s="102">
        <v>8.5</v>
      </c>
      <c r="L26" s="102">
        <v>8.5</v>
      </c>
      <c r="M26" s="102">
        <v>8.5</v>
      </c>
      <c r="N26" s="102">
        <v>8.5</v>
      </c>
      <c r="O26" s="102">
        <v>8.5</v>
      </c>
      <c r="P26" s="102">
        <v>8.5</v>
      </c>
      <c r="Q26" s="102">
        <v>8.5</v>
      </c>
      <c r="R26" s="102">
        <v>8.5</v>
      </c>
      <c r="S26" s="102">
        <v>8.5</v>
      </c>
      <c r="T26" s="102">
        <v>8.5</v>
      </c>
      <c r="U26" s="102">
        <v>8.5</v>
      </c>
      <c r="V26" s="102">
        <v>8.5</v>
      </c>
      <c r="W26" s="102">
        <v>8.5</v>
      </c>
      <c r="X26" s="102">
        <v>8.5</v>
      </c>
      <c r="Y26" s="102">
        <v>8.5</v>
      </c>
      <c r="Z26" s="102">
        <v>8.5</v>
      </c>
      <c r="AA26" s="102">
        <v>8.5</v>
      </c>
      <c r="AB26" s="102">
        <v>8.5</v>
      </c>
      <c r="AC26" s="102">
        <v>8.5</v>
      </c>
      <c r="AD26" s="102">
        <v>8.5</v>
      </c>
      <c r="AE26" s="102">
        <v>8.5</v>
      </c>
      <c r="AF26" s="102">
        <v>8.5</v>
      </c>
      <c r="AG26" s="130">
        <v>25</v>
      </c>
      <c r="AH26" s="12">
        <f t="shared" si="8"/>
        <v>9</v>
      </c>
      <c r="AI26" s="11">
        <f t="shared" si="9"/>
        <v>8.5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25">
      <c r="A27" s="89" t="s">
        <v>240</v>
      </c>
      <c r="B27" s="102">
        <v>8</v>
      </c>
      <c r="C27" s="102">
        <v>8</v>
      </c>
      <c r="D27" s="102">
        <v>8</v>
      </c>
      <c r="E27" s="102">
        <v>8</v>
      </c>
      <c r="F27" s="102">
        <v>8</v>
      </c>
      <c r="G27" s="102">
        <v>8</v>
      </c>
      <c r="H27" s="102">
        <v>8</v>
      </c>
      <c r="I27" s="102">
        <v>8</v>
      </c>
      <c r="J27" s="102">
        <v>8</v>
      </c>
      <c r="K27" s="102">
        <v>8</v>
      </c>
      <c r="L27" s="102">
        <v>8</v>
      </c>
      <c r="M27" s="102">
        <v>8</v>
      </c>
      <c r="N27" s="102">
        <v>8</v>
      </c>
      <c r="O27" s="102">
        <v>8</v>
      </c>
      <c r="P27" s="102">
        <v>8</v>
      </c>
      <c r="Q27" s="102">
        <v>8</v>
      </c>
      <c r="R27" s="102">
        <v>8</v>
      </c>
      <c r="S27" s="102">
        <v>8</v>
      </c>
      <c r="T27" s="102">
        <v>8</v>
      </c>
      <c r="U27" s="102">
        <v>8</v>
      </c>
      <c r="V27" s="102">
        <v>8</v>
      </c>
      <c r="W27" s="102">
        <v>8</v>
      </c>
      <c r="X27" s="102">
        <v>8</v>
      </c>
      <c r="Y27" s="102">
        <v>8</v>
      </c>
      <c r="Z27" s="102">
        <v>8</v>
      </c>
      <c r="AA27" s="102">
        <v>8</v>
      </c>
      <c r="AB27" s="102">
        <v>8</v>
      </c>
      <c r="AC27" s="102">
        <v>8</v>
      </c>
      <c r="AD27" s="102">
        <v>8</v>
      </c>
      <c r="AE27" s="102">
        <v>8</v>
      </c>
      <c r="AF27" s="102">
        <v>8</v>
      </c>
      <c r="AG27" s="130">
        <v>25</v>
      </c>
      <c r="AH27" s="12">
        <f t="shared" si="8"/>
        <v>8</v>
      </c>
      <c r="AI27" s="11">
        <f t="shared" si="9"/>
        <v>8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25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25">
      <c r="A29" s="89" t="s">
        <v>238</v>
      </c>
      <c r="B29" s="102">
        <v>11.9</v>
      </c>
      <c r="C29" s="102">
        <v>11.9</v>
      </c>
      <c r="D29" s="102">
        <v>11.9</v>
      </c>
      <c r="E29" s="102">
        <v>11.9</v>
      </c>
      <c r="F29" s="102">
        <v>10.4</v>
      </c>
      <c r="G29" s="102">
        <v>10.4</v>
      </c>
      <c r="H29" s="102">
        <v>10.4</v>
      </c>
      <c r="I29" s="102">
        <v>10.4</v>
      </c>
      <c r="J29" s="102">
        <v>10.4</v>
      </c>
      <c r="K29" s="102">
        <v>10.4</v>
      </c>
      <c r="L29" s="102">
        <v>10.4</v>
      </c>
      <c r="M29" s="102">
        <v>10.4</v>
      </c>
      <c r="N29" s="102">
        <v>10.4</v>
      </c>
      <c r="O29" s="102">
        <v>10.4</v>
      </c>
      <c r="P29" s="102">
        <v>10.4</v>
      </c>
      <c r="Q29" s="102">
        <v>10.4</v>
      </c>
      <c r="R29" s="102">
        <v>10.4</v>
      </c>
      <c r="S29" s="102">
        <v>10.4</v>
      </c>
      <c r="T29" s="102">
        <v>10.4</v>
      </c>
      <c r="U29" s="102">
        <v>10.4</v>
      </c>
      <c r="V29" s="102">
        <v>10.4</v>
      </c>
      <c r="W29" s="102">
        <v>10.4</v>
      </c>
      <c r="X29" s="102">
        <v>10.4</v>
      </c>
      <c r="Y29" s="102">
        <v>10.4</v>
      </c>
      <c r="Z29" s="102">
        <v>10.4</v>
      </c>
      <c r="AA29" s="102">
        <v>10.4</v>
      </c>
      <c r="AB29" s="102">
        <v>10.4</v>
      </c>
      <c r="AC29" s="102">
        <v>10.4</v>
      </c>
      <c r="AD29" s="102">
        <v>10.4</v>
      </c>
      <c r="AE29" s="102">
        <v>10.4</v>
      </c>
      <c r="AF29" s="102">
        <v>10.4</v>
      </c>
      <c r="AG29" s="130">
        <v>25</v>
      </c>
      <c r="AH29" s="12">
        <f t="shared" si="8"/>
        <v>11.9</v>
      </c>
      <c r="AI29" s="11">
        <f t="shared" si="9"/>
        <v>10.4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25">
      <c r="A30" s="89" t="s">
        <v>237</v>
      </c>
      <c r="B30" s="102">
        <v>6</v>
      </c>
      <c r="C30" s="102">
        <v>6</v>
      </c>
      <c r="D30" s="102">
        <v>6</v>
      </c>
      <c r="E30" s="102">
        <v>6</v>
      </c>
      <c r="F30" s="102">
        <v>4.5</v>
      </c>
      <c r="G30" s="102">
        <v>4.5</v>
      </c>
      <c r="H30" s="102">
        <v>4.5</v>
      </c>
      <c r="I30" s="102">
        <v>4.5</v>
      </c>
      <c r="J30" s="102">
        <v>4.5</v>
      </c>
      <c r="K30" s="102">
        <v>4.5</v>
      </c>
      <c r="L30" s="102">
        <v>4.5</v>
      </c>
      <c r="M30" s="102">
        <v>4.5</v>
      </c>
      <c r="N30" s="102">
        <v>4.5</v>
      </c>
      <c r="O30" s="102">
        <v>4.5</v>
      </c>
      <c r="P30" s="102">
        <v>4.5</v>
      </c>
      <c r="Q30" s="102">
        <v>4.5</v>
      </c>
      <c r="R30" s="102">
        <v>4.5</v>
      </c>
      <c r="S30" s="102">
        <v>4.5</v>
      </c>
      <c r="T30" s="102">
        <v>4.5</v>
      </c>
      <c r="U30" s="102">
        <v>4.5</v>
      </c>
      <c r="V30" s="102">
        <v>4.5</v>
      </c>
      <c r="W30" s="102">
        <v>4.5</v>
      </c>
      <c r="X30" s="102">
        <v>4.5</v>
      </c>
      <c r="Y30" s="102">
        <v>4.5</v>
      </c>
      <c r="Z30" s="102">
        <v>4.5</v>
      </c>
      <c r="AA30" s="102">
        <v>4.5</v>
      </c>
      <c r="AB30" s="102">
        <v>4.5</v>
      </c>
      <c r="AC30" s="102">
        <v>4.5</v>
      </c>
      <c r="AD30" s="102">
        <v>4.5</v>
      </c>
      <c r="AE30" s="102">
        <v>4.5</v>
      </c>
      <c r="AF30" s="102">
        <v>4.5</v>
      </c>
      <c r="AG30" s="130">
        <v>23.5</v>
      </c>
      <c r="AH30" s="12">
        <f t="shared" si="8"/>
        <v>6</v>
      </c>
      <c r="AI30" s="11">
        <f t="shared" si="9"/>
        <v>4.5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25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25">
      <c r="A32" s="89" t="s">
        <v>235</v>
      </c>
      <c r="B32" s="102">
        <v>2.9</v>
      </c>
      <c r="C32" s="102">
        <v>2.9</v>
      </c>
      <c r="D32" s="102">
        <v>2.9</v>
      </c>
      <c r="E32" s="102">
        <v>2.9</v>
      </c>
      <c r="F32" s="102">
        <v>2.9</v>
      </c>
      <c r="G32" s="102">
        <v>2.9</v>
      </c>
      <c r="H32" s="102">
        <v>2.9</v>
      </c>
      <c r="I32" s="102">
        <v>2.9</v>
      </c>
      <c r="J32" s="102">
        <v>2.9</v>
      </c>
      <c r="K32" s="102">
        <v>2.9</v>
      </c>
      <c r="L32" s="102">
        <v>2.9</v>
      </c>
      <c r="M32" s="102">
        <v>2.9</v>
      </c>
      <c r="N32" s="102">
        <v>2.9</v>
      </c>
      <c r="O32" s="102">
        <v>2.9</v>
      </c>
      <c r="P32" s="102">
        <v>2.9</v>
      </c>
      <c r="Q32" s="102">
        <v>2.9</v>
      </c>
      <c r="R32" s="102">
        <v>2.9</v>
      </c>
      <c r="S32" s="102">
        <v>2.9</v>
      </c>
      <c r="T32" s="102">
        <v>2.9</v>
      </c>
      <c r="U32" s="102">
        <v>2.9</v>
      </c>
      <c r="V32" s="102">
        <v>2.9</v>
      </c>
      <c r="W32" s="102">
        <v>2.9</v>
      </c>
      <c r="X32" s="102">
        <v>2.9</v>
      </c>
      <c r="Y32" s="102">
        <v>2.9</v>
      </c>
      <c r="Z32" s="102">
        <v>2.9</v>
      </c>
      <c r="AA32" s="102">
        <v>2.9</v>
      </c>
      <c r="AB32" s="102">
        <v>2.9</v>
      </c>
      <c r="AC32" s="102">
        <v>2.9</v>
      </c>
      <c r="AD32" s="102">
        <v>2.9</v>
      </c>
      <c r="AE32" s="102">
        <v>2.9</v>
      </c>
      <c r="AF32" s="102">
        <v>2.9</v>
      </c>
      <c r="AG32" s="130">
        <v>22.1</v>
      </c>
      <c r="AH32" s="12">
        <f t="shared" si="8"/>
        <v>2.9</v>
      </c>
      <c r="AI32" s="11">
        <f t="shared" si="9"/>
        <v>2.9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25">
      <c r="A33" s="89" t="s">
        <v>234</v>
      </c>
      <c r="B33" s="102">
        <v>3.9</v>
      </c>
      <c r="C33" s="102">
        <v>3.9</v>
      </c>
      <c r="D33" s="102">
        <v>3.9</v>
      </c>
      <c r="E33" s="102">
        <v>3.9</v>
      </c>
      <c r="F33" s="102">
        <v>3.9</v>
      </c>
      <c r="G33" s="102">
        <v>3.9</v>
      </c>
      <c r="H33" s="102">
        <v>3.9</v>
      </c>
      <c r="I33" s="102">
        <v>3.9</v>
      </c>
      <c r="J33" s="102">
        <v>3.9</v>
      </c>
      <c r="K33" s="102">
        <v>3.9</v>
      </c>
      <c r="L33" s="102">
        <v>3.9</v>
      </c>
      <c r="M33" s="102">
        <v>3.9</v>
      </c>
      <c r="N33" s="102">
        <v>3.9</v>
      </c>
      <c r="O33" s="102">
        <v>3.9</v>
      </c>
      <c r="P33" s="102">
        <v>3.9</v>
      </c>
      <c r="Q33" s="102">
        <v>3.9</v>
      </c>
      <c r="R33" s="102">
        <v>3.9</v>
      </c>
      <c r="S33" s="102">
        <v>3.9</v>
      </c>
      <c r="T33" s="102">
        <v>3.9</v>
      </c>
      <c r="U33" s="102">
        <v>3.9</v>
      </c>
      <c r="V33" s="102">
        <v>3.9</v>
      </c>
      <c r="W33" s="102">
        <v>3.9</v>
      </c>
      <c r="X33" s="102">
        <v>3.9</v>
      </c>
      <c r="Y33" s="102">
        <v>3.9</v>
      </c>
      <c r="Z33" s="102">
        <v>3.9</v>
      </c>
      <c r="AA33" s="102">
        <v>3.9</v>
      </c>
      <c r="AB33" s="102">
        <v>3.9</v>
      </c>
      <c r="AC33" s="102">
        <v>3.9</v>
      </c>
      <c r="AD33" s="102">
        <v>3.9</v>
      </c>
      <c r="AE33" s="102">
        <v>3.9</v>
      </c>
      <c r="AF33" s="102">
        <v>3.9</v>
      </c>
      <c r="AG33" s="130">
        <v>22</v>
      </c>
      <c r="AH33" s="12">
        <f t="shared" si="8"/>
        <v>3.9</v>
      </c>
      <c r="AI33" s="11">
        <f t="shared" si="9"/>
        <v>3.9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25">
      <c r="A34" s="89" t="s">
        <v>233</v>
      </c>
      <c r="B34" s="102">
        <v>3.3</v>
      </c>
      <c r="C34" s="102">
        <v>3.3</v>
      </c>
      <c r="D34" s="102">
        <v>3.3</v>
      </c>
      <c r="E34" s="102">
        <v>6.6</v>
      </c>
      <c r="F34" s="102">
        <v>6.6</v>
      </c>
      <c r="G34" s="102">
        <v>6.6</v>
      </c>
      <c r="H34" s="102">
        <v>6.6</v>
      </c>
      <c r="I34" s="102">
        <v>6.6</v>
      </c>
      <c r="J34" s="102">
        <v>6.6</v>
      </c>
      <c r="K34" s="102">
        <v>6.6</v>
      </c>
      <c r="L34" s="102">
        <v>6.6</v>
      </c>
      <c r="M34" s="102">
        <v>6.6</v>
      </c>
      <c r="N34" s="102">
        <v>6.6</v>
      </c>
      <c r="O34" s="102">
        <v>6.6</v>
      </c>
      <c r="P34" s="102">
        <v>6.6</v>
      </c>
      <c r="Q34" s="102">
        <v>6.6</v>
      </c>
      <c r="R34" s="102">
        <v>6.6</v>
      </c>
      <c r="S34" s="102">
        <v>6.6</v>
      </c>
      <c r="T34" s="102">
        <v>6.6</v>
      </c>
      <c r="U34" s="102">
        <v>6.6</v>
      </c>
      <c r="V34" s="102">
        <v>6.6</v>
      </c>
      <c r="W34" s="102">
        <v>6.6</v>
      </c>
      <c r="X34" s="102">
        <v>6.6</v>
      </c>
      <c r="Y34" s="102">
        <v>6.6</v>
      </c>
      <c r="Z34" s="102">
        <v>6.6</v>
      </c>
      <c r="AA34" s="102">
        <v>6.6</v>
      </c>
      <c r="AB34" s="102">
        <v>6.6</v>
      </c>
      <c r="AC34" s="102">
        <v>6.6</v>
      </c>
      <c r="AD34" s="102">
        <v>6.6</v>
      </c>
      <c r="AE34" s="102">
        <v>6.6</v>
      </c>
      <c r="AF34" s="102">
        <v>6.6</v>
      </c>
      <c r="AG34" s="130">
        <v>22</v>
      </c>
      <c r="AH34" s="12">
        <f t="shared" si="8"/>
        <v>6.6</v>
      </c>
      <c r="AI34" s="11">
        <f t="shared" si="9"/>
        <v>3.3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25">
      <c r="A35" s="89" t="s">
        <v>232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Z35" s="102">
        <v>0</v>
      </c>
      <c r="AA35" s="102">
        <v>0</v>
      </c>
      <c r="AB35" s="102">
        <v>0</v>
      </c>
      <c r="AC35" s="102">
        <v>0</v>
      </c>
      <c r="AD35" s="102">
        <v>0</v>
      </c>
      <c r="AE35" s="102">
        <v>0</v>
      </c>
      <c r="AF35" s="102">
        <v>0</v>
      </c>
      <c r="AG35" s="130">
        <v>20</v>
      </c>
      <c r="AH35" s="12">
        <f t="shared" si="8"/>
        <v>0</v>
      </c>
      <c r="AI35" s="11">
        <f t="shared" si="9"/>
        <v>0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25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25">
      <c r="A37" s="89" t="s">
        <v>230</v>
      </c>
      <c r="B37" s="102">
        <v>5.8</v>
      </c>
      <c r="C37" s="102">
        <v>5.8</v>
      </c>
      <c r="D37" s="102">
        <v>5.8</v>
      </c>
      <c r="E37" s="102">
        <v>5.8</v>
      </c>
      <c r="F37" s="102">
        <v>5.8</v>
      </c>
      <c r="G37" s="102">
        <v>5.8</v>
      </c>
      <c r="H37" s="102">
        <v>5.8</v>
      </c>
      <c r="I37" s="102">
        <v>5.8</v>
      </c>
      <c r="J37" s="102">
        <v>5.8</v>
      </c>
      <c r="K37" s="102">
        <v>5.8</v>
      </c>
      <c r="L37" s="102">
        <v>5.8</v>
      </c>
      <c r="M37" s="102">
        <v>5.8</v>
      </c>
      <c r="N37" s="102">
        <v>5.8</v>
      </c>
      <c r="O37" s="102">
        <v>5.8</v>
      </c>
      <c r="P37" s="102">
        <v>5.8</v>
      </c>
      <c r="Q37" s="102">
        <v>5.8</v>
      </c>
      <c r="R37" s="102">
        <v>5.8</v>
      </c>
      <c r="S37" s="102">
        <v>5.8</v>
      </c>
      <c r="T37" s="102">
        <v>5.8</v>
      </c>
      <c r="U37" s="102">
        <v>5.8</v>
      </c>
      <c r="V37" s="102">
        <v>5.8</v>
      </c>
      <c r="W37" s="102">
        <v>5.8</v>
      </c>
      <c r="X37" s="102">
        <v>5.8</v>
      </c>
      <c r="Y37" s="102">
        <v>5.8</v>
      </c>
      <c r="Z37" s="102">
        <v>5.8</v>
      </c>
      <c r="AA37" s="102">
        <v>5.8</v>
      </c>
      <c r="AB37" s="102">
        <v>5.8</v>
      </c>
      <c r="AC37" s="102">
        <v>5.8</v>
      </c>
      <c r="AD37" s="102">
        <v>5.8</v>
      </c>
      <c r="AE37" s="102">
        <v>5.8</v>
      </c>
      <c r="AF37" s="102">
        <v>5.8</v>
      </c>
      <c r="AG37" s="130">
        <v>18</v>
      </c>
      <c r="AH37" s="12">
        <f t="shared" si="8"/>
        <v>5.8</v>
      </c>
      <c r="AI37" s="11">
        <f t="shared" si="9"/>
        <v>5.8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25">
      <c r="A38" s="89" t="s">
        <v>229</v>
      </c>
      <c r="B38" s="102">
        <v>5.0999999999999996</v>
      </c>
      <c r="C38" s="102">
        <v>5.0999999999999996</v>
      </c>
      <c r="D38" s="102">
        <v>5.0999999999999996</v>
      </c>
      <c r="E38" s="102">
        <v>5.0999999999999996</v>
      </c>
      <c r="F38" s="102">
        <v>5.0999999999999996</v>
      </c>
      <c r="G38" s="102">
        <v>5.0999999999999996</v>
      </c>
      <c r="H38" s="102">
        <v>5.0999999999999996</v>
      </c>
      <c r="I38" s="102">
        <v>5.0999999999999996</v>
      </c>
      <c r="J38" s="102">
        <v>5.0999999999999996</v>
      </c>
      <c r="K38" s="102">
        <v>5.0999999999999996</v>
      </c>
      <c r="L38" s="102">
        <v>5.0999999999999996</v>
      </c>
      <c r="M38" s="102">
        <v>5.0999999999999996</v>
      </c>
      <c r="N38" s="102">
        <v>5.0999999999999996</v>
      </c>
      <c r="O38" s="102">
        <v>5.0999999999999996</v>
      </c>
      <c r="P38" s="102">
        <v>5.0999999999999996</v>
      </c>
      <c r="Q38" s="102">
        <v>5.0999999999999996</v>
      </c>
      <c r="R38" s="102">
        <v>5.0999999999999996</v>
      </c>
      <c r="S38" s="102">
        <v>5.0999999999999996</v>
      </c>
      <c r="T38" s="102">
        <v>5.0999999999999996</v>
      </c>
      <c r="U38" s="102">
        <v>5.0999999999999996</v>
      </c>
      <c r="V38" s="102">
        <v>5.0999999999999996</v>
      </c>
      <c r="W38" s="102">
        <v>5.0999999999999996</v>
      </c>
      <c r="X38" s="102">
        <v>5.0999999999999996</v>
      </c>
      <c r="Y38" s="102">
        <v>5.0999999999999996</v>
      </c>
      <c r="Z38" s="102">
        <v>5.0999999999999996</v>
      </c>
      <c r="AA38" s="102">
        <v>5.0999999999999996</v>
      </c>
      <c r="AB38" s="102">
        <v>5.0999999999999996</v>
      </c>
      <c r="AC38" s="102">
        <v>5.0999999999999996</v>
      </c>
      <c r="AD38" s="102">
        <v>5.0999999999999996</v>
      </c>
      <c r="AE38" s="102">
        <v>5.0999999999999996</v>
      </c>
      <c r="AF38" s="102">
        <v>5.0999999999999996</v>
      </c>
      <c r="AG38" s="130">
        <v>14.9</v>
      </c>
      <c r="AH38" s="12">
        <f t="shared" si="8"/>
        <v>5.0999999999999996</v>
      </c>
      <c r="AI38" s="11">
        <f t="shared" si="9"/>
        <v>5.0999999999999996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25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25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25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25">
      <c r="A42" s="89" t="s">
        <v>225</v>
      </c>
      <c r="B42" s="102">
        <v>5.2</v>
      </c>
      <c r="C42" s="102">
        <v>5.2</v>
      </c>
      <c r="D42" s="102">
        <v>5.2</v>
      </c>
      <c r="E42" s="102">
        <v>5.2</v>
      </c>
      <c r="F42" s="102">
        <v>5.2</v>
      </c>
      <c r="G42" s="102">
        <v>5.2</v>
      </c>
      <c r="H42" s="102">
        <v>5.2</v>
      </c>
      <c r="I42" s="102">
        <v>5.2</v>
      </c>
      <c r="J42" s="102">
        <v>5.2</v>
      </c>
      <c r="K42" s="102">
        <v>5.2</v>
      </c>
      <c r="L42" s="102">
        <v>5.2</v>
      </c>
      <c r="M42" s="102">
        <v>5.2</v>
      </c>
      <c r="N42" s="102">
        <v>5.2</v>
      </c>
      <c r="O42" s="102">
        <v>5.2</v>
      </c>
      <c r="P42" s="102">
        <v>5.2</v>
      </c>
      <c r="Q42" s="102">
        <v>5.2</v>
      </c>
      <c r="R42" s="102">
        <v>5.2</v>
      </c>
      <c r="S42" s="102">
        <v>5.2</v>
      </c>
      <c r="T42" s="102">
        <v>5.2</v>
      </c>
      <c r="U42" s="102">
        <v>5.2</v>
      </c>
      <c r="V42" s="102">
        <v>5.2</v>
      </c>
      <c r="W42" s="102">
        <v>5.2</v>
      </c>
      <c r="X42" s="102">
        <v>5.2</v>
      </c>
      <c r="Y42" s="102">
        <v>5.2</v>
      </c>
      <c r="Z42" s="102">
        <v>5.2</v>
      </c>
      <c r="AA42" s="102">
        <v>5.2</v>
      </c>
      <c r="AB42" s="102">
        <v>5.2</v>
      </c>
      <c r="AC42" s="102">
        <v>5.2</v>
      </c>
      <c r="AD42" s="102">
        <v>5.2</v>
      </c>
      <c r="AE42" s="102">
        <v>5.2</v>
      </c>
      <c r="AF42" s="102">
        <v>5.2</v>
      </c>
      <c r="AG42" s="130">
        <v>13.6</v>
      </c>
      <c r="AH42" s="12">
        <f t="shared" si="8"/>
        <v>5.2</v>
      </c>
      <c r="AI42" s="11">
        <f t="shared" si="9"/>
        <v>5.2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25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25">
      <c r="A44" s="89" t="s">
        <v>223</v>
      </c>
      <c r="B44" s="102">
        <v>4.5</v>
      </c>
      <c r="C44" s="102">
        <v>4.5</v>
      </c>
      <c r="D44" s="102">
        <v>4.5</v>
      </c>
      <c r="E44" s="102">
        <v>4.5</v>
      </c>
      <c r="F44" s="102">
        <v>4.5</v>
      </c>
      <c r="G44" s="102">
        <v>4.5</v>
      </c>
      <c r="H44" s="102">
        <v>4.5</v>
      </c>
      <c r="I44" s="102">
        <v>4.5</v>
      </c>
      <c r="J44" s="102">
        <v>4.5</v>
      </c>
      <c r="K44" s="102">
        <v>4.5</v>
      </c>
      <c r="L44" s="102">
        <v>4.5</v>
      </c>
      <c r="M44" s="102">
        <v>4.5</v>
      </c>
      <c r="N44" s="102">
        <v>4.5</v>
      </c>
      <c r="O44" s="102">
        <v>4.5</v>
      </c>
      <c r="P44" s="102">
        <v>4.5</v>
      </c>
      <c r="Q44" s="102">
        <v>4.5</v>
      </c>
      <c r="R44" s="102">
        <v>4.5</v>
      </c>
      <c r="S44" s="102">
        <v>4.5</v>
      </c>
      <c r="T44" s="102">
        <v>4.5</v>
      </c>
      <c r="U44" s="102">
        <v>4.5</v>
      </c>
      <c r="V44" s="102">
        <v>4.5</v>
      </c>
      <c r="W44" s="102">
        <v>4.5</v>
      </c>
      <c r="X44" s="102">
        <v>4.5</v>
      </c>
      <c r="Y44" s="102">
        <v>4.5</v>
      </c>
      <c r="Z44" s="102">
        <v>4.5</v>
      </c>
      <c r="AA44" s="102">
        <v>4.5</v>
      </c>
      <c r="AB44" s="102">
        <v>4.5</v>
      </c>
      <c r="AC44" s="102">
        <v>4.5</v>
      </c>
      <c r="AD44" s="102">
        <v>4.5</v>
      </c>
      <c r="AE44" s="102">
        <v>4.5</v>
      </c>
      <c r="AF44" s="102">
        <v>4.5</v>
      </c>
      <c r="AG44" s="130">
        <v>12</v>
      </c>
      <c r="AH44" s="12">
        <f t="shared" si="8"/>
        <v>4.5</v>
      </c>
      <c r="AI44" s="11">
        <f t="shared" si="9"/>
        <v>4.5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25">
      <c r="A45" s="89" t="s">
        <v>222</v>
      </c>
      <c r="B45" s="102">
        <v>3.5</v>
      </c>
      <c r="C45" s="102">
        <v>3.5</v>
      </c>
      <c r="D45" s="102">
        <v>3.5</v>
      </c>
      <c r="E45" s="102">
        <v>3.5</v>
      </c>
      <c r="F45" s="102">
        <v>3.5</v>
      </c>
      <c r="G45" s="102">
        <v>3.5</v>
      </c>
      <c r="H45" s="102">
        <v>3.5</v>
      </c>
      <c r="I45" s="102">
        <v>3.5</v>
      </c>
      <c r="J45" s="102">
        <v>3.5</v>
      </c>
      <c r="K45" s="102">
        <v>3.5</v>
      </c>
      <c r="L45" s="102">
        <v>3.5</v>
      </c>
      <c r="M45" s="102">
        <v>3.5</v>
      </c>
      <c r="N45" s="102">
        <v>3.5</v>
      </c>
      <c r="O45" s="102">
        <v>3.5</v>
      </c>
      <c r="P45" s="102">
        <v>3.5</v>
      </c>
      <c r="Q45" s="102">
        <v>3.5</v>
      </c>
      <c r="R45" s="102">
        <v>3.5</v>
      </c>
      <c r="S45" s="102">
        <v>3.5</v>
      </c>
      <c r="T45" s="102">
        <v>3.5</v>
      </c>
      <c r="U45" s="102">
        <v>3.5</v>
      </c>
      <c r="V45" s="102">
        <v>3.5</v>
      </c>
      <c r="W45" s="102">
        <v>3.5</v>
      </c>
      <c r="X45" s="102">
        <v>3.5</v>
      </c>
      <c r="Y45" s="102">
        <v>3.5</v>
      </c>
      <c r="Z45" s="102">
        <v>3.5</v>
      </c>
      <c r="AA45" s="102">
        <v>3.5</v>
      </c>
      <c r="AB45" s="102">
        <v>3.5</v>
      </c>
      <c r="AC45" s="102">
        <v>3.5</v>
      </c>
      <c r="AD45" s="102">
        <v>3.5</v>
      </c>
      <c r="AE45" s="102">
        <v>3.5</v>
      </c>
      <c r="AF45" s="102">
        <v>3.5</v>
      </c>
      <c r="AG45" s="130">
        <v>12</v>
      </c>
      <c r="AH45" s="12">
        <f t="shared" si="8"/>
        <v>3.5</v>
      </c>
      <c r="AI45" s="11">
        <f t="shared" si="9"/>
        <v>3.5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25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25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25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25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25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25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25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25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25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25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25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.75" thickBot="1" x14ac:dyDescent="0.3">
      <c r="A57" s="124" t="s">
        <v>210</v>
      </c>
      <c r="B57" s="122">
        <v>25.63</v>
      </c>
      <c r="C57" s="122">
        <v>25.63</v>
      </c>
      <c r="D57" s="122">
        <v>25.63</v>
      </c>
      <c r="E57" s="122">
        <v>25.63</v>
      </c>
      <c r="F57" s="122">
        <v>25.63</v>
      </c>
      <c r="G57" s="122">
        <v>25.63</v>
      </c>
      <c r="H57" s="122">
        <v>25.63</v>
      </c>
      <c r="I57" s="122">
        <v>25.63</v>
      </c>
      <c r="J57" s="122">
        <v>25.63</v>
      </c>
      <c r="K57" s="122">
        <v>25.63</v>
      </c>
      <c r="L57" s="122">
        <v>25.63</v>
      </c>
      <c r="M57" s="122">
        <v>25.63</v>
      </c>
      <c r="N57" s="122">
        <v>25.63</v>
      </c>
      <c r="O57" s="122">
        <v>25.63</v>
      </c>
      <c r="P57" s="122">
        <v>25.63</v>
      </c>
      <c r="Q57" s="122">
        <v>25.63</v>
      </c>
      <c r="R57" s="122">
        <v>25.63</v>
      </c>
      <c r="S57" s="123">
        <v>24.6</v>
      </c>
      <c r="T57" s="123">
        <v>23.8</v>
      </c>
      <c r="U57" s="123">
        <v>16.8</v>
      </c>
      <c r="V57" s="123">
        <v>27.8</v>
      </c>
      <c r="W57" s="123">
        <v>27.8</v>
      </c>
      <c r="X57" s="123">
        <v>27.8</v>
      </c>
      <c r="Y57" s="123">
        <v>15.2</v>
      </c>
      <c r="Z57" s="123">
        <v>15.2</v>
      </c>
      <c r="AA57" s="123">
        <v>15.2</v>
      </c>
      <c r="AB57" s="123">
        <v>18.899999999999999</v>
      </c>
      <c r="AC57" s="123">
        <f>9.2+11.8</f>
        <v>21</v>
      </c>
      <c r="AD57" s="123">
        <f>9.2+11.8</f>
        <v>21</v>
      </c>
      <c r="AE57" s="123">
        <f>9.2+11.8</f>
        <v>21</v>
      </c>
      <c r="AF57" s="123">
        <f>9.2+11.8</f>
        <v>21</v>
      </c>
      <c r="AG57" s="86">
        <v>240</v>
      </c>
      <c r="AH57" s="12">
        <f t="shared" si="8"/>
        <v>27.8</v>
      </c>
      <c r="AI57" s="11">
        <f t="shared" si="9"/>
        <v>15.2</v>
      </c>
      <c r="AK57" s="19"/>
    </row>
    <row r="58" spans="1:88" ht="15.75" thickBot="1" x14ac:dyDescent="0.3">
      <c r="A58" s="121" t="s">
        <v>209</v>
      </c>
      <c r="B58" s="76">
        <f t="shared" ref="B58:C58" si="22">SUM(B11:B56)</f>
        <v>482.40000000000003</v>
      </c>
      <c r="C58" s="76">
        <f t="shared" si="22"/>
        <v>482.40000000000003</v>
      </c>
      <c r="D58" s="76">
        <f t="shared" ref="D58" si="23">SUM(D11:D56)</f>
        <v>491.3</v>
      </c>
      <c r="E58" s="76">
        <f t="shared" ref="E58:AF58" si="24">SUM(E11:E56)</f>
        <v>496.1</v>
      </c>
      <c r="F58" s="76">
        <f t="shared" si="24"/>
        <v>505.3</v>
      </c>
      <c r="G58" s="76">
        <f t="shared" si="24"/>
        <v>505.3</v>
      </c>
      <c r="H58" s="76">
        <f t="shared" si="24"/>
        <v>505.3</v>
      </c>
      <c r="I58" s="76">
        <f t="shared" si="24"/>
        <v>504</v>
      </c>
      <c r="J58" s="76">
        <f t="shared" si="24"/>
        <v>504</v>
      </c>
      <c r="K58" s="76">
        <f t="shared" si="24"/>
        <v>503</v>
      </c>
      <c r="L58" s="76">
        <f t="shared" si="24"/>
        <v>503</v>
      </c>
      <c r="M58" s="76">
        <f t="shared" si="24"/>
        <v>503</v>
      </c>
      <c r="N58" s="76">
        <f t="shared" si="24"/>
        <v>501.2</v>
      </c>
      <c r="O58" s="76">
        <f t="shared" si="24"/>
        <v>501.2</v>
      </c>
      <c r="P58" s="76">
        <f t="shared" si="24"/>
        <v>501.2</v>
      </c>
      <c r="Q58" s="76">
        <f t="shared" ref="Q58" si="25">SUM(Q11:Q56)</f>
        <v>501.2</v>
      </c>
      <c r="R58" s="76">
        <f t="shared" si="24"/>
        <v>501.2</v>
      </c>
      <c r="S58" s="76">
        <f t="shared" si="24"/>
        <v>501.2</v>
      </c>
      <c r="T58" s="76">
        <f t="shared" ref="T58:U58" si="26">SUM(T11:T56)</f>
        <v>501.2</v>
      </c>
      <c r="U58" s="76">
        <f t="shared" si="26"/>
        <v>501.2</v>
      </c>
      <c r="V58" s="76">
        <f t="shared" ref="V58:W58" si="27">SUM(V11:V56)</f>
        <v>501.2</v>
      </c>
      <c r="W58" s="76">
        <f t="shared" si="27"/>
        <v>501.2</v>
      </c>
      <c r="X58" s="76">
        <f t="shared" ref="X58:Z58" si="28">SUM(X11:X56)</f>
        <v>501.2</v>
      </c>
      <c r="Y58" s="76">
        <f t="shared" si="28"/>
        <v>501.2</v>
      </c>
      <c r="Z58" s="76">
        <f t="shared" si="28"/>
        <v>501.2</v>
      </c>
      <c r="AA58" s="76">
        <f t="shared" ref="AA58" si="29">SUM(AA11:AA56)</f>
        <v>501.2</v>
      </c>
      <c r="AB58" s="76">
        <f t="shared" si="24"/>
        <v>501.2</v>
      </c>
      <c r="AC58" s="76">
        <f t="shared" si="24"/>
        <v>501.2</v>
      </c>
      <c r="AD58" s="76">
        <f t="shared" si="24"/>
        <v>501.2</v>
      </c>
      <c r="AE58" s="76">
        <f t="shared" si="24"/>
        <v>501.2</v>
      </c>
      <c r="AF58" s="76">
        <f t="shared" si="24"/>
        <v>490.20000000000005</v>
      </c>
      <c r="AG58" s="93">
        <f>SUM(AG14:AG56)</f>
        <v>1042.4000000000001</v>
      </c>
      <c r="AH58" s="12">
        <f t="shared" si="8"/>
        <v>505.3</v>
      </c>
      <c r="AI58" s="11">
        <f t="shared" si="9"/>
        <v>482.40000000000003</v>
      </c>
      <c r="AK58" s="19"/>
    </row>
    <row r="59" spans="1:88" x14ac:dyDescent="0.25">
      <c r="A59" s="120" t="s">
        <v>208</v>
      </c>
      <c r="B59" s="102">
        <v>200</v>
      </c>
      <c r="C59" s="102">
        <v>271</v>
      </c>
      <c r="D59" s="102">
        <v>271</v>
      </c>
      <c r="E59" s="102">
        <v>205</v>
      </c>
      <c r="F59" s="102">
        <v>171</v>
      </c>
      <c r="G59" s="102">
        <v>171</v>
      </c>
      <c r="H59" s="102">
        <v>171</v>
      </c>
      <c r="I59" s="102">
        <v>229</v>
      </c>
      <c r="J59" s="102">
        <v>90.7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X59" s="102">
        <v>15.1</v>
      </c>
      <c r="Y59" s="102">
        <v>60</v>
      </c>
      <c r="Z59" s="102">
        <v>140</v>
      </c>
      <c r="AA59" s="102">
        <v>211.3</v>
      </c>
      <c r="AB59" s="102">
        <v>381.7</v>
      </c>
      <c r="AC59" s="102">
        <v>381.8</v>
      </c>
      <c r="AD59" s="102">
        <v>450</v>
      </c>
      <c r="AE59" s="102">
        <v>349.9</v>
      </c>
      <c r="AF59" s="102">
        <v>301.7</v>
      </c>
      <c r="AG59" s="88">
        <v>456</v>
      </c>
      <c r="AH59" s="12">
        <f t="shared" si="8"/>
        <v>450</v>
      </c>
      <c r="AI59" s="11">
        <f t="shared" si="9"/>
        <v>0</v>
      </c>
      <c r="AK59" s="19"/>
    </row>
    <row r="60" spans="1:88" x14ac:dyDescent="0.25">
      <c r="A60" s="118" t="s">
        <v>207</v>
      </c>
      <c r="B60" s="70">
        <v>18.8</v>
      </c>
      <c r="C60" s="70">
        <v>18.8</v>
      </c>
      <c r="D60" s="70">
        <v>18.8</v>
      </c>
      <c r="E60" s="70">
        <v>18.5</v>
      </c>
      <c r="F60" s="70">
        <v>18.3</v>
      </c>
      <c r="G60" s="70">
        <v>18.3</v>
      </c>
      <c r="H60" s="70">
        <v>18.3</v>
      </c>
      <c r="I60" s="70">
        <v>18.3</v>
      </c>
      <c r="J60" s="70">
        <v>18.3</v>
      </c>
      <c r="K60" s="70">
        <v>19</v>
      </c>
      <c r="L60" s="70">
        <v>19</v>
      </c>
      <c r="M60" s="70">
        <v>19</v>
      </c>
      <c r="N60" s="70">
        <v>19</v>
      </c>
      <c r="O60" s="70">
        <v>19</v>
      </c>
      <c r="P60" s="70">
        <v>19</v>
      </c>
      <c r="Q60" s="70">
        <v>19</v>
      </c>
      <c r="R60" s="70">
        <v>17.899999999999999</v>
      </c>
      <c r="S60" s="70">
        <v>17.899999999999999</v>
      </c>
      <c r="T60" s="70">
        <v>17.899999999999999</v>
      </c>
      <c r="U60" s="70">
        <v>17.899999999999999</v>
      </c>
      <c r="V60" s="70">
        <v>17.899999999999999</v>
      </c>
      <c r="W60" s="70">
        <v>17.899999999999999</v>
      </c>
      <c r="X60" s="70">
        <v>17.899999999999999</v>
      </c>
      <c r="Y60" s="70">
        <v>17.899999999999999</v>
      </c>
      <c r="Z60" s="70">
        <v>17.899999999999999</v>
      </c>
      <c r="AA60" s="70">
        <v>17.899999999999999</v>
      </c>
      <c r="AB60" s="70">
        <v>18</v>
      </c>
      <c r="AC60" s="70">
        <v>17.8</v>
      </c>
      <c r="AD60" s="70">
        <v>17.8</v>
      </c>
      <c r="AE60" s="70">
        <v>17.600000000000001</v>
      </c>
      <c r="AF60" s="70">
        <v>16.899999999999999</v>
      </c>
      <c r="AG60" s="86">
        <v>60</v>
      </c>
      <c r="AH60" s="12">
        <f t="shared" si="8"/>
        <v>19</v>
      </c>
      <c r="AI60" s="11">
        <f t="shared" si="9"/>
        <v>16.899999999999999</v>
      </c>
      <c r="AK60" s="19"/>
    </row>
    <row r="61" spans="1:88" ht="15.75" thickBot="1" x14ac:dyDescent="0.3">
      <c r="A61" s="117" t="s">
        <v>206</v>
      </c>
      <c r="B61" s="110">
        <v>22.4</v>
      </c>
      <c r="C61" s="110">
        <v>22.4</v>
      </c>
      <c r="D61" s="110">
        <v>22.4</v>
      </c>
      <c r="E61" s="110">
        <v>22.5</v>
      </c>
      <c r="F61" s="110">
        <v>22.5</v>
      </c>
      <c r="G61" s="110">
        <v>22.5</v>
      </c>
      <c r="H61" s="110">
        <v>22.5</v>
      </c>
      <c r="I61" s="110">
        <v>22.5</v>
      </c>
      <c r="J61" s="110">
        <v>22.5</v>
      </c>
      <c r="K61" s="110">
        <v>22.5</v>
      </c>
      <c r="L61" s="110">
        <v>22.5</v>
      </c>
      <c r="M61" s="110">
        <v>22.5</v>
      </c>
      <c r="N61" s="110">
        <v>22.5</v>
      </c>
      <c r="O61" s="110">
        <v>22.5</v>
      </c>
      <c r="P61" s="110">
        <v>22.5</v>
      </c>
      <c r="Q61" s="110">
        <v>22.5</v>
      </c>
      <c r="R61" s="110">
        <v>22.5</v>
      </c>
      <c r="S61" s="110">
        <v>22.5</v>
      </c>
      <c r="T61" s="110">
        <v>22.5</v>
      </c>
      <c r="U61" s="110">
        <v>22.5</v>
      </c>
      <c r="V61" s="110">
        <v>22.5</v>
      </c>
      <c r="W61" s="110">
        <v>22.5</v>
      </c>
      <c r="X61" s="110">
        <v>22.5</v>
      </c>
      <c r="Y61" s="110">
        <v>22.5</v>
      </c>
      <c r="Z61" s="110">
        <v>22.5</v>
      </c>
      <c r="AA61" s="110">
        <v>22.5</v>
      </c>
      <c r="AB61" s="110">
        <v>18.7</v>
      </c>
      <c r="AC61" s="110">
        <v>16</v>
      </c>
      <c r="AD61" s="110">
        <v>15.6</v>
      </c>
      <c r="AE61" s="110">
        <v>15.5</v>
      </c>
      <c r="AF61" s="110">
        <v>15.6</v>
      </c>
      <c r="AG61" s="109">
        <v>22.1</v>
      </c>
      <c r="AH61" s="12">
        <f t="shared" si="8"/>
        <v>22.5</v>
      </c>
      <c r="AI61" s="11">
        <f t="shared" si="9"/>
        <v>15.5</v>
      </c>
      <c r="AK61" s="19"/>
    </row>
    <row r="62" spans="1:88" ht="15.75" thickBot="1" x14ac:dyDescent="0.3">
      <c r="A62" s="116" t="s">
        <v>205</v>
      </c>
      <c r="B62" s="76">
        <f t="shared" ref="B62:C62" si="30">SUM(B59:B61)</f>
        <v>241.20000000000002</v>
      </c>
      <c r="C62" s="76">
        <f t="shared" si="30"/>
        <v>312.2</v>
      </c>
      <c r="D62" s="76">
        <f t="shared" ref="D62" si="31">SUM(D59:D61)</f>
        <v>312.2</v>
      </c>
      <c r="E62" s="76">
        <f t="shared" ref="E62:AG62" si="32">SUM(E59:E61)</f>
        <v>246</v>
      </c>
      <c r="F62" s="76">
        <f t="shared" si="32"/>
        <v>211.8</v>
      </c>
      <c r="G62" s="76">
        <f t="shared" si="32"/>
        <v>211.8</v>
      </c>
      <c r="H62" s="76">
        <f t="shared" si="32"/>
        <v>211.8</v>
      </c>
      <c r="I62" s="76">
        <f t="shared" si="32"/>
        <v>269.8</v>
      </c>
      <c r="J62" s="76">
        <f t="shared" si="32"/>
        <v>131.5</v>
      </c>
      <c r="K62" s="76">
        <f t="shared" si="32"/>
        <v>41.5</v>
      </c>
      <c r="L62" s="76">
        <f t="shared" si="32"/>
        <v>41.5</v>
      </c>
      <c r="M62" s="76">
        <f t="shared" si="32"/>
        <v>41.5</v>
      </c>
      <c r="N62" s="76">
        <f t="shared" si="32"/>
        <v>41.5</v>
      </c>
      <c r="O62" s="76">
        <f t="shared" si="32"/>
        <v>41.5</v>
      </c>
      <c r="P62" s="76">
        <f t="shared" si="32"/>
        <v>41.5</v>
      </c>
      <c r="Q62" s="76">
        <v>22.4</v>
      </c>
      <c r="R62" s="76">
        <f t="shared" si="32"/>
        <v>40.4</v>
      </c>
      <c r="S62" s="76">
        <f t="shared" ref="S62:T62" si="33">SUM(S59:S61)</f>
        <v>40.4</v>
      </c>
      <c r="T62" s="76">
        <f t="shared" si="33"/>
        <v>40.4</v>
      </c>
      <c r="U62" s="76">
        <f t="shared" ref="U62:V62" si="34">SUM(U59:U61)</f>
        <v>40.4</v>
      </c>
      <c r="V62" s="76">
        <f t="shared" si="34"/>
        <v>40.4</v>
      </c>
      <c r="W62" s="76">
        <f t="shared" ref="W62:X62" si="35">SUM(W59:W61)</f>
        <v>40.4</v>
      </c>
      <c r="X62" s="76">
        <f t="shared" si="35"/>
        <v>55.5</v>
      </c>
      <c r="Y62" s="76">
        <f t="shared" ref="Y62:Z62" si="36">SUM(Y59:Y61)</f>
        <v>100.4</v>
      </c>
      <c r="Z62" s="76">
        <f t="shared" si="36"/>
        <v>180.4</v>
      </c>
      <c r="AA62" s="76">
        <f t="shared" ref="AA62" si="37">SUM(AA59:AA61)</f>
        <v>251.70000000000002</v>
      </c>
      <c r="AB62" s="76">
        <f t="shared" si="32"/>
        <v>418.4</v>
      </c>
      <c r="AC62" s="76">
        <f t="shared" si="32"/>
        <v>415.6</v>
      </c>
      <c r="AD62" s="76">
        <f t="shared" si="32"/>
        <v>483.40000000000003</v>
      </c>
      <c r="AE62" s="76">
        <f t="shared" si="32"/>
        <v>383</v>
      </c>
      <c r="AF62" s="76">
        <f t="shared" si="32"/>
        <v>334.2</v>
      </c>
      <c r="AG62" s="93">
        <f t="shared" si="32"/>
        <v>538.1</v>
      </c>
      <c r="AH62" s="12">
        <f t="shared" si="8"/>
        <v>483.40000000000003</v>
      </c>
      <c r="AI62" s="11">
        <f t="shared" si="9"/>
        <v>22.4</v>
      </c>
      <c r="AK62" s="19"/>
    </row>
    <row r="63" spans="1:88" x14ac:dyDescent="0.25">
      <c r="A63" s="89" t="s">
        <v>204</v>
      </c>
      <c r="B63" s="102">
        <v>75</v>
      </c>
      <c r="C63" s="102">
        <v>70</v>
      </c>
      <c r="D63" s="102">
        <v>70</v>
      </c>
      <c r="E63" s="102">
        <v>70</v>
      </c>
      <c r="F63" s="102">
        <v>45.6</v>
      </c>
      <c r="G63" s="102">
        <v>45.6</v>
      </c>
      <c r="H63" s="102">
        <v>60.8</v>
      </c>
      <c r="I63" s="102">
        <v>60.8</v>
      </c>
      <c r="J63" s="102">
        <v>71.2</v>
      </c>
      <c r="K63" s="102">
        <v>71.099999999999994</v>
      </c>
      <c r="L63" s="102">
        <v>81</v>
      </c>
      <c r="M63" s="102">
        <v>71</v>
      </c>
      <c r="N63" s="102">
        <v>62.3</v>
      </c>
      <c r="O63" s="102">
        <v>62.3</v>
      </c>
      <c r="P63" s="102">
        <v>71.099999999999994</v>
      </c>
      <c r="Q63" s="102">
        <v>71.099999999999994</v>
      </c>
      <c r="R63" s="102">
        <v>71.099999999999994</v>
      </c>
      <c r="S63" s="102">
        <v>48.6</v>
      </c>
      <c r="T63" s="102">
        <v>48.6</v>
      </c>
      <c r="U63" s="102">
        <v>48.6</v>
      </c>
      <c r="V63" s="102">
        <v>48.6</v>
      </c>
      <c r="W63" s="102">
        <v>48.6</v>
      </c>
      <c r="X63" s="102">
        <v>68.5</v>
      </c>
      <c r="Y63" s="102">
        <v>64.900000000000006</v>
      </c>
      <c r="Z63" s="102">
        <v>81.5</v>
      </c>
      <c r="AA63" s="102">
        <v>119.6</v>
      </c>
      <c r="AB63" s="102">
        <v>142</v>
      </c>
      <c r="AC63" s="102">
        <v>131.30000000000001</v>
      </c>
      <c r="AD63" s="102">
        <v>111.5</v>
      </c>
      <c r="AE63" s="102">
        <v>111.1</v>
      </c>
      <c r="AF63" s="102">
        <v>91.9</v>
      </c>
      <c r="AG63" s="88">
        <v>144</v>
      </c>
      <c r="AH63" s="12">
        <f t="shared" si="8"/>
        <v>142</v>
      </c>
      <c r="AI63" s="11">
        <f t="shared" si="9"/>
        <v>45.6</v>
      </c>
      <c r="AK63" s="19"/>
    </row>
    <row r="64" spans="1:88" x14ac:dyDescent="0.25">
      <c r="A64" s="87" t="s">
        <v>203</v>
      </c>
      <c r="B64" s="70">
        <v>35</v>
      </c>
      <c r="C64" s="70">
        <v>49</v>
      </c>
      <c r="D64" s="70">
        <v>49</v>
      </c>
      <c r="E64" s="70">
        <v>47</v>
      </c>
      <c r="F64" s="70">
        <v>34.700000000000003</v>
      </c>
      <c r="G64" s="70">
        <v>34.700000000000003</v>
      </c>
      <c r="H64" s="70">
        <v>54.4</v>
      </c>
      <c r="I64" s="70">
        <v>54.4</v>
      </c>
      <c r="J64" s="70">
        <v>55.1</v>
      </c>
      <c r="K64" s="70">
        <v>49</v>
      </c>
      <c r="L64" s="70">
        <v>49.7</v>
      </c>
      <c r="M64" s="70">
        <v>49.7</v>
      </c>
      <c r="N64" s="70">
        <v>34.799999999999997</v>
      </c>
      <c r="O64" s="70">
        <v>34.799999999999997</v>
      </c>
      <c r="P64" s="70">
        <v>34.6</v>
      </c>
      <c r="Q64" s="70">
        <v>34.6</v>
      </c>
      <c r="R64" s="70">
        <v>34.6</v>
      </c>
      <c r="S64" s="70">
        <v>23.8</v>
      </c>
      <c r="T64" s="70">
        <v>35</v>
      </c>
      <c r="U64" s="70">
        <v>0</v>
      </c>
      <c r="V64" s="70">
        <v>0</v>
      </c>
      <c r="W64" s="70">
        <v>22.2</v>
      </c>
      <c r="X64" s="70">
        <v>48.3</v>
      </c>
      <c r="Y64" s="70">
        <v>46.7</v>
      </c>
      <c r="Z64" s="70">
        <v>47</v>
      </c>
      <c r="AA64" s="70">
        <v>50.2</v>
      </c>
      <c r="AB64" s="102">
        <v>69.7</v>
      </c>
      <c r="AC64" s="102">
        <v>69.400000000000006</v>
      </c>
      <c r="AD64" s="102">
        <v>69.5</v>
      </c>
      <c r="AE64" s="102">
        <v>69.400000000000006</v>
      </c>
      <c r="AF64" s="102">
        <v>69.099999999999994</v>
      </c>
      <c r="AG64" s="86">
        <v>70</v>
      </c>
      <c r="AH64" s="12">
        <f t="shared" si="8"/>
        <v>69.7</v>
      </c>
      <c r="AI64" s="11">
        <f t="shared" si="9"/>
        <v>0</v>
      </c>
      <c r="AK64" s="19"/>
    </row>
    <row r="65" spans="1:75" x14ac:dyDescent="0.25">
      <c r="A65" s="87" t="s">
        <v>202</v>
      </c>
      <c r="B65" s="70">
        <v>55</v>
      </c>
      <c r="C65" s="70">
        <v>56</v>
      </c>
      <c r="D65" s="70">
        <v>56</v>
      </c>
      <c r="E65" s="70">
        <v>56</v>
      </c>
      <c r="F65" s="70">
        <v>55.8</v>
      </c>
      <c r="G65" s="70">
        <v>55.8</v>
      </c>
      <c r="H65" s="70">
        <v>54.3</v>
      </c>
      <c r="I65" s="70">
        <v>54.3</v>
      </c>
      <c r="J65" s="70">
        <v>54.1</v>
      </c>
      <c r="K65" s="70">
        <v>54.3</v>
      </c>
      <c r="L65" s="70">
        <v>53.9</v>
      </c>
      <c r="M65" s="70">
        <v>53.9</v>
      </c>
      <c r="N65" s="70">
        <v>46.7</v>
      </c>
      <c r="O65" s="70">
        <v>46.7</v>
      </c>
      <c r="P65" s="70">
        <v>47</v>
      </c>
      <c r="Q65" s="70">
        <v>47</v>
      </c>
      <c r="R65" s="70">
        <v>40</v>
      </c>
      <c r="S65" s="70">
        <v>33.200000000000003</v>
      </c>
      <c r="T65" s="70">
        <v>21.6</v>
      </c>
      <c r="U65" s="70">
        <v>16.399999999999999</v>
      </c>
      <c r="V65" s="70">
        <v>16.399999999999999</v>
      </c>
      <c r="W65" s="70">
        <v>22.4</v>
      </c>
      <c r="X65" s="70">
        <v>15.4</v>
      </c>
      <c r="Y65" s="70">
        <v>15.9</v>
      </c>
      <c r="Z65" s="70">
        <v>67.099999999999994</v>
      </c>
      <c r="AA65" s="70">
        <v>67.599999999999994</v>
      </c>
      <c r="AB65" s="102">
        <v>66.7</v>
      </c>
      <c r="AC65" s="102">
        <v>66.5</v>
      </c>
      <c r="AD65" s="102">
        <v>54.4</v>
      </c>
      <c r="AE65" s="102">
        <v>55.1</v>
      </c>
      <c r="AF65" s="102">
        <v>54.6</v>
      </c>
      <c r="AG65" s="86">
        <v>69</v>
      </c>
      <c r="AH65" s="12">
        <f t="shared" si="8"/>
        <v>67.599999999999994</v>
      </c>
      <c r="AI65" s="11">
        <f t="shared" si="9"/>
        <v>15.4</v>
      </c>
      <c r="AK65" s="19"/>
    </row>
    <row r="66" spans="1:75" x14ac:dyDescent="0.25">
      <c r="A66" s="87" t="s">
        <v>201</v>
      </c>
      <c r="B66" s="70">
        <v>60.9</v>
      </c>
      <c r="C66" s="70">
        <v>60.9</v>
      </c>
      <c r="D66" s="70">
        <v>60.9</v>
      </c>
      <c r="E66" s="70">
        <v>60.9</v>
      </c>
      <c r="F66" s="70">
        <v>60.9</v>
      </c>
      <c r="G66" s="70">
        <v>60.9</v>
      </c>
      <c r="H66" s="70">
        <v>60.9</v>
      </c>
      <c r="I66" s="70">
        <v>60.9</v>
      </c>
      <c r="J66" s="70">
        <v>60.9</v>
      </c>
      <c r="K66" s="122">
        <v>60.9</v>
      </c>
      <c r="L66" s="122">
        <v>60.9</v>
      </c>
      <c r="M66" s="122">
        <v>60.9</v>
      </c>
      <c r="N66" s="70">
        <v>60.9</v>
      </c>
      <c r="O66" s="70">
        <v>60.6</v>
      </c>
      <c r="P66" s="70">
        <v>60.8</v>
      </c>
      <c r="Q66" s="70">
        <v>60.8</v>
      </c>
      <c r="R66" s="70">
        <v>60.8</v>
      </c>
      <c r="S66" s="70">
        <v>60.8</v>
      </c>
      <c r="T66" s="70">
        <v>60.8</v>
      </c>
      <c r="U66" s="70">
        <v>60.8</v>
      </c>
      <c r="V66" s="70">
        <v>60.8</v>
      </c>
      <c r="W66" s="70">
        <v>60.8</v>
      </c>
      <c r="X66" s="70">
        <v>60.8</v>
      </c>
      <c r="Y66" s="70">
        <v>60.8</v>
      </c>
      <c r="Z66" s="70">
        <v>60.8</v>
      </c>
      <c r="AA66" s="70">
        <v>60.8</v>
      </c>
      <c r="AB66" s="102">
        <v>58</v>
      </c>
      <c r="AC66" s="102">
        <v>58</v>
      </c>
      <c r="AD66" s="102">
        <v>60</v>
      </c>
      <c r="AE66" s="102">
        <v>60</v>
      </c>
      <c r="AF66" s="102">
        <v>56.7</v>
      </c>
      <c r="AG66" s="86">
        <v>60</v>
      </c>
      <c r="AH66" s="12">
        <f t="shared" si="8"/>
        <v>60.9</v>
      </c>
      <c r="AI66" s="11">
        <f t="shared" si="9"/>
        <v>56.7</v>
      </c>
      <c r="AK66" s="19"/>
    </row>
    <row r="67" spans="1:75" x14ac:dyDescent="0.25">
      <c r="A67" s="87" t="s">
        <v>200</v>
      </c>
      <c r="B67" s="102">
        <v>10</v>
      </c>
      <c r="C67" s="102">
        <v>10</v>
      </c>
      <c r="D67" s="102">
        <v>10</v>
      </c>
      <c r="E67" s="102">
        <v>10</v>
      </c>
      <c r="F67" s="70">
        <v>0</v>
      </c>
      <c r="G67" s="70">
        <v>0</v>
      </c>
      <c r="H67" s="70">
        <v>0</v>
      </c>
      <c r="I67" s="70">
        <v>0</v>
      </c>
      <c r="J67" s="70">
        <v>10</v>
      </c>
      <c r="K67" s="70">
        <v>10.199999999999999</v>
      </c>
      <c r="L67" s="122">
        <v>10</v>
      </c>
      <c r="M67" s="122">
        <v>10</v>
      </c>
      <c r="N67" s="70">
        <v>10.8</v>
      </c>
      <c r="O67" s="70">
        <v>10.8</v>
      </c>
      <c r="P67" s="70">
        <v>10.8</v>
      </c>
      <c r="Q67" s="70">
        <v>10.8</v>
      </c>
      <c r="R67" s="70">
        <v>10.8</v>
      </c>
      <c r="S67" s="70">
        <v>23.5</v>
      </c>
      <c r="T67" s="70">
        <v>14.6</v>
      </c>
      <c r="U67" s="70">
        <v>10.3</v>
      </c>
      <c r="V67" s="70">
        <v>10.3</v>
      </c>
      <c r="W67" s="70">
        <v>10.3</v>
      </c>
      <c r="X67" s="70">
        <v>14.6</v>
      </c>
      <c r="Y67" s="70">
        <v>14.6</v>
      </c>
      <c r="Z67" s="70">
        <v>14.6</v>
      </c>
      <c r="AA67" s="70">
        <v>27.5</v>
      </c>
      <c r="AB67" s="102">
        <v>23</v>
      </c>
      <c r="AC67" s="102">
        <v>9.9</v>
      </c>
      <c r="AD67" s="102">
        <v>10</v>
      </c>
      <c r="AE67" s="102">
        <v>9.8000000000000007</v>
      </c>
      <c r="AF67" s="102">
        <v>9.9</v>
      </c>
      <c r="AG67" s="86">
        <v>30</v>
      </c>
      <c r="AH67" s="12">
        <f t="shared" si="8"/>
        <v>27.5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25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1.5</v>
      </c>
      <c r="K68" s="102">
        <v>3.2</v>
      </c>
      <c r="L68" s="70">
        <v>4.5999999999999996</v>
      </c>
      <c r="M68" s="70">
        <v>4.5999999999999996</v>
      </c>
      <c r="N68" s="70">
        <v>10.5</v>
      </c>
      <c r="O68" s="70">
        <v>10.5</v>
      </c>
      <c r="P68" s="70">
        <v>15.6</v>
      </c>
      <c r="Q68" s="70">
        <v>15.6</v>
      </c>
      <c r="R68" s="70">
        <v>15.6</v>
      </c>
      <c r="S68" s="70">
        <v>14.6</v>
      </c>
      <c r="T68" s="70">
        <v>10.5</v>
      </c>
      <c r="U68" s="70">
        <v>6.7</v>
      </c>
      <c r="V68" s="70">
        <v>6.7</v>
      </c>
      <c r="W68" s="70">
        <v>6.7</v>
      </c>
      <c r="X68" s="70">
        <v>0.4</v>
      </c>
      <c r="Y68" s="70">
        <v>0.4</v>
      </c>
      <c r="Z68" s="70">
        <v>0</v>
      </c>
      <c r="AA68" s="70">
        <v>0</v>
      </c>
      <c r="AB68" s="70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15.6</v>
      </c>
      <c r="AI68" s="11">
        <f t="shared" si="9"/>
        <v>0</v>
      </c>
      <c r="AK68" s="19"/>
      <c r="AY68" s="1" t="s">
        <v>198</v>
      </c>
      <c r="AZ68" s="78">
        <f>ROUND(C81,0)</f>
        <v>35</v>
      </c>
      <c r="BA68" s="83">
        <f t="shared" ref="BA68:BD72" si="38">D81</f>
        <v>34</v>
      </c>
      <c r="BB68" s="83">
        <f t="shared" si="38"/>
        <v>26.8</v>
      </c>
      <c r="BC68" s="83">
        <f t="shared" si="38"/>
        <v>37.4</v>
      </c>
      <c r="BD68" s="83">
        <f t="shared" si="38"/>
        <v>35.200000000000003</v>
      </c>
      <c r="BE68" s="78">
        <f>I81</f>
        <v>31.7</v>
      </c>
      <c r="BF68" s="78">
        <f>K81</f>
        <v>53.6</v>
      </c>
      <c r="BG68" s="78">
        <f t="shared" ref="BG68:BP72" si="39">M81</f>
        <v>54.5</v>
      </c>
      <c r="BH68" s="78">
        <f t="shared" si="39"/>
        <v>54.5</v>
      </c>
      <c r="BI68" s="78">
        <f t="shared" si="39"/>
        <v>54.5</v>
      </c>
      <c r="BJ68" s="78">
        <f t="shared" si="39"/>
        <v>60.8</v>
      </c>
      <c r="BK68" s="78">
        <f t="shared" si="39"/>
        <v>49</v>
      </c>
      <c r="BL68" s="78">
        <f t="shared" si="39"/>
        <v>52</v>
      </c>
      <c r="BM68" s="78">
        <f t="shared" si="39"/>
        <v>69.099999999999994</v>
      </c>
      <c r="BN68" s="78">
        <f t="shared" si="39"/>
        <v>76.900000000000006</v>
      </c>
      <c r="BO68" s="78">
        <f t="shared" si="39"/>
        <v>64.5</v>
      </c>
      <c r="BP68" s="78">
        <f t="shared" si="39"/>
        <v>67.400000000000006</v>
      </c>
      <c r="BQ68" s="78">
        <f>X81</f>
        <v>62.5</v>
      </c>
      <c r="BR68" s="78">
        <f>Z81</f>
        <v>72.900000000000006</v>
      </c>
      <c r="BS68" s="83">
        <f>AB81</f>
        <v>28.9</v>
      </c>
      <c r="BT68" s="83">
        <f t="shared" ref="BT68:BV72" si="40">AD81</f>
        <v>42.2</v>
      </c>
      <c r="BU68" s="83">
        <f t="shared" si="40"/>
        <v>41.4</v>
      </c>
      <c r="BV68" s="83">
        <f t="shared" si="40"/>
        <v>39.6</v>
      </c>
      <c r="BW68" s="83">
        <f>B81</f>
        <v>35</v>
      </c>
    </row>
    <row r="69" spans="1:75" x14ac:dyDescent="0.25">
      <c r="A69" s="87" t="s">
        <v>197</v>
      </c>
      <c r="B69" s="70">
        <v>15</v>
      </c>
      <c r="C69" s="70">
        <v>15</v>
      </c>
      <c r="D69" s="70">
        <v>15</v>
      </c>
      <c r="E69" s="70">
        <v>15</v>
      </c>
      <c r="F69" s="70">
        <v>15</v>
      </c>
      <c r="G69" s="70">
        <v>15</v>
      </c>
      <c r="H69" s="70">
        <v>15</v>
      </c>
      <c r="I69" s="70">
        <v>15</v>
      </c>
      <c r="J69" s="70">
        <v>15</v>
      </c>
      <c r="K69" s="70">
        <v>15</v>
      </c>
      <c r="L69" s="70">
        <v>15</v>
      </c>
      <c r="M69" s="70">
        <v>15</v>
      </c>
      <c r="N69" s="70">
        <v>15</v>
      </c>
      <c r="O69" s="70">
        <v>15</v>
      </c>
      <c r="P69" s="70">
        <v>15.2</v>
      </c>
      <c r="Q69" s="70">
        <v>15.2</v>
      </c>
      <c r="R69" s="70">
        <v>15.2</v>
      </c>
      <c r="S69" s="70">
        <v>15.2</v>
      </c>
      <c r="T69" s="70">
        <v>15.2</v>
      </c>
      <c r="U69" s="70">
        <v>15.2</v>
      </c>
      <c r="V69" s="70">
        <v>15.2</v>
      </c>
      <c r="W69" s="70">
        <v>15.2</v>
      </c>
      <c r="X69" s="70">
        <v>15.2</v>
      </c>
      <c r="Y69" s="70">
        <v>15.2</v>
      </c>
      <c r="Z69" s="70">
        <v>15.2</v>
      </c>
      <c r="AA69" s="70">
        <v>15.2</v>
      </c>
      <c r="AB69" s="70">
        <v>15.2</v>
      </c>
      <c r="AC69" s="70">
        <v>16.3</v>
      </c>
      <c r="AD69" s="70">
        <v>16.3</v>
      </c>
      <c r="AE69" s="70">
        <v>16.3</v>
      </c>
      <c r="AF69" s="70">
        <v>16.2</v>
      </c>
      <c r="AG69" s="86">
        <v>24</v>
      </c>
      <c r="AH69" s="12">
        <f t="shared" si="8"/>
        <v>16.3</v>
      </c>
      <c r="AI69" s="11">
        <f t="shared" si="9"/>
        <v>15</v>
      </c>
      <c r="AK69" s="19"/>
      <c r="AY69" s="1" t="s">
        <v>196</v>
      </c>
      <c r="AZ69" s="78">
        <f>ROUND(C82,0)</f>
        <v>0</v>
      </c>
      <c r="BA69" s="83">
        <f t="shared" si="38"/>
        <v>0</v>
      </c>
      <c r="BB69" s="83">
        <f t="shared" si="38"/>
        <v>0</v>
      </c>
      <c r="BC69" s="83">
        <f t="shared" si="38"/>
        <v>0</v>
      </c>
      <c r="BD69" s="83">
        <f t="shared" si="38"/>
        <v>0</v>
      </c>
      <c r="BE69" s="78">
        <f>I82</f>
        <v>0</v>
      </c>
      <c r="BF69" s="78">
        <f>K82</f>
        <v>0</v>
      </c>
      <c r="BG69" s="78">
        <f t="shared" si="39"/>
        <v>0</v>
      </c>
      <c r="BH69" s="78">
        <f t="shared" si="39"/>
        <v>0</v>
      </c>
      <c r="BI69" s="78">
        <f t="shared" si="39"/>
        <v>0</v>
      </c>
      <c r="BJ69" s="78">
        <f t="shared" si="39"/>
        <v>96.5</v>
      </c>
      <c r="BK69" s="78">
        <f t="shared" si="39"/>
        <v>92.3</v>
      </c>
      <c r="BL69" s="78">
        <f t="shared" si="39"/>
        <v>97</v>
      </c>
      <c r="BM69" s="78">
        <f t="shared" si="39"/>
        <v>104.2</v>
      </c>
      <c r="BN69" s="78">
        <f t="shared" si="39"/>
        <v>100</v>
      </c>
      <c r="BO69" s="78">
        <f t="shared" si="39"/>
        <v>104.9</v>
      </c>
      <c r="BP69" s="78">
        <f t="shared" si="39"/>
        <v>103.6</v>
      </c>
      <c r="BQ69" s="78">
        <f>X82</f>
        <v>111.96</v>
      </c>
      <c r="BR69" s="78">
        <f>Z82</f>
        <v>0</v>
      </c>
      <c r="BS69" s="83">
        <f>AB82</f>
        <v>0</v>
      </c>
      <c r="BT69" s="83">
        <f t="shared" si="40"/>
        <v>0</v>
      </c>
      <c r="BU69" s="83">
        <f t="shared" si="40"/>
        <v>0</v>
      </c>
      <c r="BV69" s="83">
        <f t="shared" si="40"/>
        <v>0</v>
      </c>
      <c r="BW69" s="83">
        <f>B82</f>
        <v>0</v>
      </c>
    </row>
    <row r="70" spans="1:75" x14ac:dyDescent="0.25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53</v>
      </c>
      <c r="BA70" s="83">
        <f t="shared" si="38"/>
        <v>43</v>
      </c>
      <c r="BB70" s="83">
        <f t="shared" si="38"/>
        <v>101.7</v>
      </c>
      <c r="BC70" s="83">
        <f t="shared" si="38"/>
        <v>126.5</v>
      </c>
      <c r="BD70" s="83">
        <f t="shared" si="38"/>
        <v>125.8</v>
      </c>
      <c r="BE70" s="78">
        <f>I83</f>
        <v>105</v>
      </c>
      <c r="BF70" s="78">
        <f>K83</f>
        <v>454.9</v>
      </c>
      <c r="BG70" s="78">
        <f t="shared" si="39"/>
        <v>470</v>
      </c>
      <c r="BH70" s="78">
        <f t="shared" si="39"/>
        <v>470</v>
      </c>
      <c r="BI70" s="78">
        <f t="shared" si="39"/>
        <v>470</v>
      </c>
      <c r="BJ70" s="78">
        <f t="shared" si="39"/>
        <v>415.4</v>
      </c>
      <c r="BK70" s="78">
        <f t="shared" si="39"/>
        <v>390</v>
      </c>
      <c r="BL70" s="78">
        <f t="shared" si="39"/>
        <v>382</v>
      </c>
      <c r="BM70" s="78">
        <f t="shared" si="39"/>
        <v>390.5</v>
      </c>
      <c r="BN70" s="78">
        <f t="shared" si="39"/>
        <v>436</v>
      </c>
      <c r="BO70" s="78">
        <f t="shared" si="39"/>
        <v>430.3</v>
      </c>
      <c r="BP70" s="78">
        <f t="shared" si="39"/>
        <v>405.14100000000002</v>
      </c>
      <c r="BQ70" s="78">
        <f>X83</f>
        <v>346.6</v>
      </c>
      <c r="BR70" s="78">
        <f>Z83</f>
        <v>404.3</v>
      </c>
      <c r="BS70" s="83">
        <f>AB83</f>
        <v>74.2</v>
      </c>
      <c r="BT70" s="83">
        <f t="shared" si="40"/>
        <v>105.7</v>
      </c>
      <c r="BU70" s="83">
        <f t="shared" si="40"/>
        <v>78.2</v>
      </c>
      <c r="BV70" s="83">
        <f t="shared" si="40"/>
        <v>95.1</v>
      </c>
      <c r="BW70" s="83">
        <f>B83</f>
        <v>180</v>
      </c>
    </row>
    <row r="71" spans="1:75" s="115" customFormat="1" x14ac:dyDescent="0.25">
      <c r="A71" s="87" t="s">
        <v>193</v>
      </c>
      <c r="B71" s="70">
        <v>11.8</v>
      </c>
      <c r="C71" s="70">
        <v>11.8</v>
      </c>
      <c r="D71" s="70">
        <v>11.8</v>
      </c>
      <c r="E71" s="70">
        <v>11.8</v>
      </c>
      <c r="F71" s="70">
        <v>11.8</v>
      </c>
      <c r="G71" s="70">
        <v>11.8</v>
      </c>
      <c r="H71" s="70">
        <v>11.8</v>
      </c>
      <c r="I71" s="70">
        <v>11.8</v>
      </c>
      <c r="J71" s="70">
        <v>11.8</v>
      </c>
      <c r="K71" s="70">
        <v>11.8</v>
      </c>
      <c r="L71" s="70">
        <v>11.8</v>
      </c>
      <c r="M71" s="70">
        <v>11.8</v>
      </c>
      <c r="N71" s="70">
        <v>11.8</v>
      </c>
      <c r="O71" s="70">
        <v>11.8</v>
      </c>
      <c r="P71" s="70">
        <v>12.2</v>
      </c>
      <c r="Q71" s="70">
        <v>12.2</v>
      </c>
      <c r="R71" s="70">
        <v>12.2</v>
      </c>
      <c r="S71" s="70">
        <v>12.2</v>
      </c>
      <c r="T71" s="70">
        <v>12.2</v>
      </c>
      <c r="U71" s="70">
        <v>12.2</v>
      </c>
      <c r="V71" s="70">
        <v>12.2</v>
      </c>
      <c r="W71" s="70">
        <v>12.2</v>
      </c>
      <c r="X71" s="70">
        <v>12.2</v>
      </c>
      <c r="Y71" s="70">
        <v>12.2</v>
      </c>
      <c r="Z71" s="70">
        <v>12.2</v>
      </c>
      <c r="AA71" s="70">
        <v>12.2</v>
      </c>
      <c r="AB71" s="70">
        <v>12.2</v>
      </c>
      <c r="AC71" s="70">
        <v>11.7</v>
      </c>
      <c r="AD71" s="70">
        <v>11.7</v>
      </c>
      <c r="AE71" s="70">
        <v>11.7</v>
      </c>
      <c r="AF71" s="70">
        <v>12.7</v>
      </c>
      <c r="AG71" s="86">
        <v>14.1</v>
      </c>
      <c r="AH71" s="12">
        <f t="shared" si="8"/>
        <v>12.7</v>
      </c>
      <c r="AI71" s="11">
        <f t="shared" si="9"/>
        <v>11.7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26</v>
      </c>
      <c r="BA71" s="83">
        <f t="shared" si="38"/>
        <v>29.5</v>
      </c>
      <c r="BB71" s="83">
        <f t="shared" si="38"/>
        <v>28.9</v>
      </c>
      <c r="BC71" s="83">
        <f t="shared" si="38"/>
        <v>49.4</v>
      </c>
      <c r="BD71" s="83">
        <f t="shared" si="38"/>
        <v>46.5</v>
      </c>
      <c r="BE71" s="78">
        <f>I84</f>
        <v>57.6</v>
      </c>
      <c r="BF71" s="78">
        <f>K84</f>
        <v>54.3</v>
      </c>
      <c r="BG71" s="78">
        <f t="shared" si="39"/>
        <v>38.9</v>
      </c>
      <c r="BH71" s="78">
        <f t="shared" si="39"/>
        <v>38.9</v>
      </c>
      <c r="BI71" s="78">
        <f t="shared" si="39"/>
        <v>38.9</v>
      </c>
      <c r="BJ71" s="78">
        <f t="shared" si="39"/>
        <v>45.1</v>
      </c>
      <c r="BK71" s="78">
        <f t="shared" si="39"/>
        <v>42.7</v>
      </c>
      <c r="BL71" s="78">
        <f t="shared" si="39"/>
        <v>49</v>
      </c>
      <c r="BM71" s="78">
        <f t="shared" si="39"/>
        <v>41.5</v>
      </c>
      <c r="BN71" s="78">
        <f t="shared" si="39"/>
        <v>49.5</v>
      </c>
      <c r="BO71" s="78">
        <f t="shared" si="39"/>
        <v>39.200000000000003</v>
      </c>
      <c r="BP71" s="78">
        <f t="shared" si="39"/>
        <v>44.7</v>
      </c>
      <c r="BQ71" s="78">
        <f>X84</f>
        <v>21.3</v>
      </c>
      <c r="BR71" s="78">
        <f>Z84</f>
        <v>0</v>
      </c>
      <c r="BS71" s="83">
        <f>AB84</f>
        <v>0</v>
      </c>
      <c r="BT71" s="83">
        <f t="shared" si="40"/>
        <v>0</v>
      </c>
      <c r="BU71" s="83">
        <f t="shared" si="40"/>
        <v>0</v>
      </c>
      <c r="BV71" s="83">
        <f t="shared" si="40"/>
        <v>0</v>
      </c>
      <c r="BW71" s="83">
        <f>B84</f>
        <v>27</v>
      </c>
    </row>
    <row r="72" spans="1:75" x14ac:dyDescent="0.25">
      <c r="A72" s="111" t="s">
        <v>191</v>
      </c>
      <c r="B72" s="70">
        <v>7</v>
      </c>
      <c r="C72" s="70">
        <v>7</v>
      </c>
      <c r="D72" s="70">
        <v>7</v>
      </c>
      <c r="E72" s="70">
        <v>7</v>
      </c>
      <c r="F72" s="70">
        <v>7</v>
      </c>
      <c r="G72" s="70">
        <v>7</v>
      </c>
      <c r="H72" s="70">
        <v>7</v>
      </c>
      <c r="I72" s="70">
        <v>7</v>
      </c>
      <c r="J72" s="70">
        <v>7</v>
      </c>
      <c r="K72" s="70">
        <v>7</v>
      </c>
      <c r="L72" s="70">
        <v>7</v>
      </c>
      <c r="M72" s="70">
        <v>7</v>
      </c>
      <c r="N72" s="70">
        <v>7</v>
      </c>
      <c r="O72" s="70">
        <v>7</v>
      </c>
      <c r="P72" s="70">
        <v>7</v>
      </c>
      <c r="Q72" s="70">
        <v>7</v>
      </c>
      <c r="R72" s="70">
        <v>7</v>
      </c>
      <c r="S72" s="70">
        <v>7</v>
      </c>
      <c r="T72" s="70">
        <v>7</v>
      </c>
      <c r="U72" s="70">
        <v>7</v>
      </c>
      <c r="V72" s="70">
        <v>7</v>
      </c>
      <c r="W72" s="70">
        <v>7</v>
      </c>
      <c r="X72" s="70">
        <v>7</v>
      </c>
      <c r="Y72" s="70">
        <v>7</v>
      </c>
      <c r="Z72" s="70">
        <v>7</v>
      </c>
      <c r="AA72" s="70">
        <v>7</v>
      </c>
      <c r="AB72" s="70">
        <v>7</v>
      </c>
      <c r="AC72" s="70">
        <v>6.2</v>
      </c>
      <c r="AD72" s="70">
        <v>6.2</v>
      </c>
      <c r="AE72" s="70">
        <v>6.2</v>
      </c>
      <c r="AF72" s="70">
        <v>5.9</v>
      </c>
      <c r="AG72" s="86">
        <v>14</v>
      </c>
      <c r="AH72" s="12">
        <f t="shared" si="8"/>
        <v>7</v>
      </c>
      <c r="AI72" s="11">
        <f t="shared" si="9"/>
        <v>5.9</v>
      </c>
      <c r="AK72" s="19"/>
      <c r="AY72" s="1" t="s">
        <v>190</v>
      </c>
      <c r="AZ72" s="78">
        <f>ROUND(C85,0)</f>
        <v>0</v>
      </c>
      <c r="BA72" s="83">
        <f t="shared" si="38"/>
        <v>0</v>
      </c>
      <c r="BB72" s="83">
        <f t="shared" si="38"/>
        <v>0</v>
      </c>
      <c r="BC72" s="83">
        <f t="shared" si="38"/>
        <v>0</v>
      </c>
      <c r="BD72" s="83">
        <f t="shared" si="38"/>
        <v>0</v>
      </c>
      <c r="BE72" s="78">
        <f>I85</f>
        <v>0</v>
      </c>
      <c r="BF72" s="78">
        <f>K85</f>
        <v>99.7</v>
      </c>
      <c r="BG72" s="78">
        <f t="shared" si="39"/>
        <v>102</v>
      </c>
      <c r="BH72" s="78">
        <f t="shared" si="39"/>
        <v>102</v>
      </c>
      <c r="BI72" s="78">
        <f t="shared" si="39"/>
        <v>102</v>
      </c>
      <c r="BJ72" s="78">
        <f t="shared" si="39"/>
        <v>144.30000000000001</v>
      </c>
      <c r="BK72" s="78">
        <f t="shared" si="39"/>
        <v>131.80000000000001</v>
      </c>
      <c r="BL72" s="78">
        <f t="shared" si="39"/>
        <v>128</v>
      </c>
      <c r="BM72" s="78">
        <f t="shared" si="39"/>
        <v>130.30000000000001</v>
      </c>
      <c r="BN72" s="78">
        <f t="shared" si="39"/>
        <v>117.1</v>
      </c>
      <c r="BO72" s="78">
        <f t="shared" si="39"/>
        <v>113</v>
      </c>
      <c r="BP72" s="78">
        <f t="shared" si="39"/>
        <v>101.6</v>
      </c>
      <c r="BQ72" s="78">
        <f>X85</f>
        <v>93.6</v>
      </c>
      <c r="BR72" s="78">
        <f>Z85</f>
        <v>0</v>
      </c>
      <c r="BS72" s="83">
        <f>AB85</f>
        <v>0</v>
      </c>
      <c r="BT72" s="83">
        <f t="shared" si="40"/>
        <v>0</v>
      </c>
      <c r="BU72" s="83">
        <f t="shared" si="40"/>
        <v>0</v>
      </c>
      <c r="BV72" s="83">
        <f t="shared" si="40"/>
        <v>0</v>
      </c>
      <c r="BW72" s="83">
        <f>B85</f>
        <v>0</v>
      </c>
    </row>
    <row r="73" spans="1:75" x14ac:dyDescent="0.25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8"/>
        <v>4</v>
      </c>
      <c r="AI73" s="11">
        <f t="shared" si="9"/>
        <v>4</v>
      </c>
      <c r="AK73" s="19"/>
      <c r="AY73" s="1" t="s">
        <v>188</v>
      </c>
      <c r="AZ73" s="78">
        <f>ROUND(C91,0)</f>
        <v>47</v>
      </c>
      <c r="BA73" s="78">
        <f>D91</f>
        <v>45.4</v>
      </c>
      <c r="BB73" s="78">
        <f>E91</f>
        <v>41.3</v>
      </c>
      <c r="BC73" s="78">
        <f>F91</f>
        <v>36.799999999999997</v>
      </c>
      <c r="BD73" s="78">
        <f>G91</f>
        <v>37.9</v>
      </c>
      <c r="BE73" s="78">
        <f>I91</f>
        <v>38</v>
      </c>
      <c r="BF73" s="78">
        <f>K91</f>
        <v>50.1</v>
      </c>
      <c r="BG73" s="78">
        <f t="shared" ref="BG73:BP73" si="41">M91</f>
        <v>51</v>
      </c>
      <c r="BH73" s="78">
        <f t="shared" si="41"/>
        <v>51</v>
      </c>
      <c r="BI73" s="78">
        <f t="shared" si="41"/>
        <v>51</v>
      </c>
      <c r="BJ73" s="78">
        <f t="shared" si="41"/>
        <v>44.6</v>
      </c>
      <c r="BK73" s="78">
        <f t="shared" si="41"/>
        <v>45.9</v>
      </c>
      <c r="BL73" s="78">
        <f t="shared" si="41"/>
        <v>45.9</v>
      </c>
      <c r="BM73" s="78">
        <f t="shared" si="41"/>
        <v>53.2</v>
      </c>
      <c r="BN73" s="78">
        <f t="shared" si="41"/>
        <v>56.6</v>
      </c>
      <c r="BO73" s="78">
        <f t="shared" si="41"/>
        <v>47.3</v>
      </c>
      <c r="BP73" s="78">
        <f t="shared" si="41"/>
        <v>40.799999999999997</v>
      </c>
      <c r="BQ73" s="78">
        <f>X91</f>
        <v>37.700000000000003</v>
      </c>
      <c r="BR73" s="78">
        <f>Z91</f>
        <v>42.7</v>
      </c>
      <c r="BS73" s="78">
        <f>AB91</f>
        <v>37.700000000000003</v>
      </c>
      <c r="BT73" s="78">
        <f>AD91</f>
        <v>40</v>
      </c>
      <c r="BU73" s="78">
        <f>AE91</f>
        <v>42.1</v>
      </c>
      <c r="BV73" s="78">
        <f>AF91</f>
        <v>46.7</v>
      </c>
      <c r="BW73" s="78">
        <f>B91</f>
        <v>46.8</v>
      </c>
    </row>
    <row r="74" spans="1:75" x14ac:dyDescent="0.25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.75" thickBot="1" x14ac:dyDescent="0.3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3.54</v>
      </c>
      <c r="Z75" s="113">
        <v>3.54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3.54</v>
      </c>
      <c r="AK75" s="19"/>
      <c r="AZ75" s="78">
        <f t="shared" ref="AZ75:BW80" si="42">VALUE(AZ68)</f>
        <v>35</v>
      </c>
      <c r="BA75" s="78">
        <f t="shared" si="42"/>
        <v>34</v>
      </c>
      <c r="BB75" s="78">
        <f t="shared" si="42"/>
        <v>26.8</v>
      </c>
      <c r="BC75" s="78">
        <f t="shared" si="42"/>
        <v>37.4</v>
      </c>
      <c r="BD75" s="78">
        <f t="shared" si="42"/>
        <v>35.200000000000003</v>
      </c>
      <c r="BE75" s="78">
        <f t="shared" si="42"/>
        <v>31.7</v>
      </c>
      <c r="BF75" s="78">
        <f t="shared" si="42"/>
        <v>53.6</v>
      </c>
      <c r="BG75" s="78">
        <f t="shared" si="42"/>
        <v>54.5</v>
      </c>
      <c r="BH75" s="78">
        <f t="shared" si="42"/>
        <v>54.5</v>
      </c>
      <c r="BI75" s="78">
        <f t="shared" si="42"/>
        <v>54.5</v>
      </c>
      <c r="BJ75" s="78">
        <f t="shared" si="42"/>
        <v>60.8</v>
      </c>
      <c r="BK75" s="78">
        <f t="shared" si="42"/>
        <v>49</v>
      </c>
      <c r="BL75" s="78">
        <f t="shared" si="42"/>
        <v>52</v>
      </c>
      <c r="BM75" s="78">
        <f t="shared" si="42"/>
        <v>69.099999999999994</v>
      </c>
      <c r="BN75" s="78">
        <f t="shared" si="42"/>
        <v>76.900000000000006</v>
      </c>
      <c r="BO75" s="78">
        <f t="shared" si="42"/>
        <v>64.5</v>
      </c>
      <c r="BP75" s="78">
        <f t="shared" si="42"/>
        <v>67.400000000000006</v>
      </c>
      <c r="BQ75" s="78">
        <f t="shared" si="42"/>
        <v>62.5</v>
      </c>
      <c r="BR75" s="78">
        <f t="shared" si="42"/>
        <v>72.900000000000006</v>
      </c>
      <c r="BS75" s="78">
        <f t="shared" si="42"/>
        <v>28.9</v>
      </c>
      <c r="BT75" s="78">
        <f t="shared" si="42"/>
        <v>42.2</v>
      </c>
      <c r="BU75" s="78">
        <f t="shared" si="42"/>
        <v>41.4</v>
      </c>
      <c r="BV75" s="78">
        <f t="shared" si="42"/>
        <v>39.6</v>
      </c>
      <c r="BW75" s="78">
        <f t="shared" si="42"/>
        <v>35</v>
      </c>
    </row>
    <row r="76" spans="1:75" ht="15.75" thickBot="1" x14ac:dyDescent="0.3">
      <c r="A76" s="77" t="s">
        <v>186</v>
      </c>
      <c r="B76" s="76">
        <f t="shared" ref="B76:C76" si="43">SUM(B63:B75)</f>
        <v>279.24</v>
      </c>
      <c r="C76" s="76">
        <f t="shared" si="43"/>
        <v>289.24</v>
      </c>
      <c r="D76" s="76">
        <f t="shared" ref="D76" si="44">SUM(D63:D75)</f>
        <v>289.24</v>
      </c>
      <c r="E76" s="76">
        <f t="shared" ref="E76:AG76" si="45">SUM(E63:E75)</f>
        <v>287.24</v>
      </c>
      <c r="F76" s="76">
        <f t="shared" si="45"/>
        <v>240.34000000000003</v>
      </c>
      <c r="G76" s="76">
        <f t="shared" si="45"/>
        <v>240.34000000000003</v>
      </c>
      <c r="H76" s="76">
        <f t="shared" si="45"/>
        <v>273.74</v>
      </c>
      <c r="I76" s="76">
        <f t="shared" si="45"/>
        <v>273.74</v>
      </c>
      <c r="J76" s="76">
        <f t="shared" si="45"/>
        <v>296.14000000000004</v>
      </c>
      <c r="K76" s="76">
        <f t="shared" si="45"/>
        <v>292.03999999999996</v>
      </c>
      <c r="L76" s="76">
        <f t="shared" si="45"/>
        <v>303.44000000000005</v>
      </c>
      <c r="M76" s="76">
        <f t="shared" si="45"/>
        <v>293.44000000000005</v>
      </c>
      <c r="N76" s="76">
        <f t="shared" si="45"/>
        <v>269.34000000000009</v>
      </c>
      <c r="O76" s="76">
        <f t="shared" si="45"/>
        <v>269.04000000000002</v>
      </c>
      <c r="P76" s="76">
        <f t="shared" si="45"/>
        <v>283.84000000000003</v>
      </c>
      <c r="Q76" s="76">
        <f t="shared" ref="Q76" si="46">SUM(Q63:Q75)</f>
        <v>283.84000000000003</v>
      </c>
      <c r="R76" s="76">
        <f t="shared" si="45"/>
        <v>276.84000000000003</v>
      </c>
      <c r="S76" s="76">
        <f t="shared" ref="S76:T76" si="47">SUM(S63:S75)</f>
        <v>248.43999999999997</v>
      </c>
      <c r="T76" s="76">
        <f t="shared" si="47"/>
        <v>235.03999999999996</v>
      </c>
      <c r="U76" s="76">
        <f t="shared" ref="U76:V76" si="48">SUM(U63:U75)</f>
        <v>186.73999999999995</v>
      </c>
      <c r="V76" s="76">
        <f t="shared" si="48"/>
        <v>186.73999999999995</v>
      </c>
      <c r="W76" s="76">
        <f t="shared" ref="W76:X76" si="49">SUM(W63:W75)</f>
        <v>214.93999999999997</v>
      </c>
      <c r="X76" s="76">
        <f t="shared" si="49"/>
        <v>251.93999999999997</v>
      </c>
      <c r="Y76" s="76">
        <f t="shared" ref="Y76:Z76" si="50">SUM(Y63:Y75)</f>
        <v>247.23999999999998</v>
      </c>
      <c r="Z76" s="76">
        <f t="shared" si="50"/>
        <v>314.94</v>
      </c>
      <c r="AA76" s="76">
        <f t="shared" ref="AA76" si="51">SUM(AA63:AA75)</f>
        <v>369.64</v>
      </c>
      <c r="AB76" s="76">
        <f t="shared" si="45"/>
        <v>403.34</v>
      </c>
      <c r="AC76" s="76">
        <f t="shared" si="45"/>
        <v>378.84000000000003</v>
      </c>
      <c r="AD76" s="76">
        <f t="shared" si="45"/>
        <v>349.14</v>
      </c>
      <c r="AE76" s="76">
        <f t="shared" si="45"/>
        <v>349.14000000000004</v>
      </c>
      <c r="AF76" s="76">
        <f t="shared" si="45"/>
        <v>326.53999999999996</v>
      </c>
      <c r="AG76" s="93">
        <f t="shared" si="45"/>
        <v>489.91</v>
      </c>
      <c r="AH76" s="12">
        <f t="shared" si="8"/>
        <v>403.34</v>
      </c>
      <c r="AI76" s="11">
        <f t="shared" si="9"/>
        <v>186.73999999999995</v>
      </c>
      <c r="AK76" s="19"/>
      <c r="AZ76" s="78">
        <f t="shared" si="42"/>
        <v>0</v>
      </c>
      <c r="BA76" s="78">
        <f t="shared" si="42"/>
        <v>0</v>
      </c>
      <c r="BB76" s="78">
        <f t="shared" si="42"/>
        <v>0</v>
      </c>
      <c r="BC76" s="78">
        <f t="shared" si="42"/>
        <v>0</v>
      </c>
      <c r="BD76" s="78">
        <f t="shared" si="42"/>
        <v>0</v>
      </c>
      <c r="BE76" s="78">
        <f t="shared" si="42"/>
        <v>0</v>
      </c>
      <c r="BF76" s="78">
        <f t="shared" si="42"/>
        <v>0</v>
      </c>
      <c r="BG76" s="78">
        <f t="shared" si="42"/>
        <v>0</v>
      </c>
      <c r="BH76" s="78">
        <f t="shared" si="42"/>
        <v>0</v>
      </c>
      <c r="BI76" s="78">
        <f t="shared" si="42"/>
        <v>0</v>
      </c>
      <c r="BJ76" s="78">
        <f t="shared" si="42"/>
        <v>96.5</v>
      </c>
      <c r="BK76" s="78">
        <f t="shared" si="42"/>
        <v>92.3</v>
      </c>
      <c r="BL76" s="78">
        <f t="shared" si="42"/>
        <v>97</v>
      </c>
      <c r="BM76" s="78">
        <f t="shared" si="42"/>
        <v>104.2</v>
      </c>
      <c r="BN76" s="78">
        <f t="shared" si="42"/>
        <v>100</v>
      </c>
      <c r="BO76" s="78">
        <f t="shared" si="42"/>
        <v>104.9</v>
      </c>
      <c r="BP76" s="78">
        <f t="shared" si="42"/>
        <v>103.6</v>
      </c>
      <c r="BQ76" s="78">
        <f t="shared" si="42"/>
        <v>111.96</v>
      </c>
      <c r="BR76" s="78">
        <f t="shared" si="42"/>
        <v>0</v>
      </c>
      <c r="BS76" s="78">
        <f t="shared" si="42"/>
        <v>0</v>
      </c>
      <c r="BT76" s="78">
        <f t="shared" si="42"/>
        <v>0</v>
      </c>
      <c r="BU76" s="78">
        <f t="shared" si="42"/>
        <v>0</v>
      </c>
      <c r="BV76" s="78">
        <f t="shared" si="42"/>
        <v>0</v>
      </c>
      <c r="BW76" s="78">
        <f t="shared" si="42"/>
        <v>0</v>
      </c>
    </row>
    <row r="77" spans="1:75" x14ac:dyDescent="0.25">
      <c r="A77" s="89" t="s">
        <v>185</v>
      </c>
      <c r="B77" s="102">
        <v>30</v>
      </c>
      <c r="C77" s="102">
        <v>30</v>
      </c>
      <c r="D77" s="102">
        <v>30</v>
      </c>
      <c r="E77" s="102">
        <v>30</v>
      </c>
      <c r="F77" s="102">
        <v>30</v>
      </c>
      <c r="G77" s="102">
        <v>30</v>
      </c>
      <c r="H77" s="102">
        <v>30</v>
      </c>
      <c r="I77" s="102">
        <v>30</v>
      </c>
      <c r="J77" s="102">
        <v>0</v>
      </c>
      <c r="K77" s="102">
        <v>0</v>
      </c>
      <c r="L77" s="102">
        <v>0</v>
      </c>
      <c r="M77" s="102">
        <v>0</v>
      </c>
      <c r="N77" s="102">
        <v>0</v>
      </c>
      <c r="O77" s="102">
        <v>0</v>
      </c>
      <c r="P77" s="102">
        <v>0</v>
      </c>
      <c r="Q77" s="102">
        <v>0</v>
      </c>
      <c r="R77" s="102">
        <v>0</v>
      </c>
      <c r="S77" s="102">
        <v>0</v>
      </c>
      <c r="T77" s="102">
        <v>0</v>
      </c>
      <c r="U77" s="102">
        <v>0</v>
      </c>
      <c r="V77" s="102">
        <v>25.1</v>
      </c>
      <c r="W77" s="102">
        <v>0</v>
      </c>
      <c r="X77" s="102">
        <v>10.5</v>
      </c>
      <c r="Y77" s="102">
        <v>42.7</v>
      </c>
      <c r="Z77" s="102">
        <v>59.6</v>
      </c>
      <c r="AA77" s="102">
        <v>59.6</v>
      </c>
      <c r="AB77" s="102">
        <v>59.6</v>
      </c>
      <c r="AC77" s="102">
        <v>59.6</v>
      </c>
      <c r="AD77" s="102">
        <v>29</v>
      </c>
      <c r="AE77" s="102">
        <v>29.4</v>
      </c>
      <c r="AF77" s="102">
        <v>29.3</v>
      </c>
      <c r="AG77" s="88">
        <v>60</v>
      </c>
      <c r="AH77" s="12">
        <f t="shared" si="8"/>
        <v>59.6</v>
      </c>
      <c r="AI77" s="11">
        <f t="shared" si="9"/>
        <v>0</v>
      </c>
      <c r="AK77" s="19"/>
      <c r="AZ77" s="78">
        <f t="shared" si="42"/>
        <v>53</v>
      </c>
      <c r="BA77" s="78">
        <f t="shared" si="42"/>
        <v>43</v>
      </c>
      <c r="BB77" s="78">
        <f t="shared" si="42"/>
        <v>101.7</v>
      </c>
      <c r="BC77" s="78">
        <f t="shared" si="42"/>
        <v>126.5</v>
      </c>
      <c r="BD77" s="78">
        <f t="shared" si="42"/>
        <v>125.8</v>
      </c>
      <c r="BE77" s="78">
        <f t="shared" si="42"/>
        <v>105</v>
      </c>
      <c r="BF77" s="78">
        <f t="shared" si="42"/>
        <v>454.9</v>
      </c>
      <c r="BG77" s="78">
        <f t="shared" si="42"/>
        <v>470</v>
      </c>
      <c r="BH77" s="78">
        <f t="shared" si="42"/>
        <v>470</v>
      </c>
      <c r="BI77" s="78">
        <f t="shared" si="42"/>
        <v>470</v>
      </c>
      <c r="BJ77" s="78">
        <f t="shared" si="42"/>
        <v>415.4</v>
      </c>
      <c r="BK77" s="78">
        <f t="shared" si="42"/>
        <v>390</v>
      </c>
      <c r="BL77" s="78">
        <f t="shared" si="42"/>
        <v>382</v>
      </c>
      <c r="BM77" s="78">
        <f t="shared" si="42"/>
        <v>390.5</v>
      </c>
      <c r="BN77" s="78">
        <f t="shared" si="42"/>
        <v>436</v>
      </c>
      <c r="BO77" s="78">
        <f t="shared" si="42"/>
        <v>430.3</v>
      </c>
      <c r="BP77" s="78">
        <f t="shared" si="42"/>
        <v>405.14100000000002</v>
      </c>
      <c r="BQ77" s="78">
        <f t="shared" si="42"/>
        <v>346.6</v>
      </c>
      <c r="BR77" s="78">
        <f t="shared" si="42"/>
        <v>404.3</v>
      </c>
      <c r="BS77" s="78">
        <f t="shared" si="42"/>
        <v>74.2</v>
      </c>
      <c r="BT77" s="78">
        <f t="shared" si="42"/>
        <v>105.7</v>
      </c>
      <c r="BU77" s="78">
        <f t="shared" si="42"/>
        <v>78.2</v>
      </c>
      <c r="BV77" s="78">
        <f t="shared" si="42"/>
        <v>95.1</v>
      </c>
      <c r="BW77" s="78">
        <f t="shared" si="42"/>
        <v>180</v>
      </c>
    </row>
    <row r="78" spans="1:75" x14ac:dyDescent="0.25">
      <c r="A78" s="87" t="s">
        <v>184</v>
      </c>
      <c r="B78" s="70">
        <v>13</v>
      </c>
      <c r="C78" s="70">
        <v>13</v>
      </c>
      <c r="D78" s="70">
        <v>13</v>
      </c>
      <c r="E78" s="70">
        <v>13</v>
      </c>
      <c r="F78" s="70">
        <v>13</v>
      </c>
      <c r="G78" s="70">
        <v>13</v>
      </c>
      <c r="H78" s="70">
        <v>13</v>
      </c>
      <c r="I78" s="70">
        <v>13</v>
      </c>
      <c r="J78" s="70">
        <v>14</v>
      </c>
      <c r="K78" s="70">
        <v>0</v>
      </c>
      <c r="L78" s="70">
        <v>0</v>
      </c>
      <c r="M78" s="70">
        <v>0</v>
      </c>
      <c r="N78" s="70">
        <v>0</v>
      </c>
      <c r="O78" s="70">
        <v>0</v>
      </c>
      <c r="P78" s="70">
        <v>0</v>
      </c>
      <c r="Q78" s="70">
        <v>0</v>
      </c>
      <c r="R78" s="70">
        <v>0</v>
      </c>
      <c r="S78" s="70">
        <v>0</v>
      </c>
      <c r="T78" s="70">
        <v>0</v>
      </c>
      <c r="U78" s="70">
        <v>0</v>
      </c>
      <c r="V78" s="70">
        <v>12.4</v>
      </c>
      <c r="W78" s="70">
        <v>0</v>
      </c>
      <c r="X78" s="70">
        <v>3.4</v>
      </c>
      <c r="Y78" s="70">
        <v>12.4</v>
      </c>
      <c r="Z78" s="70">
        <v>28.7</v>
      </c>
      <c r="AA78" s="70">
        <v>28.7</v>
      </c>
      <c r="AB78" s="70">
        <v>28.7</v>
      </c>
      <c r="AC78" s="70">
        <v>28.2</v>
      </c>
      <c r="AD78" s="70">
        <v>14.1</v>
      </c>
      <c r="AE78" s="70">
        <v>13.4</v>
      </c>
      <c r="AF78" s="70">
        <v>13.9</v>
      </c>
      <c r="AG78" s="86">
        <v>32</v>
      </c>
      <c r="AH78" s="12">
        <f t="shared" si="8"/>
        <v>28.7</v>
      </c>
      <c r="AI78" s="11">
        <f t="shared" si="9"/>
        <v>0</v>
      </c>
      <c r="AK78" s="19"/>
      <c r="AZ78" s="78">
        <f t="shared" si="42"/>
        <v>26</v>
      </c>
      <c r="BA78" s="78">
        <f t="shared" si="42"/>
        <v>29.5</v>
      </c>
      <c r="BB78" s="78">
        <f t="shared" si="42"/>
        <v>28.9</v>
      </c>
      <c r="BC78" s="78">
        <f t="shared" si="42"/>
        <v>49.4</v>
      </c>
      <c r="BD78" s="78">
        <f t="shared" si="42"/>
        <v>46.5</v>
      </c>
      <c r="BE78" s="78">
        <f t="shared" si="42"/>
        <v>57.6</v>
      </c>
      <c r="BF78" s="78">
        <f t="shared" si="42"/>
        <v>54.3</v>
      </c>
      <c r="BG78" s="78">
        <f t="shared" si="42"/>
        <v>38.9</v>
      </c>
      <c r="BH78" s="78">
        <f t="shared" si="42"/>
        <v>38.9</v>
      </c>
      <c r="BI78" s="78">
        <f t="shared" si="42"/>
        <v>38.9</v>
      </c>
      <c r="BJ78" s="78">
        <f t="shared" si="42"/>
        <v>45.1</v>
      </c>
      <c r="BK78" s="78">
        <f t="shared" si="42"/>
        <v>42.7</v>
      </c>
      <c r="BL78" s="78">
        <f t="shared" si="42"/>
        <v>49</v>
      </c>
      <c r="BM78" s="78">
        <f t="shared" si="42"/>
        <v>41.5</v>
      </c>
      <c r="BN78" s="78">
        <f t="shared" si="42"/>
        <v>49.5</v>
      </c>
      <c r="BO78" s="78">
        <f t="shared" si="42"/>
        <v>39.200000000000003</v>
      </c>
      <c r="BP78" s="78">
        <f t="shared" si="42"/>
        <v>44.7</v>
      </c>
      <c r="BQ78" s="78">
        <f t="shared" si="42"/>
        <v>21.3</v>
      </c>
      <c r="BR78" s="78">
        <f t="shared" si="42"/>
        <v>0</v>
      </c>
      <c r="BS78" s="78">
        <f t="shared" si="42"/>
        <v>0</v>
      </c>
      <c r="BT78" s="78">
        <f t="shared" si="42"/>
        <v>0</v>
      </c>
      <c r="BU78" s="78">
        <f t="shared" si="42"/>
        <v>0</v>
      </c>
      <c r="BV78" s="78">
        <f t="shared" si="42"/>
        <v>0</v>
      </c>
      <c r="BW78" s="78">
        <f t="shared" si="42"/>
        <v>27</v>
      </c>
    </row>
    <row r="79" spans="1:75" ht="15.75" thickBot="1" x14ac:dyDescent="0.3">
      <c r="A79" s="111" t="s">
        <v>183</v>
      </c>
      <c r="B79" s="110">
        <v>4.9000000000000004</v>
      </c>
      <c r="C79" s="110">
        <v>4.9000000000000004</v>
      </c>
      <c r="D79" s="110">
        <v>4.9000000000000004</v>
      </c>
      <c r="E79" s="110">
        <v>4.9000000000000004</v>
      </c>
      <c r="F79" s="110">
        <v>4.9000000000000004</v>
      </c>
      <c r="G79" s="110">
        <v>4.9000000000000004</v>
      </c>
      <c r="H79" s="110">
        <v>4.9000000000000004</v>
      </c>
      <c r="I79" s="110">
        <v>4.9000000000000004</v>
      </c>
      <c r="J79" s="110">
        <v>5.0999999999999996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4.5</v>
      </c>
      <c r="W79" s="110">
        <v>0</v>
      </c>
      <c r="X79" s="110">
        <v>1.2</v>
      </c>
      <c r="Y79" s="110">
        <v>4.5</v>
      </c>
      <c r="Z79" s="110">
        <v>10.5</v>
      </c>
      <c r="AA79" s="110">
        <v>10.5</v>
      </c>
      <c r="AB79" s="110">
        <v>10.5</v>
      </c>
      <c r="AC79" s="110">
        <v>10.3</v>
      </c>
      <c r="AD79" s="110">
        <v>5.0999999999999996</v>
      </c>
      <c r="AE79" s="110">
        <v>4.9000000000000004</v>
      </c>
      <c r="AF79" s="110">
        <v>5.0999999999999996</v>
      </c>
      <c r="AG79" s="109">
        <v>14</v>
      </c>
      <c r="AH79" s="12">
        <f t="shared" si="8"/>
        <v>10.5</v>
      </c>
      <c r="AI79" s="11">
        <f t="shared" si="9"/>
        <v>0</v>
      </c>
      <c r="AK79" s="19"/>
      <c r="AZ79" s="78">
        <f t="shared" si="42"/>
        <v>0</v>
      </c>
      <c r="BA79" s="78">
        <f t="shared" si="42"/>
        <v>0</v>
      </c>
      <c r="BB79" s="78">
        <f t="shared" si="42"/>
        <v>0</v>
      </c>
      <c r="BC79" s="78">
        <f t="shared" si="42"/>
        <v>0</v>
      </c>
      <c r="BD79" s="78">
        <f t="shared" si="42"/>
        <v>0</v>
      </c>
      <c r="BE79" s="78">
        <f t="shared" si="42"/>
        <v>0</v>
      </c>
      <c r="BF79" s="78">
        <f t="shared" si="42"/>
        <v>99.7</v>
      </c>
      <c r="BG79" s="78">
        <f t="shared" si="42"/>
        <v>102</v>
      </c>
      <c r="BH79" s="78">
        <f t="shared" si="42"/>
        <v>102</v>
      </c>
      <c r="BI79" s="78">
        <f t="shared" si="42"/>
        <v>102</v>
      </c>
      <c r="BJ79" s="78">
        <f t="shared" si="42"/>
        <v>144.30000000000001</v>
      </c>
      <c r="BK79" s="78">
        <f t="shared" si="42"/>
        <v>131.80000000000001</v>
      </c>
      <c r="BL79" s="78">
        <f t="shared" si="42"/>
        <v>128</v>
      </c>
      <c r="BM79" s="78">
        <f t="shared" si="42"/>
        <v>130.30000000000001</v>
      </c>
      <c r="BN79" s="78">
        <f t="shared" si="42"/>
        <v>117.1</v>
      </c>
      <c r="BO79" s="78">
        <f t="shared" si="42"/>
        <v>113</v>
      </c>
      <c r="BP79" s="78">
        <f t="shared" si="42"/>
        <v>101.6</v>
      </c>
      <c r="BQ79" s="78">
        <f t="shared" si="42"/>
        <v>93.6</v>
      </c>
      <c r="BR79" s="78">
        <f t="shared" si="42"/>
        <v>0</v>
      </c>
      <c r="BS79" s="78">
        <f t="shared" si="42"/>
        <v>0</v>
      </c>
      <c r="BT79" s="78">
        <f t="shared" si="42"/>
        <v>0</v>
      </c>
      <c r="BU79" s="78">
        <f t="shared" si="42"/>
        <v>0</v>
      </c>
      <c r="BV79" s="78">
        <f t="shared" si="42"/>
        <v>0</v>
      </c>
      <c r="BW79" s="78">
        <f t="shared" si="42"/>
        <v>0</v>
      </c>
    </row>
    <row r="80" spans="1:75" ht="15.75" thickBot="1" x14ac:dyDescent="0.3">
      <c r="A80" s="77" t="s">
        <v>182</v>
      </c>
      <c r="B80" s="76">
        <f t="shared" ref="B80:C80" si="52">B77+B78+B79</f>
        <v>47.9</v>
      </c>
      <c r="C80" s="76">
        <f t="shared" si="52"/>
        <v>47.9</v>
      </c>
      <c r="D80" s="76">
        <f t="shared" ref="D80" si="53">D77+D78+D79</f>
        <v>47.9</v>
      </c>
      <c r="E80" s="76">
        <f t="shared" ref="E80:AF80" si="54">E77+E78+E79</f>
        <v>47.9</v>
      </c>
      <c r="F80" s="76">
        <f t="shared" si="54"/>
        <v>47.9</v>
      </c>
      <c r="G80" s="76">
        <f t="shared" si="54"/>
        <v>47.9</v>
      </c>
      <c r="H80" s="76">
        <f t="shared" si="54"/>
        <v>47.9</v>
      </c>
      <c r="I80" s="76">
        <f t="shared" si="54"/>
        <v>47.9</v>
      </c>
      <c r="J80" s="76">
        <f t="shared" si="54"/>
        <v>19.100000000000001</v>
      </c>
      <c r="K80" s="76">
        <f t="shared" si="54"/>
        <v>0</v>
      </c>
      <c r="L80" s="76">
        <f t="shared" si="54"/>
        <v>0</v>
      </c>
      <c r="M80" s="76">
        <f t="shared" si="54"/>
        <v>0</v>
      </c>
      <c r="N80" s="76">
        <f t="shared" si="54"/>
        <v>0</v>
      </c>
      <c r="O80" s="76">
        <f t="shared" si="54"/>
        <v>0</v>
      </c>
      <c r="P80" s="76">
        <f t="shared" si="54"/>
        <v>0</v>
      </c>
      <c r="Q80" s="76">
        <f t="shared" ref="Q80" si="55">Q77+Q78+Q79</f>
        <v>0</v>
      </c>
      <c r="R80" s="76">
        <f t="shared" si="54"/>
        <v>0</v>
      </c>
      <c r="S80" s="76">
        <f t="shared" ref="S80:T80" si="56">S77+S78+S79</f>
        <v>0</v>
      </c>
      <c r="T80" s="76">
        <f t="shared" si="56"/>
        <v>0</v>
      </c>
      <c r="U80" s="76">
        <f t="shared" ref="U80:V80" si="57">U77+U78+U79</f>
        <v>0</v>
      </c>
      <c r="V80" s="76">
        <f t="shared" si="57"/>
        <v>42</v>
      </c>
      <c r="W80" s="76">
        <f t="shared" ref="W80:X80" si="58">W77+W78+W79</f>
        <v>0</v>
      </c>
      <c r="X80" s="76">
        <f t="shared" si="58"/>
        <v>15.1</v>
      </c>
      <c r="Y80" s="76">
        <f t="shared" ref="Y80:Z80" si="59">Y77+Y78+Y79</f>
        <v>59.6</v>
      </c>
      <c r="Z80" s="76">
        <f t="shared" si="59"/>
        <v>98.8</v>
      </c>
      <c r="AA80" s="76">
        <f t="shared" ref="AA80" si="60">AA77+AA78+AA79</f>
        <v>98.8</v>
      </c>
      <c r="AB80" s="76">
        <f t="shared" si="54"/>
        <v>98.8</v>
      </c>
      <c r="AC80" s="76">
        <f t="shared" si="54"/>
        <v>98.1</v>
      </c>
      <c r="AD80" s="76">
        <f t="shared" si="54"/>
        <v>48.2</v>
      </c>
      <c r="AE80" s="76">
        <f t="shared" si="54"/>
        <v>47.699999999999996</v>
      </c>
      <c r="AF80" s="76">
        <f t="shared" si="54"/>
        <v>48.300000000000004</v>
      </c>
      <c r="AG80" s="93">
        <f>SUM(AG77:AG79)</f>
        <v>106</v>
      </c>
      <c r="AH80" s="12">
        <f t="shared" si="8"/>
        <v>98.8</v>
      </c>
      <c r="AI80" s="11">
        <f t="shared" si="9"/>
        <v>0</v>
      </c>
      <c r="AK80" s="19"/>
      <c r="AZ80" s="78">
        <f t="shared" si="42"/>
        <v>47</v>
      </c>
      <c r="BA80" s="78">
        <f t="shared" si="42"/>
        <v>45.4</v>
      </c>
      <c r="BB80" s="78">
        <f t="shared" si="42"/>
        <v>41.3</v>
      </c>
      <c r="BC80" s="78">
        <f t="shared" si="42"/>
        <v>36.799999999999997</v>
      </c>
      <c r="BD80" s="78">
        <f t="shared" si="42"/>
        <v>37.9</v>
      </c>
      <c r="BE80" s="78">
        <f t="shared" si="42"/>
        <v>38</v>
      </c>
      <c r="BF80" s="78">
        <f t="shared" si="42"/>
        <v>50.1</v>
      </c>
      <c r="BG80" s="78">
        <f t="shared" si="42"/>
        <v>51</v>
      </c>
      <c r="BH80" s="78">
        <f t="shared" si="42"/>
        <v>51</v>
      </c>
      <c r="BI80" s="78">
        <f t="shared" si="42"/>
        <v>51</v>
      </c>
      <c r="BJ80" s="78">
        <f t="shared" si="42"/>
        <v>44.6</v>
      </c>
      <c r="BK80" s="78">
        <f t="shared" si="42"/>
        <v>45.9</v>
      </c>
      <c r="BL80" s="78">
        <f t="shared" si="42"/>
        <v>45.9</v>
      </c>
      <c r="BM80" s="78">
        <f t="shared" si="42"/>
        <v>53.2</v>
      </c>
      <c r="BN80" s="78">
        <f t="shared" si="42"/>
        <v>56.6</v>
      </c>
      <c r="BO80" s="78">
        <f t="shared" si="42"/>
        <v>47.3</v>
      </c>
      <c r="BP80" s="78">
        <f t="shared" si="42"/>
        <v>40.799999999999997</v>
      </c>
      <c r="BQ80" s="78">
        <f t="shared" si="42"/>
        <v>37.700000000000003</v>
      </c>
      <c r="BR80" s="78">
        <f t="shared" si="42"/>
        <v>42.7</v>
      </c>
      <c r="BS80" s="78">
        <f t="shared" si="42"/>
        <v>37.700000000000003</v>
      </c>
      <c r="BT80" s="78">
        <f t="shared" si="42"/>
        <v>40</v>
      </c>
      <c r="BU80" s="78">
        <f t="shared" si="42"/>
        <v>42.1</v>
      </c>
      <c r="BV80" s="78">
        <f t="shared" si="42"/>
        <v>46.7</v>
      </c>
      <c r="BW80" s="78">
        <f t="shared" si="42"/>
        <v>46.8</v>
      </c>
    </row>
    <row r="81" spans="1:64" x14ac:dyDescent="0.25">
      <c r="A81" s="89" t="s">
        <v>157</v>
      </c>
      <c r="B81" s="102">
        <v>35</v>
      </c>
      <c r="C81" s="102">
        <v>35</v>
      </c>
      <c r="D81" s="102">
        <v>34</v>
      </c>
      <c r="E81" s="102">
        <v>26.8</v>
      </c>
      <c r="F81" s="102">
        <v>37.4</v>
      </c>
      <c r="G81" s="102">
        <v>35.200000000000003</v>
      </c>
      <c r="H81" s="102">
        <v>32.1</v>
      </c>
      <c r="I81" s="102">
        <v>31.7</v>
      </c>
      <c r="J81" s="102">
        <v>53</v>
      </c>
      <c r="K81" s="102">
        <v>53.6</v>
      </c>
      <c r="L81" s="102">
        <v>49.1</v>
      </c>
      <c r="M81" s="102">
        <v>54.5</v>
      </c>
      <c r="N81" s="102">
        <v>54.5</v>
      </c>
      <c r="O81" s="102">
        <v>54.5</v>
      </c>
      <c r="P81" s="102">
        <v>60.8</v>
      </c>
      <c r="Q81" s="102">
        <v>49</v>
      </c>
      <c r="R81" s="102">
        <v>52</v>
      </c>
      <c r="S81" s="102">
        <v>69.099999999999994</v>
      </c>
      <c r="T81" s="102">
        <v>76.900000000000006</v>
      </c>
      <c r="U81" s="102">
        <v>64.5</v>
      </c>
      <c r="V81" s="102">
        <v>67.400000000000006</v>
      </c>
      <c r="W81" s="102">
        <v>71.7</v>
      </c>
      <c r="X81" s="102">
        <v>62.5</v>
      </c>
      <c r="Y81" s="102">
        <v>65.5</v>
      </c>
      <c r="Z81" s="102">
        <v>72.900000000000006</v>
      </c>
      <c r="AA81" s="102">
        <v>68.099999999999994</v>
      </c>
      <c r="AB81" s="102">
        <v>28.9</v>
      </c>
      <c r="AC81" s="102">
        <v>42.7</v>
      </c>
      <c r="AD81" s="102">
        <v>42.2</v>
      </c>
      <c r="AE81" s="102">
        <v>41.4</v>
      </c>
      <c r="AF81" s="102">
        <v>39.6</v>
      </c>
      <c r="AG81" s="88"/>
      <c r="AH81" s="12">
        <f t="shared" si="8"/>
        <v>76.900000000000006</v>
      </c>
      <c r="AI81" s="11">
        <f t="shared" si="9"/>
        <v>26.8</v>
      </c>
      <c r="AK81" s="19"/>
      <c r="AY81" s="78"/>
    </row>
    <row r="82" spans="1:64" x14ac:dyDescent="0.25">
      <c r="A82" s="87" t="s">
        <v>160</v>
      </c>
      <c r="B82" s="70">
        <v>0</v>
      </c>
      <c r="C82" s="70">
        <v>0</v>
      </c>
      <c r="D82" s="70">
        <v>0</v>
      </c>
      <c r="E82" s="70">
        <v>0</v>
      </c>
      <c r="F82" s="70">
        <v>0</v>
      </c>
      <c r="G82" s="70">
        <v>0</v>
      </c>
      <c r="H82" s="70">
        <v>0</v>
      </c>
      <c r="I82" s="70">
        <v>0</v>
      </c>
      <c r="J82" s="70">
        <v>0</v>
      </c>
      <c r="K82" s="70">
        <v>0</v>
      </c>
      <c r="L82" s="70">
        <v>0</v>
      </c>
      <c r="M82" s="70">
        <v>0</v>
      </c>
      <c r="N82" s="70">
        <v>0</v>
      </c>
      <c r="O82" s="70">
        <v>0</v>
      </c>
      <c r="P82" s="70">
        <v>96.5</v>
      </c>
      <c r="Q82" s="70">
        <v>92.3</v>
      </c>
      <c r="R82" s="70">
        <v>97</v>
      </c>
      <c r="S82" s="70">
        <v>104.2</v>
      </c>
      <c r="T82" s="70">
        <v>100</v>
      </c>
      <c r="U82" s="70">
        <v>104.9</v>
      </c>
      <c r="V82" s="70">
        <v>103.6</v>
      </c>
      <c r="W82" s="70">
        <v>106.3</v>
      </c>
      <c r="X82" s="70">
        <v>111.96</v>
      </c>
      <c r="Y82" s="70">
        <v>0</v>
      </c>
      <c r="Z82" s="70">
        <v>0</v>
      </c>
      <c r="AA82" s="70">
        <v>0</v>
      </c>
      <c r="AB82" s="70">
        <v>0</v>
      </c>
      <c r="AC82" s="70">
        <v>0</v>
      </c>
      <c r="AD82" s="70">
        <v>0</v>
      </c>
      <c r="AE82" s="70">
        <v>0</v>
      </c>
      <c r="AF82" s="70">
        <v>0</v>
      </c>
      <c r="AG82" s="86"/>
      <c r="AH82" s="12">
        <f t="shared" ref="AH82:AH125" si="61">MAX(B82:AF82)</f>
        <v>111.96</v>
      </c>
      <c r="AI82" s="11">
        <f t="shared" ref="AI82:AI125" si="62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25">
      <c r="A83" s="87" t="s">
        <v>181</v>
      </c>
      <c r="B83" s="70">
        <v>180</v>
      </c>
      <c r="C83" s="70">
        <v>53</v>
      </c>
      <c r="D83" s="70">
        <v>43</v>
      </c>
      <c r="E83" s="70">
        <v>101.7</v>
      </c>
      <c r="F83" s="70">
        <v>126.5</v>
      </c>
      <c r="G83" s="70">
        <v>125.8</v>
      </c>
      <c r="H83" s="70">
        <v>115.6</v>
      </c>
      <c r="I83" s="70">
        <v>105</v>
      </c>
      <c r="J83" s="70">
        <v>263</v>
      </c>
      <c r="K83" s="70">
        <v>454.9</v>
      </c>
      <c r="L83" s="70">
        <v>483</v>
      </c>
      <c r="M83" s="70">
        <v>470</v>
      </c>
      <c r="N83" s="70">
        <v>470</v>
      </c>
      <c r="O83" s="70">
        <v>470</v>
      </c>
      <c r="P83" s="70">
        <v>415.4</v>
      </c>
      <c r="Q83" s="70">
        <v>390</v>
      </c>
      <c r="R83" s="70">
        <v>382</v>
      </c>
      <c r="S83" s="70">
        <v>390.5</v>
      </c>
      <c r="T83" s="70">
        <v>436</v>
      </c>
      <c r="U83" s="70">
        <v>430.3</v>
      </c>
      <c r="V83" s="70">
        <v>405.14100000000002</v>
      </c>
      <c r="W83" s="70">
        <v>417.1</v>
      </c>
      <c r="X83" s="70">
        <v>346.6</v>
      </c>
      <c r="Y83" s="70">
        <v>399.9</v>
      </c>
      <c r="Z83" s="70">
        <v>404.3</v>
      </c>
      <c r="AA83" s="70">
        <v>318</v>
      </c>
      <c r="AB83" s="70">
        <v>74.2</v>
      </c>
      <c r="AC83" s="70">
        <v>72.7</v>
      </c>
      <c r="AD83" s="70">
        <v>105.7</v>
      </c>
      <c r="AE83" s="70">
        <v>78.2</v>
      </c>
      <c r="AF83" s="70">
        <v>95.1</v>
      </c>
      <c r="AG83" s="96"/>
      <c r="AH83" s="12">
        <f t="shared" si="61"/>
        <v>483</v>
      </c>
      <c r="AI83" s="11">
        <f t="shared" si="62"/>
        <v>43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25">
      <c r="A84" s="87" t="s">
        <v>161</v>
      </c>
      <c r="B84" s="70">
        <v>27</v>
      </c>
      <c r="C84" s="70">
        <v>26</v>
      </c>
      <c r="D84" s="70">
        <v>29.5</v>
      </c>
      <c r="E84" s="85">
        <v>28.9</v>
      </c>
      <c r="F84" s="85">
        <v>49.4</v>
      </c>
      <c r="G84" s="85">
        <v>46.5</v>
      </c>
      <c r="H84" s="85">
        <v>41.8</v>
      </c>
      <c r="I84" s="85">
        <v>57.6</v>
      </c>
      <c r="J84" s="85">
        <v>50</v>
      </c>
      <c r="K84" s="85">
        <v>54.3</v>
      </c>
      <c r="L84" s="85">
        <v>54.8</v>
      </c>
      <c r="M84" s="85">
        <v>38.9</v>
      </c>
      <c r="N84" s="85">
        <v>38.9</v>
      </c>
      <c r="O84" s="85">
        <v>38.9</v>
      </c>
      <c r="P84" s="85">
        <v>45.1</v>
      </c>
      <c r="Q84" s="85">
        <v>42.7</v>
      </c>
      <c r="R84" s="85">
        <v>49</v>
      </c>
      <c r="S84" s="85">
        <v>41.5</v>
      </c>
      <c r="T84" s="85">
        <v>49.5</v>
      </c>
      <c r="U84" s="85">
        <v>39.200000000000003</v>
      </c>
      <c r="V84" s="85">
        <v>44.7</v>
      </c>
      <c r="W84" s="85">
        <v>37.9</v>
      </c>
      <c r="X84" s="85">
        <v>21.3</v>
      </c>
      <c r="Y84" s="85">
        <v>0</v>
      </c>
      <c r="Z84" s="85">
        <v>0</v>
      </c>
      <c r="AA84" s="85">
        <v>0</v>
      </c>
      <c r="AB84" s="85">
        <v>0</v>
      </c>
      <c r="AC84" s="85">
        <v>0</v>
      </c>
      <c r="AD84" s="85">
        <v>0</v>
      </c>
      <c r="AE84" s="85">
        <v>0</v>
      </c>
      <c r="AF84" s="85">
        <v>0</v>
      </c>
      <c r="AG84" s="96"/>
      <c r="AH84" s="12">
        <f t="shared" si="61"/>
        <v>57.6</v>
      </c>
      <c r="AI84" s="11">
        <f t="shared" si="62"/>
        <v>0</v>
      </c>
      <c r="AK84" s="19"/>
      <c r="AY84" s="78"/>
      <c r="BF84" s="83"/>
      <c r="BG84" s="78">
        <f t="array" ref="BG84:BL107">TRANSPOSE(AZ68:BW73)</f>
        <v>35</v>
      </c>
      <c r="BH84" s="78">
        <v>0</v>
      </c>
      <c r="BI84" s="78">
        <v>53</v>
      </c>
      <c r="BJ84" s="78">
        <v>26</v>
      </c>
      <c r="BK84" s="78">
        <v>0</v>
      </c>
      <c r="BL84" s="78">
        <v>47</v>
      </c>
    </row>
    <row r="85" spans="1:64" x14ac:dyDescent="0.25">
      <c r="A85" s="87" t="s">
        <v>180</v>
      </c>
      <c r="B85" s="102">
        <v>0</v>
      </c>
      <c r="C85" s="102">
        <v>0</v>
      </c>
      <c r="D85" s="102">
        <v>0</v>
      </c>
      <c r="E85" s="102">
        <v>0</v>
      </c>
      <c r="F85" s="102">
        <v>0</v>
      </c>
      <c r="G85" s="102">
        <v>0</v>
      </c>
      <c r="H85" s="102">
        <v>0</v>
      </c>
      <c r="I85" s="102">
        <v>0</v>
      </c>
      <c r="J85" s="102">
        <v>100.8</v>
      </c>
      <c r="K85" s="102">
        <v>99.7</v>
      </c>
      <c r="L85" s="102">
        <v>126.5</v>
      </c>
      <c r="M85" s="102">
        <v>102</v>
      </c>
      <c r="N85" s="102">
        <v>102</v>
      </c>
      <c r="O85" s="102">
        <v>102</v>
      </c>
      <c r="P85" s="102">
        <v>144.30000000000001</v>
      </c>
      <c r="Q85" s="102">
        <v>131.80000000000001</v>
      </c>
      <c r="R85" s="102">
        <v>128</v>
      </c>
      <c r="S85" s="102">
        <v>130.30000000000001</v>
      </c>
      <c r="T85" s="102">
        <v>117.1</v>
      </c>
      <c r="U85" s="102">
        <v>113</v>
      </c>
      <c r="V85" s="102">
        <v>101.6</v>
      </c>
      <c r="W85" s="102">
        <v>93.5</v>
      </c>
      <c r="X85" s="102">
        <v>93.6</v>
      </c>
      <c r="Y85" s="102">
        <v>54.8</v>
      </c>
      <c r="Z85" s="102">
        <v>0</v>
      </c>
      <c r="AA85" s="102">
        <v>0</v>
      </c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61"/>
        <v>144.30000000000001</v>
      </c>
      <c r="AI85" s="11">
        <f t="shared" si="62"/>
        <v>0</v>
      </c>
      <c r="AK85" s="19"/>
      <c r="AY85" s="78"/>
      <c r="BF85" s="83"/>
      <c r="BG85" s="78">
        <v>34</v>
      </c>
      <c r="BH85" s="78">
        <v>0</v>
      </c>
      <c r="BI85" s="78">
        <v>43</v>
      </c>
      <c r="BJ85" s="78">
        <v>29.5</v>
      </c>
      <c r="BK85" s="78">
        <v>0</v>
      </c>
      <c r="BL85" s="78">
        <v>45.4</v>
      </c>
    </row>
    <row r="86" spans="1:64" x14ac:dyDescent="0.25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61"/>
        <v>0</v>
      </c>
      <c r="AI86" s="11">
        <f t="shared" si="62"/>
        <v>0</v>
      </c>
      <c r="AK86" s="19"/>
      <c r="AY86" s="78"/>
      <c r="BF86" s="83"/>
      <c r="BG86" s="78">
        <v>26.8</v>
      </c>
      <c r="BH86" s="78">
        <v>0</v>
      </c>
      <c r="BI86" s="78">
        <v>101.7</v>
      </c>
      <c r="BJ86" s="78">
        <v>28.9</v>
      </c>
      <c r="BK86" s="78">
        <v>0</v>
      </c>
      <c r="BL86" s="78">
        <v>41.3</v>
      </c>
    </row>
    <row r="87" spans="1:64" ht="15.75" thickBot="1" x14ac:dyDescent="0.3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61"/>
        <v>0</v>
      </c>
      <c r="AI87" s="11">
        <f t="shared" si="62"/>
        <v>0</v>
      </c>
      <c r="AK87" s="19"/>
      <c r="AL87" s="108" t="s">
        <v>177</v>
      </c>
      <c r="AM87" s="108"/>
      <c r="AY87" s="78"/>
      <c r="BF87" s="78"/>
      <c r="BG87" s="78">
        <v>37.4</v>
      </c>
      <c r="BH87" s="78">
        <v>0</v>
      </c>
      <c r="BI87" s="78">
        <v>126.5</v>
      </c>
      <c r="BJ87" s="78">
        <v>49.4</v>
      </c>
      <c r="BK87" s="78">
        <v>0</v>
      </c>
      <c r="BL87" s="78">
        <v>36.799999999999997</v>
      </c>
    </row>
    <row r="88" spans="1:64" x14ac:dyDescent="0.25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61"/>
        <v>0</v>
      </c>
      <c r="AI88" s="11">
        <f t="shared" si="62"/>
        <v>0</v>
      </c>
      <c r="AK88" s="107"/>
      <c r="AL88" s="106"/>
      <c r="AM88" s="106"/>
      <c r="AN88" s="105"/>
      <c r="AY88" s="78"/>
      <c r="BF88" s="78"/>
      <c r="BG88" s="78">
        <v>35.200000000000003</v>
      </c>
      <c r="BH88" s="78">
        <v>0</v>
      </c>
      <c r="BI88" s="78">
        <v>125.8</v>
      </c>
      <c r="BJ88" s="78">
        <v>46.5</v>
      </c>
      <c r="BK88" s="78">
        <v>0</v>
      </c>
      <c r="BL88" s="78">
        <v>37.9</v>
      </c>
    </row>
    <row r="89" spans="1:64" x14ac:dyDescent="0.25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61"/>
        <v>0</v>
      </c>
      <c r="AI89" s="11">
        <f t="shared" si="62"/>
        <v>0</v>
      </c>
      <c r="AK89" s="104" t="s">
        <v>174</v>
      </c>
      <c r="AL89" s="70"/>
      <c r="AM89" s="85"/>
      <c r="AN89" s="103"/>
      <c r="AY89" s="78"/>
      <c r="BF89" s="78"/>
      <c r="BG89" s="78">
        <v>31.7</v>
      </c>
      <c r="BH89" s="78">
        <v>0</v>
      </c>
      <c r="BI89" s="78">
        <v>105</v>
      </c>
      <c r="BJ89" s="78">
        <v>57.6</v>
      </c>
      <c r="BK89" s="78">
        <v>0</v>
      </c>
      <c r="BL89" s="78">
        <v>38</v>
      </c>
    </row>
    <row r="90" spans="1:64" x14ac:dyDescent="0.25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61"/>
        <v>0</v>
      </c>
      <c r="AI90" s="11">
        <f t="shared" si="62"/>
        <v>0</v>
      </c>
      <c r="AK90" s="104" t="s">
        <v>172</v>
      </c>
      <c r="AL90" s="85"/>
      <c r="AM90" s="85"/>
      <c r="AN90" s="103"/>
      <c r="AY90" s="78"/>
      <c r="BF90" s="78"/>
      <c r="BG90" s="78">
        <v>53.6</v>
      </c>
      <c r="BH90" s="78">
        <v>0</v>
      </c>
      <c r="BI90" s="78">
        <v>454.9</v>
      </c>
      <c r="BJ90" s="78">
        <v>54.3</v>
      </c>
      <c r="BK90" s="78">
        <v>99.7</v>
      </c>
      <c r="BL90" s="78">
        <v>50.1</v>
      </c>
    </row>
    <row r="91" spans="1:64" ht="15.75" thickBot="1" x14ac:dyDescent="0.3">
      <c r="A91" s="82" t="s">
        <v>171</v>
      </c>
      <c r="B91" s="97">
        <v>46.8</v>
      </c>
      <c r="C91" s="97">
        <v>46.8</v>
      </c>
      <c r="D91" s="97">
        <v>45.4</v>
      </c>
      <c r="E91" s="97">
        <v>41.3</v>
      </c>
      <c r="F91" s="97">
        <v>36.799999999999997</v>
      </c>
      <c r="G91" s="97">
        <v>37.9</v>
      </c>
      <c r="H91" s="97">
        <v>36</v>
      </c>
      <c r="I91" s="97">
        <v>38</v>
      </c>
      <c r="J91" s="97">
        <v>41.4</v>
      </c>
      <c r="K91" s="97">
        <v>50.1</v>
      </c>
      <c r="L91" s="97">
        <v>47.7</v>
      </c>
      <c r="M91" s="97">
        <v>51</v>
      </c>
      <c r="N91" s="97">
        <v>51</v>
      </c>
      <c r="O91" s="97">
        <v>51</v>
      </c>
      <c r="P91" s="97">
        <v>44.6</v>
      </c>
      <c r="Q91" s="97">
        <v>45.9</v>
      </c>
      <c r="R91" s="97">
        <v>45.9</v>
      </c>
      <c r="S91" s="97">
        <v>53.2</v>
      </c>
      <c r="T91" s="97">
        <v>56.6</v>
      </c>
      <c r="U91" s="97">
        <v>47.3</v>
      </c>
      <c r="V91" s="97">
        <v>40.799999999999997</v>
      </c>
      <c r="W91" s="97">
        <v>41</v>
      </c>
      <c r="X91" s="97">
        <v>37.700000000000003</v>
      </c>
      <c r="Y91" s="97">
        <v>38.299999999999997</v>
      </c>
      <c r="Z91" s="97">
        <v>42.7</v>
      </c>
      <c r="AA91" s="97">
        <v>39.6</v>
      </c>
      <c r="AB91" s="97">
        <v>37.700000000000003</v>
      </c>
      <c r="AC91" s="97">
        <v>39</v>
      </c>
      <c r="AD91" s="97">
        <v>40</v>
      </c>
      <c r="AE91" s="97">
        <v>42.1</v>
      </c>
      <c r="AF91" s="97">
        <v>46.7</v>
      </c>
      <c r="AG91" s="80"/>
      <c r="AH91" s="12">
        <f t="shared" si="61"/>
        <v>56.6</v>
      </c>
      <c r="AI91" s="11">
        <f t="shared" si="62"/>
        <v>36</v>
      </c>
      <c r="AK91" s="98"/>
      <c r="AL91" s="102"/>
      <c r="AM91" s="102"/>
      <c r="AN91" s="101"/>
      <c r="AY91" s="78"/>
      <c r="BF91" s="78"/>
      <c r="BG91" s="78">
        <v>54.5</v>
      </c>
      <c r="BH91" s="78">
        <v>0</v>
      </c>
      <c r="BI91" s="78">
        <v>470</v>
      </c>
      <c r="BJ91" s="78">
        <v>38.9</v>
      </c>
      <c r="BK91" s="78">
        <v>102</v>
      </c>
      <c r="BL91" s="78">
        <v>51</v>
      </c>
    </row>
    <row r="92" spans="1:64" ht="15.75" thickBot="1" x14ac:dyDescent="0.3">
      <c r="A92" s="77" t="s">
        <v>170</v>
      </c>
      <c r="B92" s="76">
        <f t="shared" ref="B92:C92" si="63">SUMIF(B81:B91,"&gt;0")</f>
        <v>288.8</v>
      </c>
      <c r="C92" s="76">
        <f t="shared" si="63"/>
        <v>160.80000000000001</v>
      </c>
      <c r="D92" s="76">
        <f t="shared" ref="D92" si="64">SUMIF(D81:D91,"&gt;0")</f>
        <v>151.9</v>
      </c>
      <c r="E92" s="76">
        <f t="shared" ref="E92:AF92" si="65">SUMIF(E81:E91,"&gt;0")</f>
        <v>198.7</v>
      </c>
      <c r="F92" s="76">
        <f t="shared" si="65"/>
        <v>250.10000000000002</v>
      </c>
      <c r="G92" s="76">
        <f t="shared" si="65"/>
        <v>245.4</v>
      </c>
      <c r="H92" s="76">
        <f t="shared" si="65"/>
        <v>225.5</v>
      </c>
      <c r="I92" s="76">
        <f t="shared" si="65"/>
        <v>232.29999999999998</v>
      </c>
      <c r="J92" s="76">
        <f t="shared" si="65"/>
        <v>508.2</v>
      </c>
      <c r="K92" s="76">
        <f t="shared" si="65"/>
        <v>712.6</v>
      </c>
      <c r="L92" s="76">
        <f t="shared" si="65"/>
        <v>761.1</v>
      </c>
      <c r="M92" s="76">
        <f t="shared" si="65"/>
        <v>716.4</v>
      </c>
      <c r="N92" s="76">
        <f t="shared" si="65"/>
        <v>716.4</v>
      </c>
      <c r="O92" s="76">
        <f t="shared" si="65"/>
        <v>716.4</v>
      </c>
      <c r="P92" s="76">
        <f t="shared" si="65"/>
        <v>806.70000000000016</v>
      </c>
      <c r="Q92" s="76">
        <f t="shared" si="65"/>
        <v>751.69999999999993</v>
      </c>
      <c r="R92" s="76">
        <f t="shared" si="65"/>
        <v>753.9</v>
      </c>
      <c r="S92" s="76">
        <f t="shared" ref="S92:T92" si="66">SUMIF(S81:S91,"&gt;0")</f>
        <v>788.8</v>
      </c>
      <c r="T92" s="76">
        <f t="shared" si="66"/>
        <v>836.1</v>
      </c>
      <c r="U92" s="76">
        <f t="shared" ref="U92:V92" si="67">SUMIF(U81:U91,"&gt;0")</f>
        <v>799.2</v>
      </c>
      <c r="V92" s="76">
        <f t="shared" si="67"/>
        <v>763.2410000000001</v>
      </c>
      <c r="W92" s="76">
        <f t="shared" ref="W92:X92" si="68">SUMIF(W81:W91,"&gt;0")</f>
        <v>767.5</v>
      </c>
      <c r="X92" s="76">
        <f t="shared" si="68"/>
        <v>673.66</v>
      </c>
      <c r="Y92" s="76">
        <f t="shared" ref="Y92:Z92" si="69">SUMIF(Y81:Y91,"&gt;0")</f>
        <v>558.49999999999989</v>
      </c>
      <c r="Z92" s="76">
        <f t="shared" si="69"/>
        <v>519.90000000000009</v>
      </c>
      <c r="AA92" s="76">
        <f t="shared" ref="AA92" si="70">SUMIF(AA81:AA91,"&gt;0")</f>
        <v>425.70000000000005</v>
      </c>
      <c r="AB92" s="76">
        <f t="shared" si="65"/>
        <v>140.80000000000001</v>
      </c>
      <c r="AC92" s="76">
        <f t="shared" si="65"/>
        <v>154.4</v>
      </c>
      <c r="AD92" s="76">
        <f t="shared" si="65"/>
        <v>187.9</v>
      </c>
      <c r="AE92" s="76">
        <f t="shared" si="65"/>
        <v>161.69999999999999</v>
      </c>
      <c r="AF92" s="76">
        <f t="shared" si="65"/>
        <v>181.39999999999998</v>
      </c>
      <c r="AG92" s="75">
        <f>SUM(AG81:AG91)</f>
        <v>0</v>
      </c>
      <c r="AH92" s="12">
        <f t="shared" si="61"/>
        <v>836.1</v>
      </c>
      <c r="AI92" s="11">
        <f t="shared" si="62"/>
        <v>140.80000000000001</v>
      </c>
      <c r="AK92" s="98"/>
      <c r="AL92" s="97"/>
      <c r="AM92" s="100"/>
      <c r="AN92" s="220"/>
      <c r="AY92" s="78"/>
      <c r="BF92" s="78"/>
      <c r="BG92" s="78">
        <v>54.5</v>
      </c>
      <c r="BH92" s="78">
        <v>0</v>
      </c>
      <c r="BI92" s="78">
        <v>470</v>
      </c>
      <c r="BJ92" s="78">
        <v>38.9</v>
      </c>
      <c r="BK92" s="78">
        <v>102</v>
      </c>
      <c r="BL92" s="78">
        <v>51</v>
      </c>
    </row>
    <row r="93" spans="1:64" x14ac:dyDescent="0.25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61"/>
        <v>0</v>
      </c>
      <c r="AI93" s="11">
        <f t="shared" si="62"/>
        <v>0</v>
      </c>
      <c r="AK93" s="98"/>
      <c r="AL93" s="97"/>
      <c r="AM93" s="97"/>
      <c r="AN93" s="221"/>
      <c r="BF93" s="78"/>
      <c r="BG93" s="78">
        <v>54.5</v>
      </c>
      <c r="BH93" s="78">
        <v>0</v>
      </c>
      <c r="BI93" s="78">
        <v>470</v>
      </c>
      <c r="BJ93" s="78">
        <v>38.9</v>
      </c>
      <c r="BK93" s="78">
        <v>102</v>
      </c>
      <c r="BL93" s="78">
        <v>51</v>
      </c>
    </row>
    <row r="94" spans="1:64" ht="15.75" thickBot="1" x14ac:dyDescent="0.3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61"/>
        <v>0</v>
      </c>
      <c r="AI94" s="11">
        <f t="shared" si="62"/>
        <v>0</v>
      </c>
      <c r="AK94" s="95"/>
      <c r="AL94" s="67"/>
      <c r="AM94" s="67"/>
      <c r="AN94" s="94"/>
      <c r="BF94" s="78"/>
      <c r="BG94" s="78">
        <v>60.8</v>
      </c>
      <c r="BH94" s="78">
        <v>96.5</v>
      </c>
      <c r="BI94" s="78">
        <v>415.4</v>
      </c>
      <c r="BJ94" s="78">
        <v>45.1</v>
      </c>
      <c r="BK94" s="78">
        <v>144.30000000000001</v>
      </c>
      <c r="BL94" s="78">
        <v>44.6</v>
      </c>
    </row>
    <row r="95" spans="1:64" ht="15.75" thickBot="1" x14ac:dyDescent="0.3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61"/>
        <v>0</v>
      </c>
      <c r="AI95" s="11">
        <f t="shared" si="62"/>
        <v>0</v>
      </c>
      <c r="BF95" s="78"/>
      <c r="BG95" s="78">
        <v>49</v>
      </c>
      <c r="BH95" s="78">
        <v>92.3</v>
      </c>
      <c r="BI95" s="78">
        <v>390</v>
      </c>
      <c r="BJ95" s="78">
        <v>42.7</v>
      </c>
      <c r="BK95" s="78">
        <v>131.80000000000001</v>
      </c>
      <c r="BL95" s="78">
        <v>45.9</v>
      </c>
    </row>
    <row r="96" spans="1:64" ht="15.75" thickBot="1" x14ac:dyDescent="0.3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61"/>
        <v>0</v>
      </c>
      <c r="AI96" s="11">
        <f t="shared" si="62"/>
        <v>0</v>
      </c>
      <c r="BF96" s="78"/>
      <c r="BG96" s="78">
        <v>52</v>
      </c>
      <c r="BH96" s="78">
        <v>97</v>
      </c>
      <c r="BI96" s="78">
        <v>382</v>
      </c>
      <c r="BJ96" s="78">
        <v>49</v>
      </c>
      <c r="BK96" s="78">
        <v>128</v>
      </c>
      <c r="BL96" s="78">
        <v>45.9</v>
      </c>
    </row>
    <row r="97" spans="1:64" ht="15.75" thickBot="1" x14ac:dyDescent="0.3">
      <c r="A97" s="77" t="s">
        <v>165</v>
      </c>
      <c r="B97" s="90">
        <f t="shared" ref="B97:C97" si="71">B58+B62+B80+B76+B92+B96</f>
        <v>1339.54</v>
      </c>
      <c r="C97" s="90">
        <f t="shared" si="71"/>
        <v>1292.54</v>
      </c>
      <c r="D97" s="90">
        <f t="shared" ref="D97" si="72">D58+D62+D80+D76+D92+D96</f>
        <v>1292.54</v>
      </c>
      <c r="E97" s="90">
        <f t="shared" ref="E97:AG97" si="73">E58+E62+E80+E76+E92+E96</f>
        <v>1275.94</v>
      </c>
      <c r="F97" s="90">
        <f t="shared" si="73"/>
        <v>1255.44</v>
      </c>
      <c r="G97" s="90">
        <f t="shared" si="73"/>
        <v>1250.74</v>
      </c>
      <c r="H97" s="90">
        <f t="shared" si="73"/>
        <v>1264.24</v>
      </c>
      <c r="I97" s="90">
        <f t="shared" si="73"/>
        <v>1327.74</v>
      </c>
      <c r="J97" s="90">
        <f t="shared" si="73"/>
        <v>1458.94</v>
      </c>
      <c r="K97" s="90">
        <f t="shared" si="73"/>
        <v>1549.1399999999999</v>
      </c>
      <c r="L97" s="90">
        <f t="shared" si="73"/>
        <v>1609.04</v>
      </c>
      <c r="M97" s="90">
        <f t="shared" si="73"/>
        <v>1554.3400000000001</v>
      </c>
      <c r="N97" s="90">
        <f t="shared" si="73"/>
        <v>1528.44</v>
      </c>
      <c r="O97" s="90">
        <f t="shared" si="73"/>
        <v>1528.1399999999999</v>
      </c>
      <c r="P97" s="90">
        <f t="shared" si="73"/>
        <v>1633.2400000000002</v>
      </c>
      <c r="Q97" s="90">
        <f t="shared" si="73"/>
        <v>1559.1399999999999</v>
      </c>
      <c r="R97" s="90">
        <f t="shared" si="73"/>
        <v>1572.3400000000001</v>
      </c>
      <c r="S97" s="90">
        <f t="shared" ref="S97:T97" si="74">S58+S62+S80+S76+S92+S96</f>
        <v>1578.84</v>
      </c>
      <c r="T97" s="90">
        <f t="shared" si="74"/>
        <v>1612.74</v>
      </c>
      <c r="U97" s="90">
        <f t="shared" ref="U97:V97" si="75">U58+U62+U80+U76+U92+U96</f>
        <v>1527.54</v>
      </c>
      <c r="V97" s="90">
        <f t="shared" si="75"/>
        <v>1533.5810000000001</v>
      </c>
      <c r="W97" s="90">
        <f t="shared" ref="W97:X97" si="76">W58+W62+W80+W76+W92+W96</f>
        <v>1524.04</v>
      </c>
      <c r="X97" s="90">
        <f t="shared" si="76"/>
        <v>1497.4</v>
      </c>
      <c r="Y97" s="90">
        <f t="shared" ref="Y97:Z97" si="77">Y58+Y62+Y80+Y76+Y92+Y96</f>
        <v>1466.94</v>
      </c>
      <c r="Z97" s="90">
        <f t="shared" si="77"/>
        <v>1615.24</v>
      </c>
      <c r="AA97" s="90">
        <f t="shared" ref="AA97" si="78">AA58+AA62+AA80+AA76+AA92+AA96</f>
        <v>1647.04</v>
      </c>
      <c r="AB97" s="90">
        <f t="shared" si="73"/>
        <v>1562.5399999999997</v>
      </c>
      <c r="AC97" s="90">
        <f t="shared" si="73"/>
        <v>1548.14</v>
      </c>
      <c r="AD97" s="90">
        <f t="shared" si="73"/>
        <v>1569.8400000000001</v>
      </c>
      <c r="AE97" s="90">
        <f t="shared" si="73"/>
        <v>1442.7400000000002</v>
      </c>
      <c r="AF97" s="90">
        <f t="shared" si="73"/>
        <v>1380.6399999999999</v>
      </c>
      <c r="AG97" s="93">
        <f t="shared" si="73"/>
        <v>2231.81</v>
      </c>
      <c r="AH97" s="12">
        <f t="shared" si="61"/>
        <v>1647.04</v>
      </c>
      <c r="AI97" s="11">
        <f t="shared" si="62"/>
        <v>1250.74</v>
      </c>
      <c r="BF97" s="78"/>
      <c r="BG97" s="78">
        <v>69.099999999999994</v>
      </c>
      <c r="BH97" s="78">
        <v>104.2</v>
      </c>
      <c r="BI97" s="78">
        <v>390.5</v>
      </c>
      <c r="BJ97" s="78">
        <v>41.5</v>
      </c>
      <c r="BK97" s="78">
        <v>130.30000000000001</v>
      </c>
      <c r="BL97" s="78">
        <v>53.2</v>
      </c>
    </row>
    <row r="98" spans="1:64" ht="15.75" thickBot="1" x14ac:dyDescent="0.3">
      <c r="A98" s="92" t="s">
        <v>164</v>
      </c>
      <c r="B98" s="91">
        <v>230</v>
      </c>
      <c r="C98" s="91">
        <v>231</v>
      </c>
      <c r="D98" s="91">
        <v>200</v>
      </c>
      <c r="E98" s="91">
        <v>200</v>
      </c>
      <c r="F98" s="91">
        <v>200</v>
      </c>
      <c r="G98" s="91">
        <v>200</v>
      </c>
      <c r="H98" s="91">
        <v>200</v>
      </c>
      <c r="I98" s="91">
        <v>200</v>
      </c>
      <c r="J98" s="91">
        <v>0</v>
      </c>
      <c r="K98" s="91">
        <v>0</v>
      </c>
      <c r="L98" s="91">
        <v>0</v>
      </c>
      <c r="M98" s="91">
        <v>0</v>
      </c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>
        <v>300</v>
      </c>
      <c r="AA98" s="91">
        <v>300</v>
      </c>
      <c r="AB98" s="91">
        <v>300</v>
      </c>
      <c r="AC98" s="91">
        <v>300</v>
      </c>
      <c r="AD98" s="91">
        <v>300</v>
      </c>
      <c r="AE98" s="91">
        <v>280</v>
      </c>
      <c r="AF98" s="91">
        <v>270</v>
      </c>
      <c r="AG98" s="75"/>
      <c r="AH98" s="12">
        <f t="shared" si="61"/>
        <v>300</v>
      </c>
      <c r="AI98" s="11">
        <f t="shared" si="62"/>
        <v>0</v>
      </c>
      <c r="BF98" s="78"/>
      <c r="BG98" s="78">
        <v>76.900000000000006</v>
      </c>
      <c r="BH98" s="78">
        <v>100</v>
      </c>
      <c r="BI98" s="78">
        <v>436</v>
      </c>
      <c r="BJ98" s="78">
        <v>49.5</v>
      </c>
      <c r="BK98" s="78">
        <v>117.1</v>
      </c>
      <c r="BL98" s="78">
        <v>56.6</v>
      </c>
    </row>
    <row r="99" spans="1:64" ht="15.75" thickBot="1" x14ac:dyDescent="0.3">
      <c r="A99" s="77" t="s">
        <v>163</v>
      </c>
      <c r="B99" s="90">
        <f t="shared" ref="B99:C99" si="79">B97+B98</f>
        <v>1569.54</v>
      </c>
      <c r="C99" s="90">
        <f t="shared" si="79"/>
        <v>1523.54</v>
      </c>
      <c r="D99" s="90">
        <f t="shared" ref="D99" si="80">D97+D98</f>
        <v>1492.54</v>
      </c>
      <c r="E99" s="90">
        <f t="shared" ref="E99:AF99" si="81">E97+E98</f>
        <v>1475.94</v>
      </c>
      <c r="F99" s="90">
        <f t="shared" si="81"/>
        <v>1455.44</v>
      </c>
      <c r="G99" s="90">
        <f t="shared" si="81"/>
        <v>1450.74</v>
      </c>
      <c r="H99" s="90">
        <f t="shared" si="81"/>
        <v>1464.24</v>
      </c>
      <c r="I99" s="90">
        <f t="shared" si="81"/>
        <v>1527.74</v>
      </c>
      <c r="J99" s="90">
        <f t="shared" si="81"/>
        <v>1458.94</v>
      </c>
      <c r="K99" s="90">
        <f t="shared" si="81"/>
        <v>1549.1399999999999</v>
      </c>
      <c r="L99" s="90">
        <f t="shared" si="81"/>
        <v>1609.04</v>
      </c>
      <c r="M99" s="90">
        <f t="shared" si="81"/>
        <v>1554.3400000000001</v>
      </c>
      <c r="N99" s="90">
        <f t="shared" si="81"/>
        <v>1528.44</v>
      </c>
      <c r="O99" s="90">
        <f t="shared" si="81"/>
        <v>1528.1399999999999</v>
      </c>
      <c r="P99" s="90">
        <f t="shared" si="81"/>
        <v>1633.2400000000002</v>
      </c>
      <c r="Q99" s="90">
        <f t="shared" si="81"/>
        <v>1559.1399999999999</v>
      </c>
      <c r="R99" s="90">
        <f t="shared" si="81"/>
        <v>1572.3400000000001</v>
      </c>
      <c r="S99" s="90">
        <f t="shared" ref="S99:T99" si="82">S97+S98</f>
        <v>1578.84</v>
      </c>
      <c r="T99" s="90">
        <f t="shared" si="82"/>
        <v>1612.74</v>
      </c>
      <c r="U99" s="90">
        <f t="shared" ref="U99:V99" si="83">U97+U98</f>
        <v>1527.54</v>
      </c>
      <c r="V99" s="90">
        <f t="shared" si="83"/>
        <v>1533.5810000000001</v>
      </c>
      <c r="W99" s="90">
        <f t="shared" ref="W99:X99" si="84">W97+W98</f>
        <v>1524.04</v>
      </c>
      <c r="X99" s="90">
        <f t="shared" si="84"/>
        <v>1497.4</v>
      </c>
      <c r="Y99" s="90">
        <f t="shared" ref="Y99:Z99" si="85">Y97+Y98</f>
        <v>1466.94</v>
      </c>
      <c r="Z99" s="90">
        <f t="shared" si="85"/>
        <v>1915.24</v>
      </c>
      <c r="AA99" s="90">
        <f t="shared" ref="AA99" si="86">AA97+AA98</f>
        <v>1947.04</v>
      </c>
      <c r="AB99" s="90">
        <f t="shared" si="81"/>
        <v>1862.5399999999997</v>
      </c>
      <c r="AC99" s="90">
        <f t="shared" si="81"/>
        <v>1848.14</v>
      </c>
      <c r="AD99" s="90">
        <f t="shared" si="81"/>
        <v>1869.8400000000001</v>
      </c>
      <c r="AE99" s="90">
        <f t="shared" si="81"/>
        <v>1722.7400000000002</v>
      </c>
      <c r="AF99" s="90">
        <f t="shared" si="81"/>
        <v>1650.6399999999999</v>
      </c>
      <c r="AG99" s="75">
        <f>AG96+AG92+AG80+AG76+AG58+AG98</f>
        <v>1693.71</v>
      </c>
      <c r="AH99" s="12">
        <f t="shared" si="61"/>
        <v>1947.04</v>
      </c>
      <c r="AI99" s="11">
        <f t="shared" si="62"/>
        <v>1450.74</v>
      </c>
      <c r="BF99" s="78"/>
      <c r="BG99" s="78">
        <v>64.5</v>
      </c>
      <c r="BH99" s="78">
        <v>104.9</v>
      </c>
      <c r="BI99" s="78">
        <v>430.3</v>
      </c>
      <c r="BJ99" s="78">
        <v>39.200000000000003</v>
      </c>
      <c r="BK99" s="78">
        <v>113</v>
      </c>
      <c r="BL99" s="78">
        <v>47.3</v>
      </c>
    </row>
    <row r="100" spans="1:64" ht="15.75" thickBot="1" x14ac:dyDescent="0.3">
      <c r="A100" s="77" t="s">
        <v>162</v>
      </c>
      <c r="B100" s="90">
        <f t="shared" ref="B100:C100" si="87">B99-(B107)</f>
        <v>1569.54</v>
      </c>
      <c r="C100" s="90">
        <f t="shared" si="87"/>
        <v>1523.54</v>
      </c>
      <c r="D100" s="90">
        <f t="shared" ref="D100" si="88">D99-(D107)</f>
        <v>1492.54</v>
      </c>
      <c r="E100" s="90">
        <f t="shared" ref="E100:AF100" si="89">E99-(E107)</f>
        <v>1475.94</v>
      </c>
      <c r="F100" s="90">
        <f t="shared" si="89"/>
        <v>1455.44</v>
      </c>
      <c r="G100" s="90">
        <f t="shared" si="89"/>
        <v>1450.74</v>
      </c>
      <c r="H100" s="90">
        <f t="shared" si="89"/>
        <v>1464.24</v>
      </c>
      <c r="I100" s="90">
        <f t="shared" si="89"/>
        <v>1527.74</v>
      </c>
      <c r="J100" s="90">
        <f t="shared" si="89"/>
        <v>1458.94</v>
      </c>
      <c r="K100" s="90">
        <f t="shared" si="89"/>
        <v>1549.1399999999999</v>
      </c>
      <c r="L100" s="90">
        <f t="shared" si="89"/>
        <v>1609.04</v>
      </c>
      <c r="M100" s="90">
        <f t="shared" si="89"/>
        <v>1554.3400000000001</v>
      </c>
      <c r="N100" s="90">
        <f t="shared" si="89"/>
        <v>1528.44</v>
      </c>
      <c r="O100" s="90">
        <f t="shared" si="89"/>
        <v>1528.1399999999999</v>
      </c>
      <c r="P100" s="90">
        <f t="shared" si="89"/>
        <v>1633.2400000000002</v>
      </c>
      <c r="Q100" s="90">
        <f t="shared" si="89"/>
        <v>1559.1399999999999</v>
      </c>
      <c r="R100" s="90">
        <f t="shared" si="89"/>
        <v>1572.3400000000001</v>
      </c>
      <c r="S100" s="90">
        <f t="shared" ref="S100:T100" si="90">S99-(S107)</f>
        <v>1578.84</v>
      </c>
      <c r="T100" s="90">
        <f t="shared" si="90"/>
        <v>1612.74</v>
      </c>
      <c r="U100" s="90">
        <f t="shared" ref="U100:V100" si="91">U99-(U107)</f>
        <v>1527.54</v>
      </c>
      <c r="V100" s="90">
        <f t="shared" si="91"/>
        <v>1533.5810000000001</v>
      </c>
      <c r="W100" s="90">
        <f t="shared" ref="W100:X100" si="92">W99-(W107)</f>
        <v>1524.04</v>
      </c>
      <c r="X100" s="90">
        <f t="shared" si="92"/>
        <v>1497.4</v>
      </c>
      <c r="Y100" s="90">
        <f t="shared" ref="Y100:Z100" si="93">Y99-(Y107)</f>
        <v>1466.94</v>
      </c>
      <c r="Z100" s="90">
        <f t="shared" si="93"/>
        <v>1915.24</v>
      </c>
      <c r="AA100" s="90">
        <f t="shared" ref="AA100" si="94">AA99-(AA107)</f>
        <v>1947.04</v>
      </c>
      <c r="AB100" s="90">
        <f t="shared" si="89"/>
        <v>1862.5399999999997</v>
      </c>
      <c r="AC100" s="90">
        <f t="shared" si="89"/>
        <v>1848.14</v>
      </c>
      <c r="AD100" s="90">
        <f t="shared" si="89"/>
        <v>1869.8400000000001</v>
      </c>
      <c r="AE100" s="90">
        <f t="shared" si="89"/>
        <v>1722.7400000000002</v>
      </c>
      <c r="AF100" s="90">
        <f t="shared" si="89"/>
        <v>1650.6399999999999</v>
      </c>
      <c r="AG100" s="75"/>
      <c r="AH100" s="12">
        <f t="shared" si="61"/>
        <v>1947.04</v>
      </c>
      <c r="AI100" s="11">
        <f t="shared" si="62"/>
        <v>1450.74</v>
      </c>
      <c r="BF100" s="78"/>
      <c r="BG100" s="78">
        <v>67.400000000000006</v>
      </c>
      <c r="BH100" s="78">
        <v>103.6</v>
      </c>
      <c r="BI100" s="78">
        <v>405.14100000000002</v>
      </c>
      <c r="BJ100" s="78">
        <v>44.7</v>
      </c>
      <c r="BK100" s="78">
        <v>101.6</v>
      </c>
      <c r="BL100" s="78">
        <v>40.799999999999997</v>
      </c>
    </row>
    <row r="101" spans="1:64" x14ac:dyDescent="0.25">
      <c r="A101" s="89" t="s">
        <v>161</v>
      </c>
      <c r="B101" s="85">
        <f t="shared" ref="B101:C101" si="95">IF(B84&lt;0,B84*-1,0)</f>
        <v>0</v>
      </c>
      <c r="C101" s="85">
        <f t="shared" si="95"/>
        <v>0</v>
      </c>
      <c r="D101" s="85">
        <f t="shared" ref="D101" si="96">IF(D84&lt;0,D84*-1,0)</f>
        <v>0</v>
      </c>
      <c r="E101" s="85">
        <f t="shared" ref="E101:AF101" si="97">IF(E84&lt;0,E84*-1,0)</f>
        <v>0</v>
      </c>
      <c r="F101" s="85">
        <f t="shared" si="97"/>
        <v>0</v>
      </c>
      <c r="G101" s="85">
        <f t="shared" si="97"/>
        <v>0</v>
      </c>
      <c r="H101" s="85">
        <f t="shared" si="97"/>
        <v>0</v>
      </c>
      <c r="I101" s="85">
        <f t="shared" si="97"/>
        <v>0</v>
      </c>
      <c r="J101" s="85">
        <f t="shared" si="97"/>
        <v>0</v>
      </c>
      <c r="K101" s="85">
        <f t="shared" si="97"/>
        <v>0</v>
      </c>
      <c r="L101" s="85">
        <f t="shared" si="97"/>
        <v>0</v>
      </c>
      <c r="M101" s="85">
        <f t="shared" si="97"/>
        <v>0</v>
      </c>
      <c r="N101" s="85">
        <f t="shared" si="97"/>
        <v>0</v>
      </c>
      <c r="O101" s="85">
        <f t="shared" si="97"/>
        <v>0</v>
      </c>
      <c r="P101" s="85">
        <f t="shared" si="97"/>
        <v>0</v>
      </c>
      <c r="Q101" s="85">
        <f t="shared" si="97"/>
        <v>0</v>
      </c>
      <c r="R101" s="85">
        <f t="shared" si="97"/>
        <v>0</v>
      </c>
      <c r="S101" s="85">
        <f t="shared" ref="S101:T101" si="98">IF(S84&lt;0,S84*-1,0)</f>
        <v>0</v>
      </c>
      <c r="T101" s="85">
        <f t="shared" si="98"/>
        <v>0</v>
      </c>
      <c r="U101" s="85">
        <f t="shared" ref="U101:V101" si="99">IF(U84&lt;0,U84*-1,0)</f>
        <v>0</v>
      </c>
      <c r="V101" s="85">
        <f t="shared" si="99"/>
        <v>0</v>
      </c>
      <c r="W101" s="85">
        <f t="shared" ref="W101:X101" si="100">IF(W84&lt;0,W84*-1,0)</f>
        <v>0</v>
      </c>
      <c r="X101" s="85">
        <f t="shared" si="100"/>
        <v>0</v>
      </c>
      <c r="Y101" s="85">
        <f t="shared" ref="Y101:Z101" si="101">IF(Y84&lt;0,Y84*-1,0)</f>
        <v>0</v>
      </c>
      <c r="Z101" s="85">
        <f t="shared" si="101"/>
        <v>0</v>
      </c>
      <c r="AA101" s="85">
        <f t="shared" ref="AA101" si="102">IF(AA84&lt;0,AA84*-1,0)</f>
        <v>0</v>
      </c>
      <c r="AB101" s="85">
        <f t="shared" si="97"/>
        <v>0</v>
      </c>
      <c r="AC101" s="85">
        <f t="shared" si="97"/>
        <v>0</v>
      </c>
      <c r="AD101" s="85">
        <f t="shared" si="97"/>
        <v>0</v>
      </c>
      <c r="AE101" s="85">
        <f t="shared" si="97"/>
        <v>0</v>
      </c>
      <c r="AF101" s="85">
        <f t="shared" si="97"/>
        <v>0</v>
      </c>
      <c r="AG101" s="88"/>
      <c r="AH101" s="12">
        <f t="shared" si="61"/>
        <v>0</v>
      </c>
      <c r="AI101" s="11">
        <f t="shared" si="62"/>
        <v>0</v>
      </c>
      <c r="BF101" s="83"/>
      <c r="BG101" s="78">
        <v>62.5</v>
      </c>
      <c r="BH101" s="78">
        <v>111.96</v>
      </c>
      <c r="BI101" s="78">
        <v>346.6</v>
      </c>
      <c r="BJ101" s="78">
        <v>21.3</v>
      </c>
      <c r="BK101" s="78">
        <v>93.6</v>
      </c>
      <c r="BL101" s="78">
        <v>37.700000000000003</v>
      </c>
    </row>
    <row r="102" spans="1:64" x14ac:dyDescent="0.25">
      <c r="A102" s="87" t="s">
        <v>160</v>
      </c>
      <c r="B102" s="85">
        <f t="shared" ref="B102:C102" si="103">IF(B82&lt;0,B82*-1,0)</f>
        <v>0</v>
      </c>
      <c r="C102" s="85">
        <f t="shared" si="103"/>
        <v>0</v>
      </c>
      <c r="D102" s="85">
        <f t="shared" ref="D102" si="104">IF(D82&lt;0,D82*-1,0)</f>
        <v>0</v>
      </c>
      <c r="E102" s="85">
        <f t="shared" ref="E102:AF102" si="105">IF(E82&lt;0,E82*-1,0)</f>
        <v>0</v>
      </c>
      <c r="F102" s="85">
        <f t="shared" si="105"/>
        <v>0</v>
      </c>
      <c r="G102" s="85">
        <f t="shared" si="105"/>
        <v>0</v>
      </c>
      <c r="H102" s="85">
        <f t="shared" si="105"/>
        <v>0</v>
      </c>
      <c r="I102" s="85">
        <f t="shared" si="105"/>
        <v>0</v>
      </c>
      <c r="J102" s="85">
        <f t="shared" si="105"/>
        <v>0</v>
      </c>
      <c r="K102" s="85">
        <f t="shared" si="105"/>
        <v>0</v>
      </c>
      <c r="L102" s="85">
        <f t="shared" si="105"/>
        <v>0</v>
      </c>
      <c r="M102" s="85">
        <f t="shared" si="105"/>
        <v>0</v>
      </c>
      <c r="N102" s="85">
        <f t="shared" si="105"/>
        <v>0</v>
      </c>
      <c r="O102" s="85">
        <f t="shared" si="105"/>
        <v>0</v>
      </c>
      <c r="P102" s="85">
        <f t="shared" si="105"/>
        <v>0</v>
      </c>
      <c r="Q102" s="85">
        <f t="shared" si="105"/>
        <v>0</v>
      </c>
      <c r="R102" s="85">
        <f t="shared" si="105"/>
        <v>0</v>
      </c>
      <c r="S102" s="85">
        <f t="shared" ref="S102:T102" si="106">IF(S82&lt;0,S82*-1,0)</f>
        <v>0</v>
      </c>
      <c r="T102" s="85">
        <f t="shared" si="106"/>
        <v>0</v>
      </c>
      <c r="U102" s="85">
        <f t="shared" ref="U102:V102" si="107">IF(U82&lt;0,U82*-1,0)</f>
        <v>0</v>
      </c>
      <c r="V102" s="85">
        <f t="shared" si="107"/>
        <v>0</v>
      </c>
      <c r="W102" s="85">
        <f t="shared" ref="W102:X102" si="108">IF(W82&lt;0,W82*-1,0)</f>
        <v>0</v>
      </c>
      <c r="X102" s="85">
        <f t="shared" si="108"/>
        <v>0</v>
      </c>
      <c r="Y102" s="85">
        <f t="shared" ref="Y102:Z102" si="109">IF(Y82&lt;0,Y82*-1,0)</f>
        <v>0</v>
      </c>
      <c r="Z102" s="85">
        <f t="shared" si="109"/>
        <v>0</v>
      </c>
      <c r="AA102" s="85">
        <f t="shared" ref="AA102" si="110">IF(AA82&lt;0,AA82*-1,0)</f>
        <v>0</v>
      </c>
      <c r="AB102" s="85">
        <f t="shared" si="105"/>
        <v>0</v>
      </c>
      <c r="AC102" s="85">
        <f t="shared" si="105"/>
        <v>0</v>
      </c>
      <c r="AD102" s="85">
        <f t="shared" si="105"/>
        <v>0</v>
      </c>
      <c r="AE102" s="85">
        <f t="shared" si="105"/>
        <v>0</v>
      </c>
      <c r="AF102" s="85">
        <f t="shared" si="105"/>
        <v>0</v>
      </c>
      <c r="AG102" s="86"/>
      <c r="AH102" s="12">
        <f t="shared" si="61"/>
        <v>0</v>
      </c>
      <c r="AI102" s="11">
        <f t="shared" si="62"/>
        <v>0</v>
      </c>
      <c r="BF102" s="83"/>
      <c r="BG102" s="78">
        <v>72.900000000000006</v>
      </c>
      <c r="BH102" s="78">
        <v>0</v>
      </c>
      <c r="BI102" s="78">
        <v>404.3</v>
      </c>
      <c r="BJ102" s="78">
        <v>0</v>
      </c>
      <c r="BK102" s="78">
        <v>0</v>
      </c>
      <c r="BL102" s="78">
        <v>42.7</v>
      </c>
    </row>
    <row r="103" spans="1:64" x14ac:dyDescent="0.25">
      <c r="A103" s="82" t="s">
        <v>159</v>
      </c>
      <c r="B103" s="85">
        <f t="shared" ref="B103:C103" si="111">IF(B85&lt;0,B85*-1,0)</f>
        <v>0</v>
      </c>
      <c r="C103" s="85">
        <f t="shared" si="111"/>
        <v>0</v>
      </c>
      <c r="D103" s="85">
        <f t="shared" ref="D103" si="112">IF(D85&lt;0,D85*-1,0)</f>
        <v>0</v>
      </c>
      <c r="E103" s="85">
        <f t="shared" ref="E103:AF103" si="113">IF(E85&lt;0,E85*-1,0)</f>
        <v>0</v>
      </c>
      <c r="F103" s="85">
        <f t="shared" si="113"/>
        <v>0</v>
      </c>
      <c r="G103" s="85">
        <f t="shared" si="113"/>
        <v>0</v>
      </c>
      <c r="H103" s="85">
        <f t="shared" si="113"/>
        <v>0</v>
      </c>
      <c r="I103" s="85">
        <f t="shared" si="113"/>
        <v>0</v>
      </c>
      <c r="J103" s="85">
        <f t="shared" si="113"/>
        <v>0</v>
      </c>
      <c r="K103" s="85">
        <f t="shared" si="113"/>
        <v>0</v>
      </c>
      <c r="L103" s="85">
        <f t="shared" si="113"/>
        <v>0</v>
      </c>
      <c r="M103" s="85">
        <f t="shared" si="113"/>
        <v>0</v>
      </c>
      <c r="N103" s="85">
        <f t="shared" si="113"/>
        <v>0</v>
      </c>
      <c r="O103" s="85">
        <f t="shared" si="113"/>
        <v>0</v>
      </c>
      <c r="P103" s="85">
        <f t="shared" si="113"/>
        <v>0</v>
      </c>
      <c r="Q103" s="85">
        <f t="shared" si="113"/>
        <v>0</v>
      </c>
      <c r="R103" s="85">
        <f t="shared" si="113"/>
        <v>0</v>
      </c>
      <c r="S103" s="85">
        <f t="shared" ref="S103:T103" si="114">IF(S85&lt;0,S85*-1,0)</f>
        <v>0</v>
      </c>
      <c r="T103" s="85">
        <f t="shared" si="114"/>
        <v>0</v>
      </c>
      <c r="U103" s="85">
        <f t="shared" ref="U103:V103" si="115">IF(U85&lt;0,U85*-1,0)</f>
        <v>0</v>
      </c>
      <c r="V103" s="85">
        <f t="shared" si="115"/>
        <v>0</v>
      </c>
      <c r="W103" s="85">
        <f t="shared" ref="W103:X103" si="116">IF(W85&lt;0,W85*-1,0)</f>
        <v>0</v>
      </c>
      <c r="X103" s="85">
        <f t="shared" si="116"/>
        <v>0</v>
      </c>
      <c r="Y103" s="85">
        <f t="shared" ref="Y103:Z103" si="117">IF(Y85&lt;0,Y85*-1,0)</f>
        <v>0</v>
      </c>
      <c r="Z103" s="85">
        <f t="shared" si="117"/>
        <v>0</v>
      </c>
      <c r="AA103" s="85">
        <f t="shared" ref="AA103" si="118">IF(AA85&lt;0,AA85*-1,0)</f>
        <v>0</v>
      </c>
      <c r="AB103" s="85">
        <f t="shared" si="113"/>
        <v>0</v>
      </c>
      <c r="AC103" s="85">
        <f t="shared" si="113"/>
        <v>0</v>
      </c>
      <c r="AD103" s="85">
        <f t="shared" si="113"/>
        <v>0</v>
      </c>
      <c r="AE103" s="85">
        <f t="shared" si="113"/>
        <v>0</v>
      </c>
      <c r="AF103" s="85">
        <f t="shared" si="113"/>
        <v>0</v>
      </c>
      <c r="AG103" s="84"/>
      <c r="AH103" s="12">
        <f t="shared" si="61"/>
        <v>0</v>
      </c>
      <c r="AI103" s="11">
        <f t="shared" si="62"/>
        <v>0</v>
      </c>
      <c r="BF103" s="83"/>
      <c r="BG103" s="78">
        <v>28.9</v>
      </c>
      <c r="BH103" s="78">
        <v>0</v>
      </c>
      <c r="BI103" s="78">
        <v>74.2</v>
      </c>
      <c r="BJ103" s="78">
        <v>0</v>
      </c>
      <c r="BK103" s="78">
        <v>0</v>
      </c>
      <c r="BL103" s="78">
        <v>37.700000000000003</v>
      </c>
    </row>
    <row r="104" spans="1:64" x14ac:dyDescent="0.25">
      <c r="A104" s="82" t="s">
        <v>158</v>
      </c>
      <c r="B104" s="85">
        <f t="shared" ref="B104:C104" si="119">IF(B83&lt;0,B83*-1,0)</f>
        <v>0</v>
      </c>
      <c r="C104" s="85">
        <f t="shared" si="119"/>
        <v>0</v>
      </c>
      <c r="D104" s="85">
        <f t="shared" ref="D104" si="120">IF(D83&lt;0,D83*-1,0)</f>
        <v>0</v>
      </c>
      <c r="E104" s="85">
        <f t="shared" ref="E104:AF104" si="121">IF(E83&lt;0,E83*-1,0)</f>
        <v>0</v>
      </c>
      <c r="F104" s="85">
        <f t="shared" si="121"/>
        <v>0</v>
      </c>
      <c r="G104" s="85">
        <f t="shared" si="121"/>
        <v>0</v>
      </c>
      <c r="H104" s="85">
        <f t="shared" si="121"/>
        <v>0</v>
      </c>
      <c r="I104" s="85">
        <f t="shared" si="121"/>
        <v>0</v>
      </c>
      <c r="J104" s="85">
        <f t="shared" si="121"/>
        <v>0</v>
      </c>
      <c r="K104" s="85">
        <f t="shared" si="121"/>
        <v>0</v>
      </c>
      <c r="L104" s="85">
        <f t="shared" si="121"/>
        <v>0</v>
      </c>
      <c r="M104" s="85">
        <f t="shared" si="121"/>
        <v>0</v>
      </c>
      <c r="N104" s="85">
        <f t="shared" si="121"/>
        <v>0</v>
      </c>
      <c r="O104" s="85">
        <f t="shared" si="121"/>
        <v>0</v>
      </c>
      <c r="P104" s="85">
        <f t="shared" si="121"/>
        <v>0</v>
      </c>
      <c r="Q104" s="85">
        <f t="shared" si="121"/>
        <v>0</v>
      </c>
      <c r="R104" s="85">
        <f t="shared" si="121"/>
        <v>0</v>
      </c>
      <c r="S104" s="85">
        <f t="shared" ref="S104:T104" si="122">IF(S83&lt;0,S83*-1,0)</f>
        <v>0</v>
      </c>
      <c r="T104" s="85">
        <f t="shared" si="122"/>
        <v>0</v>
      </c>
      <c r="U104" s="85">
        <f t="shared" ref="U104:V104" si="123">IF(U83&lt;0,U83*-1,0)</f>
        <v>0</v>
      </c>
      <c r="V104" s="85">
        <f t="shared" si="123"/>
        <v>0</v>
      </c>
      <c r="W104" s="85">
        <f t="shared" ref="W104:X104" si="124">IF(W83&lt;0,W83*-1,0)</f>
        <v>0</v>
      </c>
      <c r="X104" s="85">
        <f t="shared" si="124"/>
        <v>0</v>
      </c>
      <c r="Y104" s="85">
        <f t="shared" ref="Y104:Z104" si="125">IF(Y83&lt;0,Y83*-1,0)</f>
        <v>0</v>
      </c>
      <c r="Z104" s="85">
        <f t="shared" si="125"/>
        <v>0</v>
      </c>
      <c r="AA104" s="85">
        <f t="shared" ref="AA104" si="126">IF(AA83&lt;0,AA83*-1,0)</f>
        <v>0</v>
      </c>
      <c r="AB104" s="85">
        <f t="shared" si="121"/>
        <v>0</v>
      </c>
      <c r="AC104" s="85">
        <f t="shared" si="121"/>
        <v>0</v>
      </c>
      <c r="AD104" s="85">
        <f t="shared" si="121"/>
        <v>0</v>
      </c>
      <c r="AE104" s="85">
        <f t="shared" si="121"/>
        <v>0</v>
      </c>
      <c r="AF104" s="85">
        <f t="shared" si="121"/>
        <v>0</v>
      </c>
      <c r="AG104" s="84"/>
      <c r="AH104" s="12">
        <f t="shared" si="61"/>
        <v>0</v>
      </c>
      <c r="AI104" s="11">
        <f t="shared" si="62"/>
        <v>0</v>
      </c>
      <c r="BF104" s="83"/>
      <c r="BG104" s="78">
        <v>42.2</v>
      </c>
      <c r="BH104" s="78">
        <v>0</v>
      </c>
      <c r="BI104" s="78">
        <v>105.7</v>
      </c>
      <c r="BJ104" s="78">
        <v>0</v>
      </c>
      <c r="BK104" s="78">
        <v>0</v>
      </c>
      <c r="BL104" s="78">
        <v>40</v>
      </c>
    </row>
    <row r="105" spans="1:64" x14ac:dyDescent="0.25">
      <c r="A105" s="82" t="s">
        <v>157</v>
      </c>
      <c r="B105" s="85">
        <f t="shared" ref="B105:C105" si="127">IF(B81&lt;0,B81*-1,0)</f>
        <v>0</v>
      </c>
      <c r="C105" s="85">
        <f t="shared" si="127"/>
        <v>0</v>
      </c>
      <c r="D105" s="85">
        <f t="shared" ref="D105" si="128">IF(D81&lt;0,D81*-1,0)</f>
        <v>0</v>
      </c>
      <c r="E105" s="85">
        <f t="shared" ref="E105:AF105" si="129">IF(E81&lt;0,E81*-1,0)</f>
        <v>0</v>
      </c>
      <c r="F105" s="85">
        <f t="shared" si="129"/>
        <v>0</v>
      </c>
      <c r="G105" s="85">
        <f t="shared" si="129"/>
        <v>0</v>
      </c>
      <c r="H105" s="85">
        <f t="shared" si="129"/>
        <v>0</v>
      </c>
      <c r="I105" s="85">
        <f t="shared" si="129"/>
        <v>0</v>
      </c>
      <c r="J105" s="85">
        <f t="shared" si="129"/>
        <v>0</v>
      </c>
      <c r="K105" s="85">
        <f t="shared" si="129"/>
        <v>0</v>
      </c>
      <c r="L105" s="85">
        <f t="shared" si="129"/>
        <v>0</v>
      </c>
      <c r="M105" s="85">
        <f t="shared" si="129"/>
        <v>0</v>
      </c>
      <c r="N105" s="85">
        <f t="shared" si="129"/>
        <v>0</v>
      </c>
      <c r="O105" s="85">
        <f t="shared" si="129"/>
        <v>0</v>
      </c>
      <c r="P105" s="85">
        <f t="shared" si="129"/>
        <v>0</v>
      </c>
      <c r="Q105" s="85">
        <f t="shared" si="129"/>
        <v>0</v>
      </c>
      <c r="R105" s="85">
        <f t="shared" si="129"/>
        <v>0</v>
      </c>
      <c r="S105" s="85">
        <f t="shared" ref="S105:T105" si="130">IF(S81&lt;0,S81*-1,0)</f>
        <v>0</v>
      </c>
      <c r="T105" s="85">
        <f t="shared" si="130"/>
        <v>0</v>
      </c>
      <c r="U105" s="85">
        <f t="shared" ref="U105:V105" si="131">IF(U81&lt;0,U81*-1,0)</f>
        <v>0</v>
      </c>
      <c r="V105" s="85">
        <f t="shared" si="131"/>
        <v>0</v>
      </c>
      <c r="W105" s="85">
        <f t="shared" ref="W105:X105" si="132">IF(W81&lt;0,W81*-1,0)</f>
        <v>0</v>
      </c>
      <c r="X105" s="85">
        <f t="shared" si="132"/>
        <v>0</v>
      </c>
      <c r="Y105" s="85">
        <f t="shared" ref="Y105:Z105" si="133">IF(Y81&lt;0,Y81*-1,0)</f>
        <v>0</v>
      </c>
      <c r="Z105" s="85">
        <f t="shared" si="133"/>
        <v>0</v>
      </c>
      <c r="AA105" s="85">
        <f t="shared" ref="AA105" si="134">IF(AA81&lt;0,AA81*-1,0)</f>
        <v>0</v>
      </c>
      <c r="AB105" s="85">
        <f t="shared" si="129"/>
        <v>0</v>
      </c>
      <c r="AC105" s="85">
        <f t="shared" si="129"/>
        <v>0</v>
      </c>
      <c r="AD105" s="85">
        <f t="shared" si="129"/>
        <v>0</v>
      </c>
      <c r="AE105" s="85">
        <f t="shared" si="129"/>
        <v>0</v>
      </c>
      <c r="AF105" s="85">
        <f t="shared" si="129"/>
        <v>0</v>
      </c>
      <c r="AG105" s="84"/>
      <c r="AH105" s="12">
        <f t="shared" si="61"/>
        <v>0</v>
      </c>
      <c r="AI105" s="11">
        <f t="shared" si="62"/>
        <v>0</v>
      </c>
      <c r="BF105" s="83"/>
      <c r="BG105" s="78">
        <v>41.4</v>
      </c>
      <c r="BH105" s="78">
        <v>0</v>
      </c>
      <c r="BI105" s="78">
        <v>78.2</v>
      </c>
      <c r="BJ105" s="78">
        <v>0</v>
      </c>
      <c r="BK105" s="78">
        <v>0</v>
      </c>
      <c r="BL105" s="78">
        <v>42.1</v>
      </c>
    </row>
    <row r="106" spans="1:64" ht="15.75" thickBot="1" x14ac:dyDescent="0.3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61"/>
        <v>0</v>
      </c>
      <c r="AI106" s="11">
        <f t="shared" si="62"/>
        <v>0</v>
      </c>
      <c r="BG106" s="78">
        <v>39.6</v>
      </c>
      <c r="BH106" s="78">
        <v>0</v>
      </c>
      <c r="BI106" s="78">
        <v>95.1</v>
      </c>
      <c r="BJ106" s="78">
        <v>0</v>
      </c>
      <c r="BK106" s="78">
        <v>0</v>
      </c>
      <c r="BL106" s="78">
        <v>46.7</v>
      </c>
    </row>
    <row r="107" spans="1:64" ht="15.75" thickBot="1" x14ac:dyDescent="0.3">
      <c r="A107" s="79" t="s">
        <v>155</v>
      </c>
      <c r="B107" s="76">
        <v>0</v>
      </c>
      <c r="C107" s="76">
        <v>0</v>
      </c>
      <c r="D107" s="76">
        <v>0</v>
      </c>
      <c r="E107" s="76">
        <f t="shared" ref="E107:AF107" si="135">SUM(E101:E106)</f>
        <v>0</v>
      </c>
      <c r="F107" s="76">
        <f t="shared" si="135"/>
        <v>0</v>
      </c>
      <c r="G107" s="76">
        <f t="shared" si="135"/>
        <v>0</v>
      </c>
      <c r="H107" s="76">
        <f t="shared" si="135"/>
        <v>0</v>
      </c>
      <c r="I107" s="76">
        <f t="shared" si="135"/>
        <v>0</v>
      </c>
      <c r="J107" s="76">
        <f t="shared" si="135"/>
        <v>0</v>
      </c>
      <c r="K107" s="76">
        <f t="shared" si="135"/>
        <v>0</v>
      </c>
      <c r="L107" s="76">
        <f t="shared" si="135"/>
        <v>0</v>
      </c>
      <c r="M107" s="76">
        <f t="shared" si="135"/>
        <v>0</v>
      </c>
      <c r="N107" s="76">
        <f t="shared" si="135"/>
        <v>0</v>
      </c>
      <c r="O107" s="76">
        <f t="shared" si="135"/>
        <v>0</v>
      </c>
      <c r="P107" s="76">
        <f t="shared" si="135"/>
        <v>0</v>
      </c>
      <c r="Q107" s="76">
        <f t="shared" si="135"/>
        <v>0</v>
      </c>
      <c r="R107" s="76">
        <f t="shared" si="135"/>
        <v>0</v>
      </c>
      <c r="S107" s="76">
        <f t="shared" ref="S107:T107" si="136">SUM(S101:S106)</f>
        <v>0</v>
      </c>
      <c r="T107" s="76">
        <f t="shared" si="136"/>
        <v>0</v>
      </c>
      <c r="U107" s="76">
        <f t="shared" ref="U107:V107" si="137">SUM(U101:U106)</f>
        <v>0</v>
      </c>
      <c r="V107" s="76">
        <f t="shared" si="137"/>
        <v>0</v>
      </c>
      <c r="W107" s="76">
        <f t="shared" ref="W107:X107" si="138">SUM(W101:W106)</f>
        <v>0</v>
      </c>
      <c r="X107" s="76">
        <f t="shared" si="138"/>
        <v>0</v>
      </c>
      <c r="Y107" s="76">
        <f t="shared" ref="Y107:Z107" si="139">SUM(Y101:Y106)</f>
        <v>0</v>
      </c>
      <c r="Z107" s="76">
        <f t="shared" si="139"/>
        <v>0</v>
      </c>
      <c r="AA107" s="76">
        <f t="shared" ref="AA107" si="140">SUM(AA101:AA106)</f>
        <v>0</v>
      </c>
      <c r="AB107" s="76">
        <f t="shared" si="135"/>
        <v>0</v>
      </c>
      <c r="AC107" s="76">
        <f t="shared" si="135"/>
        <v>0</v>
      </c>
      <c r="AD107" s="76">
        <f t="shared" si="135"/>
        <v>0</v>
      </c>
      <c r="AE107" s="76">
        <f t="shared" si="135"/>
        <v>0</v>
      </c>
      <c r="AF107" s="76">
        <f t="shared" si="135"/>
        <v>0</v>
      </c>
      <c r="AG107" s="75"/>
      <c r="AH107" s="12">
        <f t="shared" si="61"/>
        <v>0</v>
      </c>
      <c r="AI107" s="11">
        <f t="shared" si="62"/>
        <v>0</v>
      </c>
      <c r="AK107" s="19"/>
      <c r="BG107" s="78">
        <v>35</v>
      </c>
      <c r="BH107" s="78">
        <v>0</v>
      </c>
      <c r="BI107" s="78">
        <v>180</v>
      </c>
      <c r="BJ107" s="78">
        <v>27</v>
      </c>
      <c r="BK107" s="78">
        <v>0</v>
      </c>
      <c r="BL107" s="78">
        <v>46.8</v>
      </c>
    </row>
    <row r="108" spans="1:64" ht="15.75" thickBot="1" x14ac:dyDescent="0.3">
      <c r="A108" s="77" t="s">
        <v>154</v>
      </c>
      <c r="B108" s="76">
        <f t="shared" ref="B108:C108" si="141">B92-B107</f>
        <v>288.8</v>
      </c>
      <c r="C108" s="76">
        <f t="shared" si="141"/>
        <v>160.80000000000001</v>
      </c>
      <c r="D108" s="76">
        <f t="shared" ref="D108" si="142">D92-D107</f>
        <v>151.9</v>
      </c>
      <c r="E108" s="76">
        <f t="shared" ref="E108:AF108" si="143">E92-E107</f>
        <v>198.7</v>
      </c>
      <c r="F108" s="76">
        <f t="shared" si="143"/>
        <v>250.10000000000002</v>
      </c>
      <c r="G108" s="76">
        <f t="shared" si="143"/>
        <v>245.4</v>
      </c>
      <c r="H108" s="76">
        <f t="shared" si="143"/>
        <v>225.5</v>
      </c>
      <c r="I108" s="76">
        <f t="shared" si="143"/>
        <v>232.29999999999998</v>
      </c>
      <c r="J108" s="76">
        <f t="shared" si="143"/>
        <v>508.2</v>
      </c>
      <c r="K108" s="76">
        <f t="shared" si="143"/>
        <v>712.6</v>
      </c>
      <c r="L108" s="76">
        <f t="shared" si="143"/>
        <v>761.1</v>
      </c>
      <c r="M108" s="76">
        <f t="shared" si="143"/>
        <v>716.4</v>
      </c>
      <c r="N108" s="76">
        <f t="shared" si="143"/>
        <v>716.4</v>
      </c>
      <c r="O108" s="76">
        <f t="shared" si="143"/>
        <v>716.4</v>
      </c>
      <c r="P108" s="76">
        <f t="shared" si="143"/>
        <v>806.70000000000016</v>
      </c>
      <c r="Q108" s="76">
        <f t="shared" si="143"/>
        <v>751.69999999999993</v>
      </c>
      <c r="R108" s="76">
        <f t="shared" si="143"/>
        <v>753.9</v>
      </c>
      <c r="S108" s="76">
        <f t="shared" ref="S108:T108" si="144">S92-S107</f>
        <v>788.8</v>
      </c>
      <c r="T108" s="76">
        <f t="shared" si="144"/>
        <v>836.1</v>
      </c>
      <c r="U108" s="76">
        <f t="shared" ref="U108:V108" si="145">U92-U107</f>
        <v>799.2</v>
      </c>
      <c r="V108" s="76">
        <f t="shared" si="145"/>
        <v>763.2410000000001</v>
      </c>
      <c r="W108" s="76">
        <f t="shared" ref="W108:X108" si="146">W92-W107</f>
        <v>767.5</v>
      </c>
      <c r="X108" s="76">
        <f t="shared" si="146"/>
        <v>673.66</v>
      </c>
      <c r="Y108" s="76">
        <f t="shared" ref="Y108:Z108" si="147">Y92-Y107</f>
        <v>558.49999999999989</v>
      </c>
      <c r="Z108" s="76">
        <f t="shared" si="147"/>
        <v>519.90000000000009</v>
      </c>
      <c r="AA108" s="76">
        <f t="shared" ref="AA108" si="148">AA92-AA107</f>
        <v>425.70000000000005</v>
      </c>
      <c r="AB108" s="76">
        <f t="shared" si="143"/>
        <v>140.80000000000001</v>
      </c>
      <c r="AC108" s="76">
        <f t="shared" si="143"/>
        <v>154.4</v>
      </c>
      <c r="AD108" s="76">
        <f t="shared" si="143"/>
        <v>187.9</v>
      </c>
      <c r="AE108" s="76">
        <f t="shared" si="143"/>
        <v>161.69999999999999</v>
      </c>
      <c r="AF108" s="76">
        <f t="shared" si="143"/>
        <v>181.39999999999998</v>
      </c>
      <c r="AG108" s="75"/>
      <c r="AH108" s="12">
        <f t="shared" si="61"/>
        <v>836.1</v>
      </c>
      <c r="AI108" s="11">
        <f t="shared" si="62"/>
        <v>140.80000000000001</v>
      </c>
    </row>
    <row r="109" spans="1:64" x14ac:dyDescent="0.25">
      <c r="A109" s="25" t="s">
        <v>153</v>
      </c>
      <c r="B109" s="74">
        <v>50.05</v>
      </c>
      <c r="C109" s="74">
        <v>50.02</v>
      </c>
      <c r="D109" s="74">
        <v>49.97</v>
      </c>
      <c r="E109" s="74">
        <v>50.015999999999998</v>
      </c>
      <c r="F109" s="74">
        <v>50.023000000000003</v>
      </c>
      <c r="G109" s="74">
        <v>49.978999999999999</v>
      </c>
      <c r="H109" s="74">
        <v>50.011000000000003</v>
      </c>
      <c r="I109" s="74">
        <v>49.96</v>
      </c>
      <c r="J109" s="74">
        <v>50.006999999999998</v>
      </c>
      <c r="K109" s="74">
        <v>50.054000000000002</v>
      </c>
      <c r="L109" s="74">
        <v>49.994</v>
      </c>
      <c r="M109" s="74">
        <v>50.006999999999998</v>
      </c>
      <c r="N109" s="74">
        <v>50.006999999999998</v>
      </c>
      <c r="O109" s="74">
        <v>50.006999999999998</v>
      </c>
      <c r="P109" s="74">
        <v>50.034999999999997</v>
      </c>
      <c r="Q109" s="74">
        <v>49.942</v>
      </c>
      <c r="R109" s="74">
        <v>49.935000000000002</v>
      </c>
      <c r="S109" s="74">
        <v>49.95</v>
      </c>
      <c r="T109" s="74">
        <v>49.86</v>
      </c>
      <c r="U109" s="74">
        <v>50</v>
      </c>
      <c r="V109" s="74">
        <v>50.03</v>
      </c>
      <c r="W109" s="74">
        <v>50.02</v>
      </c>
      <c r="X109" s="74">
        <v>49.98</v>
      </c>
      <c r="Y109" s="74">
        <v>50.04</v>
      </c>
      <c r="Z109" s="74">
        <v>49.96</v>
      </c>
      <c r="AA109" s="74">
        <v>49.97</v>
      </c>
      <c r="AB109" s="74">
        <v>50.043999999999997</v>
      </c>
      <c r="AC109" s="74">
        <v>50.061</v>
      </c>
      <c r="AD109" s="74">
        <v>50.042999999999999</v>
      </c>
      <c r="AE109" s="74">
        <v>49.981000000000002</v>
      </c>
      <c r="AF109" s="74">
        <v>50.066000000000003</v>
      </c>
      <c r="AG109" s="73"/>
      <c r="AH109" s="12">
        <f t="shared" si="61"/>
        <v>50.066000000000003</v>
      </c>
      <c r="AI109" s="11">
        <f t="shared" si="62"/>
        <v>49.86</v>
      </c>
    </row>
    <row r="110" spans="1:64" x14ac:dyDescent="0.25">
      <c r="A110" s="22" t="s">
        <v>152</v>
      </c>
      <c r="B110" s="70">
        <v>129</v>
      </c>
      <c r="C110" s="70">
        <v>129</v>
      </c>
      <c r="D110" s="70">
        <v>129</v>
      </c>
      <c r="E110" s="70">
        <v>129</v>
      </c>
      <c r="F110" s="70">
        <v>129</v>
      </c>
      <c r="G110" s="70">
        <v>129</v>
      </c>
      <c r="H110" s="70">
        <v>127.5</v>
      </c>
      <c r="I110" s="70">
        <v>125</v>
      </c>
      <c r="J110" s="70">
        <v>125</v>
      </c>
      <c r="K110" s="70">
        <v>126</v>
      </c>
      <c r="L110" s="70">
        <v>126</v>
      </c>
      <c r="M110" s="70">
        <v>126.4</v>
      </c>
      <c r="N110" s="70">
        <v>126.4</v>
      </c>
      <c r="O110" s="70">
        <v>126.4</v>
      </c>
      <c r="P110" s="70">
        <v>124.4</v>
      </c>
      <c r="Q110" s="70">
        <v>124.8</v>
      </c>
      <c r="R110" s="70">
        <v>126.6</v>
      </c>
      <c r="S110" s="70">
        <v>126.6</v>
      </c>
      <c r="T110" s="70">
        <v>126.1</v>
      </c>
      <c r="U110" s="70">
        <v>127.3</v>
      </c>
      <c r="V110" s="70">
        <v>127.3</v>
      </c>
      <c r="W110" s="70">
        <v>128.1</v>
      </c>
      <c r="X110" s="70">
        <v>131.19999999999999</v>
      </c>
      <c r="Y110" s="70">
        <v>131.1</v>
      </c>
      <c r="Z110" s="70">
        <v>130.69999999999999</v>
      </c>
      <c r="AA110" s="70">
        <v>130.69999999999999</v>
      </c>
      <c r="AB110" s="70">
        <v>130.69999999999999</v>
      </c>
      <c r="AC110" s="70">
        <v>130.69999999999999</v>
      </c>
      <c r="AD110" s="70">
        <v>129.69999999999999</v>
      </c>
      <c r="AE110" s="70">
        <v>130.69999999999999</v>
      </c>
      <c r="AF110" s="70">
        <v>131.1</v>
      </c>
      <c r="AG110" s="69"/>
      <c r="AH110" s="12">
        <f t="shared" si="61"/>
        <v>131.19999999999999</v>
      </c>
      <c r="AI110" s="11">
        <f t="shared" si="62"/>
        <v>124.4</v>
      </c>
    </row>
    <row r="111" spans="1:64" x14ac:dyDescent="0.25">
      <c r="A111" s="22" t="s">
        <v>151</v>
      </c>
      <c r="B111" s="70">
        <v>132</v>
      </c>
      <c r="C111" s="70">
        <v>132</v>
      </c>
      <c r="D111" s="70">
        <v>132</v>
      </c>
      <c r="E111" s="70">
        <v>132.80000000000001</v>
      </c>
      <c r="F111" s="70">
        <v>132.80000000000001</v>
      </c>
      <c r="G111" s="70">
        <v>132.80000000000001</v>
      </c>
      <c r="H111" s="70">
        <v>132.80000000000001</v>
      </c>
      <c r="I111" s="70">
        <v>129.6</v>
      </c>
      <c r="J111" s="70">
        <v>129.6</v>
      </c>
      <c r="K111" s="70">
        <v>129</v>
      </c>
      <c r="L111" s="70">
        <v>129</v>
      </c>
      <c r="M111" s="70">
        <v>128.9</v>
      </c>
      <c r="N111" s="70">
        <v>128.9</v>
      </c>
      <c r="O111" s="70">
        <v>128.9</v>
      </c>
      <c r="P111" s="70">
        <v>127.8</v>
      </c>
      <c r="Q111" s="70">
        <v>128.19999999999999</v>
      </c>
      <c r="R111" s="70">
        <v>129.5</v>
      </c>
      <c r="S111" s="70">
        <v>129.5</v>
      </c>
      <c r="T111" s="70">
        <v>129.19999999999999</v>
      </c>
      <c r="U111" s="70">
        <v>130.4</v>
      </c>
      <c r="V111" s="70">
        <v>130.4</v>
      </c>
      <c r="W111" s="70">
        <v>131.1</v>
      </c>
      <c r="X111" s="70">
        <v>133.80000000000001</v>
      </c>
      <c r="Y111" s="70">
        <v>132.9</v>
      </c>
      <c r="Z111" s="70">
        <v>132.69999999999999</v>
      </c>
      <c r="AA111" s="70">
        <v>132.69999999999999</v>
      </c>
      <c r="AB111" s="70">
        <v>132.69999999999999</v>
      </c>
      <c r="AC111" s="70">
        <v>133.5</v>
      </c>
      <c r="AD111" s="70">
        <v>133.1</v>
      </c>
      <c r="AE111" s="70">
        <v>134.1</v>
      </c>
      <c r="AF111" s="70">
        <v>134.6</v>
      </c>
      <c r="AG111" s="69"/>
      <c r="AH111" s="12">
        <f t="shared" si="61"/>
        <v>134.6</v>
      </c>
      <c r="AI111" s="11">
        <f t="shared" si="62"/>
        <v>127.8</v>
      </c>
    </row>
    <row r="112" spans="1:64" x14ac:dyDescent="0.25">
      <c r="A112" s="22" t="s">
        <v>150</v>
      </c>
      <c r="B112" s="70">
        <v>127.3</v>
      </c>
      <c r="C112" s="70">
        <v>127.3</v>
      </c>
      <c r="D112" s="70">
        <v>132.69999999999999</v>
      </c>
      <c r="E112" s="70">
        <v>133</v>
      </c>
      <c r="F112" s="70">
        <v>133</v>
      </c>
      <c r="G112" s="70">
        <v>133</v>
      </c>
      <c r="H112" s="70">
        <v>133</v>
      </c>
      <c r="I112" s="70">
        <v>127.7</v>
      </c>
      <c r="J112" s="70">
        <v>127.7</v>
      </c>
      <c r="K112" s="70">
        <v>126.6</v>
      </c>
      <c r="L112" s="70">
        <v>126.6</v>
      </c>
      <c r="M112" s="70">
        <v>128</v>
      </c>
      <c r="N112" s="70">
        <v>128</v>
      </c>
      <c r="O112" s="70">
        <v>128</v>
      </c>
      <c r="P112" s="70">
        <v>131.1</v>
      </c>
      <c r="Q112" s="70">
        <v>128.4</v>
      </c>
      <c r="R112" s="70">
        <v>127.34</v>
      </c>
      <c r="S112" s="70">
        <v>127.34</v>
      </c>
      <c r="T112" s="70">
        <v>127.7</v>
      </c>
      <c r="U112" s="70">
        <v>124.2</v>
      </c>
      <c r="V112" s="70">
        <v>124.2</v>
      </c>
      <c r="W112" s="70">
        <v>126</v>
      </c>
      <c r="X112" s="70">
        <v>126.5</v>
      </c>
      <c r="Y112" s="70">
        <v>126.7</v>
      </c>
      <c r="Z112" s="70">
        <v>128.19999999999999</v>
      </c>
      <c r="AA112" s="70">
        <v>128.19999999999999</v>
      </c>
      <c r="AB112" s="70">
        <v>128.19999999999999</v>
      </c>
      <c r="AC112" s="70">
        <v>128.1</v>
      </c>
      <c r="AD112" s="70">
        <v>128.9</v>
      </c>
      <c r="AE112" s="70">
        <v>130.9</v>
      </c>
      <c r="AF112" s="70">
        <v>130.69999999999999</v>
      </c>
      <c r="AG112" s="69"/>
      <c r="AH112" s="12">
        <f t="shared" si="61"/>
        <v>133</v>
      </c>
      <c r="AI112" s="11">
        <f t="shared" si="62"/>
        <v>124.2</v>
      </c>
    </row>
    <row r="113" spans="1:35" x14ac:dyDescent="0.25">
      <c r="A113" s="72" t="s">
        <v>149</v>
      </c>
      <c r="B113" s="70">
        <v>126.2</v>
      </c>
      <c r="C113" s="70">
        <v>126.2</v>
      </c>
      <c r="D113" s="70">
        <v>132.30000000000001</v>
      </c>
      <c r="E113" s="70">
        <v>133</v>
      </c>
      <c r="F113" s="70">
        <v>133</v>
      </c>
      <c r="G113" s="70">
        <v>133</v>
      </c>
      <c r="H113" s="70">
        <v>133</v>
      </c>
      <c r="I113" s="70">
        <v>126.3</v>
      </c>
      <c r="J113" s="70">
        <v>126.3</v>
      </c>
      <c r="K113" s="70">
        <v>125.8</v>
      </c>
      <c r="L113" s="70">
        <v>125.8</v>
      </c>
      <c r="M113" s="70">
        <v>126.7</v>
      </c>
      <c r="N113" s="70">
        <v>126.7</v>
      </c>
      <c r="O113" s="70">
        <v>126.7</v>
      </c>
      <c r="P113" s="70">
        <v>124.7</v>
      </c>
      <c r="Q113" s="70">
        <v>127.5</v>
      </c>
      <c r="R113" s="70">
        <v>125.3</v>
      </c>
      <c r="S113" s="70">
        <v>125.3</v>
      </c>
      <c r="T113" s="70">
        <v>124.6</v>
      </c>
      <c r="U113" s="70">
        <v>121.5</v>
      </c>
      <c r="V113" s="70">
        <v>121.5</v>
      </c>
      <c r="W113" s="70">
        <v>121.6</v>
      </c>
      <c r="X113" s="70">
        <v>122.9</v>
      </c>
      <c r="Y113" s="70">
        <v>126.3</v>
      </c>
      <c r="Z113" s="70">
        <v>127.1</v>
      </c>
      <c r="AA113" s="70">
        <v>127.1</v>
      </c>
      <c r="AB113" s="70">
        <v>127.1</v>
      </c>
      <c r="AC113" s="70">
        <v>127.4</v>
      </c>
      <c r="AD113" s="70">
        <v>127.1</v>
      </c>
      <c r="AE113" s="70">
        <v>130.19999999999999</v>
      </c>
      <c r="AF113" s="70">
        <v>131</v>
      </c>
      <c r="AG113" s="69"/>
      <c r="AH113" s="12">
        <f t="shared" si="61"/>
        <v>133</v>
      </c>
      <c r="AI113" s="11">
        <f t="shared" si="62"/>
        <v>121.5</v>
      </c>
    </row>
    <row r="114" spans="1:35" x14ac:dyDescent="0.25">
      <c r="A114" s="72" t="s">
        <v>148</v>
      </c>
      <c r="B114" s="56">
        <v>136</v>
      </c>
      <c r="C114" s="56">
        <v>136</v>
      </c>
      <c r="D114" s="56">
        <v>134.80000000000001</v>
      </c>
      <c r="E114" s="56">
        <v>134.6</v>
      </c>
      <c r="F114" s="56">
        <v>134.6</v>
      </c>
      <c r="G114" s="56">
        <v>134.6</v>
      </c>
      <c r="H114" s="56">
        <v>134.6</v>
      </c>
      <c r="I114" s="56">
        <v>133.6</v>
      </c>
      <c r="J114" s="56">
        <v>133.6</v>
      </c>
      <c r="K114" s="56">
        <v>132.9</v>
      </c>
      <c r="L114" s="56">
        <v>132.9</v>
      </c>
      <c r="M114" s="56">
        <v>130.9</v>
      </c>
      <c r="N114" s="56">
        <v>130.9</v>
      </c>
      <c r="O114" s="56">
        <v>130.9</v>
      </c>
      <c r="P114" s="56">
        <v>132.19999999999999</v>
      </c>
      <c r="Q114" s="56">
        <v>130.69999999999999</v>
      </c>
      <c r="R114" s="56">
        <v>132</v>
      </c>
      <c r="S114" s="56">
        <v>132</v>
      </c>
      <c r="T114" s="56">
        <v>133</v>
      </c>
      <c r="U114" s="56">
        <v>131</v>
      </c>
      <c r="V114" s="56">
        <v>131</v>
      </c>
      <c r="W114" s="56">
        <v>131.5</v>
      </c>
      <c r="X114" s="56">
        <v>134.30000000000001</v>
      </c>
      <c r="Y114" s="56">
        <v>134.30000000000001</v>
      </c>
      <c r="Z114" s="56">
        <v>133.4</v>
      </c>
      <c r="AA114" s="56">
        <v>133.4</v>
      </c>
      <c r="AB114" s="56">
        <v>133.4</v>
      </c>
      <c r="AC114" s="56">
        <v>135.6</v>
      </c>
      <c r="AD114" s="56">
        <v>134.69999999999999</v>
      </c>
      <c r="AE114" s="56">
        <v>136</v>
      </c>
      <c r="AF114" s="56">
        <v>136.80000000000001</v>
      </c>
      <c r="AG114" s="71"/>
      <c r="AH114" s="12">
        <f t="shared" si="61"/>
        <v>136.80000000000001</v>
      </c>
      <c r="AI114" s="11">
        <f t="shared" si="62"/>
        <v>130.69999999999999</v>
      </c>
    </row>
    <row r="115" spans="1:35" x14ac:dyDescent="0.25">
      <c r="A115" s="22" t="s">
        <v>147</v>
      </c>
      <c r="B115" s="70">
        <v>136</v>
      </c>
      <c r="C115" s="70">
        <v>136</v>
      </c>
      <c r="D115" s="70">
        <v>135</v>
      </c>
      <c r="E115" s="70">
        <v>128</v>
      </c>
      <c r="F115" s="70">
        <v>128</v>
      </c>
      <c r="G115" s="70">
        <v>128</v>
      </c>
      <c r="H115" s="70">
        <v>128</v>
      </c>
      <c r="I115" s="70">
        <v>128</v>
      </c>
      <c r="J115" s="70">
        <v>128</v>
      </c>
      <c r="K115" s="70">
        <v>128.6</v>
      </c>
      <c r="L115" s="70">
        <v>128.6</v>
      </c>
      <c r="M115" s="70">
        <v>131.6</v>
      </c>
      <c r="N115" s="70">
        <v>131.6</v>
      </c>
      <c r="O115" s="70">
        <v>131.6</v>
      </c>
      <c r="P115" s="70">
        <v>132.6</v>
      </c>
      <c r="Q115" s="70">
        <v>130.69999999999999</v>
      </c>
      <c r="R115" s="70">
        <v>135.19999999999999</v>
      </c>
      <c r="S115" s="70">
        <v>135.19999999999999</v>
      </c>
      <c r="T115" s="70">
        <v>129.6</v>
      </c>
      <c r="U115" s="70">
        <v>127.6</v>
      </c>
      <c r="V115" s="70">
        <v>127.6</v>
      </c>
      <c r="W115" s="70">
        <v>131.19999999999999</v>
      </c>
      <c r="X115" s="70">
        <v>132.6</v>
      </c>
      <c r="Y115" s="70">
        <v>132.6</v>
      </c>
      <c r="Z115" s="70">
        <v>130.19999999999999</v>
      </c>
      <c r="AA115" s="70">
        <v>130.19999999999999</v>
      </c>
      <c r="AB115" s="70">
        <v>130.19999999999999</v>
      </c>
      <c r="AC115" s="70">
        <v>135.30000000000001</v>
      </c>
      <c r="AD115" s="70">
        <v>135.5</v>
      </c>
      <c r="AE115" s="70">
        <v>135.6</v>
      </c>
      <c r="AF115" s="70">
        <v>134.4</v>
      </c>
      <c r="AG115" s="69"/>
      <c r="AH115" s="12">
        <f t="shared" si="61"/>
        <v>136</v>
      </c>
      <c r="AI115" s="11">
        <f t="shared" si="62"/>
        <v>127.6</v>
      </c>
    </row>
    <row r="116" spans="1:35" ht="15.75" thickBot="1" x14ac:dyDescent="0.3">
      <c r="A116" s="22" t="s">
        <v>146</v>
      </c>
      <c r="B116" s="67">
        <v>66.099999999999994</v>
      </c>
      <c r="C116" s="67">
        <v>66.099999999999994</v>
      </c>
      <c r="D116" s="67">
        <v>66.400000000000006</v>
      </c>
      <c r="E116" s="67">
        <v>66.5</v>
      </c>
      <c r="F116" s="67">
        <v>66.5</v>
      </c>
      <c r="G116" s="67">
        <v>66.5</v>
      </c>
      <c r="H116" s="67">
        <v>65.599999999999994</v>
      </c>
      <c r="I116" s="67">
        <v>65.2</v>
      </c>
      <c r="J116" s="67">
        <v>65.2</v>
      </c>
      <c r="K116" s="67">
        <v>64.5</v>
      </c>
      <c r="L116" s="67">
        <v>64.5</v>
      </c>
      <c r="M116" s="67">
        <v>64.3</v>
      </c>
      <c r="N116" s="67">
        <v>64.3</v>
      </c>
      <c r="O116" s="67">
        <v>64.3</v>
      </c>
      <c r="P116" s="67">
        <v>63.6</v>
      </c>
      <c r="Q116" s="67">
        <v>63.8</v>
      </c>
      <c r="R116" s="67">
        <v>65</v>
      </c>
      <c r="S116" s="67">
        <v>65</v>
      </c>
      <c r="T116" s="67">
        <v>64.5</v>
      </c>
      <c r="U116" s="67">
        <v>65.3</v>
      </c>
      <c r="V116" s="67">
        <v>65.3</v>
      </c>
      <c r="W116" s="67">
        <v>65.7</v>
      </c>
      <c r="X116" s="67">
        <v>67</v>
      </c>
      <c r="Y116" s="67">
        <v>67</v>
      </c>
      <c r="Z116" s="67">
        <v>66.400000000000006</v>
      </c>
      <c r="AA116" s="67">
        <v>66.400000000000006</v>
      </c>
      <c r="AB116" s="67">
        <v>66.400000000000006</v>
      </c>
      <c r="AC116" s="67">
        <v>67</v>
      </c>
      <c r="AD116" s="67">
        <v>66.900000000000006</v>
      </c>
      <c r="AE116" s="67">
        <v>67.400000000000006</v>
      </c>
      <c r="AF116" s="67">
        <v>67.599999999999994</v>
      </c>
      <c r="AG116" s="66"/>
      <c r="AH116" s="12">
        <f t="shared" si="61"/>
        <v>67.599999999999994</v>
      </c>
      <c r="AI116" s="11">
        <f t="shared" si="62"/>
        <v>63.6</v>
      </c>
    </row>
    <row r="117" spans="1:35" ht="15.75" thickBot="1" x14ac:dyDescent="0.3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61"/>
        <v>0</v>
      </c>
      <c r="AI117" s="11">
        <f t="shared" si="62"/>
        <v>0</v>
      </c>
    </row>
    <row r="118" spans="1:35" ht="15.75" thickBot="1" x14ac:dyDescent="0.3">
      <c r="A118" s="65" t="s">
        <v>144</v>
      </c>
      <c r="B118" s="64">
        <f t="shared" ref="B118:C118" si="149">SUM(B22,B28,B31:B32,B66,B68:B69,B71,B73,B119:B123,B155,B161,B167,B176,B178,B190,B197,B200:B201,B208,B210,B212,B216:B218,B220:B222,B227,B233:B234,B236:B238,B246,B251)</f>
        <v>144.04</v>
      </c>
      <c r="C118" s="64">
        <f t="shared" si="149"/>
        <v>119.03999999999999</v>
      </c>
      <c r="D118" s="64">
        <f t="shared" ref="D118" si="150">SUM(D22,D28,D31:D32,D66,D68:D69,D71,D73,D119:D123,D155,D161,D167,D176,D178,D190,D197,D200:D201,D208,D210,D212,D216:D218,D220:D222,D227,D233:D234,D236:D238,D246,D251)</f>
        <v>108.03999999999999</v>
      </c>
      <c r="E118" s="64">
        <f t="shared" ref="E118:O118" si="151">SUM(E22,E28,E31:E32,E66,E68:E69,E71,E73,E119:E123,E155,E161,E167,E176,E178,E190,E197,E200:E201,E208,E210,E212,E216:E218,E220:E222,E227,E233:E234,E236:E238,E246,E251)</f>
        <v>99.639999999999972</v>
      </c>
      <c r="F118" s="64">
        <f t="shared" si="151"/>
        <v>102.43999999999998</v>
      </c>
      <c r="G118" s="64">
        <f t="shared" si="151"/>
        <v>123.24000000000001</v>
      </c>
      <c r="H118" s="64">
        <f t="shared" si="151"/>
        <v>141.04</v>
      </c>
      <c r="I118" s="64">
        <f t="shared" si="151"/>
        <v>183.44</v>
      </c>
      <c r="J118" s="64">
        <f t="shared" si="151"/>
        <v>201.33999999999997</v>
      </c>
      <c r="K118" s="64">
        <f t="shared" si="151"/>
        <v>256.83999999999997</v>
      </c>
      <c r="L118" s="64">
        <f t="shared" si="151"/>
        <v>274.63999999999993</v>
      </c>
      <c r="M118" s="64">
        <f t="shared" si="151"/>
        <v>285.44</v>
      </c>
      <c r="N118" s="64">
        <f t="shared" si="151"/>
        <v>276.24</v>
      </c>
      <c r="O118" s="64">
        <f t="shared" si="151"/>
        <v>274.64</v>
      </c>
      <c r="P118" s="64">
        <v>42</v>
      </c>
      <c r="Q118" s="64">
        <f t="shared" ref="Q118:R118" si="152">SUM(Q22,Q28,Q31:Q32,Q66,Q68:Q69,Q71,Q73,Q119:Q123,Q155,Q161,Q167,Q176,Q178,Q190,Q197,Q200:Q201,Q208,Q210,Q212,Q216:Q218,Q220:Q222,Q227,Q233:Q234,Q236:Q238,Q246,Q251)</f>
        <v>258.64</v>
      </c>
      <c r="R118" s="64">
        <f t="shared" si="152"/>
        <v>275.33999999999997</v>
      </c>
      <c r="S118" s="64">
        <f t="shared" ref="S118:T118" si="153">SUM(S22,S28,S31:S32,S66,S68:S69,S71,S73,S119:S123,S155,S161,S167,S176,S178,S190,S197,S200:S201,S208,S210,S212,S216:S218,S220:S222,S227,S233:S234,S236:S238,S246,S251)</f>
        <v>270.53999999999996</v>
      </c>
      <c r="T118" s="64">
        <f t="shared" si="153"/>
        <v>272.74</v>
      </c>
      <c r="U118" s="64">
        <f t="shared" ref="U118:V118" si="154">SUM(U22,U28,U31:U32,U66,U68:U69,U71,U73,U119:U123,U155,U161,U167,U176,U178,U190,U197,U200:U201,U208,U210,U212,U216:U218,U220:U222,U227,U233:U234,U236:U238,U246,U251)</f>
        <v>266.33999999999997</v>
      </c>
      <c r="V118" s="64">
        <f t="shared" si="154"/>
        <v>275.44</v>
      </c>
      <c r="W118" s="64">
        <f t="shared" ref="W118:X118" si="155">SUM(W22,W28,W31:W32,W66,W68:W69,W71,W73,W119:W123,W155,W161,W167,W176,W178,W190,W197,W200:W201,W208,W210,W212,W216:W218,W220:W222,W227,W233:W234,W236:W238,W246,W251)</f>
        <v>271.24</v>
      </c>
      <c r="X118" s="64">
        <f t="shared" si="155"/>
        <v>285.64</v>
      </c>
      <c r="Y118" s="64">
        <f t="shared" ref="Y118:Z118" si="156">SUM(Y22,Y28,Y31:Y32,Y66,Y68:Y69,Y71,Y73,Y119:Y123,Y155,Y161,Y167,Y176,Y178,Y190,Y197,Y200:Y201,Y208,Y210,Y212,Y216:Y218,Y220:Y222,Y227,Y233:Y234,Y236:Y238,Y246,Y251)</f>
        <v>303.24000000000007</v>
      </c>
      <c r="Z118" s="64">
        <f t="shared" si="156"/>
        <v>370.74</v>
      </c>
      <c r="AA118" s="64">
        <f t="shared" ref="AA118" si="157">SUM(AA22,AA28,AA31:AA32,AA66,AA68:AA69,AA71,AA73,AA119:AA123,AA155,AA161,AA167,AA176,AA178,AA190,AA197,AA200:AA201,AA208,AA210,AA212,AA216:AA218,AA220:AA222,AA227,AA233:AA234,AA236:AA238,AA246,AA251)</f>
        <v>380.24</v>
      </c>
      <c r="AB118" s="64">
        <f t="shared" ref="AB118:AF118" si="158">SUM(AB22,AB28,AB31:AB32,AB66,AB68:AB69,AB71,AB73,AB119:AB123,AB155,AB161,AB167,AB176,AB178,AB190,AB197,AB200:AB201,AB208,AB210,AB212,AB216:AB218,AB220:AB222,AB227,AB233:AB234,AB236:AB238,AB246,AB251)</f>
        <v>286.83999999999997</v>
      </c>
      <c r="AC118" s="64">
        <f t="shared" si="158"/>
        <v>266.64</v>
      </c>
      <c r="AD118" s="64">
        <f t="shared" si="158"/>
        <v>223.83999999999997</v>
      </c>
      <c r="AE118" s="64">
        <f t="shared" si="158"/>
        <v>192.74</v>
      </c>
      <c r="AF118" s="64">
        <f t="shared" si="158"/>
        <v>154.24</v>
      </c>
      <c r="AG118" s="63"/>
      <c r="AH118" s="12">
        <f t="shared" si="61"/>
        <v>380.24</v>
      </c>
      <c r="AI118" s="11">
        <f t="shared" si="62"/>
        <v>42</v>
      </c>
    </row>
    <row r="119" spans="1:35" x14ac:dyDescent="0.25">
      <c r="A119" s="59" t="s">
        <v>143</v>
      </c>
      <c r="B119" s="62">
        <v>27</v>
      </c>
      <c r="C119" s="62">
        <v>33</v>
      </c>
      <c r="D119" s="62">
        <v>40</v>
      </c>
      <c r="E119" s="62">
        <v>36.6</v>
      </c>
      <c r="F119" s="62">
        <v>29.2</v>
      </c>
      <c r="G119" s="62">
        <v>29.6</v>
      </c>
      <c r="H119" s="62">
        <v>39.1</v>
      </c>
      <c r="I119" s="62">
        <v>41.5</v>
      </c>
      <c r="J119" s="62">
        <v>31.8</v>
      </c>
      <c r="K119" s="62">
        <v>28.3</v>
      </c>
      <c r="L119" s="62">
        <v>31</v>
      </c>
      <c r="M119" s="62">
        <v>32.6</v>
      </c>
      <c r="N119" s="62">
        <v>26</v>
      </c>
      <c r="O119" s="62">
        <v>20.100000000000001</v>
      </c>
      <c r="P119" s="62">
        <v>18.7</v>
      </c>
      <c r="Q119" s="62">
        <v>23</v>
      </c>
      <c r="R119" s="62">
        <v>20.8</v>
      </c>
      <c r="S119" s="62">
        <v>16.7</v>
      </c>
      <c r="T119" s="62">
        <v>6.9</v>
      </c>
      <c r="U119" s="62">
        <v>0.5</v>
      </c>
      <c r="V119" s="62">
        <v>1.4</v>
      </c>
      <c r="W119" s="62">
        <v>2.1</v>
      </c>
      <c r="X119" s="62">
        <v>10.6</v>
      </c>
      <c r="Y119" s="62">
        <v>8.6999999999999993</v>
      </c>
      <c r="Z119" s="62">
        <v>16.100000000000001</v>
      </c>
      <c r="AA119" s="62">
        <v>19.7</v>
      </c>
      <c r="AB119" s="62">
        <v>30.9</v>
      </c>
      <c r="AC119" s="62">
        <v>25.9</v>
      </c>
      <c r="AD119" s="62">
        <v>14.3</v>
      </c>
      <c r="AE119" s="62">
        <v>19.100000000000001</v>
      </c>
      <c r="AF119" s="62">
        <v>17.100000000000001</v>
      </c>
      <c r="AG119" s="55">
        <v>75</v>
      </c>
      <c r="AH119" s="12">
        <f t="shared" si="61"/>
        <v>41.5</v>
      </c>
      <c r="AI119" s="11">
        <f t="shared" si="62"/>
        <v>0.5</v>
      </c>
    </row>
    <row r="120" spans="1:35" x14ac:dyDescent="0.25">
      <c r="A120" s="57" t="s">
        <v>142</v>
      </c>
      <c r="B120" s="61">
        <v>43</v>
      </c>
      <c r="C120" s="61">
        <v>54</v>
      </c>
      <c r="D120" s="61">
        <v>62</v>
      </c>
      <c r="E120" s="61">
        <v>56.7</v>
      </c>
      <c r="F120" s="61">
        <v>47.2</v>
      </c>
      <c r="G120" s="61">
        <v>46.7</v>
      </c>
      <c r="H120" s="61">
        <v>60.9</v>
      </c>
      <c r="I120" s="61">
        <v>58.4</v>
      </c>
      <c r="J120" s="61">
        <v>43.6</v>
      </c>
      <c r="K120" s="61">
        <v>34.5</v>
      </c>
      <c r="L120" s="61">
        <v>38.6</v>
      </c>
      <c r="M120" s="61">
        <v>42.2</v>
      </c>
      <c r="N120" s="61">
        <v>40</v>
      </c>
      <c r="O120" s="61">
        <v>28</v>
      </c>
      <c r="P120" s="61">
        <v>22.6</v>
      </c>
      <c r="Q120" s="61">
        <v>28.9</v>
      </c>
      <c r="R120" s="61">
        <v>26</v>
      </c>
      <c r="S120" s="61">
        <v>20.6</v>
      </c>
      <c r="T120" s="61">
        <v>6.9</v>
      </c>
      <c r="U120" s="61">
        <v>-3.5</v>
      </c>
      <c r="V120" s="61">
        <v>-2.5</v>
      </c>
      <c r="W120" s="61">
        <v>0</v>
      </c>
      <c r="X120" s="61">
        <v>14.2</v>
      </c>
      <c r="Y120" s="61">
        <v>19.2</v>
      </c>
      <c r="Z120" s="61">
        <v>27.3</v>
      </c>
      <c r="AA120" s="61">
        <v>32.9</v>
      </c>
      <c r="AB120" s="61">
        <v>49.8</v>
      </c>
      <c r="AC120" s="61">
        <v>43.8</v>
      </c>
      <c r="AD120" s="61">
        <v>26.2</v>
      </c>
      <c r="AE120" s="61">
        <v>33.700000000000003</v>
      </c>
      <c r="AF120" s="61">
        <v>29.3</v>
      </c>
      <c r="AG120" s="55">
        <v>240</v>
      </c>
      <c r="AH120" s="12">
        <f t="shared" si="61"/>
        <v>62</v>
      </c>
      <c r="AI120" s="11">
        <f t="shared" si="62"/>
        <v>-3.5</v>
      </c>
    </row>
    <row r="121" spans="1:35" x14ac:dyDescent="0.25">
      <c r="A121" s="57" t="s">
        <v>141</v>
      </c>
      <c r="B121" s="61">
        <v>-87</v>
      </c>
      <c r="C121" s="61">
        <v>-106</v>
      </c>
      <c r="D121" s="61">
        <v>-125</v>
      </c>
      <c r="E121" s="61">
        <v>-120</v>
      </c>
      <c r="F121" s="61">
        <v>-103</v>
      </c>
      <c r="G121" s="61">
        <v>-99</v>
      </c>
      <c r="H121" s="61">
        <v>-115.3</v>
      </c>
      <c r="I121" s="61">
        <v>-94</v>
      </c>
      <c r="J121" s="61">
        <v>-55</v>
      </c>
      <c r="K121" s="61">
        <v>-11</v>
      </c>
      <c r="L121" s="61">
        <v>-13.2</v>
      </c>
      <c r="M121" s="61">
        <v>-12</v>
      </c>
      <c r="N121" s="61">
        <v>-11.6</v>
      </c>
      <c r="O121" s="61">
        <v>12</v>
      </c>
      <c r="P121" s="61">
        <v>15.2</v>
      </c>
      <c r="Q121" s="61">
        <v>5</v>
      </c>
      <c r="R121" s="61">
        <v>7</v>
      </c>
      <c r="S121" s="61">
        <v>0</v>
      </c>
      <c r="T121" s="61">
        <v>8.3000000000000007</v>
      </c>
      <c r="U121" s="61">
        <v>16.5</v>
      </c>
      <c r="V121" s="61">
        <v>16.899999999999999</v>
      </c>
      <c r="W121" s="61">
        <v>19.2</v>
      </c>
      <c r="X121" s="61">
        <v>-7.4</v>
      </c>
      <c r="Y121" s="61">
        <v>3.3</v>
      </c>
      <c r="Z121" s="61">
        <v>-2</v>
      </c>
      <c r="AA121" s="61">
        <v>-2</v>
      </c>
      <c r="AB121" s="61">
        <v>-87</v>
      </c>
      <c r="AC121" s="61">
        <v>-82</v>
      </c>
      <c r="AD121" s="61">
        <v>-45</v>
      </c>
      <c r="AE121" s="61">
        <v>-58</v>
      </c>
      <c r="AF121" s="61">
        <v>-66.7</v>
      </c>
      <c r="AG121" s="55">
        <v>240</v>
      </c>
      <c r="AH121" s="12">
        <f t="shared" si="61"/>
        <v>19.2</v>
      </c>
      <c r="AI121" s="11">
        <f t="shared" si="62"/>
        <v>-125</v>
      </c>
    </row>
    <row r="122" spans="1:35" ht="15.75" thickBot="1" x14ac:dyDescent="0.3">
      <c r="A122" s="57" t="s">
        <v>140</v>
      </c>
      <c r="B122" s="61">
        <v>12</v>
      </c>
      <c r="C122" s="61">
        <v>9</v>
      </c>
      <c r="D122" s="61">
        <v>6</v>
      </c>
      <c r="E122" s="61">
        <v>6.6</v>
      </c>
      <c r="F122" s="61">
        <v>8.6999999999999993</v>
      </c>
      <c r="G122" s="61">
        <v>9.8000000000000007</v>
      </c>
      <c r="H122" s="61">
        <v>6.8</v>
      </c>
      <c r="I122" s="61">
        <v>7.8</v>
      </c>
      <c r="J122" s="61">
        <v>-1.5</v>
      </c>
      <c r="K122" s="61">
        <v>0</v>
      </c>
      <c r="L122" s="61">
        <v>1.7</v>
      </c>
      <c r="M122" s="61">
        <v>2.6</v>
      </c>
      <c r="N122" s="61">
        <v>2.9</v>
      </c>
      <c r="O122" s="61">
        <v>4.5999999999999996</v>
      </c>
      <c r="P122" s="61">
        <v>6.3</v>
      </c>
      <c r="Q122" s="61">
        <v>1.2</v>
      </c>
      <c r="R122" s="61">
        <v>5</v>
      </c>
      <c r="S122" s="61">
        <v>1.5</v>
      </c>
      <c r="T122" s="61">
        <v>-4.0999999999999996</v>
      </c>
      <c r="U122" s="61">
        <v>6.8</v>
      </c>
      <c r="V122" s="61">
        <v>5.6</v>
      </c>
      <c r="W122" s="61">
        <v>2.2999999999999998</v>
      </c>
      <c r="X122" s="61">
        <v>6.4</v>
      </c>
      <c r="Y122" s="61">
        <v>30.3</v>
      </c>
      <c r="Z122" s="61">
        <v>39.4</v>
      </c>
      <c r="AA122" s="61">
        <v>39.4</v>
      </c>
      <c r="AB122" s="61">
        <v>32</v>
      </c>
      <c r="AC122" s="61">
        <v>32.1</v>
      </c>
      <c r="AD122" s="61">
        <v>19.7</v>
      </c>
      <c r="AE122" s="61">
        <v>16.7</v>
      </c>
      <c r="AF122" s="61">
        <v>14.5</v>
      </c>
      <c r="AG122" s="55">
        <v>60</v>
      </c>
      <c r="AH122" s="12">
        <f t="shared" si="61"/>
        <v>39.4</v>
      </c>
      <c r="AI122" s="11">
        <f t="shared" si="62"/>
        <v>-4.0999999999999996</v>
      </c>
    </row>
    <row r="123" spans="1:35" x14ac:dyDescent="0.25">
      <c r="A123" s="59" t="s">
        <v>139</v>
      </c>
      <c r="B123" s="58">
        <v>32</v>
      </c>
      <c r="C123" s="58">
        <v>12</v>
      </c>
      <c r="D123" s="58">
        <v>8</v>
      </c>
      <c r="E123" s="58">
        <v>2.7</v>
      </c>
      <c r="F123" s="58">
        <v>1.9</v>
      </c>
      <c r="G123" s="58">
        <v>17.7</v>
      </c>
      <c r="H123" s="58">
        <v>31.1</v>
      </c>
      <c r="I123" s="58">
        <v>51.3</v>
      </c>
      <c r="J123" s="58">
        <v>62.5</v>
      </c>
      <c r="K123" s="58">
        <v>83.4</v>
      </c>
      <c r="L123" s="58">
        <v>93.5</v>
      </c>
      <c r="M123" s="58">
        <v>97</v>
      </c>
      <c r="N123" s="58">
        <v>90</v>
      </c>
      <c r="O123" s="58">
        <v>81.3</v>
      </c>
      <c r="P123" s="58">
        <v>72.400000000000006</v>
      </c>
      <c r="Q123" s="58">
        <v>66</v>
      </c>
      <c r="R123" s="58">
        <v>82</v>
      </c>
      <c r="S123" s="58">
        <v>98.2</v>
      </c>
      <c r="T123" s="58">
        <v>125.3</v>
      </c>
      <c r="U123" s="58">
        <v>120.4</v>
      </c>
      <c r="V123" s="58">
        <v>128.4</v>
      </c>
      <c r="W123" s="58">
        <v>122</v>
      </c>
      <c r="X123" s="58">
        <v>142.5</v>
      </c>
      <c r="Y123" s="58">
        <v>122.4</v>
      </c>
      <c r="Z123" s="58">
        <v>171</v>
      </c>
      <c r="AA123" s="58">
        <v>171.3</v>
      </c>
      <c r="AB123" s="58">
        <v>145</v>
      </c>
      <c r="AC123" s="58">
        <v>130.1</v>
      </c>
      <c r="AD123" s="58">
        <v>89.9</v>
      </c>
      <c r="AE123" s="58">
        <v>62.5</v>
      </c>
      <c r="AF123" s="58">
        <v>43.7</v>
      </c>
      <c r="AG123" s="60">
        <v>120</v>
      </c>
      <c r="AH123" s="12">
        <f t="shared" si="61"/>
        <v>171.3</v>
      </c>
      <c r="AI123" s="11">
        <f t="shared" si="62"/>
        <v>1.9</v>
      </c>
    </row>
    <row r="124" spans="1:35" x14ac:dyDescent="0.25">
      <c r="A124" s="57" t="s">
        <v>138</v>
      </c>
      <c r="B124" s="58">
        <v>38</v>
      </c>
      <c r="C124" s="58">
        <v>28</v>
      </c>
      <c r="D124" s="58">
        <v>25.5</v>
      </c>
      <c r="E124" s="58">
        <v>23.6</v>
      </c>
      <c r="F124" s="58">
        <v>22.6</v>
      </c>
      <c r="G124" s="58">
        <v>30.1</v>
      </c>
      <c r="H124" s="58">
        <v>36.700000000000003</v>
      </c>
      <c r="I124" s="58">
        <v>47.3</v>
      </c>
      <c r="J124" s="58">
        <v>53.2</v>
      </c>
      <c r="K124" s="58">
        <v>63.8</v>
      </c>
      <c r="L124" s="58">
        <v>67.7</v>
      </c>
      <c r="M124" s="58">
        <v>69</v>
      </c>
      <c r="N124" s="58">
        <v>61</v>
      </c>
      <c r="O124" s="58">
        <v>60</v>
      </c>
      <c r="P124" s="58">
        <v>57</v>
      </c>
      <c r="Q124" s="58">
        <v>54.3</v>
      </c>
      <c r="R124" s="58">
        <v>61</v>
      </c>
      <c r="S124" s="58">
        <v>64.599999999999994</v>
      </c>
      <c r="T124" s="58">
        <v>77</v>
      </c>
      <c r="U124" s="58">
        <v>74.900000000000006</v>
      </c>
      <c r="V124" s="58">
        <v>78.2</v>
      </c>
      <c r="W124" s="58">
        <v>75.8</v>
      </c>
      <c r="X124" s="58">
        <v>84.4</v>
      </c>
      <c r="Y124" s="58">
        <v>75.8</v>
      </c>
      <c r="Z124" s="58">
        <v>96</v>
      </c>
      <c r="AA124" s="58">
        <v>97.5</v>
      </c>
      <c r="AB124" s="58">
        <v>90.7</v>
      </c>
      <c r="AC124" s="58">
        <v>84.7</v>
      </c>
      <c r="AD124" s="58">
        <v>65.400000000000006</v>
      </c>
      <c r="AE124" s="58">
        <v>51.2</v>
      </c>
      <c r="AF124" s="58">
        <v>37.5</v>
      </c>
      <c r="AG124" s="60"/>
      <c r="AH124" s="12">
        <f t="shared" si="61"/>
        <v>97.5</v>
      </c>
      <c r="AI124" s="11">
        <f t="shared" si="62"/>
        <v>22.6</v>
      </c>
    </row>
    <row r="125" spans="1:35" x14ac:dyDescent="0.25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61"/>
        <v>0</v>
      </c>
      <c r="AI125" s="11">
        <f t="shared" si="62"/>
        <v>0</v>
      </c>
    </row>
    <row r="126" spans="1:35" ht="15.75" thickBot="1" x14ac:dyDescent="0.3">
      <c r="A126" s="57" t="s">
        <v>136</v>
      </c>
      <c r="B126" s="58">
        <v>54</v>
      </c>
      <c r="C126" s="58">
        <v>44</v>
      </c>
      <c r="D126" s="58">
        <v>33</v>
      </c>
      <c r="E126" s="58">
        <v>34.799999999999997</v>
      </c>
      <c r="F126" s="58">
        <v>39.1</v>
      </c>
      <c r="G126" s="58">
        <v>44.7</v>
      </c>
      <c r="H126" s="58">
        <v>35.4</v>
      </c>
      <c r="I126" s="58">
        <v>56.4</v>
      </c>
      <c r="J126" s="58">
        <v>46.4</v>
      </c>
      <c r="K126" s="58">
        <v>71.7</v>
      </c>
      <c r="L126" s="58">
        <v>75.2</v>
      </c>
      <c r="M126" s="58">
        <v>82</v>
      </c>
      <c r="N126" s="58">
        <v>89</v>
      </c>
      <c r="O126" s="58">
        <v>92</v>
      </c>
      <c r="P126" s="58">
        <v>104.2</v>
      </c>
      <c r="Q126" s="58">
        <v>91.7</v>
      </c>
      <c r="R126" s="58">
        <v>92</v>
      </c>
      <c r="S126" s="58">
        <v>88.3</v>
      </c>
      <c r="T126" s="58">
        <v>95.6</v>
      </c>
      <c r="U126" s="58">
        <v>91.1</v>
      </c>
      <c r="V126" s="58">
        <v>83.9</v>
      </c>
      <c r="W126" s="58">
        <v>91.9</v>
      </c>
      <c r="X126" s="58">
        <v>61.1</v>
      </c>
      <c r="Y126" s="58">
        <v>50.7</v>
      </c>
      <c r="Z126" s="58">
        <v>59.4</v>
      </c>
      <c r="AA126" s="58">
        <v>50.2</v>
      </c>
      <c r="AB126" s="58">
        <v>33.5</v>
      </c>
      <c r="AC126" s="58">
        <v>33.9</v>
      </c>
      <c r="AD126" s="58">
        <v>70.400000000000006</v>
      </c>
      <c r="AE126" s="58">
        <v>53.9</v>
      </c>
      <c r="AF126" s="58">
        <v>55</v>
      </c>
      <c r="AG126" s="55"/>
      <c r="AH126" s="12">
        <f>MAX(B126:AF126)</f>
        <v>104.2</v>
      </c>
      <c r="AI126" s="11">
        <f>MIN(B126:AF126)</f>
        <v>33</v>
      </c>
    </row>
    <row r="127" spans="1:35" x14ac:dyDescent="0.25">
      <c r="A127" s="59" t="s">
        <v>135</v>
      </c>
      <c r="B127" s="58">
        <v>-114</v>
      </c>
      <c r="C127" s="58">
        <v>-152</v>
      </c>
      <c r="D127" s="58">
        <v>-154</v>
      </c>
      <c r="E127" s="58">
        <v>-124.6</v>
      </c>
      <c r="F127" s="58">
        <v>-107.9</v>
      </c>
      <c r="G127" s="58">
        <v>-99.9</v>
      </c>
      <c r="H127" s="58">
        <v>-93.3</v>
      </c>
      <c r="I127" s="58">
        <v>-110.9</v>
      </c>
      <c r="J127" s="58">
        <v>-36.9</v>
      </c>
      <c r="K127" s="58">
        <v>18.2</v>
      </c>
      <c r="L127" s="58">
        <v>23.5</v>
      </c>
      <c r="M127" s="58">
        <v>26</v>
      </c>
      <c r="N127" s="58">
        <v>23</v>
      </c>
      <c r="O127" s="58">
        <v>12.39</v>
      </c>
      <c r="P127" s="58">
        <v>56.9</v>
      </c>
      <c r="Q127" s="58">
        <v>10.3</v>
      </c>
      <c r="R127" s="58">
        <v>19</v>
      </c>
      <c r="S127" s="58">
        <v>26.3</v>
      </c>
      <c r="T127" s="58">
        <v>39</v>
      </c>
      <c r="U127" s="58">
        <v>36.6</v>
      </c>
      <c r="V127" s="58">
        <v>39.9</v>
      </c>
      <c r="W127" s="58">
        <v>93.5</v>
      </c>
      <c r="X127" s="58">
        <v>39.9</v>
      </c>
      <c r="Y127" s="58">
        <v>15.8</v>
      </c>
      <c r="Z127" s="58">
        <v>-5.4</v>
      </c>
      <c r="AA127" s="58">
        <v>-38.799999999999997</v>
      </c>
      <c r="AB127" s="58">
        <v>-136.19999999999999</v>
      </c>
      <c r="AC127" s="58">
        <v>-143.6</v>
      </c>
      <c r="AD127" s="58">
        <v>-174.6</v>
      </c>
      <c r="AE127" s="58">
        <v>-163.30000000000001</v>
      </c>
      <c r="AF127" s="58">
        <v>-149.5</v>
      </c>
      <c r="AG127" s="55"/>
      <c r="AH127" s="12">
        <f>MAX(B127:AF127)</f>
        <v>93.5</v>
      </c>
      <c r="AI127" s="11">
        <f>MIN(B127:AF127)</f>
        <v>-174.6</v>
      </c>
    </row>
    <row r="128" spans="1:35" x14ac:dyDescent="0.25">
      <c r="A128" s="57" t="s">
        <v>134</v>
      </c>
      <c r="B128" s="56">
        <v>-65</v>
      </c>
      <c r="C128" s="56">
        <v>-56</v>
      </c>
      <c r="D128" s="56">
        <v>-51</v>
      </c>
      <c r="E128" s="56">
        <v>-50.8</v>
      </c>
      <c r="F128" s="56">
        <v>-47.7</v>
      </c>
      <c r="G128" s="56">
        <v>-51.5</v>
      </c>
      <c r="H128" s="56">
        <v>-52.5</v>
      </c>
      <c r="I128" s="56">
        <v>-55.3</v>
      </c>
      <c r="J128" s="56">
        <v>-57.6</v>
      </c>
      <c r="K128" s="56">
        <v>-62.4</v>
      </c>
      <c r="L128" s="56">
        <v>-65.5</v>
      </c>
      <c r="M128" s="56">
        <v>-59</v>
      </c>
      <c r="N128" s="56">
        <v>-56</v>
      </c>
      <c r="O128" s="56">
        <v>-52</v>
      </c>
      <c r="P128" s="56">
        <v>-55</v>
      </c>
      <c r="Q128" s="56">
        <v>-49.8</v>
      </c>
      <c r="R128" s="56">
        <v>-61</v>
      </c>
      <c r="S128" s="56">
        <v>-62.6</v>
      </c>
      <c r="T128" s="56">
        <v>-58.8</v>
      </c>
      <c r="U128" s="56">
        <v>-63.2</v>
      </c>
      <c r="V128" s="56">
        <v>-61.4</v>
      </c>
      <c r="W128" s="56">
        <v>-65.099999999999994</v>
      </c>
      <c r="X128" s="56"/>
      <c r="Y128" s="56">
        <v>-59.8</v>
      </c>
      <c r="Z128" s="56">
        <v>-65.8</v>
      </c>
      <c r="AA128" s="56"/>
      <c r="AB128" s="56">
        <v>-62.9</v>
      </c>
      <c r="AC128" s="56">
        <v>-61</v>
      </c>
      <c r="AD128" s="56">
        <v>-67</v>
      </c>
      <c r="AE128" s="56">
        <v>-57.6</v>
      </c>
      <c r="AF128" s="56">
        <v>-50.2</v>
      </c>
      <c r="AG128" s="55"/>
      <c r="AH128" s="12">
        <f>MAX(B128:AF128)</f>
        <v>-47.7</v>
      </c>
      <c r="AI128" s="11">
        <f>MIN(B128:AF128)</f>
        <v>-67</v>
      </c>
    </row>
    <row r="129" spans="1:37" x14ac:dyDescent="0.25">
      <c r="A129" s="57" t="s">
        <v>133</v>
      </c>
      <c r="B129" s="56">
        <v>110</v>
      </c>
      <c r="C129" s="56">
        <v>99</v>
      </c>
      <c r="D129" s="56">
        <v>103</v>
      </c>
      <c r="E129" s="56">
        <v>100.4</v>
      </c>
      <c r="F129" s="56">
        <v>91.6</v>
      </c>
      <c r="G129" s="56">
        <v>78.5</v>
      </c>
      <c r="H129" s="56">
        <v>78.8</v>
      </c>
      <c r="I129" s="56">
        <v>86.2</v>
      </c>
      <c r="J129" s="56">
        <v>97.1</v>
      </c>
      <c r="K129" s="56">
        <v>111.4</v>
      </c>
      <c r="L129" s="56">
        <v>118.5</v>
      </c>
      <c r="M129" s="56">
        <v>115</v>
      </c>
      <c r="N129" s="56">
        <v>65</v>
      </c>
      <c r="O129" s="56">
        <v>66</v>
      </c>
      <c r="P129" s="56">
        <v>63.5</v>
      </c>
      <c r="Q129" s="56">
        <v>57.8</v>
      </c>
      <c r="R129" s="56">
        <v>56</v>
      </c>
      <c r="S129" s="56">
        <v>53.9</v>
      </c>
      <c r="T129" s="56">
        <v>53.4</v>
      </c>
      <c r="U129" s="56">
        <v>53.8</v>
      </c>
      <c r="V129" s="56">
        <v>51</v>
      </c>
      <c r="W129" s="56">
        <v>48.1</v>
      </c>
      <c r="X129" s="56">
        <v>42.6</v>
      </c>
      <c r="Y129" s="56">
        <v>100.4</v>
      </c>
      <c r="Z129" s="56">
        <v>112.1</v>
      </c>
      <c r="AA129" s="56">
        <v>114.1</v>
      </c>
      <c r="AB129" s="56">
        <v>101.5</v>
      </c>
      <c r="AC129" s="56">
        <v>109.3</v>
      </c>
      <c r="AD129" s="56">
        <v>111</v>
      </c>
      <c r="AE129" s="56">
        <v>103.8</v>
      </c>
      <c r="AF129" s="56">
        <v>101.2</v>
      </c>
      <c r="AG129" s="55"/>
      <c r="AH129" s="12">
        <f>MAX(B129:AF129)</f>
        <v>118.5</v>
      </c>
      <c r="AI129" s="11">
        <f>MIN(B129:AF129)</f>
        <v>42.6</v>
      </c>
    </row>
    <row r="130" spans="1:37" ht="15.75" thickBot="1" x14ac:dyDescent="0.3">
      <c r="A130" s="57" t="s">
        <v>132</v>
      </c>
      <c r="B130" s="56">
        <v>118</v>
      </c>
      <c r="C130" s="56">
        <v>108</v>
      </c>
      <c r="D130" s="56">
        <v>110</v>
      </c>
      <c r="E130" s="56">
        <v>108.7</v>
      </c>
      <c r="F130" s="56">
        <v>100.4</v>
      </c>
      <c r="G130" s="56">
        <v>86.6</v>
      </c>
      <c r="H130" s="56">
        <v>88</v>
      </c>
      <c r="I130" s="56">
        <v>95.1</v>
      </c>
      <c r="J130" s="56">
        <v>97.6</v>
      </c>
      <c r="K130" s="56">
        <v>107.5</v>
      </c>
      <c r="L130" s="56">
        <v>113.5</v>
      </c>
      <c r="M130" s="56">
        <v>110</v>
      </c>
      <c r="N130" s="56">
        <v>64.5</v>
      </c>
      <c r="O130" s="56">
        <v>67.3</v>
      </c>
      <c r="P130" s="56">
        <v>64.2</v>
      </c>
      <c r="Q130" s="56">
        <v>59.6</v>
      </c>
      <c r="R130" s="56">
        <v>59</v>
      </c>
      <c r="S130" s="56">
        <v>56</v>
      </c>
      <c r="T130" s="56">
        <v>565.70000000000005</v>
      </c>
      <c r="U130" s="56">
        <v>55.1</v>
      </c>
      <c r="V130" s="56">
        <v>54.1</v>
      </c>
      <c r="W130" s="56">
        <v>48.7</v>
      </c>
      <c r="X130" s="56">
        <v>47.6</v>
      </c>
      <c r="Y130" s="56">
        <v>108.8</v>
      </c>
      <c r="Z130" s="56">
        <v>120.3</v>
      </c>
      <c r="AA130" s="56">
        <v>123.8</v>
      </c>
      <c r="AB130" s="56">
        <v>108.2</v>
      </c>
      <c r="AC130" s="56">
        <v>117.6</v>
      </c>
      <c r="AD130" s="56">
        <v>120.5</v>
      </c>
      <c r="AE130" s="56">
        <v>113.5</v>
      </c>
      <c r="AF130" s="56">
        <v>110.8</v>
      </c>
      <c r="AG130" s="55"/>
      <c r="AH130" s="12">
        <f>MAX(B130:AF130)</f>
        <v>565.70000000000005</v>
      </c>
      <c r="AI130" s="11">
        <f>MIN(B130:AF130)</f>
        <v>47.6</v>
      </c>
    </row>
    <row r="131" spans="1:37" x14ac:dyDescent="0.25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25">
      <c r="A132" s="47" t="s">
        <v>130</v>
      </c>
      <c r="B132" s="51">
        <v>1984.45</v>
      </c>
      <c r="C132" s="51">
        <v>1984.05</v>
      </c>
      <c r="D132" s="51" t="s">
        <v>310</v>
      </c>
      <c r="E132" s="51">
        <v>1983.36</v>
      </c>
      <c r="F132" s="51">
        <v>1983.17</v>
      </c>
      <c r="G132" s="51">
        <v>1982.98</v>
      </c>
      <c r="H132" s="51"/>
      <c r="I132" s="51">
        <v>1982.6</v>
      </c>
      <c r="J132" s="51"/>
      <c r="K132" s="51">
        <v>1982.75</v>
      </c>
      <c r="L132" s="51"/>
      <c r="M132" s="51">
        <v>1983.5</v>
      </c>
      <c r="N132" s="51">
        <v>1983.69</v>
      </c>
      <c r="O132" s="51">
        <v>1984</v>
      </c>
      <c r="P132" s="51">
        <v>1984.27</v>
      </c>
      <c r="Q132" s="51">
        <v>1984.62</v>
      </c>
      <c r="R132" s="51">
        <v>1984.85</v>
      </c>
      <c r="S132" s="51">
        <v>1985.12</v>
      </c>
      <c r="T132" s="51">
        <v>1985.4</v>
      </c>
      <c r="U132" s="51">
        <v>1985.64</v>
      </c>
      <c r="V132" s="51">
        <v>1985.9</v>
      </c>
      <c r="W132" s="51"/>
      <c r="X132" s="51">
        <v>1986.2</v>
      </c>
      <c r="Y132" s="51"/>
      <c r="Z132" s="51">
        <v>1986.3</v>
      </c>
      <c r="AA132" s="51"/>
      <c r="AB132" s="51">
        <v>1986.1</v>
      </c>
      <c r="AC132" s="51"/>
      <c r="AD132" s="51">
        <v>1985.38</v>
      </c>
      <c r="AE132" s="51">
        <v>1984.58</v>
      </c>
      <c r="AF132" s="50">
        <v>1983.9</v>
      </c>
      <c r="AG132" s="44"/>
      <c r="AH132" s="12"/>
      <c r="AI132" s="11"/>
    </row>
    <row r="133" spans="1:37" x14ac:dyDescent="0.25">
      <c r="A133" s="47" t="s">
        <v>129</v>
      </c>
      <c r="B133" s="49">
        <v>519.59</v>
      </c>
      <c r="C133" s="49"/>
      <c r="D133" s="49"/>
      <c r="E133" s="49">
        <v>519.54</v>
      </c>
      <c r="F133" s="49">
        <v>519.70000000000005</v>
      </c>
      <c r="G133" s="49">
        <v>519.94000000000005</v>
      </c>
      <c r="H133" s="49"/>
      <c r="I133" s="49">
        <v>520.09</v>
      </c>
      <c r="J133" s="49"/>
      <c r="K133" s="49">
        <v>520.17999999999995</v>
      </c>
      <c r="L133" s="49"/>
      <c r="M133" s="49">
        <v>520.23</v>
      </c>
      <c r="N133" s="49">
        <v>520.33000000000004</v>
      </c>
      <c r="O133" s="49">
        <v>520.4</v>
      </c>
      <c r="P133" s="49">
        <v>520.48</v>
      </c>
      <c r="Q133" s="49">
        <v>520.55999999999995</v>
      </c>
      <c r="R133" s="49">
        <v>520.6</v>
      </c>
      <c r="S133" s="49">
        <v>520.78</v>
      </c>
      <c r="T133" s="49">
        <v>520.95000000000005</v>
      </c>
      <c r="U133" s="49">
        <v>521.14</v>
      </c>
      <c r="V133" s="49">
        <v>521.30999999999995</v>
      </c>
      <c r="W133" s="49"/>
      <c r="X133" s="49">
        <v>521.46</v>
      </c>
      <c r="Y133" s="49"/>
      <c r="Z133" s="49">
        <v>521.5</v>
      </c>
      <c r="AA133" s="49"/>
      <c r="AB133" s="49">
        <v>521.16999999999996</v>
      </c>
      <c r="AC133" s="49"/>
      <c r="AD133" s="49">
        <v>520.89</v>
      </c>
      <c r="AE133" s="49">
        <v>520.62</v>
      </c>
      <c r="AF133" s="48">
        <v>520.34</v>
      </c>
      <c r="AG133" s="44"/>
      <c r="AH133" s="12"/>
      <c r="AI133" s="11"/>
    </row>
    <row r="134" spans="1:37" x14ac:dyDescent="0.25">
      <c r="A134" s="47" t="s">
        <v>128</v>
      </c>
      <c r="B134" s="49">
        <v>623.15</v>
      </c>
      <c r="C134" s="49">
        <v>623.15</v>
      </c>
      <c r="D134" s="49">
        <v>623.02</v>
      </c>
      <c r="E134" s="49">
        <v>622.94000000000005</v>
      </c>
      <c r="F134" s="49">
        <v>623.07000000000005</v>
      </c>
      <c r="G134" s="49">
        <v>623.27</v>
      </c>
      <c r="H134" s="49"/>
      <c r="I134" s="49">
        <v>623.12</v>
      </c>
      <c r="J134" s="49"/>
      <c r="K134" s="49">
        <v>623.02</v>
      </c>
      <c r="L134" s="49"/>
      <c r="M134" s="49"/>
      <c r="N134" s="49">
        <v>622.97</v>
      </c>
      <c r="O134" s="49">
        <v>622.92999999999995</v>
      </c>
      <c r="P134" s="49">
        <v>623.09</v>
      </c>
      <c r="Q134" s="49">
        <v>623.26</v>
      </c>
      <c r="R134" s="49">
        <v>623.48</v>
      </c>
      <c r="S134" s="49">
        <v>623.6</v>
      </c>
      <c r="T134" s="49">
        <v>623.9</v>
      </c>
      <c r="U134" s="49">
        <v>624.04</v>
      </c>
      <c r="V134" s="49">
        <v>624.59</v>
      </c>
      <c r="W134" s="49"/>
      <c r="X134" s="49">
        <v>624.91</v>
      </c>
      <c r="Y134" s="49"/>
      <c r="Z134" s="49">
        <v>624.9</v>
      </c>
      <c r="AA134" s="49"/>
      <c r="AB134" s="49">
        <v>624.66</v>
      </c>
      <c r="AC134" s="49"/>
      <c r="AD134" s="49">
        <v>624.19000000000005</v>
      </c>
      <c r="AE134" s="49">
        <v>623.9</v>
      </c>
      <c r="AF134" s="48">
        <v>623.5</v>
      </c>
      <c r="AG134" s="44"/>
      <c r="AH134" s="12"/>
      <c r="AI134" s="11"/>
    </row>
    <row r="135" spans="1:37" x14ac:dyDescent="0.25">
      <c r="A135" s="47" t="s">
        <v>127</v>
      </c>
      <c r="B135" s="49">
        <v>335.85</v>
      </c>
      <c r="C135" s="49"/>
      <c r="D135" s="49"/>
      <c r="E135" s="49">
        <v>335.68</v>
      </c>
      <c r="F135" s="49">
        <v>335.51</v>
      </c>
      <c r="G135" s="49">
        <v>335.36</v>
      </c>
      <c r="H135" s="49"/>
      <c r="I135" s="49">
        <v>335.13</v>
      </c>
      <c r="J135" s="49"/>
      <c r="K135" s="49">
        <v>335.05</v>
      </c>
      <c r="L135" s="49"/>
      <c r="M135" s="49">
        <v>334.93</v>
      </c>
      <c r="N135" s="49">
        <v>334.92</v>
      </c>
      <c r="O135" s="49">
        <v>334.74</v>
      </c>
      <c r="P135" s="49">
        <v>334.78</v>
      </c>
      <c r="Q135" s="49">
        <v>334.81</v>
      </c>
      <c r="R135" s="49">
        <v>334.88</v>
      </c>
      <c r="S135" s="49">
        <v>335.02</v>
      </c>
      <c r="T135" s="49">
        <v>335.24</v>
      </c>
      <c r="U135" s="49">
        <v>335.45</v>
      </c>
      <c r="V135" s="49">
        <v>335.64</v>
      </c>
      <c r="W135" s="49"/>
      <c r="X135" s="49">
        <v>335.79</v>
      </c>
      <c r="Y135" s="49"/>
      <c r="Z135" s="49">
        <v>335.91</v>
      </c>
      <c r="AA135" s="49"/>
      <c r="AB135" s="49">
        <v>335.5</v>
      </c>
      <c r="AC135" s="49"/>
      <c r="AD135" s="49">
        <v>335.1</v>
      </c>
      <c r="AE135" s="49">
        <v>334.83</v>
      </c>
      <c r="AF135" s="48">
        <v>334.44</v>
      </c>
      <c r="AG135" s="44"/>
      <c r="AH135" s="12"/>
      <c r="AI135" s="11"/>
    </row>
    <row r="136" spans="1:37" x14ac:dyDescent="0.25">
      <c r="A136" s="47" t="s">
        <v>126</v>
      </c>
      <c r="B136" s="49">
        <v>882.5</v>
      </c>
      <c r="C136" s="49"/>
      <c r="D136" s="49"/>
      <c r="E136" s="49">
        <v>883.1</v>
      </c>
      <c r="F136" s="49">
        <v>884.1</v>
      </c>
      <c r="G136" s="49">
        <v>885.2</v>
      </c>
      <c r="H136" s="49"/>
      <c r="I136" s="49">
        <v>886</v>
      </c>
      <c r="J136" s="49"/>
      <c r="K136" s="49">
        <v>886.3</v>
      </c>
      <c r="L136" s="49"/>
      <c r="M136" s="49">
        <v>886.4</v>
      </c>
      <c r="N136" s="49">
        <v>886.5</v>
      </c>
      <c r="O136" s="49">
        <v>886.4</v>
      </c>
      <c r="P136" s="49">
        <v>886.2</v>
      </c>
      <c r="Q136" s="49">
        <v>886.3</v>
      </c>
      <c r="R136" s="49">
        <v>886.4</v>
      </c>
      <c r="S136" s="49">
        <v>886.2</v>
      </c>
      <c r="T136" s="49">
        <v>885.2</v>
      </c>
      <c r="U136" s="49">
        <v>885</v>
      </c>
      <c r="V136" s="49">
        <v>885.1</v>
      </c>
      <c r="W136" s="49"/>
      <c r="X136" s="49">
        <v>885.1</v>
      </c>
      <c r="Y136" s="49"/>
      <c r="Z136" s="49">
        <v>884.8</v>
      </c>
      <c r="AA136" s="49"/>
      <c r="AB136" s="49">
        <v>883.4</v>
      </c>
      <c r="AC136" s="49"/>
      <c r="AD136" s="49">
        <v>883.4</v>
      </c>
      <c r="AE136" s="49">
        <v>883.5</v>
      </c>
      <c r="AF136" s="48">
        <v>883.5</v>
      </c>
      <c r="AG136" s="44"/>
      <c r="AH136" s="12"/>
      <c r="AI136" s="11"/>
    </row>
    <row r="137" spans="1:37" ht="15.75" thickBot="1" x14ac:dyDescent="0.3">
      <c r="A137" s="47" t="s">
        <v>125</v>
      </c>
      <c r="B137" s="46">
        <v>1504.75</v>
      </c>
      <c r="C137" s="46"/>
      <c r="D137" s="46"/>
      <c r="E137" s="46">
        <v>1504.7</v>
      </c>
      <c r="F137" s="46">
        <v>1504.68</v>
      </c>
      <c r="G137" s="46"/>
      <c r="H137" s="46"/>
      <c r="I137" s="46">
        <v>1504.65</v>
      </c>
      <c r="J137" s="46"/>
      <c r="K137" s="46">
        <v>1504.64</v>
      </c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>
        <v>1504.57</v>
      </c>
      <c r="AC137" s="46"/>
      <c r="AD137" s="46"/>
      <c r="AE137" s="46"/>
      <c r="AF137" s="45"/>
      <c r="AG137" s="44"/>
      <c r="AH137" s="12"/>
      <c r="AI137" s="11"/>
    </row>
    <row r="138" spans="1:37" ht="15.75" thickBot="1" x14ac:dyDescent="0.3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25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25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25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25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25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25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25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25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25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25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25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25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25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25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25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25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25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25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25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25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25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25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25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25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25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25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25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25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25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25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25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25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25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25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25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25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25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25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25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25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25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25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25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25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25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25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25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25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25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25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25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25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25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25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25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25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25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25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25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25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25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25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25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25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25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25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25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25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25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25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25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25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25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25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25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25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25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25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25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25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25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25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25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25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25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25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25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25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25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25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25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25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25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25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25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25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25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25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25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25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25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25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25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25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.75" thickBot="1" x14ac:dyDescent="0.3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.75" thickBot="1" x14ac:dyDescent="0.3">
      <c r="A244" s="31" t="s">
        <v>17</v>
      </c>
      <c r="B244" s="30">
        <f t="shared" ref="B244:AG244" si="159">SUM(B139:B243)</f>
        <v>0</v>
      </c>
      <c r="C244" s="14">
        <f t="shared" si="159"/>
        <v>0</v>
      </c>
      <c r="D244" s="14">
        <f t="shared" si="159"/>
        <v>0</v>
      </c>
      <c r="E244" s="14">
        <f t="shared" si="159"/>
        <v>0</v>
      </c>
      <c r="F244" s="14">
        <f t="shared" si="159"/>
        <v>0</v>
      </c>
      <c r="G244" s="14">
        <f t="shared" si="159"/>
        <v>0</v>
      </c>
      <c r="H244" s="14">
        <f t="shared" si="159"/>
        <v>0</v>
      </c>
      <c r="I244" s="14">
        <f t="shared" si="159"/>
        <v>0</v>
      </c>
      <c r="J244" s="14">
        <f t="shared" si="159"/>
        <v>0</v>
      </c>
      <c r="K244" s="14">
        <f t="shared" si="159"/>
        <v>0</v>
      </c>
      <c r="L244" s="14">
        <f t="shared" si="159"/>
        <v>0</v>
      </c>
      <c r="M244" s="14">
        <f t="shared" si="159"/>
        <v>0</v>
      </c>
      <c r="N244" s="14">
        <f t="shared" si="159"/>
        <v>0</v>
      </c>
      <c r="O244" s="14">
        <f t="shared" si="159"/>
        <v>0</v>
      </c>
      <c r="P244" s="14">
        <f t="shared" si="159"/>
        <v>0</v>
      </c>
      <c r="Q244" s="14">
        <f t="shared" si="159"/>
        <v>0</v>
      </c>
      <c r="R244" s="14">
        <f t="shared" si="159"/>
        <v>0</v>
      </c>
      <c r="S244" s="14">
        <f t="shared" si="159"/>
        <v>0</v>
      </c>
      <c r="T244" s="14">
        <f t="shared" si="159"/>
        <v>0</v>
      </c>
      <c r="U244" s="14">
        <f t="shared" si="159"/>
        <v>0</v>
      </c>
      <c r="V244" s="14">
        <f t="shared" si="159"/>
        <v>0</v>
      </c>
      <c r="W244" s="14">
        <f t="shared" si="159"/>
        <v>0</v>
      </c>
      <c r="X244" s="14">
        <f t="shared" si="159"/>
        <v>0</v>
      </c>
      <c r="Y244" s="14">
        <f t="shared" si="159"/>
        <v>0</v>
      </c>
      <c r="Z244" s="14">
        <f t="shared" si="159"/>
        <v>0</v>
      </c>
      <c r="AA244" s="14">
        <f t="shared" si="159"/>
        <v>0</v>
      </c>
      <c r="AB244" s="14">
        <f t="shared" si="159"/>
        <v>0</v>
      </c>
      <c r="AC244" s="14">
        <f t="shared" si="159"/>
        <v>0</v>
      </c>
      <c r="AD244" s="14">
        <f t="shared" si="159"/>
        <v>0</v>
      </c>
      <c r="AE244" s="14">
        <f t="shared" si="159"/>
        <v>0</v>
      </c>
      <c r="AF244" s="29">
        <f t="shared" si="159"/>
        <v>0</v>
      </c>
      <c r="AG244" s="28">
        <f t="shared" si="159"/>
        <v>412.72299999999984</v>
      </c>
      <c r="AH244" s="12"/>
      <c r="AI244" s="11"/>
      <c r="AK244" s="19"/>
    </row>
    <row r="245" spans="1:37" ht="15.75" thickBot="1" x14ac:dyDescent="0.3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25">
      <c r="A246" s="25" t="s">
        <v>16</v>
      </c>
      <c r="B246" s="24">
        <f t="shared" ref="B246:B251" si="160">AF246</f>
        <v>0.3</v>
      </c>
      <c r="C246" s="24">
        <v>0.3</v>
      </c>
      <c r="D246" s="24">
        <f t="shared" ref="D246:AF251" si="161">C246</f>
        <v>0.3</v>
      </c>
      <c r="E246" s="24">
        <f t="shared" si="161"/>
        <v>0.3</v>
      </c>
      <c r="F246" s="24">
        <f t="shared" si="161"/>
        <v>0.3</v>
      </c>
      <c r="G246" s="24">
        <f t="shared" si="161"/>
        <v>0.3</v>
      </c>
      <c r="H246" s="24">
        <f t="shared" si="161"/>
        <v>0.3</v>
      </c>
      <c r="I246" s="24">
        <f t="shared" si="161"/>
        <v>0.3</v>
      </c>
      <c r="J246" s="24">
        <f t="shared" si="161"/>
        <v>0.3</v>
      </c>
      <c r="K246" s="24">
        <f t="shared" si="161"/>
        <v>0.3</v>
      </c>
      <c r="L246" s="24">
        <f t="shared" si="161"/>
        <v>0.3</v>
      </c>
      <c r="M246" s="24">
        <f t="shared" si="161"/>
        <v>0.3</v>
      </c>
      <c r="N246" s="24">
        <f t="shared" si="161"/>
        <v>0.3</v>
      </c>
      <c r="O246" s="24">
        <f t="shared" si="161"/>
        <v>0.3</v>
      </c>
      <c r="P246" s="24">
        <f t="shared" si="161"/>
        <v>0.3</v>
      </c>
      <c r="Q246" s="24">
        <f t="shared" si="161"/>
        <v>0.3</v>
      </c>
      <c r="R246" s="24">
        <f t="shared" si="161"/>
        <v>0.3</v>
      </c>
      <c r="S246" s="24">
        <f t="shared" si="161"/>
        <v>0.3</v>
      </c>
      <c r="T246" s="24">
        <f t="shared" si="161"/>
        <v>0.3</v>
      </c>
      <c r="U246" s="24">
        <f t="shared" si="161"/>
        <v>0.3</v>
      </c>
      <c r="V246" s="24">
        <f t="shared" si="161"/>
        <v>0.3</v>
      </c>
      <c r="W246" s="24">
        <f t="shared" si="161"/>
        <v>0.3</v>
      </c>
      <c r="X246" s="24">
        <f t="shared" si="161"/>
        <v>0.3</v>
      </c>
      <c r="Y246" s="24">
        <f t="shared" si="161"/>
        <v>0.3</v>
      </c>
      <c r="Z246" s="24">
        <f t="shared" si="161"/>
        <v>0.3</v>
      </c>
      <c r="AA246" s="24">
        <f t="shared" si="161"/>
        <v>0.3</v>
      </c>
      <c r="AB246" s="24">
        <f t="shared" si="161"/>
        <v>0.3</v>
      </c>
      <c r="AC246" s="24">
        <f t="shared" si="161"/>
        <v>0.3</v>
      </c>
      <c r="AD246" s="24">
        <f t="shared" si="161"/>
        <v>0.3</v>
      </c>
      <c r="AE246" s="24">
        <f t="shared" si="161"/>
        <v>0.3</v>
      </c>
      <c r="AF246" s="24">
        <f t="shared" si="161"/>
        <v>0.3</v>
      </c>
      <c r="AG246" s="23">
        <v>2.4</v>
      </c>
      <c r="AH246" s="12"/>
      <c r="AI246" s="11"/>
      <c r="AK246" s="19"/>
    </row>
    <row r="247" spans="1:37" x14ac:dyDescent="0.25">
      <c r="A247" s="22" t="s">
        <v>15</v>
      </c>
      <c r="B247" s="21">
        <f t="shared" si="160"/>
        <v>0.4</v>
      </c>
      <c r="C247" s="21">
        <v>0.4</v>
      </c>
      <c r="D247" s="21">
        <f t="shared" si="161"/>
        <v>0.4</v>
      </c>
      <c r="E247" s="21">
        <f t="shared" si="161"/>
        <v>0.4</v>
      </c>
      <c r="F247" s="21">
        <f t="shared" si="161"/>
        <v>0.4</v>
      </c>
      <c r="G247" s="21">
        <f t="shared" si="161"/>
        <v>0.4</v>
      </c>
      <c r="H247" s="21">
        <f t="shared" si="161"/>
        <v>0.4</v>
      </c>
      <c r="I247" s="21">
        <f t="shared" si="161"/>
        <v>0.4</v>
      </c>
      <c r="J247" s="21">
        <f t="shared" si="161"/>
        <v>0.4</v>
      </c>
      <c r="K247" s="21">
        <f t="shared" si="161"/>
        <v>0.4</v>
      </c>
      <c r="L247" s="21">
        <f t="shared" si="161"/>
        <v>0.4</v>
      </c>
      <c r="M247" s="21">
        <f t="shared" si="161"/>
        <v>0.4</v>
      </c>
      <c r="N247" s="21">
        <f t="shared" si="161"/>
        <v>0.4</v>
      </c>
      <c r="O247" s="21">
        <f t="shared" si="161"/>
        <v>0.4</v>
      </c>
      <c r="P247" s="21">
        <f t="shared" si="161"/>
        <v>0.4</v>
      </c>
      <c r="Q247" s="21">
        <f t="shared" si="161"/>
        <v>0.4</v>
      </c>
      <c r="R247" s="21">
        <f t="shared" si="161"/>
        <v>0.4</v>
      </c>
      <c r="S247" s="21">
        <f t="shared" si="161"/>
        <v>0.4</v>
      </c>
      <c r="T247" s="21">
        <f t="shared" si="161"/>
        <v>0.4</v>
      </c>
      <c r="U247" s="21">
        <f t="shared" si="161"/>
        <v>0.4</v>
      </c>
      <c r="V247" s="21">
        <f t="shared" si="161"/>
        <v>0.4</v>
      </c>
      <c r="W247" s="21">
        <f t="shared" si="161"/>
        <v>0.4</v>
      </c>
      <c r="X247" s="21">
        <f t="shared" si="161"/>
        <v>0.4</v>
      </c>
      <c r="Y247" s="21">
        <f t="shared" si="161"/>
        <v>0.4</v>
      </c>
      <c r="Z247" s="21">
        <f t="shared" si="161"/>
        <v>0.4</v>
      </c>
      <c r="AA247" s="21">
        <f t="shared" si="161"/>
        <v>0.4</v>
      </c>
      <c r="AB247" s="21">
        <f t="shared" si="161"/>
        <v>0.4</v>
      </c>
      <c r="AC247" s="21">
        <f t="shared" si="161"/>
        <v>0.4</v>
      </c>
      <c r="AD247" s="21">
        <f t="shared" si="161"/>
        <v>0.4</v>
      </c>
      <c r="AE247" s="21">
        <f t="shared" si="161"/>
        <v>0.4</v>
      </c>
      <c r="AF247" s="21">
        <f t="shared" si="161"/>
        <v>0.4</v>
      </c>
      <c r="AG247" s="20">
        <v>2</v>
      </c>
      <c r="AH247" s="12"/>
      <c r="AI247" s="11"/>
      <c r="AK247" s="19"/>
    </row>
    <row r="248" spans="1:37" x14ac:dyDescent="0.25">
      <c r="A248" s="22" t="s">
        <v>14</v>
      </c>
      <c r="B248" s="21">
        <f t="shared" si="160"/>
        <v>1.5</v>
      </c>
      <c r="C248" s="21">
        <v>1.5</v>
      </c>
      <c r="D248" s="21">
        <f t="shared" si="161"/>
        <v>1.5</v>
      </c>
      <c r="E248" s="21">
        <f t="shared" si="161"/>
        <v>1.5</v>
      </c>
      <c r="F248" s="21">
        <f t="shared" si="161"/>
        <v>1.5</v>
      </c>
      <c r="G248" s="21">
        <f t="shared" si="161"/>
        <v>1.5</v>
      </c>
      <c r="H248" s="21">
        <f t="shared" si="161"/>
        <v>1.5</v>
      </c>
      <c r="I248" s="21">
        <f t="shared" si="161"/>
        <v>1.5</v>
      </c>
      <c r="J248" s="21">
        <f t="shared" si="161"/>
        <v>1.5</v>
      </c>
      <c r="K248" s="21">
        <f t="shared" si="161"/>
        <v>1.5</v>
      </c>
      <c r="L248" s="21">
        <f t="shared" si="161"/>
        <v>1.5</v>
      </c>
      <c r="M248" s="21">
        <f t="shared" si="161"/>
        <v>1.5</v>
      </c>
      <c r="N248" s="21">
        <f t="shared" si="161"/>
        <v>1.5</v>
      </c>
      <c r="O248" s="21">
        <f t="shared" si="161"/>
        <v>1.5</v>
      </c>
      <c r="P248" s="21">
        <f t="shared" si="161"/>
        <v>1.5</v>
      </c>
      <c r="Q248" s="21">
        <f t="shared" si="161"/>
        <v>1.5</v>
      </c>
      <c r="R248" s="21">
        <f t="shared" si="161"/>
        <v>1.5</v>
      </c>
      <c r="S248" s="21">
        <f t="shared" si="161"/>
        <v>1.5</v>
      </c>
      <c r="T248" s="21">
        <f t="shared" si="161"/>
        <v>1.5</v>
      </c>
      <c r="U248" s="21">
        <f t="shared" si="161"/>
        <v>1.5</v>
      </c>
      <c r="V248" s="21">
        <f t="shared" si="161"/>
        <v>1.5</v>
      </c>
      <c r="W248" s="21">
        <f t="shared" si="161"/>
        <v>1.5</v>
      </c>
      <c r="X248" s="21">
        <f t="shared" si="161"/>
        <v>1.5</v>
      </c>
      <c r="Y248" s="21">
        <f t="shared" si="161"/>
        <v>1.5</v>
      </c>
      <c r="Z248" s="21">
        <f t="shared" si="161"/>
        <v>1.5</v>
      </c>
      <c r="AA248" s="21">
        <f t="shared" si="161"/>
        <v>1.5</v>
      </c>
      <c r="AB248" s="21">
        <f t="shared" si="161"/>
        <v>1.5</v>
      </c>
      <c r="AC248" s="21">
        <f t="shared" si="161"/>
        <v>1.5</v>
      </c>
      <c r="AD248" s="21">
        <f t="shared" si="161"/>
        <v>1.5</v>
      </c>
      <c r="AE248" s="21">
        <f t="shared" si="161"/>
        <v>1.5</v>
      </c>
      <c r="AF248" s="21">
        <f t="shared" si="161"/>
        <v>1.5</v>
      </c>
      <c r="AG248" s="20">
        <v>1.5</v>
      </c>
      <c r="AH248" s="12"/>
      <c r="AI248" s="11"/>
      <c r="AK248" s="19"/>
    </row>
    <row r="249" spans="1:37" x14ac:dyDescent="0.25">
      <c r="A249" s="22" t="s">
        <v>13</v>
      </c>
      <c r="B249" s="21">
        <f t="shared" si="160"/>
        <v>0.3</v>
      </c>
      <c r="C249" s="21">
        <v>0.3</v>
      </c>
      <c r="D249" s="21">
        <f t="shared" si="161"/>
        <v>0.3</v>
      </c>
      <c r="E249" s="21">
        <f t="shared" si="161"/>
        <v>0.3</v>
      </c>
      <c r="F249" s="21">
        <f t="shared" si="161"/>
        <v>0.3</v>
      </c>
      <c r="G249" s="21">
        <f t="shared" si="161"/>
        <v>0.3</v>
      </c>
      <c r="H249" s="21">
        <f t="shared" si="161"/>
        <v>0.3</v>
      </c>
      <c r="I249" s="21">
        <f t="shared" si="161"/>
        <v>0.3</v>
      </c>
      <c r="J249" s="21">
        <f t="shared" si="161"/>
        <v>0.3</v>
      </c>
      <c r="K249" s="21">
        <f t="shared" si="161"/>
        <v>0.3</v>
      </c>
      <c r="L249" s="21">
        <f t="shared" si="161"/>
        <v>0.3</v>
      </c>
      <c r="M249" s="21">
        <f t="shared" si="161"/>
        <v>0.3</v>
      </c>
      <c r="N249" s="21">
        <f t="shared" si="161"/>
        <v>0.3</v>
      </c>
      <c r="O249" s="21">
        <f t="shared" si="161"/>
        <v>0.3</v>
      </c>
      <c r="P249" s="21">
        <f t="shared" si="161"/>
        <v>0.3</v>
      </c>
      <c r="Q249" s="21">
        <f t="shared" si="161"/>
        <v>0.3</v>
      </c>
      <c r="R249" s="21">
        <f t="shared" si="161"/>
        <v>0.3</v>
      </c>
      <c r="S249" s="21">
        <f t="shared" si="161"/>
        <v>0.3</v>
      </c>
      <c r="T249" s="21">
        <f t="shared" si="161"/>
        <v>0.3</v>
      </c>
      <c r="U249" s="21">
        <f t="shared" si="161"/>
        <v>0.3</v>
      </c>
      <c r="V249" s="21">
        <f t="shared" si="161"/>
        <v>0.3</v>
      </c>
      <c r="W249" s="21">
        <f t="shared" si="161"/>
        <v>0.3</v>
      </c>
      <c r="X249" s="21">
        <f t="shared" si="161"/>
        <v>0.3</v>
      </c>
      <c r="Y249" s="21">
        <f t="shared" si="161"/>
        <v>0.3</v>
      </c>
      <c r="Z249" s="21">
        <f t="shared" si="161"/>
        <v>0.3</v>
      </c>
      <c r="AA249" s="21">
        <f t="shared" si="161"/>
        <v>0.3</v>
      </c>
      <c r="AB249" s="21">
        <f t="shared" si="161"/>
        <v>0.3</v>
      </c>
      <c r="AC249" s="21">
        <f t="shared" si="161"/>
        <v>0.3</v>
      </c>
      <c r="AD249" s="21">
        <f t="shared" si="161"/>
        <v>0.3</v>
      </c>
      <c r="AE249" s="21">
        <f t="shared" si="161"/>
        <v>0.3</v>
      </c>
      <c r="AF249" s="21">
        <f t="shared" si="161"/>
        <v>0.3</v>
      </c>
      <c r="AG249" s="20">
        <v>1</v>
      </c>
      <c r="AH249" s="12"/>
      <c r="AI249" s="11"/>
      <c r="AK249" s="19"/>
    </row>
    <row r="250" spans="1:37" x14ac:dyDescent="0.25">
      <c r="A250" s="22" t="s">
        <v>12</v>
      </c>
      <c r="B250" s="21">
        <f t="shared" si="160"/>
        <v>0.4</v>
      </c>
      <c r="C250" s="21">
        <v>0.4</v>
      </c>
      <c r="D250" s="21">
        <f t="shared" si="161"/>
        <v>0.4</v>
      </c>
      <c r="E250" s="21">
        <f t="shared" si="161"/>
        <v>0.4</v>
      </c>
      <c r="F250" s="21">
        <f t="shared" si="161"/>
        <v>0.4</v>
      </c>
      <c r="G250" s="21">
        <f t="shared" si="161"/>
        <v>0.4</v>
      </c>
      <c r="H250" s="21">
        <f t="shared" si="161"/>
        <v>0.4</v>
      </c>
      <c r="I250" s="21">
        <f t="shared" si="161"/>
        <v>0.4</v>
      </c>
      <c r="J250" s="21">
        <f t="shared" si="161"/>
        <v>0.4</v>
      </c>
      <c r="K250" s="21">
        <f t="shared" si="161"/>
        <v>0.4</v>
      </c>
      <c r="L250" s="21">
        <f t="shared" si="161"/>
        <v>0.4</v>
      </c>
      <c r="M250" s="21">
        <f t="shared" si="161"/>
        <v>0.4</v>
      </c>
      <c r="N250" s="21">
        <f t="shared" si="161"/>
        <v>0.4</v>
      </c>
      <c r="O250" s="21">
        <f t="shared" si="161"/>
        <v>0.4</v>
      </c>
      <c r="P250" s="21">
        <f t="shared" si="161"/>
        <v>0.4</v>
      </c>
      <c r="Q250" s="21">
        <f t="shared" si="161"/>
        <v>0.4</v>
      </c>
      <c r="R250" s="21">
        <f t="shared" si="161"/>
        <v>0.4</v>
      </c>
      <c r="S250" s="21">
        <f t="shared" si="161"/>
        <v>0.4</v>
      </c>
      <c r="T250" s="21">
        <f t="shared" si="161"/>
        <v>0.4</v>
      </c>
      <c r="U250" s="21">
        <f t="shared" si="161"/>
        <v>0.4</v>
      </c>
      <c r="V250" s="21">
        <f t="shared" si="161"/>
        <v>0.4</v>
      </c>
      <c r="W250" s="21">
        <f t="shared" si="161"/>
        <v>0.4</v>
      </c>
      <c r="X250" s="21">
        <f t="shared" si="161"/>
        <v>0.4</v>
      </c>
      <c r="Y250" s="21">
        <f t="shared" si="161"/>
        <v>0.4</v>
      </c>
      <c r="Z250" s="21">
        <f t="shared" si="161"/>
        <v>0.4</v>
      </c>
      <c r="AA250" s="21">
        <f t="shared" si="161"/>
        <v>0.4</v>
      </c>
      <c r="AB250" s="21">
        <f t="shared" si="161"/>
        <v>0.4</v>
      </c>
      <c r="AC250" s="21">
        <f t="shared" si="161"/>
        <v>0.4</v>
      </c>
      <c r="AD250" s="21">
        <f t="shared" si="161"/>
        <v>0.4</v>
      </c>
      <c r="AE250" s="21">
        <f t="shared" si="161"/>
        <v>0.4</v>
      </c>
      <c r="AF250" s="21">
        <f t="shared" si="161"/>
        <v>0.4</v>
      </c>
      <c r="AG250" s="20">
        <v>1</v>
      </c>
      <c r="AH250" s="12"/>
      <c r="AI250" s="11"/>
      <c r="AK250" s="19"/>
    </row>
    <row r="251" spans="1:37" ht="15.75" thickBot="1" x14ac:dyDescent="0.3">
      <c r="A251" s="18" t="s">
        <v>11</v>
      </c>
      <c r="B251" s="17">
        <f t="shared" si="160"/>
        <v>0.64</v>
      </c>
      <c r="C251" s="17">
        <v>0.64</v>
      </c>
      <c r="D251" s="17">
        <f t="shared" si="161"/>
        <v>0.64</v>
      </c>
      <c r="E251" s="17">
        <f t="shared" si="161"/>
        <v>0.64</v>
      </c>
      <c r="F251" s="17">
        <f t="shared" si="161"/>
        <v>0.64</v>
      </c>
      <c r="G251" s="17">
        <f t="shared" si="161"/>
        <v>0.64</v>
      </c>
      <c r="H251" s="17">
        <f t="shared" si="161"/>
        <v>0.64</v>
      </c>
      <c r="I251" s="17">
        <f t="shared" si="161"/>
        <v>0.64</v>
      </c>
      <c r="J251" s="17">
        <f t="shared" si="161"/>
        <v>0.64</v>
      </c>
      <c r="K251" s="17">
        <f t="shared" si="161"/>
        <v>0.64</v>
      </c>
      <c r="L251" s="17">
        <f t="shared" si="161"/>
        <v>0.64</v>
      </c>
      <c r="M251" s="17">
        <f t="shared" si="161"/>
        <v>0.64</v>
      </c>
      <c r="N251" s="17">
        <f t="shared" si="161"/>
        <v>0.64</v>
      </c>
      <c r="O251" s="17">
        <f t="shared" si="161"/>
        <v>0.64</v>
      </c>
      <c r="P251" s="17">
        <f t="shared" si="161"/>
        <v>0.64</v>
      </c>
      <c r="Q251" s="17">
        <f t="shared" si="161"/>
        <v>0.64</v>
      </c>
      <c r="R251" s="17">
        <f t="shared" si="161"/>
        <v>0.64</v>
      </c>
      <c r="S251" s="17">
        <f t="shared" si="161"/>
        <v>0.64</v>
      </c>
      <c r="T251" s="17">
        <f t="shared" si="161"/>
        <v>0.64</v>
      </c>
      <c r="U251" s="17">
        <f t="shared" si="161"/>
        <v>0.64</v>
      </c>
      <c r="V251" s="17">
        <f t="shared" si="161"/>
        <v>0.64</v>
      </c>
      <c r="W251" s="17">
        <f t="shared" si="161"/>
        <v>0.64</v>
      </c>
      <c r="X251" s="17">
        <f t="shared" si="161"/>
        <v>0.64</v>
      </c>
      <c r="Y251" s="17">
        <f t="shared" si="161"/>
        <v>0.64</v>
      </c>
      <c r="Z251" s="17">
        <f t="shared" si="161"/>
        <v>0.64</v>
      </c>
      <c r="AA251" s="17">
        <f t="shared" si="161"/>
        <v>0.64</v>
      </c>
      <c r="AB251" s="17">
        <f t="shared" si="161"/>
        <v>0.64</v>
      </c>
      <c r="AC251" s="17">
        <f t="shared" si="161"/>
        <v>0.64</v>
      </c>
      <c r="AD251" s="17">
        <f t="shared" si="161"/>
        <v>0.64</v>
      </c>
      <c r="AE251" s="17">
        <f t="shared" si="161"/>
        <v>0.64</v>
      </c>
      <c r="AF251" s="17">
        <f t="shared" si="161"/>
        <v>0.64</v>
      </c>
      <c r="AG251" s="16">
        <v>0.66</v>
      </c>
      <c r="AH251" s="12"/>
      <c r="AI251" s="11"/>
    </row>
    <row r="252" spans="1:37" ht="15.75" thickBot="1" x14ac:dyDescent="0.3">
      <c r="A252" s="15" t="s">
        <v>10</v>
      </c>
      <c r="B252" s="14">
        <f t="shared" ref="B252:AG252" si="162">SUM(B246:B251)</f>
        <v>3.54</v>
      </c>
      <c r="C252" s="14">
        <f t="shared" si="162"/>
        <v>3.54</v>
      </c>
      <c r="D252" s="14">
        <f t="shared" si="162"/>
        <v>3.54</v>
      </c>
      <c r="E252" s="14">
        <f t="shared" si="162"/>
        <v>3.54</v>
      </c>
      <c r="F252" s="14">
        <f t="shared" si="162"/>
        <v>3.54</v>
      </c>
      <c r="G252" s="14">
        <f t="shared" si="162"/>
        <v>3.54</v>
      </c>
      <c r="H252" s="14">
        <f t="shared" si="162"/>
        <v>3.54</v>
      </c>
      <c r="I252" s="14">
        <f t="shared" si="162"/>
        <v>3.54</v>
      </c>
      <c r="J252" s="14">
        <f t="shared" si="162"/>
        <v>3.54</v>
      </c>
      <c r="K252" s="14">
        <f t="shared" si="162"/>
        <v>3.54</v>
      </c>
      <c r="L252" s="14">
        <f t="shared" si="162"/>
        <v>3.54</v>
      </c>
      <c r="M252" s="14">
        <f t="shared" si="162"/>
        <v>3.54</v>
      </c>
      <c r="N252" s="14">
        <f t="shared" si="162"/>
        <v>3.54</v>
      </c>
      <c r="O252" s="14">
        <f t="shared" si="162"/>
        <v>3.54</v>
      </c>
      <c r="P252" s="14">
        <f t="shared" si="162"/>
        <v>3.54</v>
      </c>
      <c r="Q252" s="14">
        <f t="shared" si="162"/>
        <v>3.54</v>
      </c>
      <c r="R252" s="14">
        <f t="shared" si="162"/>
        <v>3.54</v>
      </c>
      <c r="S252" s="14">
        <f t="shared" si="162"/>
        <v>3.54</v>
      </c>
      <c r="T252" s="14">
        <f t="shared" si="162"/>
        <v>3.54</v>
      </c>
      <c r="U252" s="14">
        <f t="shared" si="162"/>
        <v>3.54</v>
      </c>
      <c r="V252" s="14">
        <f t="shared" si="162"/>
        <v>3.54</v>
      </c>
      <c r="W252" s="14">
        <f t="shared" si="162"/>
        <v>3.54</v>
      </c>
      <c r="X252" s="14">
        <f t="shared" si="162"/>
        <v>3.54</v>
      </c>
      <c r="Y252" s="14">
        <f t="shared" si="162"/>
        <v>3.54</v>
      </c>
      <c r="Z252" s="14">
        <f t="shared" si="162"/>
        <v>3.54</v>
      </c>
      <c r="AA252" s="14">
        <f t="shared" si="162"/>
        <v>3.54</v>
      </c>
      <c r="AB252" s="14">
        <f t="shared" si="162"/>
        <v>3.54</v>
      </c>
      <c r="AC252" s="14">
        <f t="shared" si="162"/>
        <v>3.54</v>
      </c>
      <c r="AD252" s="14">
        <f t="shared" si="162"/>
        <v>3.54</v>
      </c>
      <c r="AE252" s="14">
        <f t="shared" si="162"/>
        <v>3.54</v>
      </c>
      <c r="AF252" s="14">
        <f t="shared" si="162"/>
        <v>3.54</v>
      </c>
      <c r="AG252" s="13">
        <f t="shared" si="162"/>
        <v>8.56</v>
      </c>
      <c r="AH252" s="12"/>
      <c r="AI252" s="11"/>
    </row>
    <row r="253" spans="1:37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25">
      <c r="A256" s="9" t="s">
        <v>9</v>
      </c>
      <c r="B256" s="8">
        <f>MAX(G99:N99)</f>
        <v>1609.04</v>
      </c>
      <c r="C256" s="7">
        <f>INDEX(G9:N9,1,MATCH(MAX(G99:N99),G99:N99,0))</f>
        <v>0.3125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25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2080/10/19)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25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25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25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25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25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25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25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25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25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25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25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25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25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25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1838" priority="89">
      <formula>$AH11=0</formula>
    </cfRule>
  </conditionalFormatting>
  <conditionalFormatting sqref="A132:A253">
    <cfRule type="expression" dxfId="1837" priority="90">
      <formula>$AH132=0</formula>
    </cfRule>
  </conditionalFormatting>
  <conditionalFormatting sqref="B8">
    <cfRule type="expression" dxfId="1836" priority="146">
      <formula>C$9&lt;8/24</formula>
    </cfRule>
    <cfRule type="expression" dxfId="1835" priority="145">
      <formula>AND(C$9&gt;=8/24,C$9&lt;14/24)</formula>
    </cfRule>
    <cfRule type="expression" dxfId="1834" priority="144">
      <formula>AND(C$9&gt;=14/24,C$9&lt;20/24)</formula>
    </cfRule>
    <cfRule type="expression" dxfId="1833" priority="147">
      <formula>C$9&gt;=20/24</formula>
    </cfRule>
  </conditionalFormatting>
  <conditionalFormatting sqref="B11:E52 F12:M52 N13:AF52 B59:D74 F65:I67 E65:E74 F69:AF74 B77:AF99 B9:AF10 B101:AF117 B119:AF137 B244:AF244 B246:B252">
    <cfRule type="expression" dxfId="1832" priority="41">
      <formula>B$9&gt;=20/24</formula>
    </cfRule>
  </conditionalFormatting>
  <conditionalFormatting sqref="B11:P80 S13:AF56 R13:R57 Q13:Q80 S57 AB57:AF61 T57:AA80 R58:S80 AB62:AG62 AB63:AF80 AG80">
    <cfRule type="expression" dxfId="1831" priority="40">
      <formula>B11&gt;$AG11</formula>
    </cfRule>
  </conditionalFormatting>
  <conditionalFormatting sqref="B9:AF10 B11:E52 F12:M52 N13:AF52 B59:D74 E65:E74 F66:I66 F69:AF74 B77:AF99 B101:AF117 B119:AF137 B244:AF244 B246:B252">
    <cfRule type="expression" dxfId="1830" priority="42">
      <formula>AND(B$9&gt;=14/24,B$9&lt;20/24)</formula>
    </cfRule>
    <cfRule type="expression" dxfId="1829" priority="43">
      <formula>AND(B$9&gt;=8/24,B$9&lt;14/24)</formula>
    </cfRule>
    <cfRule type="expression" dxfId="1828" priority="44">
      <formula>B$9&lt;8/24</formula>
    </cfRule>
  </conditionalFormatting>
  <conditionalFormatting sqref="B53:AF57">
    <cfRule type="expression" dxfId="1827" priority="53">
      <formula>B$9&lt;8/24</formula>
    </cfRule>
  </conditionalFormatting>
  <conditionalFormatting sqref="D246:AF252">
    <cfRule type="expression" dxfId="1826" priority="132">
      <formula>D$9&lt;8/24</formula>
    </cfRule>
    <cfRule type="expression" dxfId="1825" priority="131">
      <formula>AND(D$9&gt;=8/24,D$9&lt;14/24)</formula>
    </cfRule>
    <cfRule type="expression" dxfId="1824" priority="129">
      <formula>D$9&gt;=20/24</formula>
    </cfRule>
    <cfRule type="expression" dxfId="1823" priority="130">
      <formula>AND(D$9&gt;=14/24,D$9&lt;20/24)</formula>
    </cfRule>
  </conditionalFormatting>
  <conditionalFormatting sqref="E63:I64 G63:G65 I63:I67 J64:J67 F65:I65 H66:I66 F67:I67 K67">
    <cfRule type="expression" dxfId="1822" priority="55">
      <formula>AND(E$9&gt;=14/24,E$9&lt;20/24)</formula>
    </cfRule>
    <cfRule type="expression" dxfId="1821" priority="56">
      <formula>AND(E$9&gt;=8/24,E$9&lt;14/24)</formula>
    </cfRule>
    <cfRule type="expression" dxfId="1820" priority="57">
      <formula>E$9&lt;8/24</formula>
    </cfRule>
  </conditionalFormatting>
  <conditionalFormatting sqref="E59:AF62">
    <cfRule type="expression" dxfId="1819" priority="67">
      <formula>E$9&gt;=20/24</formula>
    </cfRule>
    <cfRule type="expression" dxfId="1818" priority="68">
      <formula>AND(E$9&gt;=14/24,E$9&lt;20/24)</formula>
    </cfRule>
    <cfRule type="expression" dxfId="1817" priority="69">
      <formula>AND(E$9&gt;=8/24,E$9&lt;14/24)</formula>
    </cfRule>
    <cfRule type="expression" dxfId="1816" priority="70">
      <formula>E$9&lt;8/24</formula>
    </cfRule>
  </conditionalFormatting>
  <conditionalFormatting sqref="F68:K68">
    <cfRule type="expression" dxfId="1815" priority="49">
      <formula>F$9&gt;=20/24</formula>
    </cfRule>
    <cfRule type="expression" dxfId="1814" priority="50">
      <formula>AND(F$9&gt;=14/24,F$9&lt;20/24)</formula>
    </cfRule>
    <cfRule type="expression" dxfId="1813" priority="52">
      <formula>F$9&lt;8/24</formula>
    </cfRule>
    <cfRule type="expression" dxfId="1812" priority="51">
      <formula>AND(F$9&gt;=8/24,F$9&lt;14/24)</formula>
    </cfRule>
  </conditionalFormatting>
  <conditionalFormatting sqref="F63:M65">
    <cfRule type="expression" dxfId="1811" priority="84">
      <formula>F$9&lt;8/24</formula>
    </cfRule>
    <cfRule type="expression" dxfId="1810" priority="83">
      <formula>AND(F$9&gt;=8/24,F$9&lt;14/24)</formula>
    </cfRule>
    <cfRule type="expression" dxfId="1809" priority="82">
      <formula>AND(F$9&gt;=14/24,F$9&lt;20/24)</formula>
    </cfRule>
    <cfRule type="expression" dxfId="1808" priority="81">
      <formula>F$9&gt;=20/24</formula>
    </cfRule>
  </conditionalFormatting>
  <conditionalFormatting sqref="F11:P11 Q11:AF12 N12:P12">
    <cfRule type="expression" dxfId="1807" priority="60">
      <formula>AND(F$9&gt;=14/24,F$9&lt;20/24)</formula>
    </cfRule>
    <cfRule type="expression" dxfId="1806" priority="61">
      <formula>AND(F$9&gt;=8/24,F$9&lt;14/24)</formula>
    </cfRule>
    <cfRule type="expression" dxfId="1805" priority="62">
      <formula>F$9&lt;8/24</formula>
    </cfRule>
  </conditionalFormatting>
  <conditionalFormatting sqref="I63:I67 H66:I66 E63:I64 G63:G65 J64:J67 K67">
    <cfRule type="expression" dxfId="1804" priority="54">
      <formula>E$9&gt;=20/24</formula>
    </cfRule>
  </conditionalFormatting>
  <conditionalFormatting sqref="L68:AB68">
    <cfRule type="expression" dxfId="1803" priority="79">
      <formula>AND(L$9&gt;=8/24,L$9&lt;14/24)</formula>
    </cfRule>
    <cfRule type="expression" dxfId="1802" priority="80">
      <formula>L$9&lt;8/24</formula>
    </cfRule>
    <cfRule type="expression" dxfId="1801" priority="77">
      <formula>L$9&gt;=20/24</formula>
    </cfRule>
    <cfRule type="expression" dxfId="1800" priority="78">
      <formula>AND(L$9&gt;=14/24,L$9&lt;20/24)</formula>
    </cfRule>
  </conditionalFormatting>
  <conditionalFormatting sqref="M8 S8 AB8">
    <cfRule type="expression" dxfId="1799" priority="138">
      <formula>N$9&lt;8/24</formula>
    </cfRule>
    <cfRule type="expression" dxfId="1798" priority="137">
      <formula>AND(N$9&gt;=8/24,N$9&lt;14/24)</formula>
    </cfRule>
    <cfRule type="expression" dxfId="1797" priority="136">
      <formula>AND(N$9&gt;=14/24,N$9&lt;20/24)</formula>
    </cfRule>
  </conditionalFormatting>
  <conditionalFormatting sqref="M63:AA67">
    <cfRule type="expression" dxfId="1796" priority="85">
      <formula>M$9&gt;=20/24</formula>
    </cfRule>
    <cfRule type="expression" dxfId="1795" priority="86">
      <formula>AND(M$9&gt;=14/24,M$9&lt;20/24)</formula>
    </cfRule>
    <cfRule type="expression" dxfId="1794" priority="87">
      <formula>AND(M$9&gt;=8/24,M$9&lt;14/24)</formula>
    </cfRule>
    <cfRule type="expression" dxfId="1793" priority="88">
      <formula>M$9&lt;8/24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Q11:AF12 F11:P11 N12:P12">
    <cfRule type="expression" dxfId="1792" priority="59">
      <formula>F$9&gt;=20/24</formula>
    </cfRule>
  </conditionalFormatting>
  <conditionalFormatting sqref="Q11:AF12">
    <cfRule type="expression" dxfId="1791" priority="58">
      <formula>Q11&gt;$AG11</formula>
    </cfRule>
  </conditionalFormatting>
  <conditionalFormatting sqref="S8 AB8 M8">
    <cfRule type="expression" dxfId="1790" priority="135">
      <formula>N$9&gt;=20/24</formula>
    </cfRule>
  </conditionalFormatting>
  <conditionalFormatting sqref="S8">
    <cfRule type="expression" dxfId="1789" priority="124">
      <formula>AND(U$9&gt;=8/24,U$9&lt;14/24)</formula>
    </cfRule>
    <cfRule type="expression" dxfId="1788" priority="122">
      <formula>U$9&gt;=20/24</formula>
    </cfRule>
    <cfRule type="expression" dxfId="1787" priority="123">
      <formula>AND(U$9&gt;=14/24,U$9&lt;20/24)</formula>
    </cfRule>
    <cfRule type="expression" dxfId="1786" priority="125">
      <formula>U$9&lt;8/24</formula>
    </cfRule>
  </conditionalFormatting>
  <conditionalFormatting sqref="S53:AF55 B53:R57">
    <cfRule type="expression" dxfId="1785" priority="37">
      <formula>B$9&gt;=20/24</formula>
    </cfRule>
    <cfRule type="expression" dxfId="1784" priority="38">
      <formula>AND(B$9&gt;=14/24,B$9&lt;20/24)</formula>
    </cfRule>
    <cfRule type="expression" dxfId="1783" priority="39">
      <formula>AND(B$9&gt;=8/24,B$9&lt;14/24)</formula>
    </cfRule>
  </conditionalFormatting>
  <conditionalFormatting sqref="S56:AF57">
    <cfRule type="expression" dxfId="1782" priority="48">
      <formula>AND(S$9&gt;=8/24,S$9&lt;14/24)</formula>
    </cfRule>
    <cfRule type="expression" dxfId="1781" priority="46">
      <formula>S$9&gt;=20/24</formula>
    </cfRule>
    <cfRule type="expression" dxfId="1780" priority="47">
      <formula>AND(S$9&gt;=14/24,S$9&lt;20/24)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779" priority="121">
      <formula>AD$9&lt;8/24</formula>
    </cfRule>
    <cfRule type="expression" dxfId="1778" priority="120">
      <formula>AND(AD$9&gt;=8/24,AD$9&lt;14/24)</formula>
    </cfRule>
    <cfRule type="expression" dxfId="1777" priority="119">
      <formula>AND(AD$9&gt;=14/24,AD$9&lt;20/24)</formula>
    </cfRule>
    <cfRule type="expression" dxfId="1776" priority="118">
      <formula>AD$9&gt;=20/24</formula>
    </cfRule>
  </conditionalFormatting>
  <conditionalFormatting sqref="AB63:AF68">
    <cfRule type="expression" dxfId="1775" priority="74">
      <formula>AB$9&lt;8/24</formula>
    </cfRule>
    <cfRule type="expression" dxfId="1774" priority="73">
      <formula>AND(AB$9&gt;=8/24,AB$9&lt;14/24)</formula>
    </cfRule>
    <cfRule type="expression" dxfId="1773" priority="72">
      <formula>AND(AB$9&gt;=14/24,AB$9&lt;20/24)</formula>
    </cfRule>
    <cfRule type="expression" dxfId="1772" priority="71">
      <formula>AB$9&gt;=20/24</formula>
    </cfRule>
  </conditionalFormatting>
  <conditionalFormatting sqref="AG58">
    <cfRule type="expression" dxfId="1771" priority="113">
      <formula>AG58&gt;$AG58</formula>
    </cfRule>
  </conditionalFormatting>
  <conditionalFormatting sqref="AG62">
    <cfRule type="expression" dxfId="1770" priority="98">
      <formula>AND(AG$9&gt;=8/24,AG$9&lt;14/24)</formula>
    </cfRule>
    <cfRule type="expression" dxfId="1769" priority="99">
      <formula>AG$9&lt;8/24</formula>
    </cfRule>
    <cfRule type="expression" dxfId="1768" priority="96">
      <formula>AG$9&gt;=20/24</formula>
    </cfRule>
    <cfRule type="expression" dxfId="1767" priority="97">
      <formula>AND(AG$9&gt;=14/24,AG$9&lt;20/24)</formula>
    </cfRule>
  </conditionalFormatting>
  <conditionalFormatting sqref="AG75:AG76">
    <cfRule type="expression" dxfId="1766" priority="91">
      <formula>AG75&gt;$AG75</formula>
    </cfRule>
  </conditionalFormatting>
  <conditionalFormatting sqref="AG80">
    <cfRule type="expression" dxfId="1765" priority="94">
      <formula>AND(AG$9&gt;=8/24,AG$9&lt;14/24)</formula>
    </cfRule>
    <cfRule type="expression" dxfId="1764" priority="92">
      <formula>AG$9&gt;=20/24</formula>
    </cfRule>
    <cfRule type="expression" dxfId="1763" priority="93">
      <formula>AND(AG$9&gt;=14/24,AG$9&lt;20/24)</formula>
    </cfRule>
    <cfRule type="expression" dxfId="1762" priority="95">
      <formula>AG$9&lt;8/24</formula>
    </cfRule>
  </conditionalFormatting>
  <conditionalFormatting sqref="AG97">
    <cfRule type="expression" dxfId="1761" priority="117">
      <formula>AG$9&lt;8/24</formula>
    </cfRule>
    <cfRule type="expression" dxfId="1760" priority="116">
      <formula>AND(AG$9&gt;=8/24,AG$9&lt;14/24)</formula>
    </cfRule>
    <cfRule type="expression" dxfId="1759" priority="115">
      <formula>AND(AG$9&gt;=14/24,AG$9&lt;20/24)</formula>
    </cfRule>
    <cfRule type="expression" dxfId="1758" priority="114">
      <formula>AG$9&gt;=20/24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757" priority="139">
      <formula>AJ$9&gt;=20/24</formula>
    </cfRule>
    <cfRule type="expression" dxfId="1756" priority="140">
      <formula>AND(AJ$9&gt;=14/24,AJ$9&lt;20/24)</formula>
    </cfRule>
    <cfRule type="expression" dxfId="1755" priority="141">
      <formula>AND(AJ$9&gt;=8/24,AJ$9&lt;14/24)</formula>
    </cfRule>
    <cfRule type="expression" dxfId="1754" priority="142">
      <formula>AJ$9&lt;8/24</formula>
    </cfRule>
  </conditionalFormatting>
  <conditionalFormatting sqref="AL88:AN88 AL94:AN94">
    <cfRule type="expression" dxfId="1753" priority="107">
      <formula>AND(AL$9&gt;=14/24,AL$9&lt;20/24)</formula>
    </cfRule>
    <cfRule type="expression" dxfId="1752" priority="106">
      <formula>AL$9&gt;=20/24</formula>
    </cfRule>
    <cfRule type="expression" dxfId="1751" priority="108">
      <formula>AND(AL$9&gt;=8/24,AL$9&lt;14/24)</formula>
    </cfRule>
    <cfRule type="expression" dxfId="1750" priority="109">
      <formula>AL$9&lt;8/24</formula>
    </cfRule>
  </conditionalFormatting>
  <conditionalFormatting sqref="AM15:AM21 AN16:AR21">
    <cfRule type="expression" dxfId="1749" priority="16">
      <formula>AX$9&lt;8/24</formula>
    </cfRule>
    <cfRule type="expression" dxfId="1748" priority="15">
      <formula>AND(AX$9&gt;=8/24,AX$9&lt;14/24)</formula>
    </cfRule>
    <cfRule type="expression" dxfId="1747" priority="14">
      <formula>AND(AX$9&gt;=14/24,AX$9&lt;20/24)</formula>
    </cfRule>
    <cfRule type="expression" dxfId="1746" priority="13">
      <formula>AX$9&gt;=20/24</formula>
    </cfRule>
  </conditionalFormatting>
  <conditionalFormatting sqref="AN89:AN92">
    <cfRule type="expression" dxfId="1745" priority="102">
      <formula>AN$9&gt;=20/24</formula>
    </cfRule>
    <cfRule type="expression" dxfId="1744" priority="103">
      <formula>AND(AN$9&gt;=14/24,AN$9&lt;20/24)</formula>
    </cfRule>
    <cfRule type="expression" dxfId="1743" priority="104">
      <formula>AND(AN$9&gt;=8/24,AN$9&lt;14/24)</formula>
    </cfRule>
    <cfRule type="expression" dxfId="1742" priority="105">
      <formula>AN$9&lt;8/24</formula>
    </cfRule>
  </conditionalFormatting>
  <conditionalFormatting sqref="AN15:AR15">
    <cfRule type="expression" dxfId="1741" priority="2">
      <formula>AND(U$9&gt;=14/24,U$9&lt;20/24)</formula>
    </cfRule>
    <cfRule type="expression" dxfId="1740" priority="3">
      <formula>AND(U$9&gt;=8/24,U$9&lt;14/24)</formula>
    </cfRule>
    <cfRule type="expression" dxfId="1739" priority="4">
      <formula>U$9&lt;8/24</formula>
    </cfRule>
    <cfRule type="expression" dxfId="1738" priority="1">
      <formula>U$9&gt;=20/24</formula>
    </cfRule>
  </conditionalFormatting>
  <conditionalFormatting sqref="AS15">
    <cfRule type="expression" dxfId="1737" priority="10">
      <formula>AND(AA$9&gt;=14/24,AA$9&lt;20/24)</formula>
    </cfRule>
    <cfRule type="expression" dxfId="1736" priority="11">
      <formula>AND(AA$9&gt;=8/24,AA$9&lt;14/24)</formula>
    </cfRule>
    <cfRule type="expression" dxfId="1735" priority="12">
      <formula>AA$9&lt;8/24</formula>
    </cfRule>
    <cfRule type="expression" dxfId="1734" priority="9">
      <formula>AA$9&gt;=20/24</formula>
    </cfRule>
  </conditionalFormatting>
  <conditionalFormatting sqref="AS16:AS21">
    <cfRule type="expression" dxfId="1733" priority="20">
      <formula>BE$9&lt;8/24</formula>
    </cfRule>
    <cfRule type="expression" dxfId="1732" priority="19">
      <formula>AND(BE$9&gt;=8/24,BE$9&lt;14/24)</formula>
    </cfRule>
    <cfRule type="expression" dxfId="1731" priority="18">
      <formula>AND(BE$9&gt;=14/24,BE$9&lt;20/24)</formula>
    </cfRule>
    <cfRule type="expression" dxfId="1730" priority="17">
      <formula>BE$9&gt;=20/24</formula>
    </cfRule>
  </conditionalFormatting>
  <conditionalFormatting sqref="AT15 AX15:BJ15">
    <cfRule type="expression" dxfId="1729" priority="24">
      <formula>AC$9&lt;8/24</formula>
    </cfRule>
    <cfRule type="expression" dxfId="1728" priority="21">
      <formula>AC$9&gt;=20/24</formula>
    </cfRule>
    <cfRule type="expression" dxfId="1727" priority="23">
      <formula>AND(AC$9&gt;=8/24,AC$9&lt;14/24)</formula>
    </cfRule>
    <cfRule type="expression" dxfId="1726" priority="22">
      <formula>AND(AC$9&gt;=14/24,AC$9&lt;20/24)</formula>
    </cfRule>
  </conditionalFormatting>
  <conditionalFormatting sqref="AT16:AT21">
    <cfRule type="expression" dxfId="1725" priority="28">
      <formula>BG$9&lt;8/24</formula>
    </cfRule>
    <cfRule type="expression" dxfId="1724" priority="27">
      <formula>AND(BG$9&gt;=8/24,BG$9&lt;14/24)</formula>
    </cfRule>
    <cfRule type="expression" dxfId="1723" priority="26">
      <formula>AND(BG$9&gt;=14/24,BG$9&lt;20/24)</formula>
    </cfRule>
    <cfRule type="expression" dxfId="1722" priority="25">
      <formula>BG$9&gt;=20/24</formula>
    </cfRule>
  </conditionalFormatting>
  <conditionalFormatting sqref="AU15:AV15">
    <cfRule type="expression" dxfId="1721" priority="32">
      <formula>AE$9&lt;8/24</formula>
    </cfRule>
    <cfRule type="expression" dxfId="1720" priority="31">
      <formula>AND(AE$9&gt;=8/24,AE$9&lt;14/24)</formula>
    </cfRule>
    <cfRule type="expression" dxfId="1719" priority="29">
      <formula>AE$9&gt;=20/24</formula>
    </cfRule>
    <cfRule type="expression" dxfId="1718" priority="30">
      <formula>AND(AE$9&gt;=14/24,AE$9&lt;20/24)</formula>
    </cfRule>
  </conditionalFormatting>
  <conditionalFormatting sqref="AU16:BJ21">
    <cfRule type="expression" dxfId="1717" priority="33">
      <formula>BI$9&gt;=20/24</formula>
    </cfRule>
    <cfRule type="expression" dxfId="1716" priority="35">
      <formula>AND(BI$9&gt;=8/24,BI$9&lt;14/24)</formula>
    </cfRule>
    <cfRule type="expression" dxfId="1715" priority="34">
      <formula>AND(BI$9&gt;=14/24,BI$9&lt;20/24)</formula>
    </cfRule>
    <cfRule type="expression" dxfId="1714" priority="36">
      <formula>BI$9&lt;8/24</formula>
    </cfRule>
  </conditionalFormatting>
  <conditionalFormatting sqref="AW15">
    <cfRule type="expression" dxfId="1713" priority="5">
      <formula>B$9&gt;=20/24</formula>
    </cfRule>
    <cfRule type="expression" dxfId="1712" priority="8">
      <formula>B$9&lt;8/24</formula>
    </cfRule>
    <cfRule type="expression" dxfId="1711" priority="7">
      <formula>AND(B$9&gt;=8/24,B$9&lt;14/24)</formula>
    </cfRule>
    <cfRule type="expression" dxfId="1710" priority="6">
      <formula>AND(B$9&gt;=14/24,B$9&lt;20/24)</formula>
    </cfRule>
  </conditionalFormatting>
  <pageMargins left="0.7" right="0.7" top="0.75" bottom="0.75" header="0.3" footer="0.3"/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901F-8ACB-41DF-BE7B-3D107631A336}">
  <dimension ref="A1:CJ294"/>
  <sheetViews>
    <sheetView zoomScale="120" zoomScaleNormal="120" workbookViewId="0">
      <pane xSplit="1" ySplit="10" topLeftCell="V93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97" sqref="A97:AF10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23" style="1" bestFit="1" customWidth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20.25" hidden="1" x14ac:dyDescent="0.2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9.5" hidden="1" thickBot="1" x14ac:dyDescent="0.3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3">
      <c r="A4" s="162" t="s">
        <v>273</v>
      </c>
      <c r="B4" s="205" t="str">
        <f ca="1">"2080/"&amp;"10/"&amp;INT(MID(CELL("filename",D6),FIND("]",CELL("filename",D6))+1,200))</f>
        <v>2080/10/20</v>
      </c>
      <c r="C4" s="205"/>
      <c r="D4" s="205"/>
      <c r="E4" s="206" t="str">
        <f ca="1">"2080/"&amp;"10/"&amp;INT(MID(CELL("filename",G6),FIND("]",CELL("filename",G6))+1,200))</f>
        <v>2080/10/20</v>
      </c>
      <c r="F4" s="206"/>
      <c r="G4" s="206"/>
      <c r="H4" s="206" t="str">
        <f ca="1">TEXT(E4,"dddd")</f>
        <v>Sunday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3">
      <c r="A5" s="158"/>
      <c r="B5" s="161">
        <f t="shared" ref="B5:AE5" si="0">C92</f>
        <v>235.79999999999998</v>
      </c>
      <c r="C5" s="161">
        <f t="shared" si="0"/>
        <v>324.39999999999998</v>
      </c>
      <c r="D5" s="161">
        <f t="shared" si="0"/>
        <v>290.5</v>
      </c>
      <c r="E5" s="161">
        <f t="shared" si="0"/>
        <v>233.5</v>
      </c>
      <c r="F5" s="161">
        <f t="shared" si="0"/>
        <v>283.5</v>
      </c>
      <c r="G5" s="161">
        <f t="shared" si="0"/>
        <v>290.5</v>
      </c>
      <c r="H5" s="161">
        <f t="shared" si="0"/>
        <v>280.7</v>
      </c>
      <c r="I5" s="161">
        <f t="shared" si="0"/>
        <v>775.59999999999991</v>
      </c>
      <c r="J5" s="161">
        <f t="shared" si="0"/>
        <v>876.00000000000011</v>
      </c>
      <c r="K5" s="161">
        <f t="shared" si="0"/>
        <v>888.60000000000014</v>
      </c>
      <c r="L5" s="161">
        <f t="shared" si="0"/>
        <v>898.99999999999989</v>
      </c>
      <c r="M5" s="161">
        <f t="shared" si="0"/>
        <v>894.2</v>
      </c>
      <c r="N5" s="161">
        <f t="shared" si="0"/>
        <v>912.1</v>
      </c>
      <c r="O5" s="161">
        <f t="shared" si="0"/>
        <v>899.20000000000016</v>
      </c>
      <c r="P5" s="161">
        <f t="shared" si="0"/>
        <v>923.5</v>
      </c>
      <c r="Q5" s="161">
        <f t="shared" si="0"/>
        <v>898.30000000000018</v>
      </c>
      <c r="R5" s="161">
        <f t="shared" si="0"/>
        <v>915.4</v>
      </c>
      <c r="S5" s="161">
        <f t="shared" si="0"/>
        <v>930.30000000000007</v>
      </c>
      <c r="T5" s="161">
        <f t="shared" si="0"/>
        <v>931.40000000000009</v>
      </c>
      <c r="U5" s="161">
        <f t="shared" si="0"/>
        <v>929.4</v>
      </c>
      <c r="V5" s="161">
        <f t="shared" si="0"/>
        <v>855.90000000000009</v>
      </c>
      <c r="W5" s="161">
        <f t="shared" si="0"/>
        <v>732.8</v>
      </c>
      <c r="X5" s="161">
        <f t="shared" si="0"/>
        <v>696.89999999999986</v>
      </c>
      <c r="Y5" s="161">
        <f t="shared" si="0"/>
        <v>233.3</v>
      </c>
      <c r="Z5" s="161">
        <f t="shared" si="0"/>
        <v>244.89999999999998</v>
      </c>
      <c r="AA5" s="161">
        <f t="shared" si="0"/>
        <v>234.10000000000002</v>
      </c>
      <c r="AB5" s="161">
        <f t="shared" si="0"/>
        <v>271.58000000000004</v>
      </c>
      <c r="AC5" s="161">
        <f t="shared" si="0"/>
        <v>253.9</v>
      </c>
      <c r="AD5" s="161">
        <f t="shared" si="0"/>
        <v>306.10000000000002</v>
      </c>
      <c r="AE5" s="161">
        <f t="shared" si="0"/>
        <v>301.10000000000002</v>
      </c>
      <c r="AF5" s="161">
        <f>B92</f>
        <v>188.4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3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1771MW at 8:00hr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5" thickBot="1" x14ac:dyDescent="0.3">
      <c r="A7" s="151" t="str">
        <f>"Base Load="&amp;ROUND(MIN($B$7:$AF$7),0)</f>
        <v>Base Load=1400</v>
      </c>
      <c r="B7" s="150">
        <f t="shared" ref="B7:AF7" si="1">B100</f>
        <v>1577.3400000000001</v>
      </c>
      <c r="C7" s="150">
        <f t="shared" si="1"/>
        <v>1563.54</v>
      </c>
      <c r="D7" s="150">
        <f t="shared" si="1"/>
        <v>1531.74</v>
      </c>
      <c r="E7" s="150">
        <f t="shared" si="1"/>
        <v>1456.54</v>
      </c>
      <c r="F7" s="150">
        <f t="shared" si="1"/>
        <v>1399.54</v>
      </c>
      <c r="G7" s="150">
        <f t="shared" si="1"/>
        <v>1449.54</v>
      </c>
      <c r="H7" s="150">
        <f t="shared" si="1"/>
        <v>1540.14</v>
      </c>
      <c r="I7" s="150">
        <f t="shared" si="1"/>
        <v>1530.8400000000001</v>
      </c>
      <c r="J7" s="150">
        <f t="shared" si="1"/>
        <v>1539.84</v>
      </c>
      <c r="K7" s="150">
        <f t="shared" si="1"/>
        <v>1684.94</v>
      </c>
      <c r="L7" s="150">
        <f t="shared" si="1"/>
        <v>1756.44</v>
      </c>
      <c r="M7" s="150">
        <f t="shared" si="1"/>
        <v>1770.8400000000001</v>
      </c>
      <c r="N7" s="150">
        <f t="shared" si="1"/>
        <v>1763.1399999999999</v>
      </c>
      <c r="O7" s="150">
        <f t="shared" si="1"/>
        <v>1805.6400000000003</v>
      </c>
      <c r="P7" s="150">
        <f t="shared" si="1"/>
        <v>1811.44</v>
      </c>
      <c r="Q7" s="150">
        <f t="shared" si="1"/>
        <v>1826.3400000000001</v>
      </c>
      <c r="R7" s="150">
        <f t="shared" si="1"/>
        <v>1794.8400000000001</v>
      </c>
      <c r="S7" s="150">
        <f t="shared" si="1"/>
        <v>1789.2400000000002</v>
      </c>
      <c r="T7" s="150">
        <f t="shared" si="1"/>
        <v>1758.44</v>
      </c>
      <c r="U7" s="150">
        <f t="shared" si="1"/>
        <v>1759.5400000000002</v>
      </c>
      <c r="V7" s="150">
        <f t="shared" si="1"/>
        <v>1728.44</v>
      </c>
      <c r="W7" s="150">
        <f t="shared" si="1"/>
        <v>1638.7800000000002</v>
      </c>
      <c r="X7" s="150">
        <f t="shared" si="1"/>
        <v>1530.28</v>
      </c>
      <c r="Y7" s="150">
        <f t="shared" si="1"/>
        <v>1594.3799999999999</v>
      </c>
      <c r="Z7" s="150">
        <f t="shared" si="1"/>
        <v>1907.8400000000001</v>
      </c>
      <c r="AA7" s="150">
        <f t="shared" si="1"/>
        <v>1908.94</v>
      </c>
      <c r="AB7" s="150">
        <f t="shared" si="1"/>
        <v>1918.6399999999999</v>
      </c>
      <c r="AC7" s="150">
        <f t="shared" si="1"/>
        <v>1843.8200000000002</v>
      </c>
      <c r="AD7" s="150">
        <f t="shared" si="1"/>
        <v>1791.2400000000002</v>
      </c>
      <c r="AE7" s="150">
        <f t="shared" si="1"/>
        <v>1643.44</v>
      </c>
      <c r="AF7" s="150">
        <f t="shared" si="1"/>
        <v>1548.44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7.25" thickTop="1" thickBot="1" x14ac:dyDescent="0.3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1918.64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2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1918.64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.75" thickBot="1" x14ac:dyDescent="0.3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25">
      <c r="A11" s="89" t="s">
        <v>264</v>
      </c>
      <c r="B11" s="102">
        <v>19.3</v>
      </c>
      <c r="C11" s="102">
        <v>19.3</v>
      </c>
      <c r="D11" s="102">
        <v>19.3</v>
      </c>
      <c r="E11" s="102">
        <v>20.399999999999999</v>
      </c>
      <c r="F11" s="102">
        <v>20.399999999999999</v>
      </c>
      <c r="G11" s="102">
        <v>20.399999999999999</v>
      </c>
      <c r="H11" s="102">
        <v>20.399999999999999</v>
      </c>
      <c r="I11" s="102">
        <v>20.399999999999999</v>
      </c>
      <c r="J11" s="102">
        <v>20.399999999999999</v>
      </c>
      <c r="K11" s="102">
        <v>20.399999999999999</v>
      </c>
      <c r="L11" s="102">
        <v>20.399999999999999</v>
      </c>
      <c r="M11" s="102">
        <v>20.7</v>
      </c>
      <c r="N11" s="102">
        <v>19.3</v>
      </c>
      <c r="O11" s="102">
        <v>18.600000000000001</v>
      </c>
      <c r="P11" s="102">
        <v>20.2</v>
      </c>
      <c r="Q11" s="102">
        <v>19.5</v>
      </c>
      <c r="R11" s="102">
        <v>18.600000000000001</v>
      </c>
      <c r="S11" s="102">
        <v>18.600000000000001</v>
      </c>
      <c r="T11" s="102">
        <v>18.600000000000001</v>
      </c>
      <c r="U11" s="102">
        <v>18.600000000000001</v>
      </c>
      <c r="V11" s="102">
        <v>18.600000000000001</v>
      </c>
      <c r="W11" s="102">
        <v>18.600000000000001</v>
      </c>
      <c r="X11" s="102">
        <v>18.600000000000001</v>
      </c>
      <c r="Y11" s="102">
        <v>18.600000000000001</v>
      </c>
      <c r="Z11" s="102">
        <v>18.600000000000001</v>
      </c>
      <c r="AA11" s="102">
        <v>18.600000000000001</v>
      </c>
      <c r="AB11" s="102">
        <v>19.7</v>
      </c>
      <c r="AC11" s="102">
        <v>19.8</v>
      </c>
      <c r="AD11" s="102">
        <v>19.8</v>
      </c>
      <c r="AE11" s="102">
        <v>19.8</v>
      </c>
      <c r="AF11" s="102">
        <v>19.8</v>
      </c>
      <c r="AG11" s="140">
        <v>86</v>
      </c>
      <c r="AH11" s="12">
        <f t="shared" ref="AH11:AH16" si="2">MAX(B11:AF11)</f>
        <v>20.7</v>
      </c>
      <c r="AI11" s="11">
        <f t="shared" ref="AI11:AI16" si="3">MIN(B11:AF11)</f>
        <v>18.600000000000001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25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>
        <v>11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>
        <v>11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20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25">
      <c r="A13" s="89" t="s">
        <v>262</v>
      </c>
      <c r="B13" s="102">
        <v>16</v>
      </c>
      <c r="C13" s="102">
        <v>16</v>
      </c>
      <c r="D13" s="102">
        <v>16</v>
      </c>
      <c r="E13" s="102">
        <v>13</v>
      </c>
      <c r="F13" s="102">
        <v>13</v>
      </c>
      <c r="G13" s="102">
        <v>13</v>
      </c>
      <c r="H13" s="102">
        <v>13</v>
      </c>
      <c r="I13" s="102">
        <v>13</v>
      </c>
      <c r="J13" s="102">
        <v>13</v>
      </c>
      <c r="K13" s="102">
        <v>13</v>
      </c>
      <c r="L13" s="102">
        <v>13</v>
      </c>
      <c r="M13" s="102">
        <v>12</v>
      </c>
      <c r="N13" s="102">
        <v>12</v>
      </c>
      <c r="O13" s="102">
        <v>12</v>
      </c>
      <c r="P13" s="102">
        <v>12</v>
      </c>
      <c r="Q13" s="102">
        <v>12</v>
      </c>
      <c r="R13" s="102">
        <v>12</v>
      </c>
      <c r="S13" s="102">
        <v>12</v>
      </c>
      <c r="T13" s="102">
        <v>12</v>
      </c>
      <c r="U13" s="102">
        <v>12</v>
      </c>
      <c r="V13" s="102">
        <v>12</v>
      </c>
      <c r="W13" s="102">
        <v>12</v>
      </c>
      <c r="X13" s="102">
        <v>12</v>
      </c>
      <c r="Y13" s="102">
        <v>12</v>
      </c>
      <c r="Z13" s="102">
        <v>12</v>
      </c>
      <c r="AA13" s="102">
        <v>12</v>
      </c>
      <c r="AB13" s="102">
        <v>17.899999999999999</v>
      </c>
      <c r="AC13" s="102">
        <v>17.899999999999999</v>
      </c>
      <c r="AD13" s="102">
        <v>17.899999999999999</v>
      </c>
      <c r="AE13" s="102">
        <v>17.899999999999999</v>
      </c>
      <c r="AF13" s="102">
        <v>17.899999999999999</v>
      </c>
      <c r="AG13" s="130">
        <v>54</v>
      </c>
      <c r="AH13" s="12">
        <f t="shared" si="2"/>
        <v>17.899999999999999</v>
      </c>
      <c r="AI13" s="11">
        <f t="shared" si="3"/>
        <v>12</v>
      </c>
      <c r="AK13" s="19"/>
      <c r="AL13" s="6" t="str">
        <f ca="1">"Daily Load Curve(Excluding of Export) of Nepal ("&amp;A4&amp;" "&amp;B4&amp;")"</f>
        <v>Daily Load Curve(Excluding of Export) of Nepal (Nepali Date: 2080/10/20)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.75" thickBot="1" x14ac:dyDescent="0.3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.75" thickTop="1" x14ac:dyDescent="0.25">
      <c r="A15" s="89" t="s">
        <v>260</v>
      </c>
      <c r="B15" s="102">
        <v>50</v>
      </c>
      <c r="C15" s="102">
        <v>50</v>
      </c>
      <c r="D15" s="102">
        <v>50</v>
      </c>
      <c r="E15" s="102">
        <v>39.9</v>
      </c>
      <c r="F15" s="102">
        <v>39.9</v>
      </c>
      <c r="G15" s="102">
        <v>39.9</v>
      </c>
      <c r="H15" s="102">
        <v>39.9</v>
      </c>
      <c r="I15" s="102">
        <v>39.9</v>
      </c>
      <c r="J15" s="102">
        <v>39.9</v>
      </c>
      <c r="K15" s="102">
        <v>39.9</v>
      </c>
      <c r="L15" s="102">
        <v>39.9</v>
      </c>
      <c r="M15" s="102">
        <v>39.700000000000003</v>
      </c>
      <c r="N15" s="102">
        <v>39.700000000000003</v>
      </c>
      <c r="O15" s="102">
        <v>39.700000000000003</v>
      </c>
      <c r="P15" s="102">
        <v>39.700000000000003</v>
      </c>
      <c r="Q15" s="102">
        <v>39.700000000000003</v>
      </c>
      <c r="R15" s="102">
        <v>39.700000000000003</v>
      </c>
      <c r="S15" s="102">
        <v>39.700000000000003</v>
      </c>
      <c r="T15" s="102">
        <v>39.700000000000003</v>
      </c>
      <c r="U15" s="102">
        <v>39.700000000000003</v>
      </c>
      <c r="V15" s="102">
        <v>39.700000000000003</v>
      </c>
      <c r="W15" s="102">
        <v>39.700000000000003</v>
      </c>
      <c r="X15" s="102">
        <v>39.700000000000003</v>
      </c>
      <c r="Y15" s="102">
        <v>39.700000000000003</v>
      </c>
      <c r="Z15" s="123">
        <v>39.700000000000003</v>
      </c>
      <c r="AA15" s="123">
        <v>39.700000000000003</v>
      </c>
      <c r="AB15" s="123">
        <v>36.200000000000003</v>
      </c>
      <c r="AC15" s="123">
        <v>36.200000000000003</v>
      </c>
      <c r="AD15" s="123">
        <v>36.200000000000003</v>
      </c>
      <c r="AE15" s="123">
        <v>36.200000000000003</v>
      </c>
      <c r="AF15" s="123">
        <v>36.200000000000003</v>
      </c>
      <c r="AG15" s="130">
        <v>50</v>
      </c>
      <c r="AH15" s="12">
        <f t="shared" si="2"/>
        <v>50</v>
      </c>
      <c r="AI15" s="11">
        <f t="shared" si="3"/>
        <v>36.200000000000003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25">
      <c r="A16" s="89" t="s">
        <v>258</v>
      </c>
      <c r="B16" s="102">
        <v>15.2</v>
      </c>
      <c r="C16" s="102">
        <v>15.2</v>
      </c>
      <c r="D16" s="102">
        <v>15.2</v>
      </c>
      <c r="E16" s="102">
        <v>15.1</v>
      </c>
      <c r="F16" s="102">
        <v>15.1</v>
      </c>
      <c r="G16" s="102">
        <v>15.1</v>
      </c>
      <c r="H16" s="102">
        <v>15.1</v>
      </c>
      <c r="I16" s="102">
        <v>15.1</v>
      </c>
      <c r="J16" s="102">
        <v>15.1</v>
      </c>
      <c r="K16" s="102">
        <v>15.1</v>
      </c>
      <c r="L16" s="102">
        <v>15.1</v>
      </c>
      <c r="M16" s="102">
        <v>15.1</v>
      </c>
      <c r="N16" s="102">
        <v>15.1</v>
      </c>
      <c r="O16" s="102">
        <v>15.1</v>
      </c>
      <c r="P16" s="102">
        <v>15.1</v>
      </c>
      <c r="Q16" s="102">
        <v>15.1</v>
      </c>
      <c r="R16" s="102">
        <v>15.1</v>
      </c>
      <c r="S16" s="102">
        <v>15.1</v>
      </c>
      <c r="T16" s="102">
        <v>15.1</v>
      </c>
      <c r="U16" s="102">
        <v>15.1</v>
      </c>
      <c r="V16" s="102">
        <v>15.1</v>
      </c>
      <c r="W16" s="102">
        <v>15.1</v>
      </c>
      <c r="X16" s="102">
        <v>15.1</v>
      </c>
      <c r="Y16" s="102">
        <v>15.1</v>
      </c>
      <c r="Z16" s="102">
        <v>15.1</v>
      </c>
      <c r="AA16" s="102">
        <v>15.1</v>
      </c>
      <c r="AB16" s="102">
        <v>15.2</v>
      </c>
      <c r="AC16" s="102">
        <v>15.2</v>
      </c>
      <c r="AD16" s="102">
        <v>15.2</v>
      </c>
      <c r="AE16" s="102">
        <v>15.2</v>
      </c>
      <c r="AF16" s="102">
        <v>15.2</v>
      </c>
      <c r="AG16" s="130">
        <v>45</v>
      </c>
      <c r="AH16" s="12">
        <f t="shared" si="2"/>
        <v>15.2</v>
      </c>
      <c r="AI16" s="11">
        <f t="shared" si="3"/>
        <v>15.1</v>
      </c>
      <c r="AK16" s="19"/>
      <c r="AL16" s="135" t="s">
        <v>7</v>
      </c>
      <c r="AM16" s="134">
        <f t="shared" ref="AM16:AR16" si="4">B58</f>
        <v>490.20000000000005</v>
      </c>
      <c r="AN16" s="134">
        <f t="shared" si="4"/>
        <v>490.20000000000005</v>
      </c>
      <c r="AO16" s="134">
        <f t="shared" si="4"/>
        <v>490.20000000000005</v>
      </c>
      <c r="AP16" s="134">
        <f t="shared" si="4"/>
        <v>466.7</v>
      </c>
      <c r="AQ16" s="134">
        <f t="shared" si="4"/>
        <v>466.7</v>
      </c>
      <c r="AR16" s="134">
        <f t="shared" si="4"/>
        <v>466.7</v>
      </c>
      <c r="AS16" s="134">
        <f>I58</f>
        <v>466.7</v>
      </c>
      <c r="AT16" s="134">
        <f>K58</f>
        <v>466.7</v>
      </c>
      <c r="AU16" s="134">
        <f t="shared" ref="AU16:BD16" si="5">M58</f>
        <v>467.3</v>
      </c>
      <c r="AV16" s="134">
        <f t="shared" si="5"/>
        <v>465.9</v>
      </c>
      <c r="AW16" s="134">
        <f t="shared" si="5"/>
        <v>465.20000000000005</v>
      </c>
      <c r="AX16" s="134">
        <f t="shared" si="5"/>
        <v>466.8</v>
      </c>
      <c r="AY16" s="134">
        <f t="shared" si="5"/>
        <v>466.1</v>
      </c>
      <c r="AZ16" s="134">
        <f t="shared" si="5"/>
        <v>465.20000000000005</v>
      </c>
      <c r="BA16" s="134">
        <f t="shared" si="5"/>
        <v>465.20000000000005</v>
      </c>
      <c r="BB16" s="134">
        <f t="shared" si="5"/>
        <v>465.20000000000005</v>
      </c>
      <c r="BC16" s="134">
        <f t="shared" si="5"/>
        <v>465.20000000000005</v>
      </c>
      <c r="BD16" s="134">
        <f t="shared" si="5"/>
        <v>465.20000000000005</v>
      </c>
      <c r="BE16" s="133">
        <f>X58</f>
        <v>465.20000000000005</v>
      </c>
      <c r="BF16" s="133">
        <f>Z58</f>
        <v>465.20000000000005</v>
      </c>
      <c r="BG16" s="133">
        <f>AB58</f>
        <v>471.3</v>
      </c>
      <c r="BH16" s="133">
        <f>AD58</f>
        <v>471.1</v>
      </c>
      <c r="BI16" s="133">
        <f>AE58</f>
        <v>471.1</v>
      </c>
      <c r="BJ16" s="133">
        <f>AF58</f>
        <v>471.1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25">
      <c r="A17" s="89" t="s">
        <v>257</v>
      </c>
      <c r="B17" s="102">
        <v>16</v>
      </c>
      <c r="C17" s="102">
        <v>16</v>
      </c>
      <c r="D17" s="102">
        <v>16</v>
      </c>
      <c r="E17" s="102">
        <v>16</v>
      </c>
      <c r="F17" s="102">
        <v>16</v>
      </c>
      <c r="G17" s="102">
        <v>16</v>
      </c>
      <c r="H17" s="102">
        <v>16</v>
      </c>
      <c r="I17" s="102">
        <v>16</v>
      </c>
      <c r="J17" s="102">
        <v>16</v>
      </c>
      <c r="K17" s="102">
        <v>16</v>
      </c>
      <c r="L17" s="102">
        <v>16</v>
      </c>
      <c r="M17" s="102">
        <v>16</v>
      </c>
      <c r="N17" s="102">
        <v>16</v>
      </c>
      <c r="O17" s="102">
        <v>16</v>
      </c>
      <c r="P17" s="102">
        <v>16</v>
      </c>
      <c r="Q17" s="102">
        <v>16</v>
      </c>
      <c r="R17" s="102">
        <v>16</v>
      </c>
      <c r="S17" s="102">
        <v>16</v>
      </c>
      <c r="T17" s="102">
        <v>16</v>
      </c>
      <c r="U17" s="102">
        <v>16</v>
      </c>
      <c r="V17" s="102">
        <v>16</v>
      </c>
      <c r="W17" s="102">
        <v>16</v>
      </c>
      <c r="X17" s="102">
        <v>16</v>
      </c>
      <c r="Y17" s="102">
        <v>16</v>
      </c>
      <c r="Z17" s="102">
        <v>16</v>
      </c>
      <c r="AA17" s="102">
        <v>16</v>
      </c>
      <c r="AB17" s="102">
        <v>16</v>
      </c>
      <c r="AC17" s="102">
        <v>16</v>
      </c>
      <c r="AD17" s="102">
        <v>16</v>
      </c>
      <c r="AE17" s="102">
        <v>16</v>
      </c>
      <c r="AF17" s="102">
        <v>16</v>
      </c>
      <c r="AG17" s="130">
        <v>44</v>
      </c>
      <c r="AH17" s="12">
        <f>MAX(B17:AG17)</f>
        <v>44</v>
      </c>
      <c r="AI17" s="11">
        <f>MIN(B17:AG17)</f>
        <v>16</v>
      </c>
      <c r="AK17" s="19"/>
      <c r="AL17" s="135" t="s">
        <v>256</v>
      </c>
      <c r="AM17" s="134">
        <f t="shared" ref="AM17:AR17" si="6">B62</f>
        <v>305.30000000000007</v>
      </c>
      <c r="AN17" s="134">
        <f t="shared" si="6"/>
        <v>253.79999999999998</v>
      </c>
      <c r="AO17" s="134">
        <f t="shared" si="6"/>
        <v>134.1</v>
      </c>
      <c r="AP17" s="134">
        <f t="shared" si="6"/>
        <v>131.9</v>
      </c>
      <c r="AQ17" s="134">
        <f t="shared" si="6"/>
        <v>131.9</v>
      </c>
      <c r="AR17" s="134">
        <f t="shared" si="6"/>
        <v>131.9</v>
      </c>
      <c r="AS17" s="134">
        <f>I62</f>
        <v>162</v>
      </c>
      <c r="AT17" s="134">
        <f>K62</f>
        <v>36.1</v>
      </c>
      <c r="AU17" s="134">
        <f t="shared" ref="AU17:BD17" si="7">M62</f>
        <v>33.400000000000006</v>
      </c>
      <c r="AV17" s="134">
        <f t="shared" si="7"/>
        <v>33.400000000000006</v>
      </c>
      <c r="AW17" s="134">
        <f t="shared" si="7"/>
        <v>36.299999999999997</v>
      </c>
      <c r="AX17" s="134">
        <f t="shared" si="7"/>
        <v>39.200000000000003</v>
      </c>
      <c r="AY17" s="134">
        <f t="shared" si="7"/>
        <v>34.5</v>
      </c>
      <c r="AZ17" s="134">
        <f t="shared" si="7"/>
        <v>32.5</v>
      </c>
      <c r="BA17" s="134">
        <f t="shared" si="7"/>
        <v>28.9</v>
      </c>
      <c r="BB17" s="134">
        <f t="shared" si="7"/>
        <v>28.9</v>
      </c>
      <c r="BC17" s="134">
        <f t="shared" si="7"/>
        <v>28.9</v>
      </c>
      <c r="BD17" s="134">
        <f t="shared" si="7"/>
        <v>28.9</v>
      </c>
      <c r="BE17" s="133">
        <f>X62</f>
        <v>43.9</v>
      </c>
      <c r="BF17" s="133">
        <f>Z62</f>
        <v>486.9</v>
      </c>
      <c r="BG17" s="133">
        <f>AB62</f>
        <v>478.7</v>
      </c>
      <c r="BH17" s="133">
        <f>AD62</f>
        <v>388.9</v>
      </c>
      <c r="BI17" s="133">
        <f>AE62</f>
        <v>238.89999999999998</v>
      </c>
      <c r="BJ17" s="133">
        <f>AF62</f>
        <v>178.89999999999998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25">
      <c r="A18" s="89" t="s">
        <v>255</v>
      </c>
      <c r="B18" s="102">
        <v>11</v>
      </c>
      <c r="C18" s="102">
        <v>11</v>
      </c>
      <c r="D18" s="102">
        <v>11</v>
      </c>
      <c r="E18" s="102">
        <v>9</v>
      </c>
      <c r="F18" s="102">
        <v>9</v>
      </c>
      <c r="G18" s="102">
        <v>9</v>
      </c>
      <c r="H18" s="102">
        <v>9</v>
      </c>
      <c r="I18" s="102">
        <v>9</v>
      </c>
      <c r="J18" s="102">
        <v>9</v>
      </c>
      <c r="K18" s="102">
        <v>9</v>
      </c>
      <c r="L18" s="102">
        <v>9</v>
      </c>
      <c r="M18" s="102">
        <v>8.5</v>
      </c>
      <c r="N18" s="102">
        <v>8.5</v>
      </c>
      <c r="O18" s="102">
        <v>8.5</v>
      </c>
      <c r="P18" s="102">
        <v>8.5</v>
      </c>
      <c r="Q18" s="102">
        <v>8.5</v>
      </c>
      <c r="R18" s="102">
        <v>8.5</v>
      </c>
      <c r="S18" s="102">
        <v>8.5</v>
      </c>
      <c r="T18" s="102">
        <v>8.5</v>
      </c>
      <c r="U18" s="102">
        <v>8.5</v>
      </c>
      <c r="V18" s="102">
        <v>8.5</v>
      </c>
      <c r="W18" s="102">
        <v>8.5</v>
      </c>
      <c r="X18" s="102">
        <v>8.5</v>
      </c>
      <c r="Y18" s="102">
        <v>8.5</v>
      </c>
      <c r="Z18" s="102">
        <v>8.5</v>
      </c>
      <c r="AA18" s="102">
        <v>8.5</v>
      </c>
      <c r="AB18" s="102">
        <v>11</v>
      </c>
      <c r="AC18" s="102">
        <v>11</v>
      </c>
      <c r="AD18" s="102">
        <v>11</v>
      </c>
      <c r="AE18" s="102">
        <v>11</v>
      </c>
      <c r="AF18" s="102">
        <v>11</v>
      </c>
      <c r="AG18" s="130">
        <v>42</v>
      </c>
      <c r="AH18" s="12">
        <f t="shared" ref="AH18:AH81" si="8">MAX(B18:AF18)</f>
        <v>11</v>
      </c>
      <c r="AI18" s="11">
        <f t="shared" ref="AI18:AI81" si="9">MIN(B18:AF18)</f>
        <v>8.5</v>
      </c>
      <c r="AK18" s="19"/>
      <c r="AL18" s="135" t="s">
        <v>254</v>
      </c>
      <c r="AM18" s="134">
        <f t="shared" ref="AM18:AR18" si="10">B76</f>
        <v>296.14000000000004</v>
      </c>
      <c r="AN18" s="134">
        <f t="shared" si="10"/>
        <v>285.83999999999997</v>
      </c>
      <c r="AO18" s="134">
        <f t="shared" si="10"/>
        <v>285.14</v>
      </c>
      <c r="AP18" s="134">
        <f t="shared" si="10"/>
        <v>219.33999999999997</v>
      </c>
      <c r="AQ18" s="134">
        <f t="shared" si="10"/>
        <v>219.33999999999997</v>
      </c>
      <c r="AR18" s="134">
        <f t="shared" si="10"/>
        <v>219.33999999999997</v>
      </c>
      <c r="AS18" s="134">
        <f>I76</f>
        <v>273.34000000000003</v>
      </c>
      <c r="AT18" s="134">
        <f>K76</f>
        <v>256.44</v>
      </c>
      <c r="AU18" s="134">
        <f t="shared" ref="AU18:BD18" si="11">M76</f>
        <v>272.94</v>
      </c>
      <c r="AV18" s="134">
        <f t="shared" si="11"/>
        <v>271.34000000000003</v>
      </c>
      <c r="AW18" s="134">
        <f t="shared" si="11"/>
        <v>293.74000000000007</v>
      </c>
      <c r="AX18" s="134">
        <f t="shared" si="11"/>
        <v>307.83999999999997</v>
      </c>
      <c r="AY18" s="134">
        <f t="shared" si="11"/>
        <v>304.24</v>
      </c>
      <c r="AZ18" s="134">
        <f t="shared" si="11"/>
        <v>300.54000000000002</v>
      </c>
      <c r="BA18" s="134">
        <f t="shared" si="11"/>
        <v>281.44</v>
      </c>
      <c r="BB18" s="134">
        <f t="shared" si="11"/>
        <v>235.73999999999998</v>
      </c>
      <c r="BC18" s="134">
        <f t="shared" si="11"/>
        <v>235.73999999999998</v>
      </c>
      <c r="BD18" s="134">
        <f t="shared" si="11"/>
        <v>206.64</v>
      </c>
      <c r="BE18" s="133">
        <f>X76</f>
        <v>190.07999999999998</v>
      </c>
      <c r="BF18" s="133">
        <f>Z76</f>
        <v>274.14000000000004</v>
      </c>
      <c r="BG18" s="133">
        <f>AB76</f>
        <v>286.94000000000005</v>
      </c>
      <c r="BH18" s="133">
        <f>AD76</f>
        <v>229.64</v>
      </c>
      <c r="BI18" s="133">
        <f>AE76</f>
        <v>229.64</v>
      </c>
      <c r="BJ18" s="133">
        <f>AF76</f>
        <v>199.64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25">
      <c r="A19" s="89" t="s">
        <v>253</v>
      </c>
      <c r="B19" s="102">
        <v>22.6</v>
      </c>
      <c r="C19" s="102">
        <v>22.6</v>
      </c>
      <c r="D19" s="102">
        <v>22.6</v>
      </c>
      <c r="E19" s="102">
        <v>15.7</v>
      </c>
      <c r="F19" s="102">
        <v>15.7</v>
      </c>
      <c r="G19" s="102">
        <v>15.7</v>
      </c>
      <c r="H19" s="102">
        <v>15.7</v>
      </c>
      <c r="I19" s="102">
        <v>15.7</v>
      </c>
      <c r="J19" s="102">
        <v>15.7</v>
      </c>
      <c r="K19" s="102">
        <v>15.7</v>
      </c>
      <c r="L19" s="102">
        <v>15.7</v>
      </c>
      <c r="M19" s="102">
        <v>14.8</v>
      </c>
      <c r="N19" s="102">
        <v>14.8</v>
      </c>
      <c r="O19" s="102">
        <v>14.8</v>
      </c>
      <c r="P19" s="102">
        <v>14.8</v>
      </c>
      <c r="Q19" s="102">
        <v>14.8</v>
      </c>
      <c r="R19" s="102">
        <v>14.8</v>
      </c>
      <c r="S19" s="102">
        <v>14.8</v>
      </c>
      <c r="T19" s="102">
        <v>14.8</v>
      </c>
      <c r="U19" s="102">
        <v>14.8</v>
      </c>
      <c r="V19" s="102">
        <v>14.8</v>
      </c>
      <c r="W19" s="102">
        <v>14.8</v>
      </c>
      <c r="X19" s="102">
        <v>14.8</v>
      </c>
      <c r="Y19" s="102">
        <v>14.8</v>
      </c>
      <c r="Z19" s="102">
        <v>14.8</v>
      </c>
      <c r="AA19" s="102">
        <v>14.8</v>
      </c>
      <c r="AB19" s="102">
        <v>14.8</v>
      </c>
      <c r="AC19" s="102">
        <v>14.5</v>
      </c>
      <c r="AD19" s="102">
        <v>14.5</v>
      </c>
      <c r="AE19" s="102">
        <v>14.5</v>
      </c>
      <c r="AF19" s="102">
        <v>14.5</v>
      </c>
      <c r="AG19" s="130">
        <v>38.46</v>
      </c>
      <c r="AH19" s="12">
        <f t="shared" si="8"/>
        <v>22.6</v>
      </c>
      <c r="AI19" s="11">
        <f t="shared" si="9"/>
        <v>14.5</v>
      </c>
      <c r="AK19" s="19"/>
      <c r="AL19" s="135" t="s">
        <v>252</v>
      </c>
      <c r="AM19" s="134">
        <f t="shared" ref="AM19:AR19" si="12">B92</f>
        <v>188.4</v>
      </c>
      <c r="AN19" s="134">
        <f t="shared" si="12"/>
        <v>235.79999999999998</v>
      </c>
      <c r="AO19" s="134">
        <f t="shared" si="12"/>
        <v>324.39999999999998</v>
      </c>
      <c r="AP19" s="134">
        <f t="shared" si="12"/>
        <v>290.5</v>
      </c>
      <c r="AQ19" s="134">
        <f t="shared" si="12"/>
        <v>233.5</v>
      </c>
      <c r="AR19" s="134">
        <f t="shared" si="12"/>
        <v>283.5</v>
      </c>
      <c r="AS19" s="134">
        <f>I92</f>
        <v>280.7</v>
      </c>
      <c r="AT19" s="134">
        <f>K92</f>
        <v>876.00000000000011</v>
      </c>
      <c r="AU19" s="134">
        <f t="shared" ref="AU19:BD19" si="13">M92</f>
        <v>898.99999999999989</v>
      </c>
      <c r="AV19" s="134">
        <f t="shared" si="13"/>
        <v>894.2</v>
      </c>
      <c r="AW19" s="134">
        <f t="shared" si="13"/>
        <v>912.1</v>
      </c>
      <c r="AX19" s="134">
        <f t="shared" si="13"/>
        <v>899.20000000000016</v>
      </c>
      <c r="AY19" s="134">
        <f t="shared" si="13"/>
        <v>923.5</v>
      </c>
      <c r="AZ19" s="134">
        <f t="shared" si="13"/>
        <v>898.30000000000018</v>
      </c>
      <c r="BA19" s="134">
        <f t="shared" si="13"/>
        <v>915.4</v>
      </c>
      <c r="BB19" s="134">
        <f t="shared" si="13"/>
        <v>930.30000000000007</v>
      </c>
      <c r="BC19" s="134">
        <f t="shared" si="13"/>
        <v>931.40000000000009</v>
      </c>
      <c r="BD19" s="134">
        <f t="shared" si="13"/>
        <v>929.4</v>
      </c>
      <c r="BE19" s="133">
        <f>X92</f>
        <v>732.8</v>
      </c>
      <c r="BF19" s="133">
        <f>Z92</f>
        <v>233.3</v>
      </c>
      <c r="BG19" s="133">
        <f>AB92</f>
        <v>234.10000000000002</v>
      </c>
      <c r="BH19" s="133">
        <f>AD92</f>
        <v>253.9</v>
      </c>
      <c r="BI19" s="133">
        <f>AE92</f>
        <v>306.10000000000002</v>
      </c>
      <c r="BJ19" s="133">
        <f>AF92</f>
        <v>301.10000000000002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25">
      <c r="A20" s="89" t="s">
        <v>251</v>
      </c>
      <c r="B20" s="102">
        <v>14</v>
      </c>
      <c r="C20" s="102">
        <v>14</v>
      </c>
      <c r="D20" s="102">
        <v>14</v>
      </c>
      <c r="E20" s="102">
        <v>14</v>
      </c>
      <c r="F20" s="102">
        <v>14</v>
      </c>
      <c r="G20" s="102">
        <v>14</v>
      </c>
      <c r="H20" s="102">
        <v>14</v>
      </c>
      <c r="I20" s="102">
        <v>14</v>
      </c>
      <c r="J20" s="102">
        <v>14</v>
      </c>
      <c r="K20" s="102">
        <v>14</v>
      </c>
      <c r="L20" s="102">
        <v>14</v>
      </c>
      <c r="M20" s="102">
        <v>14</v>
      </c>
      <c r="N20" s="102">
        <v>14</v>
      </c>
      <c r="O20" s="102">
        <v>14</v>
      </c>
      <c r="P20" s="102">
        <v>14</v>
      </c>
      <c r="Q20" s="102">
        <v>14</v>
      </c>
      <c r="R20" s="102">
        <v>14</v>
      </c>
      <c r="S20" s="102">
        <v>14</v>
      </c>
      <c r="T20" s="102">
        <v>14</v>
      </c>
      <c r="U20" s="102">
        <v>14</v>
      </c>
      <c r="V20" s="102">
        <v>14</v>
      </c>
      <c r="W20" s="102">
        <v>14</v>
      </c>
      <c r="X20" s="102">
        <v>14</v>
      </c>
      <c r="Y20" s="102">
        <v>14</v>
      </c>
      <c r="Z20" s="102">
        <v>14</v>
      </c>
      <c r="AA20" s="102">
        <v>14</v>
      </c>
      <c r="AB20" s="102">
        <v>14</v>
      </c>
      <c r="AC20" s="102">
        <v>14</v>
      </c>
      <c r="AD20" s="102">
        <v>14</v>
      </c>
      <c r="AE20" s="102">
        <v>14</v>
      </c>
      <c r="AF20" s="102">
        <v>14</v>
      </c>
      <c r="AG20" s="130">
        <v>38.46</v>
      </c>
      <c r="AH20" s="12">
        <f t="shared" si="8"/>
        <v>14</v>
      </c>
      <c r="AI20" s="11">
        <f t="shared" si="9"/>
        <v>14</v>
      </c>
      <c r="AK20" s="19"/>
      <c r="AL20" s="135" t="s">
        <v>250</v>
      </c>
      <c r="AM20" s="134">
        <f t="shared" ref="AM20:AR20" si="14">B80</f>
        <v>47.3</v>
      </c>
      <c r="AN20" s="134">
        <f t="shared" si="14"/>
        <v>47.9</v>
      </c>
      <c r="AO20" s="134">
        <f t="shared" si="14"/>
        <v>47.9</v>
      </c>
      <c r="AP20" s="134">
        <f t="shared" si="14"/>
        <v>98.100000000000009</v>
      </c>
      <c r="AQ20" s="134">
        <f t="shared" si="14"/>
        <v>98.100000000000009</v>
      </c>
      <c r="AR20" s="134">
        <f t="shared" si="14"/>
        <v>98.100000000000009</v>
      </c>
      <c r="AS20" s="134">
        <f>I80</f>
        <v>98.100000000000009</v>
      </c>
      <c r="AT20" s="134">
        <f>K80</f>
        <v>49.699999999999996</v>
      </c>
      <c r="AU20" s="134">
        <f t="shared" ref="AU20:BD20" si="15">M80</f>
        <v>98.2</v>
      </c>
      <c r="AV20" s="134">
        <f t="shared" si="15"/>
        <v>98.3</v>
      </c>
      <c r="AW20" s="134">
        <f t="shared" si="15"/>
        <v>98.3</v>
      </c>
      <c r="AX20" s="134">
        <f t="shared" si="15"/>
        <v>98.4</v>
      </c>
      <c r="AY20" s="134">
        <f t="shared" si="15"/>
        <v>98</v>
      </c>
      <c r="AZ20" s="134">
        <f t="shared" si="15"/>
        <v>98.300000000000011</v>
      </c>
      <c r="BA20" s="134">
        <f t="shared" si="15"/>
        <v>98.300000000000011</v>
      </c>
      <c r="BB20" s="134">
        <f t="shared" si="15"/>
        <v>98.300000000000011</v>
      </c>
      <c r="BC20" s="134">
        <f t="shared" si="15"/>
        <v>98.300000000000011</v>
      </c>
      <c r="BD20" s="134">
        <f t="shared" si="15"/>
        <v>98.300000000000011</v>
      </c>
      <c r="BE20" s="133">
        <f>X80</f>
        <v>98.300000000000011</v>
      </c>
      <c r="BF20" s="133">
        <f>Z80</f>
        <v>98.300000000000011</v>
      </c>
      <c r="BG20" s="133">
        <f>AB80</f>
        <v>97.6</v>
      </c>
      <c r="BH20" s="133">
        <f>AD80</f>
        <v>97.699999999999989</v>
      </c>
      <c r="BI20" s="133">
        <f>AE80</f>
        <v>97.699999999999989</v>
      </c>
      <c r="BJ20" s="133">
        <f>AF80</f>
        <v>97.699999999999989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25">
      <c r="A21" s="89" t="s">
        <v>249</v>
      </c>
      <c r="B21" s="102">
        <v>0</v>
      </c>
      <c r="C21" s="102">
        <v>0</v>
      </c>
      <c r="D21" s="102">
        <v>0</v>
      </c>
      <c r="E21" s="102">
        <v>0</v>
      </c>
      <c r="F21" s="102">
        <v>0</v>
      </c>
      <c r="G21" s="102">
        <v>0</v>
      </c>
      <c r="H21" s="102">
        <v>0</v>
      </c>
      <c r="I21" s="102">
        <v>0</v>
      </c>
      <c r="J21" s="102">
        <v>0</v>
      </c>
      <c r="K21" s="102">
        <v>0</v>
      </c>
      <c r="L21" s="102">
        <v>0</v>
      </c>
      <c r="M21" s="102">
        <v>0</v>
      </c>
      <c r="N21" s="102">
        <v>0</v>
      </c>
      <c r="O21" s="102">
        <v>0</v>
      </c>
      <c r="P21" s="102">
        <v>0</v>
      </c>
      <c r="Q21" s="102">
        <v>0</v>
      </c>
      <c r="R21" s="102">
        <v>0</v>
      </c>
      <c r="S21" s="102">
        <v>0</v>
      </c>
      <c r="T21" s="102">
        <v>0</v>
      </c>
      <c r="U21" s="102">
        <v>0</v>
      </c>
      <c r="V21" s="102">
        <v>0</v>
      </c>
      <c r="W21" s="102">
        <v>0</v>
      </c>
      <c r="X21" s="102">
        <v>0</v>
      </c>
      <c r="Y21" s="102">
        <v>0</v>
      </c>
      <c r="Z21" s="102">
        <v>0</v>
      </c>
      <c r="AA21" s="102">
        <v>0</v>
      </c>
      <c r="AB21" s="102">
        <v>0</v>
      </c>
      <c r="AC21" s="102">
        <v>0</v>
      </c>
      <c r="AD21" s="102">
        <v>0</v>
      </c>
      <c r="AE21" s="102">
        <v>0</v>
      </c>
      <c r="AF21" s="102">
        <v>0</v>
      </c>
      <c r="AG21" s="130">
        <v>36</v>
      </c>
      <c r="AH21" s="12">
        <f t="shared" si="8"/>
        <v>0</v>
      </c>
      <c r="AI21" s="11">
        <f t="shared" si="9"/>
        <v>0</v>
      </c>
      <c r="AK21" s="19"/>
      <c r="AL21" s="135" t="s">
        <v>248</v>
      </c>
      <c r="AM21" s="134">
        <f t="shared" ref="AM21:AR21" si="16">B98</f>
        <v>250</v>
      </c>
      <c r="AN21" s="134">
        <f t="shared" si="16"/>
        <v>250</v>
      </c>
      <c r="AO21" s="134">
        <f t="shared" si="16"/>
        <v>250</v>
      </c>
      <c r="AP21" s="134">
        <f t="shared" si="16"/>
        <v>250</v>
      </c>
      <c r="AQ21" s="134">
        <f t="shared" si="16"/>
        <v>250</v>
      </c>
      <c r="AR21" s="134">
        <f t="shared" si="16"/>
        <v>250</v>
      </c>
      <c r="AS21" s="134">
        <f>I98</f>
        <v>250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350</v>
      </c>
      <c r="BG21" s="133">
        <f>AB98</f>
        <v>350</v>
      </c>
      <c r="BH21" s="133">
        <f>AD98</f>
        <v>350</v>
      </c>
      <c r="BI21" s="133">
        <f>AE98</f>
        <v>300</v>
      </c>
      <c r="BJ21" s="133">
        <f>AF98</f>
        <v>300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25">
      <c r="A22" s="89" t="s">
        <v>247</v>
      </c>
      <c r="B22" s="102">
        <v>9.9</v>
      </c>
      <c r="C22" s="102">
        <v>9.9</v>
      </c>
      <c r="D22" s="102">
        <v>9.9</v>
      </c>
      <c r="E22" s="102">
        <v>7.9</v>
      </c>
      <c r="F22" s="102">
        <v>7.9</v>
      </c>
      <c r="G22" s="102">
        <v>7.9</v>
      </c>
      <c r="H22" s="102">
        <v>7.9</v>
      </c>
      <c r="I22" s="102">
        <v>7.9</v>
      </c>
      <c r="J22" s="102">
        <v>7.9</v>
      </c>
      <c r="K22" s="102">
        <v>7.9</v>
      </c>
      <c r="L22" s="102">
        <v>7.9</v>
      </c>
      <c r="M22" s="102">
        <v>7.9</v>
      </c>
      <c r="N22" s="102">
        <v>7.9</v>
      </c>
      <c r="O22" s="102">
        <v>7.9</v>
      </c>
      <c r="P22" s="102">
        <v>7.9</v>
      </c>
      <c r="Q22" s="102">
        <v>7.9</v>
      </c>
      <c r="R22" s="102">
        <v>7.9</v>
      </c>
      <c r="S22" s="102">
        <v>7.9</v>
      </c>
      <c r="T22" s="102">
        <v>7.9</v>
      </c>
      <c r="U22" s="102">
        <v>7.9</v>
      </c>
      <c r="V22" s="102">
        <v>7.9</v>
      </c>
      <c r="W22" s="102">
        <v>7.9</v>
      </c>
      <c r="X22" s="102">
        <v>7.9</v>
      </c>
      <c r="Y22" s="102">
        <v>7.9</v>
      </c>
      <c r="Z22" s="102">
        <v>7.9</v>
      </c>
      <c r="AA22" s="102">
        <v>7.9</v>
      </c>
      <c r="AB22" s="102">
        <v>7.9</v>
      </c>
      <c r="AC22" s="102">
        <v>7.9</v>
      </c>
      <c r="AD22" s="102">
        <v>7.9</v>
      </c>
      <c r="AE22" s="102">
        <v>7.9</v>
      </c>
      <c r="AF22" s="102">
        <v>7.9</v>
      </c>
      <c r="AG22" s="88">
        <v>30</v>
      </c>
      <c r="AH22" s="12">
        <f t="shared" si="8"/>
        <v>9.9</v>
      </c>
      <c r="AI22" s="11">
        <f t="shared" si="9"/>
        <v>7.9</v>
      </c>
      <c r="AK22" s="19"/>
      <c r="AL22" s="132" t="s">
        <v>246</v>
      </c>
      <c r="AM22" s="131">
        <f t="shared" ref="AM22:BJ22" si="18">SUM(AM16:AM21)</f>
        <v>1577.3400000000001</v>
      </c>
      <c r="AN22" s="131">
        <f t="shared" si="18"/>
        <v>1563.54</v>
      </c>
      <c r="AO22" s="131">
        <f t="shared" si="18"/>
        <v>1531.7400000000002</v>
      </c>
      <c r="AP22" s="131">
        <f t="shared" si="18"/>
        <v>1456.54</v>
      </c>
      <c r="AQ22" s="131">
        <f t="shared" si="18"/>
        <v>1399.54</v>
      </c>
      <c r="AR22" s="131">
        <f t="shared" si="18"/>
        <v>1449.54</v>
      </c>
      <c r="AS22" s="131">
        <f t="shared" si="18"/>
        <v>1530.84</v>
      </c>
      <c r="AT22" s="131">
        <f t="shared" si="18"/>
        <v>1684.9400000000003</v>
      </c>
      <c r="AU22" s="131">
        <f t="shared" si="18"/>
        <v>1770.84</v>
      </c>
      <c r="AV22" s="131">
        <f t="shared" si="18"/>
        <v>1763.14</v>
      </c>
      <c r="AW22" s="131">
        <f t="shared" si="18"/>
        <v>1805.64</v>
      </c>
      <c r="AX22" s="131">
        <f t="shared" si="18"/>
        <v>1811.44</v>
      </c>
      <c r="AY22" s="131">
        <f t="shared" si="18"/>
        <v>1826.3400000000001</v>
      </c>
      <c r="AZ22" s="131">
        <f t="shared" si="18"/>
        <v>1794.8400000000001</v>
      </c>
      <c r="BA22" s="131">
        <f t="shared" si="18"/>
        <v>1789.24</v>
      </c>
      <c r="BB22" s="131">
        <f t="shared" si="18"/>
        <v>1758.44</v>
      </c>
      <c r="BC22" s="131">
        <f t="shared" si="18"/>
        <v>1759.5400000000002</v>
      </c>
      <c r="BD22" s="131">
        <f t="shared" si="18"/>
        <v>1728.4399999999998</v>
      </c>
      <c r="BE22" s="131">
        <f t="shared" si="18"/>
        <v>1530.28</v>
      </c>
      <c r="BF22" s="131">
        <f t="shared" si="18"/>
        <v>1907.84</v>
      </c>
      <c r="BG22" s="131">
        <f t="shared" si="18"/>
        <v>1918.6399999999999</v>
      </c>
      <c r="BH22" s="131">
        <f t="shared" si="18"/>
        <v>1791.24</v>
      </c>
      <c r="BI22" s="131">
        <f t="shared" si="18"/>
        <v>1643.44</v>
      </c>
      <c r="BJ22" s="131">
        <f t="shared" si="18"/>
        <v>1548.44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25">
      <c r="A23" s="89" t="s">
        <v>245</v>
      </c>
      <c r="B23" s="102">
        <v>5.6</v>
      </c>
      <c r="C23" s="102">
        <v>5.6</v>
      </c>
      <c r="D23" s="102">
        <v>5.6</v>
      </c>
      <c r="E23" s="102">
        <v>5.6</v>
      </c>
      <c r="F23" s="102">
        <v>5.6</v>
      </c>
      <c r="G23" s="102">
        <v>5.6</v>
      </c>
      <c r="H23" s="102">
        <v>5.6</v>
      </c>
      <c r="I23" s="102">
        <v>5.6</v>
      </c>
      <c r="J23" s="102">
        <v>5.6</v>
      </c>
      <c r="K23" s="102">
        <v>5.6</v>
      </c>
      <c r="L23" s="102">
        <v>5.6</v>
      </c>
      <c r="M23" s="102">
        <v>5.6</v>
      </c>
      <c r="N23" s="102">
        <v>5.6</v>
      </c>
      <c r="O23" s="102">
        <v>5.6</v>
      </c>
      <c r="P23" s="102">
        <v>5.6</v>
      </c>
      <c r="Q23" s="102">
        <v>5.6</v>
      </c>
      <c r="R23" s="102">
        <v>5.6</v>
      </c>
      <c r="S23" s="102">
        <v>5.6</v>
      </c>
      <c r="T23" s="102">
        <v>5.6</v>
      </c>
      <c r="U23" s="102">
        <v>5.6</v>
      </c>
      <c r="V23" s="102">
        <v>5.6</v>
      </c>
      <c r="W23" s="102">
        <v>5.6</v>
      </c>
      <c r="X23" s="102">
        <v>5.6</v>
      </c>
      <c r="Y23" s="102">
        <v>5.6</v>
      </c>
      <c r="Z23" s="102">
        <v>5.6</v>
      </c>
      <c r="AA23" s="102">
        <v>5.6</v>
      </c>
      <c r="AB23" s="102">
        <v>5.6</v>
      </c>
      <c r="AC23" s="102">
        <v>5.6</v>
      </c>
      <c r="AD23" s="102">
        <v>5.6</v>
      </c>
      <c r="AE23" s="102">
        <v>5.6</v>
      </c>
      <c r="AF23" s="102">
        <v>5.6</v>
      </c>
      <c r="AG23" s="130">
        <v>24.2</v>
      </c>
      <c r="AH23" s="12">
        <f t="shared" si="8"/>
        <v>5.6</v>
      </c>
      <c r="AI23" s="11">
        <f t="shared" si="9"/>
        <v>5.6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25">
      <c r="A24" s="89" t="s">
        <v>244</v>
      </c>
      <c r="B24" s="102">
        <v>6.7</v>
      </c>
      <c r="C24" s="102">
        <v>6.7</v>
      </c>
      <c r="D24" s="102">
        <v>6.7</v>
      </c>
      <c r="E24" s="102">
        <v>6.3</v>
      </c>
      <c r="F24" s="102">
        <v>6.3</v>
      </c>
      <c r="G24" s="102">
        <v>6.3</v>
      </c>
      <c r="H24" s="102">
        <v>6.3</v>
      </c>
      <c r="I24" s="102">
        <v>6.3</v>
      </c>
      <c r="J24" s="102">
        <v>6.3</v>
      </c>
      <c r="K24" s="102">
        <v>6.3</v>
      </c>
      <c r="L24" s="102">
        <v>6.3</v>
      </c>
      <c r="M24" s="102">
        <v>5.8</v>
      </c>
      <c r="N24" s="102">
        <v>5.8</v>
      </c>
      <c r="O24" s="102">
        <v>5.8</v>
      </c>
      <c r="P24" s="102">
        <v>5.8</v>
      </c>
      <c r="Q24" s="102">
        <v>5.8</v>
      </c>
      <c r="R24" s="102">
        <v>5.8</v>
      </c>
      <c r="S24" s="102">
        <v>5.8</v>
      </c>
      <c r="T24" s="102">
        <v>5.8</v>
      </c>
      <c r="U24" s="102">
        <v>5.8</v>
      </c>
      <c r="V24" s="102">
        <v>5.8</v>
      </c>
      <c r="W24" s="102">
        <v>5.8</v>
      </c>
      <c r="X24" s="102">
        <v>5.8</v>
      </c>
      <c r="Y24" s="102">
        <v>5.8</v>
      </c>
      <c r="Z24" s="102">
        <v>5.8</v>
      </c>
      <c r="AA24" s="102">
        <v>5.8</v>
      </c>
      <c r="AB24" s="102">
        <v>5.8</v>
      </c>
      <c r="AC24" s="102">
        <v>5.8</v>
      </c>
      <c r="AD24" s="102">
        <v>5.8</v>
      </c>
      <c r="AE24" s="102">
        <v>5.8</v>
      </c>
      <c r="AF24" s="102">
        <v>5.8</v>
      </c>
      <c r="AG24" s="130">
        <v>28</v>
      </c>
      <c r="AH24" s="12">
        <f t="shared" si="8"/>
        <v>6.7</v>
      </c>
      <c r="AI24" s="11">
        <f t="shared" si="9"/>
        <v>5.8</v>
      </c>
      <c r="AK24" s="19"/>
      <c r="AL24" s="132" t="s">
        <v>243</v>
      </c>
      <c r="AM24" s="131">
        <f t="shared" ref="AM24:BJ24" si="21">AM22+AM23</f>
        <v>1577.3400000000001</v>
      </c>
      <c r="AN24" s="131">
        <f t="shared" si="21"/>
        <v>1563.54</v>
      </c>
      <c r="AO24" s="131">
        <f t="shared" si="21"/>
        <v>1531.7400000000002</v>
      </c>
      <c r="AP24" s="131">
        <f t="shared" si="21"/>
        <v>1456.54</v>
      </c>
      <c r="AQ24" s="131">
        <f t="shared" si="21"/>
        <v>1399.54</v>
      </c>
      <c r="AR24" s="131">
        <f t="shared" si="21"/>
        <v>1449.54</v>
      </c>
      <c r="AS24" s="131">
        <f t="shared" si="21"/>
        <v>1530.84</v>
      </c>
      <c r="AT24" s="131">
        <f t="shared" si="21"/>
        <v>1684.9400000000003</v>
      </c>
      <c r="AU24" s="131">
        <f t="shared" si="21"/>
        <v>1770.84</v>
      </c>
      <c r="AV24" s="131">
        <f t="shared" si="21"/>
        <v>1763.14</v>
      </c>
      <c r="AW24" s="131">
        <f t="shared" si="21"/>
        <v>1805.64</v>
      </c>
      <c r="AX24" s="131">
        <f t="shared" si="21"/>
        <v>1811.44</v>
      </c>
      <c r="AY24" s="131">
        <f t="shared" si="21"/>
        <v>1826.3400000000001</v>
      </c>
      <c r="AZ24" s="131">
        <f t="shared" si="21"/>
        <v>1794.8400000000001</v>
      </c>
      <c r="BA24" s="131">
        <f t="shared" si="21"/>
        <v>1789.24</v>
      </c>
      <c r="BB24" s="131">
        <f t="shared" si="21"/>
        <v>1758.44</v>
      </c>
      <c r="BC24" s="131">
        <f t="shared" si="21"/>
        <v>1759.5400000000002</v>
      </c>
      <c r="BD24" s="131">
        <f t="shared" si="21"/>
        <v>1728.4399999999998</v>
      </c>
      <c r="BE24" s="131">
        <f t="shared" si="21"/>
        <v>1530.28</v>
      </c>
      <c r="BF24" s="131">
        <f t="shared" si="21"/>
        <v>1907.84</v>
      </c>
      <c r="BG24" s="131">
        <f t="shared" si="21"/>
        <v>1918.6399999999999</v>
      </c>
      <c r="BH24" s="131">
        <f t="shared" si="21"/>
        <v>1791.24</v>
      </c>
      <c r="BI24" s="131">
        <f t="shared" si="21"/>
        <v>1643.44</v>
      </c>
      <c r="BJ24" s="131">
        <f t="shared" si="21"/>
        <v>1548.44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25">
      <c r="A25" s="89" t="s">
        <v>242</v>
      </c>
      <c r="B25" s="102">
        <v>7.8</v>
      </c>
      <c r="C25" s="102">
        <v>7.8</v>
      </c>
      <c r="D25" s="102">
        <v>7.8</v>
      </c>
      <c r="E25" s="102">
        <v>6.5</v>
      </c>
      <c r="F25" s="102">
        <v>6.5</v>
      </c>
      <c r="G25" s="102">
        <v>6.5</v>
      </c>
      <c r="H25" s="102">
        <v>6.5</v>
      </c>
      <c r="I25" s="102">
        <v>6.5</v>
      </c>
      <c r="J25" s="102">
        <v>6.5</v>
      </c>
      <c r="K25" s="102">
        <v>6.5</v>
      </c>
      <c r="L25" s="102">
        <v>6.5</v>
      </c>
      <c r="M25" s="102">
        <v>5.7</v>
      </c>
      <c r="N25" s="102">
        <v>5.7</v>
      </c>
      <c r="O25" s="102">
        <v>5.7</v>
      </c>
      <c r="P25" s="102">
        <v>5.7</v>
      </c>
      <c r="Q25" s="102">
        <v>5.7</v>
      </c>
      <c r="R25" s="102">
        <v>5.7</v>
      </c>
      <c r="S25" s="102">
        <v>5.7</v>
      </c>
      <c r="T25" s="102">
        <v>5.7</v>
      </c>
      <c r="U25" s="102">
        <v>5.7</v>
      </c>
      <c r="V25" s="102">
        <v>5.7</v>
      </c>
      <c r="W25" s="102">
        <v>5.7</v>
      </c>
      <c r="X25" s="102">
        <v>5.7</v>
      </c>
      <c r="Y25" s="102">
        <v>5.7</v>
      </c>
      <c r="Z25" s="102">
        <v>5.7</v>
      </c>
      <c r="AA25" s="102">
        <v>5.7</v>
      </c>
      <c r="AB25" s="102">
        <v>5.7</v>
      </c>
      <c r="AC25" s="102">
        <v>5.7</v>
      </c>
      <c r="AD25" s="102">
        <v>5.7</v>
      </c>
      <c r="AE25" s="102">
        <v>5.7</v>
      </c>
      <c r="AF25" s="102">
        <v>5.7</v>
      </c>
      <c r="AG25" s="88">
        <v>30</v>
      </c>
      <c r="AH25" s="12">
        <f t="shared" si="8"/>
        <v>7.8</v>
      </c>
      <c r="AI25" s="11">
        <f t="shared" si="9"/>
        <v>5.7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25">
      <c r="A26" s="89" t="s">
        <v>241</v>
      </c>
      <c r="B26" s="102">
        <v>8.5</v>
      </c>
      <c r="C26" s="102">
        <v>8.5</v>
      </c>
      <c r="D26" s="102">
        <v>8.5</v>
      </c>
      <c r="E26" s="102">
        <v>9.5</v>
      </c>
      <c r="F26" s="102">
        <v>9.5</v>
      </c>
      <c r="G26" s="102">
        <v>9.5</v>
      </c>
      <c r="H26" s="102">
        <v>9.5</v>
      </c>
      <c r="I26" s="102">
        <v>9.5</v>
      </c>
      <c r="J26" s="102">
        <v>9.5</v>
      </c>
      <c r="K26" s="102">
        <v>9.5</v>
      </c>
      <c r="L26" s="102">
        <v>9.5</v>
      </c>
      <c r="M26" s="102">
        <v>9.9</v>
      </c>
      <c r="N26" s="102">
        <v>9.9</v>
      </c>
      <c r="O26" s="102">
        <v>9.9</v>
      </c>
      <c r="P26" s="102">
        <v>9.9</v>
      </c>
      <c r="Q26" s="102">
        <v>9.9</v>
      </c>
      <c r="R26" s="102">
        <v>9.9</v>
      </c>
      <c r="S26" s="102">
        <v>9.9</v>
      </c>
      <c r="T26" s="102">
        <v>9.9</v>
      </c>
      <c r="U26" s="102">
        <v>9.9</v>
      </c>
      <c r="V26" s="102">
        <v>9.9</v>
      </c>
      <c r="W26" s="102">
        <v>9.9</v>
      </c>
      <c r="X26" s="102">
        <v>9.9</v>
      </c>
      <c r="Y26" s="102">
        <v>9.9</v>
      </c>
      <c r="Z26" s="102">
        <v>9.9</v>
      </c>
      <c r="AA26" s="102">
        <v>9.9</v>
      </c>
      <c r="AB26" s="102">
        <v>9.9</v>
      </c>
      <c r="AC26" s="102">
        <v>9.9</v>
      </c>
      <c r="AD26" s="102">
        <v>9.9</v>
      </c>
      <c r="AE26" s="102">
        <v>9.9</v>
      </c>
      <c r="AF26" s="102">
        <v>9.9</v>
      </c>
      <c r="AG26" s="130">
        <v>25</v>
      </c>
      <c r="AH26" s="12">
        <f t="shared" si="8"/>
        <v>9.9</v>
      </c>
      <c r="AI26" s="11">
        <f t="shared" si="9"/>
        <v>8.5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25">
      <c r="A27" s="89" t="s">
        <v>240</v>
      </c>
      <c r="B27" s="102">
        <v>8</v>
      </c>
      <c r="C27" s="102">
        <v>8</v>
      </c>
      <c r="D27" s="102">
        <v>8</v>
      </c>
      <c r="E27" s="102">
        <v>8</v>
      </c>
      <c r="F27" s="102">
        <v>8</v>
      </c>
      <c r="G27" s="102">
        <v>8</v>
      </c>
      <c r="H27" s="102">
        <v>8</v>
      </c>
      <c r="I27" s="102">
        <v>8</v>
      </c>
      <c r="J27" s="102">
        <v>8</v>
      </c>
      <c r="K27" s="102">
        <v>8</v>
      </c>
      <c r="L27" s="102">
        <v>8</v>
      </c>
      <c r="M27" s="102">
        <v>8</v>
      </c>
      <c r="N27" s="102">
        <v>8</v>
      </c>
      <c r="O27" s="102">
        <v>8</v>
      </c>
      <c r="P27" s="102">
        <v>8</v>
      </c>
      <c r="Q27" s="102">
        <v>8</v>
      </c>
      <c r="R27" s="102">
        <v>8</v>
      </c>
      <c r="S27" s="102">
        <v>8</v>
      </c>
      <c r="T27" s="102">
        <v>8</v>
      </c>
      <c r="U27" s="102">
        <v>8</v>
      </c>
      <c r="V27" s="102">
        <v>8</v>
      </c>
      <c r="W27" s="102">
        <v>8</v>
      </c>
      <c r="X27" s="102">
        <v>8</v>
      </c>
      <c r="Y27" s="102">
        <v>8</v>
      </c>
      <c r="Z27" s="102">
        <v>8</v>
      </c>
      <c r="AA27" s="102">
        <v>8</v>
      </c>
      <c r="AB27" s="102">
        <v>8</v>
      </c>
      <c r="AC27" s="102">
        <v>8</v>
      </c>
      <c r="AD27" s="102">
        <v>8</v>
      </c>
      <c r="AE27" s="102">
        <v>8</v>
      </c>
      <c r="AF27" s="102">
        <v>8</v>
      </c>
      <c r="AG27" s="130">
        <v>25</v>
      </c>
      <c r="AH27" s="12">
        <f t="shared" si="8"/>
        <v>8</v>
      </c>
      <c r="AI27" s="11">
        <f t="shared" si="9"/>
        <v>8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25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25">
      <c r="A29" s="89" t="s">
        <v>238</v>
      </c>
      <c r="B29" s="102">
        <v>10.4</v>
      </c>
      <c r="C29" s="102">
        <v>10.4</v>
      </c>
      <c r="D29" s="102">
        <v>10.4</v>
      </c>
      <c r="E29" s="102">
        <v>8</v>
      </c>
      <c r="F29" s="102">
        <v>8</v>
      </c>
      <c r="G29" s="102">
        <v>8</v>
      </c>
      <c r="H29" s="102">
        <v>8</v>
      </c>
      <c r="I29" s="102">
        <v>8</v>
      </c>
      <c r="J29" s="102">
        <v>8</v>
      </c>
      <c r="K29" s="102">
        <v>8</v>
      </c>
      <c r="L29" s="102">
        <v>8</v>
      </c>
      <c r="M29" s="102">
        <v>8</v>
      </c>
      <c r="N29" s="102">
        <v>8</v>
      </c>
      <c r="O29" s="102">
        <v>8</v>
      </c>
      <c r="P29" s="102">
        <v>8</v>
      </c>
      <c r="Q29" s="102">
        <v>8</v>
      </c>
      <c r="R29" s="102">
        <v>8</v>
      </c>
      <c r="S29" s="102">
        <v>8</v>
      </c>
      <c r="T29" s="102">
        <v>8</v>
      </c>
      <c r="U29" s="102">
        <v>8</v>
      </c>
      <c r="V29" s="102">
        <v>8</v>
      </c>
      <c r="W29" s="102">
        <v>8</v>
      </c>
      <c r="X29" s="102">
        <v>8</v>
      </c>
      <c r="Y29" s="102">
        <v>8</v>
      </c>
      <c r="Z29" s="102">
        <v>8</v>
      </c>
      <c r="AA29" s="102">
        <v>8</v>
      </c>
      <c r="AB29" s="102">
        <v>8</v>
      </c>
      <c r="AC29" s="102">
        <v>8</v>
      </c>
      <c r="AD29" s="102">
        <v>8</v>
      </c>
      <c r="AE29" s="102">
        <v>8</v>
      </c>
      <c r="AF29" s="102">
        <v>8</v>
      </c>
      <c r="AG29" s="130">
        <v>25</v>
      </c>
      <c r="AH29" s="12">
        <f t="shared" si="8"/>
        <v>10.4</v>
      </c>
      <c r="AI29" s="11">
        <f t="shared" si="9"/>
        <v>8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25">
      <c r="A30" s="89" t="s">
        <v>237</v>
      </c>
      <c r="B30" s="102">
        <v>4.5</v>
      </c>
      <c r="C30" s="102">
        <v>4.5</v>
      </c>
      <c r="D30" s="102">
        <v>4.5</v>
      </c>
      <c r="E30" s="102">
        <v>5.4</v>
      </c>
      <c r="F30" s="102">
        <v>5.4</v>
      </c>
      <c r="G30" s="102">
        <v>5.4</v>
      </c>
      <c r="H30" s="102">
        <v>5.4</v>
      </c>
      <c r="I30" s="102">
        <v>5.4</v>
      </c>
      <c r="J30" s="102">
        <v>5.4</v>
      </c>
      <c r="K30" s="102">
        <v>5.4</v>
      </c>
      <c r="L30" s="102">
        <v>5.4</v>
      </c>
      <c r="M30" s="102">
        <v>5</v>
      </c>
      <c r="N30" s="102">
        <v>5</v>
      </c>
      <c r="O30" s="102">
        <v>5</v>
      </c>
      <c r="P30" s="102">
        <v>5</v>
      </c>
      <c r="Q30" s="102">
        <v>5</v>
      </c>
      <c r="R30" s="102">
        <v>5</v>
      </c>
      <c r="S30" s="102">
        <v>5</v>
      </c>
      <c r="T30" s="102">
        <v>5</v>
      </c>
      <c r="U30" s="102">
        <v>5</v>
      </c>
      <c r="V30" s="102">
        <v>5</v>
      </c>
      <c r="W30" s="102">
        <v>5</v>
      </c>
      <c r="X30" s="102">
        <v>5</v>
      </c>
      <c r="Y30" s="102">
        <v>5</v>
      </c>
      <c r="Z30" s="102">
        <v>5</v>
      </c>
      <c r="AA30" s="102">
        <v>5</v>
      </c>
      <c r="AB30" s="102">
        <v>5</v>
      </c>
      <c r="AC30" s="102">
        <v>5</v>
      </c>
      <c r="AD30" s="102">
        <v>5</v>
      </c>
      <c r="AE30" s="102">
        <v>5</v>
      </c>
      <c r="AF30" s="102">
        <v>5</v>
      </c>
      <c r="AG30" s="130">
        <v>23.5</v>
      </c>
      <c r="AH30" s="12">
        <f t="shared" si="8"/>
        <v>5.4</v>
      </c>
      <c r="AI30" s="11">
        <f t="shared" si="9"/>
        <v>4.5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25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25">
      <c r="A32" s="89" t="s">
        <v>235</v>
      </c>
      <c r="B32" s="102">
        <v>2.9</v>
      </c>
      <c r="C32" s="102">
        <v>2.9</v>
      </c>
      <c r="D32" s="102">
        <v>2.9</v>
      </c>
      <c r="E32" s="102">
        <v>3</v>
      </c>
      <c r="F32" s="102">
        <v>3</v>
      </c>
      <c r="G32" s="102">
        <v>3</v>
      </c>
      <c r="H32" s="102">
        <v>3</v>
      </c>
      <c r="I32" s="102">
        <v>3</v>
      </c>
      <c r="J32" s="102">
        <v>3</v>
      </c>
      <c r="K32" s="102">
        <v>3</v>
      </c>
      <c r="L32" s="102">
        <v>3</v>
      </c>
      <c r="M32" s="102">
        <v>3</v>
      </c>
      <c r="N32" s="102">
        <v>3</v>
      </c>
      <c r="O32" s="102">
        <v>3</v>
      </c>
      <c r="P32" s="102">
        <v>3</v>
      </c>
      <c r="Q32" s="102">
        <v>3</v>
      </c>
      <c r="R32" s="102">
        <v>3</v>
      </c>
      <c r="S32" s="102">
        <v>3</v>
      </c>
      <c r="T32" s="102">
        <v>3</v>
      </c>
      <c r="U32" s="102">
        <v>3</v>
      </c>
      <c r="V32" s="102">
        <v>3</v>
      </c>
      <c r="W32" s="102">
        <v>3</v>
      </c>
      <c r="X32" s="102">
        <v>3</v>
      </c>
      <c r="Y32" s="102">
        <v>3</v>
      </c>
      <c r="Z32" s="102">
        <v>3</v>
      </c>
      <c r="AA32" s="102">
        <v>3</v>
      </c>
      <c r="AB32" s="102">
        <v>3</v>
      </c>
      <c r="AC32" s="102">
        <v>3</v>
      </c>
      <c r="AD32" s="102">
        <v>3</v>
      </c>
      <c r="AE32" s="102">
        <v>3</v>
      </c>
      <c r="AF32" s="102">
        <v>3</v>
      </c>
      <c r="AG32" s="130">
        <v>22.1</v>
      </c>
      <c r="AH32" s="12">
        <f t="shared" si="8"/>
        <v>3</v>
      </c>
      <c r="AI32" s="11">
        <f t="shared" si="9"/>
        <v>2.9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25">
      <c r="A33" s="89" t="s">
        <v>234</v>
      </c>
      <c r="B33" s="102">
        <v>3.9</v>
      </c>
      <c r="C33" s="102">
        <v>3.9</v>
      </c>
      <c r="D33" s="102">
        <v>3.9</v>
      </c>
      <c r="E33" s="102">
        <v>3.9</v>
      </c>
      <c r="F33" s="102">
        <v>3.9</v>
      </c>
      <c r="G33" s="102">
        <v>3.9</v>
      </c>
      <c r="H33" s="102">
        <v>3.9</v>
      </c>
      <c r="I33" s="102">
        <v>3.9</v>
      </c>
      <c r="J33" s="102">
        <v>3.9</v>
      </c>
      <c r="K33" s="102">
        <v>3.9</v>
      </c>
      <c r="L33" s="102">
        <v>3.9</v>
      </c>
      <c r="M33" s="102">
        <v>3.9</v>
      </c>
      <c r="N33" s="102">
        <v>3.9</v>
      </c>
      <c r="O33" s="102">
        <v>3.9</v>
      </c>
      <c r="P33" s="102">
        <v>3.9</v>
      </c>
      <c r="Q33" s="102">
        <v>3.9</v>
      </c>
      <c r="R33" s="102">
        <v>3.9</v>
      </c>
      <c r="S33" s="102">
        <v>3.9</v>
      </c>
      <c r="T33" s="102">
        <v>3.9</v>
      </c>
      <c r="U33" s="102">
        <v>3.9</v>
      </c>
      <c r="V33" s="102">
        <v>3.9</v>
      </c>
      <c r="W33" s="102">
        <v>3.9</v>
      </c>
      <c r="X33" s="102">
        <v>3.9</v>
      </c>
      <c r="Y33" s="102">
        <v>3.9</v>
      </c>
      <c r="Z33" s="102">
        <v>3.9</v>
      </c>
      <c r="AA33" s="102">
        <v>3.9</v>
      </c>
      <c r="AB33" s="102">
        <v>3.9</v>
      </c>
      <c r="AC33" s="102">
        <v>3.9</v>
      </c>
      <c r="AD33" s="102">
        <v>3.9</v>
      </c>
      <c r="AE33" s="102">
        <v>3.9</v>
      </c>
      <c r="AF33" s="102">
        <v>3.9</v>
      </c>
      <c r="AG33" s="130">
        <v>22</v>
      </c>
      <c r="AH33" s="12">
        <f t="shared" si="8"/>
        <v>3.9</v>
      </c>
      <c r="AI33" s="11">
        <f t="shared" si="9"/>
        <v>3.9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25">
      <c r="A34" s="89" t="s">
        <v>233</v>
      </c>
      <c r="B34" s="102">
        <v>6.6</v>
      </c>
      <c r="C34" s="102">
        <v>6.6</v>
      </c>
      <c r="D34" s="102">
        <v>6.6</v>
      </c>
      <c r="E34" s="102">
        <v>8.1999999999999993</v>
      </c>
      <c r="F34" s="102">
        <v>8.1999999999999993</v>
      </c>
      <c r="G34" s="102">
        <v>8.1999999999999993</v>
      </c>
      <c r="H34" s="102">
        <v>8.1999999999999993</v>
      </c>
      <c r="I34" s="102">
        <v>8.1999999999999993</v>
      </c>
      <c r="J34" s="102">
        <v>8.1999999999999993</v>
      </c>
      <c r="K34" s="102">
        <v>8.1999999999999993</v>
      </c>
      <c r="L34" s="102">
        <v>8.1999999999999993</v>
      </c>
      <c r="M34" s="102">
        <v>5.8</v>
      </c>
      <c r="N34" s="102">
        <v>5.8</v>
      </c>
      <c r="O34" s="102">
        <v>5.8</v>
      </c>
      <c r="P34" s="102">
        <v>5.8</v>
      </c>
      <c r="Q34" s="102">
        <v>5.8</v>
      </c>
      <c r="R34" s="102">
        <v>5.8</v>
      </c>
      <c r="S34" s="102">
        <v>5.8</v>
      </c>
      <c r="T34" s="102">
        <v>5.8</v>
      </c>
      <c r="U34" s="102">
        <v>5.8</v>
      </c>
      <c r="V34" s="102">
        <v>5.8</v>
      </c>
      <c r="W34" s="102">
        <v>5.8</v>
      </c>
      <c r="X34" s="102">
        <v>5.8</v>
      </c>
      <c r="Y34" s="102">
        <v>5.8</v>
      </c>
      <c r="Z34" s="102">
        <v>5.8</v>
      </c>
      <c r="AA34" s="102">
        <v>5.8</v>
      </c>
      <c r="AB34" s="102">
        <v>5.8</v>
      </c>
      <c r="AC34" s="102">
        <v>5.8</v>
      </c>
      <c r="AD34" s="102">
        <v>5.8</v>
      </c>
      <c r="AE34" s="102">
        <v>5.8</v>
      </c>
      <c r="AF34" s="102">
        <v>5.8</v>
      </c>
      <c r="AG34" s="130">
        <v>22</v>
      </c>
      <c r="AH34" s="12">
        <f t="shared" si="8"/>
        <v>8.1999999999999993</v>
      </c>
      <c r="AI34" s="11">
        <f t="shared" si="9"/>
        <v>5.8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25">
      <c r="A35" s="89" t="s">
        <v>232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6.6</v>
      </c>
      <c r="N35" s="102">
        <v>6.6</v>
      </c>
      <c r="O35" s="102">
        <v>6.6</v>
      </c>
      <c r="P35" s="102">
        <v>6.6</v>
      </c>
      <c r="Q35" s="102">
        <v>6.6</v>
      </c>
      <c r="R35" s="102">
        <v>6.6</v>
      </c>
      <c r="S35" s="102">
        <v>6.6</v>
      </c>
      <c r="T35" s="102">
        <v>6.6</v>
      </c>
      <c r="U35" s="102">
        <v>6.6</v>
      </c>
      <c r="V35" s="102">
        <v>6.6</v>
      </c>
      <c r="W35" s="102">
        <v>6.6</v>
      </c>
      <c r="X35" s="102">
        <v>6.6</v>
      </c>
      <c r="Y35" s="102">
        <v>6.6</v>
      </c>
      <c r="Z35" s="102">
        <v>6.6</v>
      </c>
      <c r="AA35" s="102">
        <v>6.6</v>
      </c>
      <c r="AB35" s="102">
        <v>6.6</v>
      </c>
      <c r="AC35" s="102">
        <v>6.6</v>
      </c>
      <c r="AD35" s="102">
        <v>6.6</v>
      </c>
      <c r="AE35" s="102">
        <v>6.6</v>
      </c>
      <c r="AF35" s="102">
        <v>6.6</v>
      </c>
      <c r="AG35" s="130">
        <v>20</v>
      </c>
      <c r="AH35" s="12">
        <f t="shared" si="8"/>
        <v>6.6</v>
      </c>
      <c r="AI35" s="11">
        <f t="shared" si="9"/>
        <v>0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25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25">
      <c r="A37" s="89" t="s">
        <v>230</v>
      </c>
      <c r="B37" s="102">
        <v>5.8</v>
      </c>
      <c r="C37" s="102">
        <v>5.8</v>
      </c>
      <c r="D37" s="102">
        <v>5.8</v>
      </c>
      <c r="E37" s="102">
        <v>5.8</v>
      </c>
      <c r="F37" s="102">
        <v>5.8</v>
      </c>
      <c r="G37" s="102">
        <v>5.8</v>
      </c>
      <c r="H37" s="102">
        <v>5.8</v>
      </c>
      <c r="I37" s="102">
        <v>5.8</v>
      </c>
      <c r="J37" s="102">
        <v>5.8</v>
      </c>
      <c r="K37" s="102">
        <v>5.8</v>
      </c>
      <c r="L37" s="102">
        <v>5.8</v>
      </c>
      <c r="M37" s="102">
        <v>5.8</v>
      </c>
      <c r="N37" s="102">
        <v>5.8</v>
      </c>
      <c r="O37" s="102">
        <v>5.8</v>
      </c>
      <c r="P37" s="102">
        <v>5.8</v>
      </c>
      <c r="Q37" s="102">
        <v>5.8</v>
      </c>
      <c r="R37" s="102">
        <v>5.8</v>
      </c>
      <c r="S37" s="102">
        <v>5.8</v>
      </c>
      <c r="T37" s="102">
        <v>5.8</v>
      </c>
      <c r="U37" s="102">
        <v>5.8</v>
      </c>
      <c r="V37" s="102">
        <v>5.8</v>
      </c>
      <c r="W37" s="102">
        <v>5.8</v>
      </c>
      <c r="X37" s="102">
        <v>5.8</v>
      </c>
      <c r="Y37" s="102">
        <v>5.8</v>
      </c>
      <c r="Z37" s="102">
        <v>5.8</v>
      </c>
      <c r="AA37" s="102">
        <v>5.8</v>
      </c>
      <c r="AB37" s="102">
        <v>5.8</v>
      </c>
      <c r="AC37" s="102">
        <v>5.8</v>
      </c>
      <c r="AD37" s="102">
        <v>5.8</v>
      </c>
      <c r="AE37" s="102">
        <v>5.8</v>
      </c>
      <c r="AF37" s="102">
        <v>5.8</v>
      </c>
      <c r="AG37" s="130">
        <v>18</v>
      </c>
      <c r="AH37" s="12">
        <f t="shared" si="8"/>
        <v>5.8</v>
      </c>
      <c r="AI37" s="11">
        <f t="shared" si="9"/>
        <v>5.8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25">
      <c r="A38" s="89" t="s">
        <v>229</v>
      </c>
      <c r="B38" s="102">
        <v>5.0999999999999996</v>
      </c>
      <c r="C38" s="102">
        <v>5.0999999999999996</v>
      </c>
      <c r="D38" s="102">
        <v>5.0999999999999996</v>
      </c>
      <c r="E38" s="102">
        <v>5.0999999999999996</v>
      </c>
      <c r="F38" s="102">
        <v>5.0999999999999996</v>
      </c>
      <c r="G38" s="102">
        <v>5.0999999999999996</v>
      </c>
      <c r="H38" s="102">
        <v>5.0999999999999996</v>
      </c>
      <c r="I38" s="102">
        <v>5.0999999999999996</v>
      </c>
      <c r="J38" s="102">
        <v>5.0999999999999996</v>
      </c>
      <c r="K38" s="102">
        <v>5.0999999999999996</v>
      </c>
      <c r="L38" s="102">
        <v>5.0999999999999996</v>
      </c>
      <c r="M38" s="102">
        <v>5.0999999999999996</v>
      </c>
      <c r="N38" s="102">
        <v>5.0999999999999996</v>
      </c>
      <c r="O38" s="102">
        <v>5.0999999999999996</v>
      </c>
      <c r="P38" s="102">
        <v>5.0999999999999996</v>
      </c>
      <c r="Q38" s="102">
        <v>5.0999999999999996</v>
      </c>
      <c r="R38" s="102">
        <v>5.0999999999999996</v>
      </c>
      <c r="S38" s="102">
        <v>5.0999999999999996</v>
      </c>
      <c r="T38" s="102">
        <v>5.0999999999999996</v>
      </c>
      <c r="U38" s="102">
        <v>5.0999999999999996</v>
      </c>
      <c r="V38" s="102">
        <v>5.0999999999999996</v>
      </c>
      <c r="W38" s="102">
        <v>5.0999999999999996</v>
      </c>
      <c r="X38" s="102">
        <v>5.0999999999999996</v>
      </c>
      <c r="Y38" s="102">
        <v>5.0999999999999996</v>
      </c>
      <c r="Z38" s="102">
        <v>5.0999999999999996</v>
      </c>
      <c r="AA38" s="102">
        <v>5.0999999999999996</v>
      </c>
      <c r="AB38" s="102">
        <v>5.0999999999999996</v>
      </c>
      <c r="AC38" s="102">
        <v>5.0999999999999996</v>
      </c>
      <c r="AD38" s="102">
        <v>5.0999999999999996</v>
      </c>
      <c r="AE38" s="102">
        <v>5.0999999999999996</v>
      </c>
      <c r="AF38" s="102">
        <v>5.0999999999999996</v>
      </c>
      <c r="AG38" s="130">
        <v>14.9</v>
      </c>
      <c r="AH38" s="12">
        <f t="shared" si="8"/>
        <v>5.0999999999999996</v>
      </c>
      <c r="AI38" s="11">
        <f t="shared" si="9"/>
        <v>5.0999999999999996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25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25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25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25">
      <c r="A42" s="89" t="s">
        <v>225</v>
      </c>
      <c r="B42" s="102">
        <v>5.2</v>
      </c>
      <c r="C42" s="102">
        <v>5.2</v>
      </c>
      <c r="D42" s="102">
        <v>5.2</v>
      </c>
      <c r="E42" s="102">
        <v>5.2</v>
      </c>
      <c r="F42" s="102">
        <v>5.2</v>
      </c>
      <c r="G42" s="102">
        <v>5.2</v>
      </c>
      <c r="H42" s="102">
        <v>5.2</v>
      </c>
      <c r="I42" s="102">
        <v>5.2</v>
      </c>
      <c r="J42" s="102">
        <v>5.2</v>
      </c>
      <c r="K42" s="102">
        <v>5.2</v>
      </c>
      <c r="L42" s="102">
        <v>5.2</v>
      </c>
      <c r="M42" s="102">
        <v>5.2</v>
      </c>
      <c r="N42" s="102">
        <v>5.2</v>
      </c>
      <c r="O42" s="102">
        <v>5.2</v>
      </c>
      <c r="P42" s="102">
        <v>5.2</v>
      </c>
      <c r="Q42" s="102">
        <v>5.2</v>
      </c>
      <c r="R42" s="102">
        <v>5.2</v>
      </c>
      <c r="S42" s="102">
        <v>5.2</v>
      </c>
      <c r="T42" s="102">
        <v>5.2</v>
      </c>
      <c r="U42" s="102">
        <v>5.2</v>
      </c>
      <c r="V42" s="102">
        <v>5.2</v>
      </c>
      <c r="W42" s="102">
        <v>5.2</v>
      </c>
      <c r="X42" s="102">
        <v>5.2</v>
      </c>
      <c r="Y42" s="102">
        <v>5.2</v>
      </c>
      <c r="Z42" s="102">
        <v>5.2</v>
      </c>
      <c r="AA42" s="102">
        <v>5.2</v>
      </c>
      <c r="AB42" s="102">
        <v>5.2</v>
      </c>
      <c r="AC42" s="102">
        <v>5.2</v>
      </c>
      <c r="AD42" s="102">
        <v>5.2</v>
      </c>
      <c r="AE42" s="102">
        <v>5.2</v>
      </c>
      <c r="AF42" s="102">
        <v>5.2</v>
      </c>
      <c r="AG42" s="130">
        <v>13.6</v>
      </c>
      <c r="AH42" s="12">
        <f t="shared" si="8"/>
        <v>5.2</v>
      </c>
      <c r="AI42" s="11">
        <f t="shared" si="9"/>
        <v>5.2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25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25">
      <c r="A44" s="89" t="s">
        <v>223</v>
      </c>
      <c r="B44" s="102">
        <v>4.5</v>
      </c>
      <c r="C44" s="102">
        <v>4.5</v>
      </c>
      <c r="D44" s="102">
        <v>4.5</v>
      </c>
      <c r="E44" s="102">
        <v>4.5</v>
      </c>
      <c r="F44" s="102">
        <v>4.5</v>
      </c>
      <c r="G44" s="102">
        <v>4.5</v>
      </c>
      <c r="H44" s="102">
        <v>4.5</v>
      </c>
      <c r="I44" s="102">
        <v>4.5</v>
      </c>
      <c r="J44" s="102">
        <v>4.5</v>
      </c>
      <c r="K44" s="102">
        <v>4.5</v>
      </c>
      <c r="L44" s="102">
        <v>4.5</v>
      </c>
      <c r="M44" s="102">
        <v>4.5</v>
      </c>
      <c r="N44" s="102">
        <v>4.5</v>
      </c>
      <c r="O44" s="102">
        <v>4.5</v>
      </c>
      <c r="P44" s="102">
        <v>4.5</v>
      </c>
      <c r="Q44" s="102">
        <v>4.5</v>
      </c>
      <c r="R44" s="102">
        <v>4.5</v>
      </c>
      <c r="S44" s="102">
        <v>4.5</v>
      </c>
      <c r="T44" s="102">
        <v>4.5</v>
      </c>
      <c r="U44" s="102">
        <v>4.5</v>
      </c>
      <c r="V44" s="102">
        <v>4.5</v>
      </c>
      <c r="W44" s="102">
        <v>4.5</v>
      </c>
      <c r="X44" s="102">
        <v>4.5</v>
      </c>
      <c r="Y44" s="102">
        <v>4.5</v>
      </c>
      <c r="Z44" s="102">
        <v>4.5</v>
      </c>
      <c r="AA44" s="102">
        <v>4.5</v>
      </c>
      <c r="AB44" s="102">
        <v>4.5</v>
      </c>
      <c r="AC44" s="102">
        <v>4.5</v>
      </c>
      <c r="AD44" s="102">
        <v>4.5</v>
      </c>
      <c r="AE44" s="102">
        <v>4.5</v>
      </c>
      <c r="AF44" s="102">
        <v>4.5</v>
      </c>
      <c r="AG44" s="130">
        <v>12</v>
      </c>
      <c r="AH44" s="12">
        <f t="shared" si="8"/>
        <v>4.5</v>
      </c>
      <c r="AI44" s="11">
        <f t="shared" si="9"/>
        <v>4.5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25">
      <c r="A45" s="89" t="s">
        <v>222</v>
      </c>
      <c r="B45" s="102">
        <v>3.5</v>
      </c>
      <c r="C45" s="102">
        <v>3.5</v>
      </c>
      <c r="D45" s="102">
        <v>3.5</v>
      </c>
      <c r="E45" s="102">
        <v>3.5</v>
      </c>
      <c r="F45" s="102">
        <v>3.5</v>
      </c>
      <c r="G45" s="102">
        <v>3.5</v>
      </c>
      <c r="H45" s="102">
        <v>3.5</v>
      </c>
      <c r="I45" s="102">
        <v>3.5</v>
      </c>
      <c r="J45" s="102">
        <v>3.5</v>
      </c>
      <c r="K45" s="102">
        <v>3.5</v>
      </c>
      <c r="L45" s="102">
        <v>3.5</v>
      </c>
      <c r="M45" s="102">
        <v>3.5</v>
      </c>
      <c r="N45" s="102">
        <v>3.5</v>
      </c>
      <c r="O45" s="102">
        <v>3.5</v>
      </c>
      <c r="P45" s="102">
        <v>3.5</v>
      </c>
      <c r="Q45" s="102">
        <v>3.5</v>
      </c>
      <c r="R45" s="102">
        <v>3.5</v>
      </c>
      <c r="S45" s="102">
        <v>3.5</v>
      </c>
      <c r="T45" s="102">
        <v>3.5</v>
      </c>
      <c r="U45" s="102">
        <v>3.5</v>
      </c>
      <c r="V45" s="102">
        <v>3.5</v>
      </c>
      <c r="W45" s="102">
        <v>3.5</v>
      </c>
      <c r="X45" s="102">
        <v>3.5</v>
      </c>
      <c r="Y45" s="102">
        <v>3.5</v>
      </c>
      <c r="Z45" s="102">
        <v>3.5</v>
      </c>
      <c r="AA45" s="102">
        <v>3.5</v>
      </c>
      <c r="AB45" s="102">
        <v>3.5</v>
      </c>
      <c r="AC45" s="102">
        <v>3.5</v>
      </c>
      <c r="AD45" s="102">
        <v>3.5</v>
      </c>
      <c r="AE45" s="102">
        <v>3.5</v>
      </c>
      <c r="AF45" s="102">
        <v>3.5</v>
      </c>
      <c r="AG45" s="130">
        <v>12</v>
      </c>
      <c r="AH45" s="12">
        <f t="shared" si="8"/>
        <v>3.5</v>
      </c>
      <c r="AI45" s="11">
        <f t="shared" si="9"/>
        <v>3.5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25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25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25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25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25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25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25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25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25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25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25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93">
        <v>150</v>
      </c>
      <c r="N56" s="193">
        <v>150</v>
      </c>
      <c r="O56" s="193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.75" thickBot="1" x14ac:dyDescent="0.3">
      <c r="A57" s="124" t="s">
        <v>210</v>
      </c>
      <c r="B57" s="122">
        <v>21</v>
      </c>
      <c r="C57" s="122">
        <v>21</v>
      </c>
      <c r="D57" s="122">
        <v>21</v>
      </c>
      <c r="E57" s="122">
        <v>25.8</v>
      </c>
      <c r="F57" s="122">
        <v>25.8</v>
      </c>
      <c r="G57" s="122">
        <v>25.8</v>
      </c>
      <c r="H57" s="122">
        <v>25.8</v>
      </c>
      <c r="I57" s="122">
        <v>25.8</v>
      </c>
      <c r="J57" s="122">
        <v>24.7</v>
      </c>
      <c r="K57" s="123">
        <v>24.5</v>
      </c>
      <c r="L57" s="123">
        <f>9.4+14.4</f>
        <v>23.8</v>
      </c>
      <c r="M57" s="123">
        <f>9.1+14</f>
        <v>23.1</v>
      </c>
      <c r="N57" s="123">
        <f>14.9+9.6</f>
        <v>24.5</v>
      </c>
      <c r="O57" s="123">
        <f>10.5+8.36</f>
        <v>18.86</v>
      </c>
      <c r="P57" s="123">
        <f>13.4+9.4</f>
        <v>22.8</v>
      </c>
      <c r="Q57" s="123">
        <f>14.5</f>
        <v>14.5</v>
      </c>
      <c r="R57" s="123">
        <f>12.9+6.9</f>
        <v>19.8</v>
      </c>
      <c r="S57" s="123">
        <v>17.600000000000001</v>
      </c>
      <c r="T57" s="123">
        <v>23</v>
      </c>
      <c r="U57" s="123">
        <v>23</v>
      </c>
      <c r="V57" s="123">
        <v>18</v>
      </c>
      <c r="W57" s="123">
        <v>18</v>
      </c>
      <c r="X57" s="123">
        <v>18</v>
      </c>
      <c r="Y57" s="123">
        <v>18</v>
      </c>
      <c r="Z57" s="122">
        <v>12.8</v>
      </c>
      <c r="AA57" s="122">
        <v>12.8</v>
      </c>
      <c r="AB57" s="122">
        <v>20.399999999999999</v>
      </c>
      <c r="AC57" s="122">
        <v>20.399999999999999</v>
      </c>
      <c r="AD57" s="122">
        <v>20.399999999999999</v>
      </c>
      <c r="AE57" s="122">
        <v>20.399999999999999</v>
      </c>
      <c r="AF57" s="122">
        <v>20.399999999999999</v>
      </c>
      <c r="AG57" s="86">
        <v>240</v>
      </c>
      <c r="AH57" s="12">
        <f t="shared" si="8"/>
        <v>25.8</v>
      </c>
      <c r="AI57" s="11">
        <f t="shared" si="9"/>
        <v>12.8</v>
      </c>
      <c r="AK57" s="19"/>
    </row>
    <row r="58" spans="1:88" ht="15.75" thickBot="1" x14ac:dyDescent="0.3">
      <c r="A58" s="121" t="s">
        <v>209</v>
      </c>
      <c r="B58" s="76">
        <f t="shared" ref="B58:AF58" si="22">SUM(B11:B56)</f>
        <v>490.20000000000005</v>
      </c>
      <c r="C58" s="76">
        <f t="shared" si="22"/>
        <v>490.20000000000005</v>
      </c>
      <c r="D58" s="76">
        <f t="shared" si="22"/>
        <v>490.20000000000005</v>
      </c>
      <c r="E58" s="76">
        <f t="shared" si="22"/>
        <v>466.7</v>
      </c>
      <c r="F58" s="76">
        <f t="shared" si="22"/>
        <v>466.7</v>
      </c>
      <c r="G58" s="76">
        <f t="shared" si="22"/>
        <v>466.7</v>
      </c>
      <c r="H58" s="76">
        <f t="shared" si="22"/>
        <v>466.7</v>
      </c>
      <c r="I58" s="76">
        <f t="shared" si="22"/>
        <v>466.7</v>
      </c>
      <c r="J58" s="76">
        <f t="shared" si="22"/>
        <v>466.7</v>
      </c>
      <c r="K58" s="76">
        <f t="shared" si="22"/>
        <v>466.7</v>
      </c>
      <c r="L58" s="76">
        <f t="shared" si="22"/>
        <v>466.7</v>
      </c>
      <c r="M58" s="76">
        <f t="shared" ref="M58" si="23">SUM(M11:M56)</f>
        <v>467.3</v>
      </c>
      <c r="N58" s="76">
        <f t="shared" si="22"/>
        <v>465.9</v>
      </c>
      <c r="O58" s="76">
        <f t="shared" si="22"/>
        <v>465.20000000000005</v>
      </c>
      <c r="P58" s="76">
        <f t="shared" si="22"/>
        <v>466.8</v>
      </c>
      <c r="Q58" s="76">
        <f t="shared" si="22"/>
        <v>466.1</v>
      </c>
      <c r="R58" s="76">
        <f t="shared" si="22"/>
        <v>465.20000000000005</v>
      </c>
      <c r="S58" s="76">
        <f t="shared" si="22"/>
        <v>465.20000000000005</v>
      </c>
      <c r="T58" s="76">
        <f t="shared" si="22"/>
        <v>465.20000000000005</v>
      </c>
      <c r="U58" s="76">
        <f t="shared" si="22"/>
        <v>465.20000000000005</v>
      </c>
      <c r="V58" s="76">
        <f t="shared" si="22"/>
        <v>465.20000000000005</v>
      </c>
      <c r="W58" s="76">
        <f t="shared" ref="W58:X58" si="24">SUM(W11:W56)</f>
        <v>465.20000000000005</v>
      </c>
      <c r="X58" s="76">
        <f t="shared" si="24"/>
        <v>465.20000000000005</v>
      </c>
      <c r="Y58" s="76">
        <f t="shared" ref="Y58:Z58" si="25">SUM(Y11:Y56)</f>
        <v>465.20000000000005</v>
      </c>
      <c r="Z58" s="76">
        <f t="shared" si="25"/>
        <v>465.20000000000005</v>
      </c>
      <c r="AA58" s="76">
        <f t="shared" ref="AA58" si="26">SUM(AA11:AA56)</f>
        <v>465.20000000000005</v>
      </c>
      <c r="AB58" s="76">
        <f t="shared" si="22"/>
        <v>471.3</v>
      </c>
      <c r="AC58" s="76">
        <f t="shared" si="22"/>
        <v>471.1</v>
      </c>
      <c r="AD58" s="76">
        <f t="shared" si="22"/>
        <v>471.1</v>
      </c>
      <c r="AE58" s="76">
        <f t="shared" si="22"/>
        <v>471.1</v>
      </c>
      <c r="AF58" s="76">
        <f t="shared" si="22"/>
        <v>471.1</v>
      </c>
      <c r="AG58" s="93">
        <f>SUM(AG14:AG56)</f>
        <v>1042.4000000000001</v>
      </c>
      <c r="AH58" s="12">
        <f t="shared" si="8"/>
        <v>490.20000000000005</v>
      </c>
      <c r="AI58" s="11">
        <f t="shared" si="9"/>
        <v>465.20000000000005</v>
      </c>
      <c r="AK58" s="19"/>
    </row>
    <row r="59" spans="1:88" x14ac:dyDescent="0.25">
      <c r="A59" s="120" t="s">
        <v>208</v>
      </c>
      <c r="B59" s="102">
        <v>271.60000000000002</v>
      </c>
      <c r="C59" s="102">
        <v>220</v>
      </c>
      <c r="D59" s="102">
        <v>100.7</v>
      </c>
      <c r="E59" s="102">
        <v>100.8</v>
      </c>
      <c r="F59" s="102">
        <v>100.8</v>
      </c>
      <c r="G59" s="102">
        <v>100.8</v>
      </c>
      <c r="H59" s="102">
        <v>130.9</v>
      </c>
      <c r="I59" s="102">
        <v>130.9</v>
      </c>
      <c r="J59" s="102">
        <v>0</v>
      </c>
      <c r="K59" s="102">
        <v>0</v>
      </c>
      <c r="L59" s="102">
        <v>0</v>
      </c>
      <c r="M59" s="102">
        <v>0</v>
      </c>
      <c r="N59" s="119">
        <v>0</v>
      </c>
      <c r="O59" s="119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19">
        <v>0</v>
      </c>
      <c r="X59" s="119">
        <v>15</v>
      </c>
      <c r="Y59" s="119">
        <v>15</v>
      </c>
      <c r="Z59" s="102">
        <v>458</v>
      </c>
      <c r="AA59" s="102">
        <v>439.8</v>
      </c>
      <c r="AB59" s="102">
        <v>440</v>
      </c>
      <c r="AC59" s="102">
        <v>350</v>
      </c>
      <c r="AD59" s="102">
        <v>350</v>
      </c>
      <c r="AE59" s="102">
        <v>200</v>
      </c>
      <c r="AF59" s="102">
        <v>140</v>
      </c>
      <c r="AG59" s="88">
        <v>456</v>
      </c>
      <c r="AH59" s="12">
        <f t="shared" si="8"/>
        <v>458</v>
      </c>
      <c r="AI59" s="11">
        <f t="shared" si="9"/>
        <v>0</v>
      </c>
      <c r="AK59" s="19"/>
    </row>
    <row r="60" spans="1:88" x14ac:dyDescent="0.25">
      <c r="A60" s="118" t="s">
        <v>207</v>
      </c>
      <c r="B60" s="70">
        <v>18.100000000000001</v>
      </c>
      <c r="C60" s="70">
        <v>18.2</v>
      </c>
      <c r="D60" s="70">
        <v>17.8</v>
      </c>
      <c r="E60" s="70">
        <v>15.5</v>
      </c>
      <c r="F60" s="70">
        <v>15.5</v>
      </c>
      <c r="G60" s="70">
        <v>15.5</v>
      </c>
      <c r="H60" s="70">
        <v>15.5</v>
      </c>
      <c r="I60" s="70">
        <v>15.5</v>
      </c>
      <c r="J60" s="70">
        <v>20.5</v>
      </c>
      <c r="K60" s="70">
        <v>20.5</v>
      </c>
      <c r="L60" s="70">
        <v>19.399999999999999</v>
      </c>
      <c r="M60" s="70">
        <v>19.100000000000001</v>
      </c>
      <c r="N60" s="70">
        <v>19.100000000000001</v>
      </c>
      <c r="O60" s="70">
        <v>19.100000000000001</v>
      </c>
      <c r="P60" s="70">
        <v>19.100000000000001</v>
      </c>
      <c r="Q60" s="70">
        <v>19.100000000000001</v>
      </c>
      <c r="R60" s="70">
        <v>19.100000000000001</v>
      </c>
      <c r="S60" s="70">
        <v>15.5</v>
      </c>
      <c r="T60" s="70">
        <v>15.5</v>
      </c>
      <c r="U60" s="70">
        <v>15.5</v>
      </c>
      <c r="V60" s="70">
        <v>15.5</v>
      </c>
      <c r="W60" s="70">
        <v>15.5</v>
      </c>
      <c r="X60" s="70">
        <v>15.5</v>
      </c>
      <c r="Y60" s="70">
        <v>15.5</v>
      </c>
      <c r="Z60" s="70">
        <v>15.5</v>
      </c>
      <c r="AA60" s="70">
        <v>15.5</v>
      </c>
      <c r="AB60" s="70">
        <v>17.5</v>
      </c>
      <c r="AC60" s="70">
        <v>17.7</v>
      </c>
      <c r="AD60" s="70">
        <v>17.7</v>
      </c>
      <c r="AE60" s="70">
        <v>17.7</v>
      </c>
      <c r="AF60" s="70">
        <v>17.7</v>
      </c>
      <c r="AG60" s="86">
        <v>60</v>
      </c>
      <c r="AH60" s="12">
        <f t="shared" si="8"/>
        <v>20.5</v>
      </c>
      <c r="AI60" s="11">
        <f t="shared" si="9"/>
        <v>15.5</v>
      </c>
      <c r="AK60" s="19"/>
    </row>
    <row r="61" spans="1:88" ht="15.75" thickBot="1" x14ac:dyDescent="0.3">
      <c r="A61" s="117" t="s">
        <v>206</v>
      </c>
      <c r="B61" s="110">
        <v>15.6</v>
      </c>
      <c r="C61" s="110">
        <v>15.6</v>
      </c>
      <c r="D61" s="110">
        <v>15.6</v>
      </c>
      <c r="E61" s="110">
        <v>15.6</v>
      </c>
      <c r="F61" s="110">
        <v>15.6</v>
      </c>
      <c r="G61" s="110">
        <v>15.6</v>
      </c>
      <c r="H61" s="110">
        <v>15.6</v>
      </c>
      <c r="I61" s="110">
        <v>15.6</v>
      </c>
      <c r="J61" s="110">
        <v>15.6</v>
      </c>
      <c r="K61" s="110">
        <v>15.6</v>
      </c>
      <c r="L61" s="110">
        <v>14.3</v>
      </c>
      <c r="M61" s="110">
        <v>14.3</v>
      </c>
      <c r="N61" s="110">
        <v>14.3</v>
      </c>
      <c r="O61" s="110">
        <v>17.2</v>
      </c>
      <c r="P61" s="110">
        <v>20.100000000000001</v>
      </c>
      <c r="Q61" s="110">
        <v>15.4</v>
      </c>
      <c r="R61" s="110">
        <v>13.4</v>
      </c>
      <c r="S61" s="110">
        <v>13.4</v>
      </c>
      <c r="T61" s="110">
        <v>13.4</v>
      </c>
      <c r="U61" s="110">
        <v>13.4</v>
      </c>
      <c r="V61" s="110">
        <v>13.4</v>
      </c>
      <c r="W61" s="110">
        <v>13.4</v>
      </c>
      <c r="X61" s="110">
        <v>13.4</v>
      </c>
      <c r="Y61" s="110">
        <v>13.4</v>
      </c>
      <c r="Z61" s="110">
        <v>13.4</v>
      </c>
      <c r="AA61" s="110">
        <v>21.2</v>
      </c>
      <c r="AB61" s="110">
        <v>21.2</v>
      </c>
      <c r="AC61" s="110">
        <v>21.2</v>
      </c>
      <c r="AD61" s="110">
        <v>21.2</v>
      </c>
      <c r="AE61" s="110">
        <v>21.2</v>
      </c>
      <c r="AF61" s="110">
        <v>21.2</v>
      </c>
      <c r="AG61" s="109">
        <v>22.1</v>
      </c>
      <c r="AH61" s="12">
        <f t="shared" si="8"/>
        <v>21.2</v>
      </c>
      <c r="AI61" s="11">
        <f t="shared" si="9"/>
        <v>13.4</v>
      </c>
      <c r="AK61" s="19"/>
    </row>
    <row r="62" spans="1:88" ht="15.75" thickBot="1" x14ac:dyDescent="0.3">
      <c r="A62" s="116" t="s">
        <v>205</v>
      </c>
      <c r="B62" s="76">
        <f t="shared" ref="B62:AG62" si="27">SUM(B59:B61)</f>
        <v>305.30000000000007</v>
      </c>
      <c r="C62" s="76">
        <f t="shared" si="27"/>
        <v>253.79999999999998</v>
      </c>
      <c r="D62" s="76">
        <f t="shared" si="27"/>
        <v>134.1</v>
      </c>
      <c r="E62" s="76">
        <f t="shared" si="27"/>
        <v>131.9</v>
      </c>
      <c r="F62" s="76">
        <f t="shared" si="27"/>
        <v>131.9</v>
      </c>
      <c r="G62" s="76">
        <f t="shared" si="27"/>
        <v>131.9</v>
      </c>
      <c r="H62" s="76">
        <f t="shared" si="27"/>
        <v>162</v>
      </c>
      <c r="I62" s="76">
        <f t="shared" ref="I62" si="28">SUM(I59:I61)</f>
        <v>162</v>
      </c>
      <c r="J62" s="76">
        <f t="shared" si="27"/>
        <v>36.1</v>
      </c>
      <c r="K62" s="76">
        <f t="shared" si="27"/>
        <v>36.1</v>
      </c>
      <c r="L62" s="76">
        <f t="shared" si="27"/>
        <v>33.700000000000003</v>
      </c>
      <c r="M62" s="76">
        <f t="shared" ref="M62" si="29">SUM(M59:M61)</f>
        <v>33.400000000000006</v>
      </c>
      <c r="N62" s="76">
        <f t="shared" si="27"/>
        <v>33.400000000000006</v>
      </c>
      <c r="O62" s="76">
        <f t="shared" si="27"/>
        <v>36.299999999999997</v>
      </c>
      <c r="P62" s="76">
        <f t="shared" si="27"/>
        <v>39.200000000000003</v>
      </c>
      <c r="Q62" s="76">
        <f t="shared" si="27"/>
        <v>34.5</v>
      </c>
      <c r="R62" s="76">
        <f t="shared" si="27"/>
        <v>32.5</v>
      </c>
      <c r="S62" s="76">
        <f t="shared" si="27"/>
        <v>28.9</v>
      </c>
      <c r="T62" s="76">
        <f t="shared" si="27"/>
        <v>28.9</v>
      </c>
      <c r="U62" s="76">
        <f t="shared" si="27"/>
        <v>28.9</v>
      </c>
      <c r="V62" s="76">
        <f t="shared" si="27"/>
        <v>28.9</v>
      </c>
      <c r="W62" s="76">
        <f t="shared" ref="W62:X62" si="30">SUM(W59:W61)</f>
        <v>28.9</v>
      </c>
      <c r="X62" s="76">
        <f t="shared" si="30"/>
        <v>43.9</v>
      </c>
      <c r="Y62" s="76">
        <f t="shared" ref="Y62:Z62" si="31">SUM(Y59:Y61)</f>
        <v>43.9</v>
      </c>
      <c r="Z62" s="76">
        <f t="shared" si="31"/>
        <v>486.9</v>
      </c>
      <c r="AA62" s="76">
        <f t="shared" ref="AA62" si="32">SUM(AA59:AA61)</f>
        <v>476.5</v>
      </c>
      <c r="AB62" s="76">
        <f t="shared" si="27"/>
        <v>478.7</v>
      </c>
      <c r="AC62" s="76">
        <f t="shared" si="27"/>
        <v>388.9</v>
      </c>
      <c r="AD62" s="76">
        <f t="shared" si="27"/>
        <v>388.9</v>
      </c>
      <c r="AE62" s="76">
        <f t="shared" si="27"/>
        <v>238.89999999999998</v>
      </c>
      <c r="AF62" s="76">
        <f t="shared" si="27"/>
        <v>178.89999999999998</v>
      </c>
      <c r="AG62" s="93">
        <f t="shared" si="27"/>
        <v>538.1</v>
      </c>
      <c r="AH62" s="12">
        <f t="shared" si="8"/>
        <v>486.9</v>
      </c>
      <c r="AI62" s="11">
        <f t="shared" si="9"/>
        <v>28.9</v>
      </c>
      <c r="AK62" s="19"/>
    </row>
    <row r="63" spans="1:88" x14ac:dyDescent="0.25">
      <c r="A63" s="89" t="s">
        <v>204</v>
      </c>
      <c r="B63" s="102">
        <v>70.900000000000006</v>
      </c>
      <c r="C63" s="102">
        <v>70.900000000000006</v>
      </c>
      <c r="D63" s="102">
        <v>70.8</v>
      </c>
      <c r="E63" s="102">
        <v>71.099999999999994</v>
      </c>
      <c r="F63" s="102">
        <v>71.099999999999994</v>
      </c>
      <c r="G63" s="102">
        <v>71.099999999999994</v>
      </c>
      <c r="H63" s="102">
        <v>81</v>
      </c>
      <c r="I63" s="102">
        <v>81</v>
      </c>
      <c r="J63" s="102">
        <v>42.8</v>
      </c>
      <c r="K63" s="102">
        <v>49</v>
      </c>
      <c r="L63" s="102">
        <v>81</v>
      </c>
      <c r="M63" s="102">
        <v>70.900000000000006</v>
      </c>
      <c r="N63" s="102">
        <v>70.900000000000006</v>
      </c>
      <c r="O63" s="102">
        <v>81</v>
      </c>
      <c r="P63" s="102">
        <v>91.1</v>
      </c>
      <c r="Q63" s="102">
        <v>92.1</v>
      </c>
      <c r="R63" s="102">
        <v>92</v>
      </c>
      <c r="S63" s="102">
        <v>72.5</v>
      </c>
      <c r="T63" s="102">
        <v>61</v>
      </c>
      <c r="U63" s="102">
        <v>61</v>
      </c>
      <c r="V63" s="102">
        <v>61</v>
      </c>
      <c r="W63" s="102">
        <v>61</v>
      </c>
      <c r="X63" s="102">
        <v>61</v>
      </c>
      <c r="Y63" s="102">
        <v>61</v>
      </c>
      <c r="Z63" s="102">
        <v>61.9</v>
      </c>
      <c r="AA63" s="102">
        <v>61.8</v>
      </c>
      <c r="AB63" s="102">
        <v>61</v>
      </c>
      <c r="AC63" s="102">
        <v>61.8</v>
      </c>
      <c r="AD63" s="102">
        <v>62</v>
      </c>
      <c r="AE63" s="102">
        <v>62</v>
      </c>
      <c r="AF63" s="102">
        <v>62</v>
      </c>
      <c r="AG63" s="88">
        <v>144</v>
      </c>
      <c r="AH63" s="12">
        <f t="shared" si="8"/>
        <v>92.1</v>
      </c>
      <c r="AI63" s="11">
        <f t="shared" si="9"/>
        <v>42.8</v>
      </c>
      <c r="AK63" s="19"/>
    </row>
    <row r="64" spans="1:88" x14ac:dyDescent="0.25">
      <c r="A64" s="87" t="s">
        <v>203</v>
      </c>
      <c r="B64" s="70">
        <v>68.3</v>
      </c>
      <c r="C64" s="70">
        <v>56</v>
      </c>
      <c r="D64" s="70">
        <v>56.3</v>
      </c>
      <c r="E64" s="70">
        <v>25.5</v>
      </c>
      <c r="F64" s="70">
        <v>25.5</v>
      </c>
      <c r="G64" s="70">
        <v>25.5</v>
      </c>
      <c r="H64" s="70">
        <v>46.5</v>
      </c>
      <c r="I64" s="70">
        <v>46.5</v>
      </c>
      <c r="J64" s="70">
        <v>23.7</v>
      </c>
      <c r="K64" s="70">
        <v>34</v>
      </c>
      <c r="L64" s="70">
        <v>33.799999999999997</v>
      </c>
      <c r="M64" s="70">
        <v>34.799999999999997</v>
      </c>
      <c r="N64" s="70">
        <v>33.200000000000003</v>
      </c>
      <c r="O64" s="70">
        <v>33.9</v>
      </c>
      <c r="P64" s="70">
        <v>34.299999999999997</v>
      </c>
      <c r="Q64" s="70">
        <v>33.200000000000003</v>
      </c>
      <c r="R64" s="70">
        <v>55</v>
      </c>
      <c r="S64" s="70">
        <v>55</v>
      </c>
      <c r="T64" s="70">
        <v>35</v>
      </c>
      <c r="U64" s="70">
        <v>35</v>
      </c>
      <c r="V64" s="70">
        <v>24</v>
      </c>
      <c r="W64" s="70">
        <v>30.74</v>
      </c>
      <c r="X64" s="70">
        <v>30.74</v>
      </c>
      <c r="Y64" s="70">
        <v>30.74</v>
      </c>
      <c r="Z64" s="102">
        <v>67.400000000000006</v>
      </c>
      <c r="AA64" s="102">
        <v>67.400000000000006</v>
      </c>
      <c r="AB64" s="102">
        <v>68.2</v>
      </c>
      <c r="AC64" s="102">
        <v>68</v>
      </c>
      <c r="AD64" s="102">
        <v>34</v>
      </c>
      <c r="AE64" s="102">
        <v>34</v>
      </c>
      <c r="AF64" s="102">
        <v>35</v>
      </c>
      <c r="AG64" s="86">
        <v>70</v>
      </c>
      <c r="AH64" s="12">
        <f t="shared" si="8"/>
        <v>68.3</v>
      </c>
      <c r="AI64" s="11">
        <f t="shared" si="9"/>
        <v>23.7</v>
      </c>
      <c r="AK64" s="19"/>
    </row>
    <row r="65" spans="1:75" x14ac:dyDescent="0.25">
      <c r="A65" s="87" t="s">
        <v>202</v>
      </c>
      <c r="B65" s="70">
        <v>44.4</v>
      </c>
      <c r="C65" s="70">
        <v>43.6</v>
      </c>
      <c r="D65" s="70">
        <v>43.7</v>
      </c>
      <c r="E65" s="70">
        <v>20.7</v>
      </c>
      <c r="F65" s="70">
        <v>20.7</v>
      </c>
      <c r="G65" s="70">
        <v>20.7</v>
      </c>
      <c r="H65" s="70">
        <v>43.3</v>
      </c>
      <c r="I65" s="70">
        <v>43.3</v>
      </c>
      <c r="J65" s="70">
        <v>33.299999999999997</v>
      </c>
      <c r="K65" s="70">
        <v>59.6</v>
      </c>
      <c r="L65" s="70">
        <v>51.5</v>
      </c>
      <c r="M65" s="70">
        <v>51.5</v>
      </c>
      <c r="N65" s="70">
        <v>51.2</v>
      </c>
      <c r="O65" s="70">
        <v>59.4</v>
      </c>
      <c r="P65" s="70">
        <v>63</v>
      </c>
      <c r="Q65" s="70">
        <v>60.1</v>
      </c>
      <c r="R65" s="70">
        <v>37.6</v>
      </c>
      <c r="S65" s="70">
        <v>39</v>
      </c>
      <c r="T65" s="70">
        <v>33</v>
      </c>
      <c r="U65" s="70">
        <v>33</v>
      </c>
      <c r="V65" s="70">
        <v>17</v>
      </c>
      <c r="W65" s="70">
        <v>17</v>
      </c>
      <c r="X65" s="70">
        <v>17</v>
      </c>
      <c r="Y65" s="70">
        <v>17</v>
      </c>
      <c r="Z65" s="102">
        <v>44.7</v>
      </c>
      <c r="AA65" s="102">
        <v>44.7</v>
      </c>
      <c r="AB65" s="102">
        <v>45.5</v>
      </c>
      <c r="AC65" s="102">
        <v>33.1</v>
      </c>
      <c r="AD65" s="102">
        <v>32</v>
      </c>
      <c r="AE65" s="102">
        <v>32</v>
      </c>
      <c r="AF65" s="102">
        <v>16</v>
      </c>
      <c r="AG65" s="86">
        <v>69</v>
      </c>
      <c r="AH65" s="12">
        <f t="shared" si="8"/>
        <v>63</v>
      </c>
      <c r="AI65" s="11">
        <f t="shared" si="9"/>
        <v>16</v>
      </c>
      <c r="AK65" s="19"/>
    </row>
    <row r="66" spans="1:75" x14ac:dyDescent="0.25">
      <c r="A66" s="87" t="s">
        <v>201</v>
      </c>
      <c r="B66" s="70">
        <v>56.2</v>
      </c>
      <c r="C66" s="70">
        <v>59</v>
      </c>
      <c r="D66" s="70">
        <v>58.2</v>
      </c>
      <c r="E66" s="70">
        <v>55.9</v>
      </c>
      <c r="F66" s="70">
        <v>55.9</v>
      </c>
      <c r="G66" s="70">
        <v>55.9</v>
      </c>
      <c r="H66" s="70">
        <v>55.9</v>
      </c>
      <c r="I66" s="70">
        <v>55.9</v>
      </c>
      <c r="J66" s="70">
        <v>53.9</v>
      </c>
      <c r="K66" s="122">
        <v>53.9</v>
      </c>
      <c r="L66" s="122">
        <v>54.1</v>
      </c>
      <c r="M66" s="70">
        <v>53.7</v>
      </c>
      <c r="N66" s="70">
        <v>51.4</v>
      </c>
      <c r="O66" s="70">
        <v>51.4</v>
      </c>
      <c r="P66" s="70">
        <v>51.6</v>
      </c>
      <c r="Q66" s="70">
        <v>51.4</v>
      </c>
      <c r="R66" s="70">
        <v>51.4</v>
      </c>
      <c r="S66" s="70">
        <v>51.4</v>
      </c>
      <c r="T66" s="70">
        <v>51.4</v>
      </c>
      <c r="U66" s="70">
        <v>51.4</v>
      </c>
      <c r="V66" s="70">
        <v>45</v>
      </c>
      <c r="W66" s="70">
        <v>23.2</v>
      </c>
      <c r="X66" s="70">
        <v>23.2</v>
      </c>
      <c r="Y66" s="70">
        <v>23.2</v>
      </c>
      <c r="Z66" s="102">
        <v>43.1</v>
      </c>
      <c r="AA66" s="102">
        <v>43.1</v>
      </c>
      <c r="AB66" s="102">
        <v>44.3</v>
      </c>
      <c r="AC66" s="102">
        <v>44.6</v>
      </c>
      <c r="AD66" s="102">
        <v>44.6</v>
      </c>
      <c r="AE66" s="102">
        <v>44.6</v>
      </c>
      <c r="AF66" s="102">
        <v>44.6</v>
      </c>
      <c r="AG66" s="86">
        <v>60</v>
      </c>
      <c r="AH66" s="12">
        <f t="shared" si="8"/>
        <v>59</v>
      </c>
      <c r="AI66" s="11">
        <f t="shared" si="9"/>
        <v>23.2</v>
      </c>
      <c r="AK66" s="19"/>
    </row>
    <row r="67" spans="1:75" x14ac:dyDescent="0.25">
      <c r="A67" s="87" t="s">
        <v>200</v>
      </c>
      <c r="B67" s="102">
        <v>10.1</v>
      </c>
      <c r="C67" s="102">
        <v>10.1</v>
      </c>
      <c r="D67" s="102">
        <v>10</v>
      </c>
      <c r="E67" s="70">
        <v>0</v>
      </c>
      <c r="F67" s="70">
        <v>0</v>
      </c>
      <c r="G67" s="70">
        <v>0</v>
      </c>
      <c r="H67" s="70">
        <v>0</v>
      </c>
      <c r="I67" s="70">
        <v>0</v>
      </c>
      <c r="J67" s="70">
        <v>10.3</v>
      </c>
      <c r="K67" s="70">
        <v>10.6</v>
      </c>
      <c r="L67" s="122">
        <v>10.3</v>
      </c>
      <c r="M67" s="70">
        <v>10.3</v>
      </c>
      <c r="N67" s="70">
        <v>10.199999999999999</v>
      </c>
      <c r="O67" s="70">
        <v>10.4</v>
      </c>
      <c r="P67" s="70">
        <v>10.3</v>
      </c>
      <c r="Q67" s="70">
        <v>10.1</v>
      </c>
      <c r="R67" s="70">
        <v>10</v>
      </c>
      <c r="S67" s="70">
        <v>10</v>
      </c>
      <c r="T67" s="70">
        <v>10</v>
      </c>
      <c r="U67" s="70">
        <v>10</v>
      </c>
      <c r="V67" s="70">
        <v>15</v>
      </c>
      <c r="W67" s="70">
        <v>15</v>
      </c>
      <c r="X67" s="70">
        <v>15</v>
      </c>
      <c r="Y67" s="70">
        <v>15</v>
      </c>
      <c r="Z67" s="102">
        <v>14.3</v>
      </c>
      <c r="AA67" s="102">
        <v>14.3</v>
      </c>
      <c r="AB67" s="102">
        <v>26.3</v>
      </c>
      <c r="AC67" s="102">
        <v>15</v>
      </c>
      <c r="AD67" s="102">
        <v>15</v>
      </c>
      <c r="AE67" s="102">
        <v>15</v>
      </c>
      <c r="AF67" s="102">
        <v>0</v>
      </c>
      <c r="AG67" s="86">
        <v>30</v>
      </c>
      <c r="AH67" s="12">
        <f t="shared" si="8"/>
        <v>26.3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25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0.5</v>
      </c>
      <c r="J68" s="102">
        <v>1.6</v>
      </c>
      <c r="K68" s="102">
        <v>3.2</v>
      </c>
      <c r="L68" s="70">
        <v>6.1</v>
      </c>
      <c r="M68" s="70">
        <v>9.1</v>
      </c>
      <c r="N68" s="70">
        <v>11.8</v>
      </c>
      <c r="O68" s="70">
        <v>15</v>
      </c>
      <c r="P68" s="70">
        <v>15.5</v>
      </c>
      <c r="Q68" s="70">
        <v>15.3</v>
      </c>
      <c r="R68" s="70">
        <v>12.5</v>
      </c>
      <c r="S68" s="70">
        <v>11.5</v>
      </c>
      <c r="T68" s="70">
        <v>8.6999999999999993</v>
      </c>
      <c r="U68" s="70">
        <v>8.6999999999999993</v>
      </c>
      <c r="V68" s="70">
        <v>1.9</v>
      </c>
      <c r="W68" s="70">
        <v>0.8</v>
      </c>
      <c r="X68" s="70">
        <v>0.4</v>
      </c>
      <c r="Y68" s="70">
        <v>0.4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15.5</v>
      </c>
      <c r="AI68" s="11">
        <f t="shared" si="9"/>
        <v>0</v>
      </c>
      <c r="AK68" s="19"/>
      <c r="AY68" s="1" t="s">
        <v>198</v>
      </c>
      <c r="AZ68" s="78">
        <f>ROUND(C81,0)</f>
        <v>31</v>
      </c>
      <c r="BA68" s="83">
        <f t="shared" ref="BA68:BD72" si="33">D81</f>
        <v>27.7</v>
      </c>
      <c r="BB68" s="83">
        <f t="shared" si="33"/>
        <v>47.7</v>
      </c>
      <c r="BC68" s="83">
        <f t="shared" si="33"/>
        <v>47.7</v>
      </c>
      <c r="BD68" s="83">
        <f t="shared" si="33"/>
        <v>47.7</v>
      </c>
      <c r="BE68" s="78">
        <f>I81</f>
        <v>46.5</v>
      </c>
      <c r="BF68" s="78">
        <f>K81</f>
        <v>68</v>
      </c>
      <c r="BG68" s="78">
        <f t="shared" ref="BG68:BP72" si="34">M81</f>
        <v>59.9</v>
      </c>
      <c r="BH68" s="78">
        <f t="shared" si="34"/>
        <v>57.2</v>
      </c>
      <c r="BI68" s="78">
        <f t="shared" si="34"/>
        <v>63.6</v>
      </c>
      <c r="BJ68" s="78">
        <f t="shared" si="34"/>
        <v>63.3</v>
      </c>
      <c r="BK68" s="78">
        <f t="shared" si="34"/>
        <v>64.7</v>
      </c>
      <c r="BL68" s="78">
        <f t="shared" si="34"/>
        <v>70</v>
      </c>
      <c r="BM68" s="78">
        <f t="shared" si="34"/>
        <v>73</v>
      </c>
      <c r="BN68" s="78">
        <f t="shared" si="34"/>
        <v>75</v>
      </c>
      <c r="BO68" s="78">
        <f t="shared" si="34"/>
        <v>75.2</v>
      </c>
      <c r="BP68" s="78">
        <f t="shared" si="34"/>
        <v>72</v>
      </c>
      <c r="BQ68" s="78">
        <f>X81</f>
        <v>65.599999999999994</v>
      </c>
      <c r="BR68" s="78">
        <f>Z81</f>
        <v>51.7</v>
      </c>
      <c r="BS68" s="83">
        <f>AB81</f>
        <v>54.7</v>
      </c>
      <c r="BT68" s="83">
        <f t="shared" ref="BT68:BV72" si="35">AD81</f>
        <v>61.8</v>
      </c>
      <c r="BU68" s="83">
        <f t="shared" si="35"/>
        <v>65</v>
      </c>
      <c r="BV68" s="83">
        <f t="shared" si="35"/>
        <v>66</v>
      </c>
      <c r="BW68" s="83">
        <f>B81</f>
        <v>36</v>
      </c>
    </row>
    <row r="69" spans="1:75" x14ac:dyDescent="0.25">
      <c r="A69" s="87" t="s">
        <v>197</v>
      </c>
      <c r="B69" s="70">
        <v>16.2</v>
      </c>
      <c r="C69" s="70">
        <v>16.2</v>
      </c>
      <c r="D69" s="70">
        <v>16.100000000000001</v>
      </c>
      <c r="E69" s="70">
        <v>16.100000000000001</v>
      </c>
      <c r="F69" s="70">
        <v>16.100000000000001</v>
      </c>
      <c r="G69" s="70">
        <v>16.100000000000001</v>
      </c>
      <c r="H69" s="70">
        <v>16.100000000000001</v>
      </c>
      <c r="I69" s="70">
        <v>16.100000000000001</v>
      </c>
      <c r="J69" s="70">
        <v>16.100000000000001</v>
      </c>
      <c r="K69" s="70">
        <v>16.100000000000001</v>
      </c>
      <c r="L69" s="70">
        <v>16.2</v>
      </c>
      <c r="M69" s="70">
        <v>16.100000000000001</v>
      </c>
      <c r="N69" s="70">
        <v>16.100000000000001</v>
      </c>
      <c r="O69" s="70">
        <v>16.100000000000001</v>
      </c>
      <c r="P69" s="70">
        <v>15.5</v>
      </c>
      <c r="Q69" s="70">
        <v>15.5</v>
      </c>
      <c r="R69" s="70">
        <v>15.5</v>
      </c>
      <c r="S69" s="70">
        <v>15.5</v>
      </c>
      <c r="T69" s="70">
        <v>14.6</v>
      </c>
      <c r="U69" s="70">
        <v>14.6</v>
      </c>
      <c r="V69" s="70">
        <v>14.6</v>
      </c>
      <c r="W69" s="70">
        <v>14.6</v>
      </c>
      <c r="X69" s="70">
        <v>14.6</v>
      </c>
      <c r="Y69" s="70">
        <v>14.6</v>
      </c>
      <c r="Z69" s="70">
        <v>14.6</v>
      </c>
      <c r="AA69" s="70">
        <v>14.6</v>
      </c>
      <c r="AB69" s="70">
        <v>14.3</v>
      </c>
      <c r="AC69" s="70">
        <v>14.4</v>
      </c>
      <c r="AD69" s="70">
        <v>14.4</v>
      </c>
      <c r="AE69" s="70">
        <v>14.4</v>
      </c>
      <c r="AF69" s="70">
        <v>14.4</v>
      </c>
      <c r="AG69" s="86">
        <v>24</v>
      </c>
      <c r="AH69" s="12">
        <f t="shared" si="8"/>
        <v>16.2</v>
      </c>
      <c r="AI69" s="11">
        <f t="shared" si="9"/>
        <v>14.3</v>
      </c>
      <c r="AK69" s="19"/>
      <c r="AY69" s="1" t="s">
        <v>196</v>
      </c>
      <c r="AZ69" s="78">
        <f>ROUND(C82,0)</f>
        <v>0</v>
      </c>
      <c r="BA69" s="83">
        <f t="shared" si="33"/>
        <v>0</v>
      </c>
      <c r="BB69" s="83">
        <f t="shared" si="33"/>
        <v>0</v>
      </c>
      <c r="BC69" s="83">
        <f t="shared" si="33"/>
        <v>0</v>
      </c>
      <c r="BD69" s="83">
        <f t="shared" si="33"/>
        <v>0</v>
      </c>
      <c r="BE69" s="78">
        <f>I82</f>
        <v>0</v>
      </c>
      <c r="BF69" s="78">
        <f>K82</f>
        <v>102.4</v>
      </c>
      <c r="BG69" s="78">
        <f t="shared" si="34"/>
        <v>122.9</v>
      </c>
      <c r="BH69" s="78">
        <f t="shared" si="34"/>
        <v>124</v>
      </c>
      <c r="BI69" s="78">
        <f t="shared" si="34"/>
        <v>131.5</v>
      </c>
      <c r="BJ69" s="78">
        <f t="shared" si="34"/>
        <v>120.4</v>
      </c>
      <c r="BK69" s="78">
        <f t="shared" si="34"/>
        <v>128.9</v>
      </c>
      <c r="BL69" s="78">
        <f t="shared" si="34"/>
        <v>111.6</v>
      </c>
      <c r="BM69" s="78">
        <f t="shared" si="34"/>
        <v>116.3</v>
      </c>
      <c r="BN69" s="78">
        <f t="shared" si="34"/>
        <v>105</v>
      </c>
      <c r="BO69" s="78">
        <f t="shared" si="34"/>
        <v>98</v>
      </c>
      <c r="BP69" s="78">
        <f t="shared" si="34"/>
        <v>124.9</v>
      </c>
      <c r="BQ69" s="78">
        <f>X82</f>
        <v>126.5</v>
      </c>
      <c r="BR69" s="78">
        <f>Z82</f>
        <v>0</v>
      </c>
      <c r="BS69" s="83">
        <f>AB82</f>
        <v>0</v>
      </c>
      <c r="BT69" s="83">
        <f t="shared" si="35"/>
        <v>0</v>
      </c>
      <c r="BU69" s="83">
        <f t="shared" si="35"/>
        <v>0</v>
      </c>
      <c r="BV69" s="83">
        <f t="shared" si="35"/>
        <v>0</v>
      </c>
      <c r="BW69" s="83">
        <f>B82</f>
        <v>0</v>
      </c>
    </row>
    <row r="70" spans="1:75" x14ac:dyDescent="0.25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159</v>
      </c>
      <c r="BA70" s="83">
        <f t="shared" si="33"/>
        <v>251.5</v>
      </c>
      <c r="BB70" s="83">
        <f t="shared" si="33"/>
        <v>202</v>
      </c>
      <c r="BC70" s="83">
        <f t="shared" si="33"/>
        <v>145</v>
      </c>
      <c r="BD70" s="83">
        <f t="shared" si="33"/>
        <v>195</v>
      </c>
      <c r="BE70" s="78">
        <f>I83</f>
        <v>192.8</v>
      </c>
      <c r="BF70" s="78">
        <f>K83</f>
        <v>504.7</v>
      </c>
      <c r="BG70" s="78">
        <f t="shared" si="34"/>
        <v>501</v>
      </c>
      <c r="BH70" s="78">
        <f t="shared" si="34"/>
        <v>514</v>
      </c>
      <c r="BI70" s="78">
        <f t="shared" si="34"/>
        <v>480</v>
      </c>
      <c r="BJ70" s="78">
        <f t="shared" si="34"/>
        <v>481</v>
      </c>
      <c r="BK70" s="78">
        <f t="shared" si="34"/>
        <v>504.7</v>
      </c>
      <c r="BL70" s="78">
        <f t="shared" si="34"/>
        <v>505.1</v>
      </c>
      <c r="BM70" s="78">
        <f t="shared" si="34"/>
        <v>488</v>
      </c>
      <c r="BN70" s="78">
        <f t="shared" si="34"/>
        <v>529.6</v>
      </c>
      <c r="BO70" s="78">
        <f t="shared" si="34"/>
        <v>529</v>
      </c>
      <c r="BP70" s="78">
        <f t="shared" si="34"/>
        <v>514</v>
      </c>
      <c r="BQ70" s="78">
        <f>X83</f>
        <v>395.8</v>
      </c>
      <c r="BR70" s="78">
        <f>Z83</f>
        <v>86.9</v>
      </c>
      <c r="BS70" s="83">
        <f>AB83</f>
        <v>80.900000000000006</v>
      </c>
      <c r="BT70" s="83">
        <f t="shared" si="35"/>
        <v>131</v>
      </c>
      <c r="BU70" s="83">
        <f t="shared" si="35"/>
        <v>180</v>
      </c>
      <c r="BV70" s="83">
        <f t="shared" si="35"/>
        <v>174</v>
      </c>
      <c r="BW70" s="83">
        <f>B83</f>
        <v>107.4</v>
      </c>
    </row>
    <row r="71" spans="1:75" s="115" customFormat="1" x14ac:dyDescent="0.25">
      <c r="A71" s="87" t="s">
        <v>193</v>
      </c>
      <c r="B71" s="70">
        <v>13.1</v>
      </c>
      <c r="C71" s="70">
        <v>13.1</v>
      </c>
      <c r="D71" s="70">
        <v>13.1</v>
      </c>
      <c r="E71" s="70">
        <v>13.1</v>
      </c>
      <c r="F71" s="70">
        <v>13.1</v>
      </c>
      <c r="G71" s="70">
        <v>13.1</v>
      </c>
      <c r="H71" s="70">
        <v>13.1</v>
      </c>
      <c r="I71" s="70">
        <v>13.1</v>
      </c>
      <c r="J71" s="70">
        <v>13.1</v>
      </c>
      <c r="K71" s="70">
        <v>13.1</v>
      </c>
      <c r="L71" s="70">
        <v>11.4</v>
      </c>
      <c r="M71" s="70">
        <v>11.6</v>
      </c>
      <c r="N71" s="70">
        <v>11.6</v>
      </c>
      <c r="O71" s="70">
        <v>11.6</v>
      </c>
      <c r="P71" s="70">
        <v>11.6</v>
      </c>
      <c r="Q71" s="70">
        <v>11.6</v>
      </c>
      <c r="R71" s="70">
        <v>11.6</v>
      </c>
      <c r="S71" s="70">
        <v>11.6</v>
      </c>
      <c r="T71" s="70">
        <v>11.6</v>
      </c>
      <c r="U71" s="70">
        <v>11.6</v>
      </c>
      <c r="V71" s="70">
        <v>11.6</v>
      </c>
      <c r="W71" s="70">
        <v>11.6</v>
      </c>
      <c r="X71" s="70">
        <v>11.6</v>
      </c>
      <c r="Y71" s="70">
        <v>11.6</v>
      </c>
      <c r="Z71" s="70">
        <v>11.6</v>
      </c>
      <c r="AA71" s="70">
        <v>11.6</v>
      </c>
      <c r="AB71" s="70">
        <v>10.8</v>
      </c>
      <c r="AC71" s="70">
        <v>11.1</v>
      </c>
      <c r="AD71" s="70">
        <v>11.1</v>
      </c>
      <c r="AE71" s="70">
        <v>11.1</v>
      </c>
      <c r="AF71" s="70">
        <v>11.1</v>
      </c>
      <c r="AG71" s="86">
        <v>14.1</v>
      </c>
      <c r="AH71" s="12">
        <f t="shared" si="8"/>
        <v>13.1</v>
      </c>
      <c r="AI71" s="11">
        <f t="shared" si="9"/>
        <v>10.8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33"/>
        <v>0</v>
      </c>
      <c r="BB71" s="83">
        <f t="shared" si="33"/>
        <v>0</v>
      </c>
      <c r="BC71" s="83">
        <f t="shared" si="33"/>
        <v>0</v>
      </c>
      <c r="BD71" s="83">
        <f t="shared" si="33"/>
        <v>0</v>
      </c>
      <c r="BE71" s="78">
        <f>I84</f>
        <v>0</v>
      </c>
      <c r="BF71" s="78">
        <f>K84</f>
        <v>48</v>
      </c>
      <c r="BG71" s="78">
        <f t="shared" si="34"/>
        <v>44.5</v>
      </c>
      <c r="BH71" s="78">
        <f t="shared" si="34"/>
        <v>40.6</v>
      </c>
      <c r="BI71" s="78">
        <f t="shared" si="34"/>
        <v>48</v>
      </c>
      <c r="BJ71" s="78">
        <f t="shared" si="34"/>
        <v>46.7</v>
      </c>
      <c r="BK71" s="78">
        <f t="shared" si="34"/>
        <v>37</v>
      </c>
      <c r="BL71" s="78">
        <f t="shared" si="34"/>
        <v>44.2</v>
      </c>
      <c r="BM71" s="78">
        <f t="shared" si="34"/>
        <v>39.1</v>
      </c>
      <c r="BN71" s="78">
        <f t="shared" si="34"/>
        <v>40.1</v>
      </c>
      <c r="BO71" s="78">
        <f t="shared" si="34"/>
        <v>42</v>
      </c>
      <c r="BP71" s="78">
        <f t="shared" si="34"/>
        <v>45</v>
      </c>
      <c r="BQ71" s="78">
        <f>X84</f>
        <v>23.5</v>
      </c>
      <c r="BR71" s="78">
        <f>Z84</f>
        <v>17.7</v>
      </c>
      <c r="BS71" s="83">
        <f>AB84</f>
        <v>11.9</v>
      </c>
      <c r="BT71" s="83">
        <f t="shared" si="35"/>
        <v>12.6</v>
      </c>
      <c r="BU71" s="83">
        <f t="shared" si="35"/>
        <v>12.6</v>
      </c>
      <c r="BV71" s="83">
        <f t="shared" si="35"/>
        <v>12.6</v>
      </c>
      <c r="BW71" s="83">
        <f>B84</f>
        <v>0</v>
      </c>
    </row>
    <row r="72" spans="1:75" x14ac:dyDescent="0.25">
      <c r="A72" s="111" t="s">
        <v>191</v>
      </c>
      <c r="B72" s="70">
        <v>7.4</v>
      </c>
      <c r="C72" s="70">
        <v>7.4</v>
      </c>
      <c r="D72" s="70">
        <v>7.4</v>
      </c>
      <c r="E72" s="70">
        <v>7.4</v>
      </c>
      <c r="F72" s="70">
        <v>7.4</v>
      </c>
      <c r="G72" s="70">
        <v>7.4</v>
      </c>
      <c r="H72" s="70">
        <v>7.4</v>
      </c>
      <c r="I72" s="70">
        <v>7.4</v>
      </c>
      <c r="J72" s="70">
        <v>7.4</v>
      </c>
      <c r="K72" s="70">
        <v>7.4</v>
      </c>
      <c r="L72" s="70">
        <v>5.3</v>
      </c>
      <c r="M72" s="70">
        <v>5.4</v>
      </c>
      <c r="N72" s="70">
        <v>5.4</v>
      </c>
      <c r="O72" s="70">
        <v>5.4</v>
      </c>
      <c r="P72" s="70">
        <v>5.4</v>
      </c>
      <c r="Q72" s="70">
        <v>5.4</v>
      </c>
      <c r="R72" s="70">
        <v>5.4</v>
      </c>
      <c r="S72" s="70">
        <v>5.4</v>
      </c>
      <c r="T72" s="70">
        <v>0.9</v>
      </c>
      <c r="U72" s="70">
        <v>0.9</v>
      </c>
      <c r="V72" s="70">
        <v>7</v>
      </c>
      <c r="W72" s="70">
        <v>7</v>
      </c>
      <c r="X72" s="70">
        <v>7</v>
      </c>
      <c r="Y72" s="70">
        <v>7</v>
      </c>
      <c r="Z72" s="70">
        <v>7</v>
      </c>
      <c r="AA72" s="70">
        <v>7</v>
      </c>
      <c r="AB72" s="70">
        <v>7</v>
      </c>
      <c r="AC72" s="70">
        <v>7</v>
      </c>
      <c r="AD72" s="70">
        <v>7</v>
      </c>
      <c r="AE72" s="70">
        <v>7</v>
      </c>
      <c r="AF72" s="70">
        <v>7</v>
      </c>
      <c r="AG72" s="86">
        <v>14</v>
      </c>
      <c r="AH72" s="12">
        <f t="shared" si="8"/>
        <v>7.4</v>
      </c>
      <c r="AI72" s="11">
        <f t="shared" si="9"/>
        <v>0.9</v>
      </c>
      <c r="AK72" s="19"/>
      <c r="AY72" s="1" t="s">
        <v>190</v>
      </c>
      <c r="AZ72" s="78">
        <f>ROUND(C85,0)</f>
        <v>0</v>
      </c>
      <c r="BA72" s="83">
        <f t="shared" si="33"/>
        <v>0</v>
      </c>
      <c r="BB72" s="83">
        <f t="shared" si="33"/>
        <v>0</v>
      </c>
      <c r="BC72" s="83">
        <f t="shared" si="33"/>
        <v>0</v>
      </c>
      <c r="BD72" s="83">
        <f t="shared" si="33"/>
        <v>0</v>
      </c>
      <c r="BE72" s="78">
        <f>I85</f>
        <v>0</v>
      </c>
      <c r="BF72" s="78">
        <f>K85</f>
        <v>108.7</v>
      </c>
      <c r="BG72" s="78">
        <f t="shared" si="34"/>
        <v>118.3</v>
      </c>
      <c r="BH72" s="78">
        <f t="shared" si="34"/>
        <v>108.5</v>
      </c>
      <c r="BI72" s="78">
        <f t="shared" si="34"/>
        <v>140.5</v>
      </c>
      <c r="BJ72" s="78">
        <f t="shared" si="34"/>
        <v>136.69999999999999</v>
      </c>
      <c r="BK72" s="78">
        <f t="shared" si="34"/>
        <v>135</v>
      </c>
      <c r="BL72" s="78">
        <f t="shared" si="34"/>
        <v>118.2</v>
      </c>
      <c r="BM72" s="78">
        <f t="shared" si="34"/>
        <v>149</v>
      </c>
      <c r="BN72" s="78">
        <f t="shared" si="34"/>
        <v>127</v>
      </c>
      <c r="BO72" s="78">
        <f t="shared" si="34"/>
        <v>131.19999999999999</v>
      </c>
      <c r="BP72" s="78">
        <f t="shared" si="34"/>
        <v>126.1</v>
      </c>
      <c r="BQ72" s="78">
        <f>X85</f>
        <v>80.3</v>
      </c>
      <c r="BR72" s="78">
        <f>Z85</f>
        <v>38.1</v>
      </c>
      <c r="BS72" s="83">
        <f>AB85</f>
        <v>43</v>
      </c>
      <c r="BT72" s="83">
        <f t="shared" si="35"/>
        <v>0</v>
      </c>
      <c r="BU72" s="83">
        <f t="shared" si="35"/>
        <v>0</v>
      </c>
      <c r="BV72" s="83">
        <f t="shared" si="35"/>
        <v>0</v>
      </c>
      <c r="BW72" s="83">
        <f>B85</f>
        <v>0</v>
      </c>
    </row>
    <row r="73" spans="1:75" x14ac:dyDescent="0.25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8"/>
        <v>4</v>
      </c>
      <c r="AI73" s="11">
        <f t="shared" si="9"/>
        <v>4</v>
      </c>
      <c r="AK73" s="19"/>
      <c r="AY73" s="1" t="s">
        <v>188</v>
      </c>
      <c r="AZ73" s="78">
        <f>ROUND(C91,0)</f>
        <v>46</v>
      </c>
      <c r="BA73" s="78">
        <f>D91</f>
        <v>45.2</v>
      </c>
      <c r="BB73" s="78">
        <f>E91</f>
        <v>40.799999999999997</v>
      </c>
      <c r="BC73" s="78">
        <f>F91</f>
        <v>40.799999999999997</v>
      </c>
      <c r="BD73" s="78">
        <f>G91</f>
        <v>40.799999999999997</v>
      </c>
      <c r="BE73" s="78">
        <f>I91</f>
        <v>41.4</v>
      </c>
      <c r="BF73" s="78">
        <f>K91</f>
        <v>44.2</v>
      </c>
      <c r="BG73" s="78">
        <f t="shared" ref="BG73:BP73" si="36">M91</f>
        <v>52.4</v>
      </c>
      <c r="BH73" s="78">
        <f t="shared" si="36"/>
        <v>49.9</v>
      </c>
      <c r="BI73" s="78">
        <f t="shared" si="36"/>
        <v>48.5</v>
      </c>
      <c r="BJ73" s="78">
        <f t="shared" si="36"/>
        <v>51.1</v>
      </c>
      <c r="BK73" s="78">
        <f t="shared" si="36"/>
        <v>53.2</v>
      </c>
      <c r="BL73" s="78">
        <f t="shared" si="36"/>
        <v>49.2</v>
      </c>
      <c r="BM73" s="78">
        <f t="shared" si="36"/>
        <v>50</v>
      </c>
      <c r="BN73" s="78">
        <f t="shared" si="36"/>
        <v>53.6</v>
      </c>
      <c r="BO73" s="78">
        <f t="shared" si="36"/>
        <v>56</v>
      </c>
      <c r="BP73" s="78">
        <f t="shared" si="36"/>
        <v>47.4</v>
      </c>
      <c r="BQ73" s="78">
        <f>X91</f>
        <v>41.1</v>
      </c>
      <c r="BR73" s="78">
        <f>Z91</f>
        <v>38.9</v>
      </c>
      <c r="BS73" s="78">
        <f>AB91</f>
        <v>43.6</v>
      </c>
      <c r="BT73" s="78">
        <f>AD91</f>
        <v>48.5</v>
      </c>
      <c r="BU73" s="78">
        <f>AE91</f>
        <v>48.5</v>
      </c>
      <c r="BV73" s="78">
        <f>AF91</f>
        <v>48.5</v>
      </c>
      <c r="BW73" s="78">
        <f>B91</f>
        <v>45</v>
      </c>
    </row>
    <row r="74" spans="1:75" x14ac:dyDescent="0.25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.75" thickBot="1" x14ac:dyDescent="0.3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3.54</v>
      </c>
      <c r="Z75" s="113">
        <v>3.54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3.54</v>
      </c>
      <c r="AK75" s="19"/>
      <c r="AZ75" s="78">
        <f t="shared" ref="AZ75:BW80" si="37">VALUE(AZ68)</f>
        <v>31</v>
      </c>
      <c r="BA75" s="78">
        <f t="shared" si="37"/>
        <v>27.7</v>
      </c>
      <c r="BB75" s="78">
        <f t="shared" si="37"/>
        <v>47.7</v>
      </c>
      <c r="BC75" s="78">
        <f t="shared" si="37"/>
        <v>47.7</v>
      </c>
      <c r="BD75" s="78">
        <f t="shared" si="37"/>
        <v>47.7</v>
      </c>
      <c r="BE75" s="78">
        <f t="shared" si="37"/>
        <v>46.5</v>
      </c>
      <c r="BF75" s="78">
        <f t="shared" si="37"/>
        <v>68</v>
      </c>
      <c r="BG75" s="78">
        <f t="shared" si="37"/>
        <v>59.9</v>
      </c>
      <c r="BH75" s="78">
        <f t="shared" si="37"/>
        <v>57.2</v>
      </c>
      <c r="BI75" s="78">
        <f t="shared" si="37"/>
        <v>63.6</v>
      </c>
      <c r="BJ75" s="78">
        <f t="shared" si="37"/>
        <v>63.3</v>
      </c>
      <c r="BK75" s="78">
        <f t="shared" si="37"/>
        <v>64.7</v>
      </c>
      <c r="BL75" s="78">
        <f t="shared" si="37"/>
        <v>70</v>
      </c>
      <c r="BM75" s="78">
        <f t="shared" si="37"/>
        <v>73</v>
      </c>
      <c r="BN75" s="78">
        <f t="shared" si="37"/>
        <v>75</v>
      </c>
      <c r="BO75" s="78">
        <f t="shared" si="37"/>
        <v>75.2</v>
      </c>
      <c r="BP75" s="78">
        <f t="shared" si="37"/>
        <v>72</v>
      </c>
      <c r="BQ75" s="78">
        <f t="shared" si="37"/>
        <v>65.599999999999994</v>
      </c>
      <c r="BR75" s="78">
        <f t="shared" si="37"/>
        <v>51.7</v>
      </c>
      <c r="BS75" s="78">
        <f t="shared" si="37"/>
        <v>54.7</v>
      </c>
      <c r="BT75" s="78">
        <f t="shared" si="37"/>
        <v>61.8</v>
      </c>
      <c r="BU75" s="78">
        <f t="shared" si="37"/>
        <v>65</v>
      </c>
      <c r="BV75" s="78">
        <f t="shared" si="37"/>
        <v>66</v>
      </c>
      <c r="BW75" s="78">
        <f t="shared" si="37"/>
        <v>36</v>
      </c>
    </row>
    <row r="76" spans="1:75" ht="15.75" thickBot="1" x14ac:dyDescent="0.3">
      <c r="A76" s="77" t="s">
        <v>186</v>
      </c>
      <c r="B76" s="76">
        <f t="shared" ref="B76:AG76" si="38">SUM(B63:B75)</f>
        <v>296.14000000000004</v>
      </c>
      <c r="C76" s="76">
        <f t="shared" si="38"/>
        <v>285.83999999999997</v>
      </c>
      <c r="D76" s="76">
        <f t="shared" si="38"/>
        <v>285.14</v>
      </c>
      <c r="E76" s="76">
        <f t="shared" si="38"/>
        <v>219.33999999999997</v>
      </c>
      <c r="F76" s="76">
        <f t="shared" si="38"/>
        <v>219.33999999999997</v>
      </c>
      <c r="G76" s="76">
        <f t="shared" si="38"/>
        <v>219.33999999999997</v>
      </c>
      <c r="H76" s="76">
        <f t="shared" si="38"/>
        <v>272.84000000000003</v>
      </c>
      <c r="I76" s="76">
        <f t="shared" si="38"/>
        <v>273.34000000000003</v>
      </c>
      <c r="J76" s="76">
        <f t="shared" si="38"/>
        <v>211.73999999999998</v>
      </c>
      <c r="K76" s="76">
        <f t="shared" si="38"/>
        <v>256.44</v>
      </c>
      <c r="L76" s="76">
        <f t="shared" si="38"/>
        <v>279.24</v>
      </c>
      <c r="M76" s="76">
        <f t="shared" ref="M76" si="39">SUM(M63:M75)</f>
        <v>272.94</v>
      </c>
      <c r="N76" s="76">
        <f t="shared" si="38"/>
        <v>271.34000000000003</v>
      </c>
      <c r="O76" s="76">
        <f t="shared" si="38"/>
        <v>293.74000000000007</v>
      </c>
      <c r="P76" s="76">
        <f t="shared" si="38"/>
        <v>307.83999999999997</v>
      </c>
      <c r="Q76" s="76">
        <f t="shared" si="38"/>
        <v>304.24</v>
      </c>
      <c r="R76" s="76">
        <f t="shared" si="38"/>
        <v>300.54000000000002</v>
      </c>
      <c r="S76" s="76">
        <f t="shared" si="38"/>
        <v>281.44</v>
      </c>
      <c r="T76" s="76">
        <f t="shared" si="38"/>
        <v>235.73999999999998</v>
      </c>
      <c r="U76" s="76">
        <f t="shared" si="38"/>
        <v>235.73999999999998</v>
      </c>
      <c r="V76" s="76">
        <f t="shared" si="38"/>
        <v>206.64</v>
      </c>
      <c r="W76" s="76">
        <f t="shared" ref="W76:X76" si="40">SUM(W63:W75)</f>
        <v>190.48</v>
      </c>
      <c r="X76" s="76">
        <f t="shared" si="40"/>
        <v>190.07999999999998</v>
      </c>
      <c r="Y76" s="76">
        <f t="shared" ref="Y76:Z76" si="41">SUM(Y63:Y75)</f>
        <v>190.07999999999998</v>
      </c>
      <c r="Z76" s="76">
        <f t="shared" si="41"/>
        <v>274.14000000000004</v>
      </c>
      <c r="AA76" s="76">
        <f t="shared" ref="AA76" si="42">SUM(AA63:AA75)</f>
        <v>274.04000000000002</v>
      </c>
      <c r="AB76" s="76">
        <f t="shared" si="38"/>
        <v>286.94000000000005</v>
      </c>
      <c r="AC76" s="76">
        <f t="shared" si="38"/>
        <v>264.54000000000002</v>
      </c>
      <c r="AD76" s="76">
        <f t="shared" si="38"/>
        <v>229.64</v>
      </c>
      <c r="AE76" s="76">
        <f t="shared" si="38"/>
        <v>229.64</v>
      </c>
      <c r="AF76" s="76">
        <f t="shared" si="38"/>
        <v>199.64</v>
      </c>
      <c r="AG76" s="93">
        <f t="shared" si="38"/>
        <v>489.91</v>
      </c>
      <c r="AH76" s="12">
        <f t="shared" si="8"/>
        <v>307.83999999999997</v>
      </c>
      <c r="AI76" s="11">
        <f t="shared" si="9"/>
        <v>190.07999999999998</v>
      </c>
      <c r="AK76" s="19"/>
      <c r="AZ76" s="78">
        <f t="shared" si="37"/>
        <v>0</v>
      </c>
      <c r="BA76" s="78">
        <f t="shared" si="37"/>
        <v>0</v>
      </c>
      <c r="BB76" s="78">
        <f t="shared" si="37"/>
        <v>0</v>
      </c>
      <c r="BC76" s="78">
        <f t="shared" si="37"/>
        <v>0</v>
      </c>
      <c r="BD76" s="78">
        <f t="shared" si="37"/>
        <v>0</v>
      </c>
      <c r="BE76" s="78">
        <f t="shared" si="37"/>
        <v>0</v>
      </c>
      <c r="BF76" s="78">
        <f t="shared" si="37"/>
        <v>102.4</v>
      </c>
      <c r="BG76" s="78">
        <f t="shared" si="37"/>
        <v>122.9</v>
      </c>
      <c r="BH76" s="78">
        <f t="shared" si="37"/>
        <v>124</v>
      </c>
      <c r="BI76" s="78">
        <f t="shared" si="37"/>
        <v>131.5</v>
      </c>
      <c r="BJ76" s="78">
        <f t="shared" si="37"/>
        <v>120.4</v>
      </c>
      <c r="BK76" s="78">
        <f t="shared" si="37"/>
        <v>128.9</v>
      </c>
      <c r="BL76" s="78">
        <f t="shared" si="37"/>
        <v>111.6</v>
      </c>
      <c r="BM76" s="78">
        <f t="shared" si="37"/>
        <v>116.3</v>
      </c>
      <c r="BN76" s="78">
        <f t="shared" si="37"/>
        <v>105</v>
      </c>
      <c r="BO76" s="78">
        <f t="shared" si="37"/>
        <v>98</v>
      </c>
      <c r="BP76" s="78">
        <f t="shared" si="37"/>
        <v>124.9</v>
      </c>
      <c r="BQ76" s="78">
        <f t="shared" si="37"/>
        <v>126.5</v>
      </c>
      <c r="BR76" s="78">
        <f t="shared" si="37"/>
        <v>0</v>
      </c>
      <c r="BS76" s="78">
        <f t="shared" si="37"/>
        <v>0</v>
      </c>
      <c r="BT76" s="78">
        <f t="shared" si="37"/>
        <v>0</v>
      </c>
      <c r="BU76" s="78">
        <f t="shared" si="37"/>
        <v>0</v>
      </c>
      <c r="BV76" s="78">
        <f t="shared" si="37"/>
        <v>0</v>
      </c>
      <c r="BW76" s="78">
        <f t="shared" si="37"/>
        <v>0</v>
      </c>
    </row>
    <row r="77" spans="1:75" x14ac:dyDescent="0.25">
      <c r="A77" s="89" t="s">
        <v>185</v>
      </c>
      <c r="B77" s="102">
        <v>29.3</v>
      </c>
      <c r="C77" s="102">
        <v>29.3</v>
      </c>
      <c r="D77" s="102">
        <v>29.3</v>
      </c>
      <c r="E77" s="102">
        <v>59.9</v>
      </c>
      <c r="F77" s="102">
        <v>59.9</v>
      </c>
      <c r="G77" s="102">
        <v>59.9</v>
      </c>
      <c r="H77" s="102">
        <v>59.9</v>
      </c>
      <c r="I77" s="102">
        <v>59.9</v>
      </c>
      <c r="J77" s="102">
        <v>30</v>
      </c>
      <c r="K77" s="102">
        <v>30</v>
      </c>
      <c r="L77" s="102">
        <v>59.5</v>
      </c>
      <c r="M77" s="102">
        <v>59.3</v>
      </c>
      <c r="N77" s="102">
        <v>59.7</v>
      </c>
      <c r="O77" s="102">
        <v>59.6</v>
      </c>
      <c r="P77" s="102">
        <v>59.6</v>
      </c>
      <c r="Q77" s="102">
        <v>59.4</v>
      </c>
      <c r="R77" s="102">
        <v>59.5</v>
      </c>
      <c r="S77" s="102">
        <v>59.5</v>
      </c>
      <c r="T77" s="102">
        <v>59.5</v>
      </c>
      <c r="U77" s="102">
        <v>59.5</v>
      </c>
      <c r="V77" s="102">
        <v>59.5</v>
      </c>
      <c r="W77" s="102">
        <v>59.5</v>
      </c>
      <c r="X77" s="102">
        <v>59.5</v>
      </c>
      <c r="Y77" s="102">
        <v>59.5</v>
      </c>
      <c r="Z77" s="102">
        <v>59.5</v>
      </c>
      <c r="AA77" s="102">
        <v>59.5</v>
      </c>
      <c r="AB77" s="102">
        <v>59.8</v>
      </c>
      <c r="AC77" s="102">
        <v>59.8</v>
      </c>
      <c r="AD77" s="102">
        <v>59.8</v>
      </c>
      <c r="AE77" s="102">
        <v>59.8</v>
      </c>
      <c r="AF77" s="102">
        <v>59.8</v>
      </c>
      <c r="AG77" s="88">
        <v>60</v>
      </c>
      <c r="AH77" s="12">
        <f t="shared" si="8"/>
        <v>59.9</v>
      </c>
      <c r="AI77" s="11">
        <f t="shared" si="9"/>
        <v>29.3</v>
      </c>
      <c r="AK77" s="19"/>
      <c r="AZ77" s="78">
        <f t="shared" si="37"/>
        <v>159</v>
      </c>
      <c r="BA77" s="78">
        <f t="shared" si="37"/>
        <v>251.5</v>
      </c>
      <c r="BB77" s="78">
        <f t="shared" si="37"/>
        <v>202</v>
      </c>
      <c r="BC77" s="78">
        <f t="shared" si="37"/>
        <v>145</v>
      </c>
      <c r="BD77" s="78">
        <f t="shared" si="37"/>
        <v>195</v>
      </c>
      <c r="BE77" s="78">
        <f t="shared" si="37"/>
        <v>192.8</v>
      </c>
      <c r="BF77" s="78">
        <f t="shared" si="37"/>
        <v>504.7</v>
      </c>
      <c r="BG77" s="78">
        <f t="shared" si="37"/>
        <v>501</v>
      </c>
      <c r="BH77" s="78">
        <f t="shared" si="37"/>
        <v>514</v>
      </c>
      <c r="BI77" s="78">
        <f t="shared" si="37"/>
        <v>480</v>
      </c>
      <c r="BJ77" s="78">
        <f t="shared" si="37"/>
        <v>481</v>
      </c>
      <c r="BK77" s="78">
        <f t="shared" si="37"/>
        <v>504.7</v>
      </c>
      <c r="BL77" s="78">
        <f t="shared" si="37"/>
        <v>505.1</v>
      </c>
      <c r="BM77" s="78">
        <f t="shared" si="37"/>
        <v>488</v>
      </c>
      <c r="BN77" s="78">
        <f t="shared" si="37"/>
        <v>529.6</v>
      </c>
      <c r="BO77" s="78">
        <f t="shared" si="37"/>
        <v>529</v>
      </c>
      <c r="BP77" s="78">
        <f t="shared" si="37"/>
        <v>514</v>
      </c>
      <c r="BQ77" s="78">
        <f t="shared" si="37"/>
        <v>395.8</v>
      </c>
      <c r="BR77" s="78">
        <f t="shared" si="37"/>
        <v>86.9</v>
      </c>
      <c r="BS77" s="78">
        <f t="shared" si="37"/>
        <v>80.900000000000006</v>
      </c>
      <c r="BT77" s="78">
        <f t="shared" si="37"/>
        <v>131</v>
      </c>
      <c r="BU77" s="78">
        <f t="shared" si="37"/>
        <v>180</v>
      </c>
      <c r="BV77" s="78">
        <f t="shared" si="37"/>
        <v>174</v>
      </c>
      <c r="BW77" s="78">
        <f t="shared" si="37"/>
        <v>107.4</v>
      </c>
    </row>
    <row r="78" spans="1:75" x14ac:dyDescent="0.25">
      <c r="A78" s="87" t="s">
        <v>184</v>
      </c>
      <c r="B78" s="70">
        <v>13.2</v>
      </c>
      <c r="C78" s="70">
        <v>13.6</v>
      </c>
      <c r="D78" s="70">
        <v>13.6</v>
      </c>
      <c r="E78" s="70">
        <v>28</v>
      </c>
      <c r="F78" s="70">
        <v>28</v>
      </c>
      <c r="G78" s="70">
        <v>28</v>
      </c>
      <c r="H78" s="70">
        <v>28</v>
      </c>
      <c r="I78" s="70">
        <v>28</v>
      </c>
      <c r="J78" s="70">
        <v>14.4</v>
      </c>
      <c r="K78" s="70">
        <v>14.4</v>
      </c>
      <c r="L78" s="70">
        <v>21</v>
      </c>
      <c r="M78" s="70">
        <v>28.5</v>
      </c>
      <c r="N78" s="70">
        <v>28.3</v>
      </c>
      <c r="O78" s="70">
        <v>28.4</v>
      </c>
      <c r="P78" s="70">
        <v>28.4</v>
      </c>
      <c r="Q78" s="70">
        <v>28.3</v>
      </c>
      <c r="R78" s="70">
        <v>28.4</v>
      </c>
      <c r="S78" s="70">
        <v>28.4</v>
      </c>
      <c r="T78" s="70">
        <v>28.4</v>
      </c>
      <c r="U78" s="70">
        <v>28.4</v>
      </c>
      <c r="V78" s="70">
        <v>28.4</v>
      </c>
      <c r="W78" s="70">
        <v>28.4</v>
      </c>
      <c r="X78" s="70">
        <v>28.4</v>
      </c>
      <c r="Y78" s="70">
        <v>28.4</v>
      </c>
      <c r="Z78" s="70">
        <v>28.4</v>
      </c>
      <c r="AA78" s="70">
        <v>28.4</v>
      </c>
      <c r="AB78" s="70">
        <v>27.7</v>
      </c>
      <c r="AC78" s="70">
        <v>27.8</v>
      </c>
      <c r="AD78" s="70">
        <v>27.8</v>
      </c>
      <c r="AE78" s="70">
        <v>27.8</v>
      </c>
      <c r="AF78" s="70">
        <v>27.8</v>
      </c>
      <c r="AG78" s="86">
        <v>32</v>
      </c>
      <c r="AH78" s="12">
        <f t="shared" si="8"/>
        <v>28.5</v>
      </c>
      <c r="AI78" s="11">
        <f t="shared" si="9"/>
        <v>13.2</v>
      </c>
      <c r="AK78" s="19"/>
      <c r="AZ78" s="78">
        <f t="shared" si="37"/>
        <v>0</v>
      </c>
      <c r="BA78" s="78">
        <f t="shared" si="37"/>
        <v>0</v>
      </c>
      <c r="BB78" s="78">
        <f t="shared" si="37"/>
        <v>0</v>
      </c>
      <c r="BC78" s="78">
        <f t="shared" si="37"/>
        <v>0</v>
      </c>
      <c r="BD78" s="78">
        <f t="shared" si="37"/>
        <v>0</v>
      </c>
      <c r="BE78" s="78">
        <f t="shared" si="37"/>
        <v>0</v>
      </c>
      <c r="BF78" s="78">
        <f t="shared" si="37"/>
        <v>48</v>
      </c>
      <c r="BG78" s="78">
        <f t="shared" si="37"/>
        <v>44.5</v>
      </c>
      <c r="BH78" s="78">
        <f t="shared" si="37"/>
        <v>40.6</v>
      </c>
      <c r="BI78" s="78">
        <f t="shared" si="37"/>
        <v>48</v>
      </c>
      <c r="BJ78" s="78">
        <f t="shared" si="37"/>
        <v>46.7</v>
      </c>
      <c r="BK78" s="78">
        <f t="shared" si="37"/>
        <v>37</v>
      </c>
      <c r="BL78" s="78">
        <f t="shared" si="37"/>
        <v>44.2</v>
      </c>
      <c r="BM78" s="78">
        <f t="shared" si="37"/>
        <v>39.1</v>
      </c>
      <c r="BN78" s="78">
        <f t="shared" si="37"/>
        <v>40.1</v>
      </c>
      <c r="BO78" s="78">
        <f t="shared" si="37"/>
        <v>42</v>
      </c>
      <c r="BP78" s="78">
        <f t="shared" si="37"/>
        <v>45</v>
      </c>
      <c r="BQ78" s="78">
        <f t="shared" si="37"/>
        <v>23.5</v>
      </c>
      <c r="BR78" s="78">
        <f t="shared" si="37"/>
        <v>17.7</v>
      </c>
      <c r="BS78" s="78">
        <f t="shared" si="37"/>
        <v>11.9</v>
      </c>
      <c r="BT78" s="78">
        <f t="shared" si="37"/>
        <v>12.6</v>
      </c>
      <c r="BU78" s="78">
        <f t="shared" si="37"/>
        <v>12.6</v>
      </c>
      <c r="BV78" s="78">
        <f t="shared" si="37"/>
        <v>12.6</v>
      </c>
      <c r="BW78" s="78">
        <f t="shared" si="37"/>
        <v>0</v>
      </c>
    </row>
    <row r="79" spans="1:75" ht="15.75" thickBot="1" x14ac:dyDescent="0.3">
      <c r="A79" s="111" t="s">
        <v>183</v>
      </c>
      <c r="B79" s="110">
        <v>4.8</v>
      </c>
      <c r="C79" s="110">
        <v>5</v>
      </c>
      <c r="D79" s="110">
        <v>5</v>
      </c>
      <c r="E79" s="110">
        <v>10.199999999999999</v>
      </c>
      <c r="F79" s="110">
        <v>10.199999999999999</v>
      </c>
      <c r="G79" s="110">
        <v>10.199999999999999</v>
      </c>
      <c r="H79" s="110">
        <v>10.199999999999999</v>
      </c>
      <c r="I79" s="110">
        <v>10.199999999999999</v>
      </c>
      <c r="J79" s="110">
        <v>5.3</v>
      </c>
      <c r="K79" s="110">
        <v>5.3</v>
      </c>
      <c r="L79" s="110">
        <v>7.7</v>
      </c>
      <c r="M79" s="110">
        <v>10.4</v>
      </c>
      <c r="N79" s="110">
        <v>10.3</v>
      </c>
      <c r="O79" s="110">
        <v>10.3</v>
      </c>
      <c r="P79" s="110">
        <v>10.4</v>
      </c>
      <c r="Q79" s="110">
        <v>10.3</v>
      </c>
      <c r="R79" s="110">
        <v>10.4</v>
      </c>
      <c r="S79" s="110">
        <v>10.4</v>
      </c>
      <c r="T79" s="110">
        <v>10.4</v>
      </c>
      <c r="U79" s="110">
        <v>10.4</v>
      </c>
      <c r="V79" s="110">
        <v>10.4</v>
      </c>
      <c r="W79" s="110">
        <v>10.4</v>
      </c>
      <c r="X79" s="110">
        <v>10.4</v>
      </c>
      <c r="Y79" s="110">
        <v>10.4</v>
      </c>
      <c r="Z79" s="110">
        <v>10.4</v>
      </c>
      <c r="AA79" s="110">
        <v>10.4</v>
      </c>
      <c r="AB79" s="110">
        <v>10.1</v>
      </c>
      <c r="AC79" s="110">
        <v>10.1</v>
      </c>
      <c r="AD79" s="110">
        <v>10.1</v>
      </c>
      <c r="AE79" s="110">
        <v>10.1</v>
      </c>
      <c r="AF79" s="110">
        <v>10.1</v>
      </c>
      <c r="AG79" s="109">
        <v>14</v>
      </c>
      <c r="AH79" s="12">
        <f t="shared" si="8"/>
        <v>10.4</v>
      </c>
      <c r="AI79" s="11">
        <f t="shared" si="9"/>
        <v>4.8</v>
      </c>
      <c r="AK79" s="19"/>
      <c r="AZ79" s="78">
        <f t="shared" si="37"/>
        <v>0</v>
      </c>
      <c r="BA79" s="78">
        <f t="shared" si="37"/>
        <v>0</v>
      </c>
      <c r="BB79" s="78">
        <f t="shared" si="37"/>
        <v>0</v>
      </c>
      <c r="BC79" s="78">
        <f t="shared" si="37"/>
        <v>0</v>
      </c>
      <c r="BD79" s="78">
        <f t="shared" si="37"/>
        <v>0</v>
      </c>
      <c r="BE79" s="78">
        <f t="shared" si="37"/>
        <v>0</v>
      </c>
      <c r="BF79" s="78">
        <f t="shared" si="37"/>
        <v>108.7</v>
      </c>
      <c r="BG79" s="78">
        <f t="shared" si="37"/>
        <v>118.3</v>
      </c>
      <c r="BH79" s="78">
        <f t="shared" si="37"/>
        <v>108.5</v>
      </c>
      <c r="BI79" s="78">
        <f t="shared" si="37"/>
        <v>140.5</v>
      </c>
      <c r="BJ79" s="78">
        <f t="shared" si="37"/>
        <v>136.69999999999999</v>
      </c>
      <c r="BK79" s="78">
        <f t="shared" si="37"/>
        <v>135</v>
      </c>
      <c r="BL79" s="78">
        <f t="shared" si="37"/>
        <v>118.2</v>
      </c>
      <c r="BM79" s="78">
        <f t="shared" si="37"/>
        <v>149</v>
      </c>
      <c r="BN79" s="78">
        <f t="shared" si="37"/>
        <v>127</v>
      </c>
      <c r="BO79" s="78">
        <f t="shared" si="37"/>
        <v>131.19999999999999</v>
      </c>
      <c r="BP79" s="78">
        <f t="shared" si="37"/>
        <v>126.1</v>
      </c>
      <c r="BQ79" s="78">
        <f t="shared" si="37"/>
        <v>80.3</v>
      </c>
      <c r="BR79" s="78">
        <f t="shared" si="37"/>
        <v>38.1</v>
      </c>
      <c r="BS79" s="78">
        <f t="shared" si="37"/>
        <v>43</v>
      </c>
      <c r="BT79" s="78">
        <f t="shared" si="37"/>
        <v>0</v>
      </c>
      <c r="BU79" s="78">
        <f t="shared" si="37"/>
        <v>0</v>
      </c>
      <c r="BV79" s="78">
        <f t="shared" si="37"/>
        <v>0</v>
      </c>
      <c r="BW79" s="78">
        <f t="shared" si="37"/>
        <v>0</v>
      </c>
    </row>
    <row r="80" spans="1:75" ht="15.75" thickBot="1" x14ac:dyDescent="0.3">
      <c r="A80" s="77" t="s">
        <v>182</v>
      </c>
      <c r="B80" s="76">
        <f t="shared" ref="B80:AF80" si="43">B77+B78+B79</f>
        <v>47.3</v>
      </c>
      <c r="C80" s="76">
        <f t="shared" si="43"/>
        <v>47.9</v>
      </c>
      <c r="D80" s="76">
        <f t="shared" si="43"/>
        <v>47.9</v>
      </c>
      <c r="E80" s="76">
        <f t="shared" si="43"/>
        <v>98.100000000000009</v>
      </c>
      <c r="F80" s="76">
        <f t="shared" si="43"/>
        <v>98.100000000000009</v>
      </c>
      <c r="G80" s="76">
        <f t="shared" si="43"/>
        <v>98.100000000000009</v>
      </c>
      <c r="H80" s="76">
        <f t="shared" si="43"/>
        <v>98.100000000000009</v>
      </c>
      <c r="I80" s="76">
        <f t="shared" si="43"/>
        <v>98.100000000000009</v>
      </c>
      <c r="J80" s="76">
        <f t="shared" si="43"/>
        <v>49.699999999999996</v>
      </c>
      <c r="K80" s="76">
        <f t="shared" si="43"/>
        <v>49.699999999999996</v>
      </c>
      <c r="L80" s="76">
        <f t="shared" si="43"/>
        <v>88.2</v>
      </c>
      <c r="M80" s="76">
        <f t="shared" ref="M80" si="44">M77+M78+M79</f>
        <v>98.2</v>
      </c>
      <c r="N80" s="76">
        <f t="shared" si="43"/>
        <v>98.3</v>
      </c>
      <c r="O80" s="76">
        <f t="shared" si="43"/>
        <v>98.3</v>
      </c>
      <c r="P80" s="76">
        <f t="shared" si="43"/>
        <v>98.4</v>
      </c>
      <c r="Q80" s="76">
        <f t="shared" si="43"/>
        <v>98</v>
      </c>
      <c r="R80" s="76">
        <f t="shared" si="43"/>
        <v>98.300000000000011</v>
      </c>
      <c r="S80" s="76">
        <f t="shared" si="43"/>
        <v>98.300000000000011</v>
      </c>
      <c r="T80" s="76">
        <f t="shared" si="43"/>
        <v>98.300000000000011</v>
      </c>
      <c r="U80" s="76">
        <f t="shared" si="43"/>
        <v>98.300000000000011</v>
      </c>
      <c r="V80" s="76">
        <f t="shared" si="43"/>
        <v>98.300000000000011</v>
      </c>
      <c r="W80" s="76">
        <f t="shared" ref="W80:X80" si="45">W77+W78+W79</f>
        <v>98.300000000000011</v>
      </c>
      <c r="X80" s="76">
        <f t="shared" si="45"/>
        <v>98.300000000000011</v>
      </c>
      <c r="Y80" s="76">
        <f t="shared" ref="Y80:Z80" si="46">Y77+Y78+Y79</f>
        <v>98.300000000000011</v>
      </c>
      <c r="Z80" s="76">
        <f t="shared" si="46"/>
        <v>98.300000000000011</v>
      </c>
      <c r="AA80" s="76">
        <f t="shared" ref="AA80" si="47">AA77+AA78+AA79</f>
        <v>98.300000000000011</v>
      </c>
      <c r="AB80" s="76">
        <f t="shared" si="43"/>
        <v>97.6</v>
      </c>
      <c r="AC80" s="76">
        <f t="shared" si="43"/>
        <v>97.699999999999989</v>
      </c>
      <c r="AD80" s="76">
        <f t="shared" si="43"/>
        <v>97.699999999999989</v>
      </c>
      <c r="AE80" s="76">
        <f t="shared" si="43"/>
        <v>97.699999999999989</v>
      </c>
      <c r="AF80" s="76">
        <f t="shared" si="43"/>
        <v>97.699999999999989</v>
      </c>
      <c r="AG80" s="93">
        <f>SUM(AG77:AG79)</f>
        <v>106</v>
      </c>
      <c r="AH80" s="12">
        <f t="shared" si="8"/>
        <v>98.4</v>
      </c>
      <c r="AI80" s="11">
        <f t="shared" si="9"/>
        <v>47.3</v>
      </c>
      <c r="AK80" s="19"/>
      <c r="AZ80" s="78">
        <f t="shared" si="37"/>
        <v>46</v>
      </c>
      <c r="BA80" s="78">
        <f t="shared" si="37"/>
        <v>45.2</v>
      </c>
      <c r="BB80" s="78">
        <f t="shared" si="37"/>
        <v>40.799999999999997</v>
      </c>
      <c r="BC80" s="78">
        <f t="shared" si="37"/>
        <v>40.799999999999997</v>
      </c>
      <c r="BD80" s="78">
        <f t="shared" si="37"/>
        <v>40.799999999999997</v>
      </c>
      <c r="BE80" s="78">
        <f t="shared" si="37"/>
        <v>41.4</v>
      </c>
      <c r="BF80" s="78">
        <f t="shared" si="37"/>
        <v>44.2</v>
      </c>
      <c r="BG80" s="78">
        <f t="shared" si="37"/>
        <v>52.4</v>
      </c>
      <c r="BH80" s="78">
        <f t="shared" si="37"/>
        <v>49.9</v>
      </c>
      <c r="BI80" s="78">
        <f t="shared" si="37"/>
        <v>48.5</v>
      </c>
      <c r="BJ80" s="78">
        <f t="shared" si="37"/>
        <v>51.1</v>
      </c>
      <c r="BK80" s="78">
        <f t="shared" si="37"/>
        <v>53.2</v>
      </c>
      <c r="BL80" s="78">
        <f t="shared" si="37"/>
        <v>49.2</v>
      </c>
      <c r="BM80" s="78">
        <f t="shared" si="37"/>
        <v>50</v>
      </c>
      <c r="BN80" s="78">
        <f t="shared" si="37"/>
        <v>53.6</v>
      </c>
      <c r="BO80" s="78">
        <f t="shared" si="37"/>
        <v>56</v>
      </c>
      <c r="BP80" s="78">
        <f t="shared" si="37"/>
        <v>47.4</v>
      </c>
      <c r="BQ80" s="78">
        <f t="shared" si="37"/>
        <v>41.1</v>
      </c>
      <c r="BR80" s="78">
        <f t="shared" si="37"/>
        <v>38.9</v>
      </c>
      <c r="BS80" s="78">
        <f t="shared" si="37"/>
        <v>43.6</v>
      </c>
      <c r="BT80" s="78">
        <f t="shared" si="37"/>
        <v>48.5</v>
      </c>
      <c r="BU80" s="78">
        <f t="shared" si="37"/>
        <v>48.5</v>
      </c>
      <c r="BV80" s="78">
        <f t="shared" si="37"/>
        <v>48.5</v>
      </c>
      <c r="BW80" s="78">
        <f t="shared" si="37"/>
        <v>45</v>
      </c>
    </row>
    <row r="81" spans="1:64" x14ac:dyDescent="0.25">
      <c r="A81" s="89" t="s">
        <v>157</v>
      </c>
      <c r="B81" s="102">
        <v>36</v>
      </c>
      <c r="C81" s="102">
        <v>31.2</v>
      </c>
      <c r="D81" s="102">
        <v>27.7</v>
      </c>
      <c r="E81" s="102">
        <v>47.7</v>
      </c>
      <c r="F81" s="102">
        <v>47.7</v>
      </c>
      <c r="G81" s="102">
        <v>47.7</v>
      </c>
      <c r="H81" s="102">
        <v>47.7</v>
      </c>
      <c r="I81" s="102">
        <v>46.5</v>
      </c>
      <c r="J81" s="102">
        <v>68.5</v>
      </c>
      <c r="K81" s="102">
        <v>68</v>
      </c>
      <c r="L81" s="102">
        <v>56.6</v>
      </c>
      <c r="M81" s="102">
        <v>59.9</v>
      </c>
      <c r="N81" s="102">
        <v>57.2</v>
      </c>
      <c r="O81" s="102">
        <v>63.6</v>
      </c>
      <c r="P81" s="102">
        <v>63.3</v>
      </c>
      <c r="Q81" s="102">
        <v>64.7</v>
      </c>
      <c r="R81" s="102">
        <v>70</v>
      </c>
      <c r="S81" s="102">
        <v>73</v>
      </c>
      <c r="T81" s="102">
        <v>75</v>
      </c>
      <c r="U81" s="102">
        <v>75.2</v>
      </c>
      <c r="V81" s="102">
        <v>72</v>
      </c>
      <c r="W81" s="102">
        <v>70.8</v>
      </c>
      <c r="X81" s="102">
        <v>65.599999999999994</v>
      </c>
      <c r="Y81" s="102">
        <v>58.1</v>
      </c>
      <c r="Z81" s="102">
        <v>51.7</v>
      </c>
      <c r="AA81" s="102">
        <v>31.2</v>
      </c>
      <c r="AB81" s="102">
        <v>54.7</v>
      </c>
      <c r="AC81" s="102">
        <v>81</v>
      </c>
      <c r="AD81" s="102">
        <v>61.8</v>
      </c>
      <c r="AE81" s="102">
        <v>65</v>
      </c>
      <c r="AF81" s="102">
        <v>66</v>
      </c>
      <c r="AG81" s="88"/>
      <c r="AH81" s="12">
        <f t="shared" si="8"/>
        <v>81</v>
      </c>
      <c r="AI81" s="11">
        <f t="shared" si="9"/>
        <v>27.7</v>
      </c>
      <c r="AK81" s="19"/>
      <c r="AY81" s="78"/>
    </row>
    <row r="82" spans="1:64" x14ac:dyDescent="0.25">
      <c r="A82" s="87" t="s">
        <v>160</v>
      </c>
      <c r="B82" s="70">
        <v>0</v>
      </c>
      <c r="C82" s="70">
        <v>0</v>
      </c>
      <c r="D82" s="70">
        <v>0</v>
      </c>
      <c r="E82" s="70">
        <v>0</v>
      </c>
      <c r="F82" s="70">
        <v>0</v>
      </c>
      <c r="G82" s="70">
        <v>0</v>
      </c>
      <c r="H82" s="70">
        <v>0</v>
      </c>
      <c r="I82" s="70">
        <v>0</v>
      </c>
      <c r="J82" s="70">
        <v>93</v>
      </c>
      <c r="K82" s="70">
        <v>102.4</v>
      </c>
      <c r="L82" s="70">
        <v>109.2</v>
      </c>
      <c r="M82" s="70">
        <v>122.9</v>
      </c>
      <c r="N82" s="70">
        <v>124</v>
      </c>
      <c r="O82" s="70">
        <v>131.5</v>
      </c>
      <c r="P82" s="70">
        <v>120.4</v>
      </c>
      <c r="Q82" s="70">
        <v>128.9</v>
      </c>
      <c r="R82" s="70">
        <v>111.6</v>
      </c>
      <c r="S82" s="70">
        <v>116.3</v>
      </c>
      <c r="T82" s="70">
        <v>105</v>
      </c>
      <c r="U82" s="70">
        <v>98</v>
      </c>
      <c r="V82" s="70">
        <v>124.9</v>
      </c>
      <c r="W82" s="70">
        <v>124.4</v>
      </c>
      <c r="X82" s="70">
        <v>126.5</v>
      </c>
      <c r="Y82" s="70">
        <v>130.19999999999999</v>
      </c>
      <c r="Z82" s="70">
        <v>0</v>
      </c>
      <c r="AA82" s="70">
        <v>0</v>
      </c>
      <c r="AB82" s="70">
        <v>0</v>
      </c>
      <c r="AC82" s="70">
        <v>0</v>
      </c>
      <c r="AD82" s="70">
        <v>0</v>
      </c>
      <c r="AE82" s="70">
        <v>0</v>
      </c>
      <c r="AF82" s="70">
        <v>0</v>
      </c>
      <c r="AG82" s="86"/>
      <c r="AH82" s="12">
        <f t="shared" ref="AH82:AH125" si="48">MAX(B82:AF82)</f>
        <v>131.5</v>
      </c>
      <c r="AI82" s="11">
        <f t="shared" ref="AI82:AI125" si="49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25">
      <c r="A83" s="87" t="s">
        <v>181</v>
      </c>
      <c r="B83" s="70">
        <v>107.4</v>
      </c>
      <c r="C83" s="70">
        <v>159</v>
      </c>
      <c r="D83" s="70">
        <v>251.5</v>
      </c>
      <c r="E83" s="70">
        <v>202</v>
      </c>
      <c r="F83" s="70">
        <v>145</v>
      </c>
      <c r="G83" s="70">
        <v>195</v>
      </c>
      <c r="H83" s="70">
        <v>202</v>
      </c>
      <c r="I83" s="70">
        <v>192.8</v>
      </c>
      <c r="J83" s="70">
        <v>440.8</v>
      </c>
      <c r="K83" s="70">
        <v>504.7</v>
      </c>
      <c r="L83" s="70">
        <v>499.6</v>
      </c>
      <c r="M83" s="70">
        <v>501</v>
      </c>
      <c r="N83" s="70">
        <v>514</v>
      </c>
      <c r="O83" s="70">
        <v>480</v>
      </c>
      <c r="P83" s="70">
        <v>481</v>
      </c>
      <c r="Q83" s="70">
        <v>504.7</v>
      </c>
      <c r="R83" s="70">
        <v>505.1</v>
      </c>
      <c r="S83" s="70">
        <v>488</v>
      </c>
      <c r="T83" s="70">
        <v>529.6</v>
      </c>
      <c r="U83" s="70">
        <v>529</v>
      </c>
      <c r="V83" s="70">
        <v>514</v>
      </c>
      <c r="W83" s="70">
        <v>492.5</v>
      </c>
      <c r="X83" s="70">
        <v>395.8</v>
      </c>
      <c r="Y83" s="70">
        <v>386.5</v>
      </c>
      <c r="Z83" s="70">
        <v>86.9</v>
      </c>
      <c r="AA83" s="70">
        <v>124.8</v>
      </c>
      <c r="AB83" s="70">
        <v>80.900000000000006</v>
      </c>
      <c r="AC83" s="70">
        <v>124.8</v>
      </c>
      <c r="AD83" s="70">
        <v>131</v>
      </c>
      <c r="AE83" s="70">
        <v>180</v>
      </c>
      <c r="AF83" s="70">
        <v>174</v>
      </c>
      <c r="AG83" s="96"/>
      <c r="AH83" s="12">
        <f t="shared" si="48"/>
        <v>529.6</v>
      </c>
      <c r="AI83" s="11">
        <f t="shared" si="49"/>
        <v>80.900000000000006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25">
      <c r="A84" s="87" t="s">
        <v>161</v>
      </c>
      <c r="B84" s="70">
        <v>0</v>
      </c>
      <c r="C84" s="70">
        <v>0</v>
      </c>
      <c r="D84" s="70">
        <v>0</v>
      </c>
      <c r="E84" s="85">
        <v>0</v>
      </c>
      <c r="F84" s="85">
        <v>0</v>
      </c>
      <c r="G84" s="85">
        <v>0</v>
      </c>
      <c r="H84" s="85">
        <v>0</v>
      </c>
      <c r="I84" s="85">
        <v>0</v>
      </c>
      <c r="J84" s="85">
        <v>39.1</v>
      </c>
      <c r="K84" s="85">
        <v>48</v>
      </c>
      <c r="L84" s="85">
        <v>50.5</v>
      </c>
      <c r="M84" s="85">
        <v>44.5</v>
      </c>
      <c r="N84" s="85">
        <v>40.6</v>
      </c>
      <c r="O84" s="85">
        <v>48</v>
      </c>
      <c r="P84" s="85">
        <v>46.7</v>
      </c>
      <c r="Q84" s="85">
        <v>37</v>
      </c>
      <c r="R84" s="85">
        <v>44.2</v>
      </c>
      <c r="S84" s="85">
        <v>39.1</v>
      </c>
      <c r="T84" s="85">
        <v>40.1</v>
      </c>
      <c r="U84" s="85">
        <v>42</v>
      </c>
      <c r="V84" s="85">
        <v>45</v>
      </c>
      <c r="W84" s="85">
        <v>26.6</v>
      </c>
      <c r="X84" s="85">
        <v>23.5</v>
      </c>
      <c r="Y84" s="85">
        <v>19.399999999999999</v>
      </c>
      <c r="Z84" s="85">
        <v>17.7</v>
      </c>
      <c r="AA84" s="85">
        <v>12.1</v>
      </c>
      <c r="AB84" s="85">
        <v>11.9</v>
      </c>
      <c r="AC84" s="85">
        <v>11.58</v>
      </c>
      <c r="AD84" s="85">
        <v>12.6</v>
      </c>
      <c r="AE84" s="85">
        <v>12.6</v>
      </c>
      <c r="AF84" s="85">
        <v>12.6</v>
      </c>
      <c r="AG84" s="96"/>
      <c r="AH84" s="12">
        <f t="shared" si="48"/>
        <v>50.5</v>
      </c>
      <c r="AI84" s="11">
        <f t="shared" si="49"/>
        <v>0</v>
      </c>
      <c r="AK84" s="19"/>
      <c r="AY84" s="78"/>
      <c r="BF84" s="83"/>
      <c r="BG84" s="78">
        <f t="array" ref="BG84:BL107">TRANSPOSE(AZ68:BW73)</f>
        <v>31</v>
      </c>
      <c r="BH84" s="78">
        <v>0</v>
      </c>
      <c r="BI84" s="78">
        <v>159</v>
      </c>
      <c r="BJ84" s="78">
        <v>0</v>
      </c>
      <c r="BK84" s="78">
        <v>0</v>
      </c>
      <c r="BL84" s="78">
        <v>46</v>
      </c>
    </row>
    <row r="85" spans="1:64" x14ac:dyDescent="0.25">
      <c r="A85" s="87" t="s">
        <v>180</v>
      </c>
      <c r="B85" s="102">
        <v>0</v>
      </c>
      <c r="C85" s="102">
        <v>0</v>
      </c>
      <c r="D85" s="102">
        <v>0</v>
      </c>
      <c r="E85" s="102">
        <v>0</v>
      </c>
      <c r="F85" s="102">
        <v>0</v>
      </c>
      <c r="G85" s="102">
        <v>0</v>
      </c>
      <c r="H85" s="102">
        <v>0</v>
      </c>
      <c r="I85" s="102">
        <v>0</v>
      </c>
      <c r="J85" s="102">
        <v>95.9</v>
      </c>
      <c r="K85" s="102">
        <v>108.7</v>
      </c>
      <c r="L85" s="102">
        <v>120.7</v>
      </c>
      <c r="M85" s="102">
        <v>118.3</v>
      </c>
      <c r="N85" s="102">
        <v>108.5</v>
      </c>
      <c r="O85" s="102">
        <v>140.5</v>
      </c>
      <c r="P85" s="102">
        <v>136.69999999999999</v>
      </c>
      <c r="Q85" s="102">
        <v>135</v>
      </c>
      <c r="R85" s="102">
        <v>118.2</v>
      </c>
      <c r="S85" s="102">
        <v>149</v>
      </c>
      <c r="T85" s="102">
        <v>127</v>
      </c>
      <c r="U85" s="102">
        <v>131.19999999999999</v>
      </c>
      <c r="V85" s="102">
        <v>126.1</v>
      </c>
      <c r="W85" s="102">
        <v>99.9</v>
      </c>
      <c r="X85" s="102">
        <v>80.3</v>
      </c>
      <c r="Y85" s="102">
        <v>61.8</v>
      </c>
      <c r="Z85" s="102">
        <v>38.1</v>
      </c>
      <c r="AA85" s="102">
        <v>35.6</v>
      </c>
      <c r="AB85" s="102">
        <v>43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48"/>
        <v>149</v>
      </c>
      <c r="AI85" s="11">
        <f t="shared" si="49"/>
        <v>0</v>
      </c>
      <c r="AK85" s="19"/>
      <c r="AY85" s="78"/>
      <c r="BF85" s="83"/>
      <c r="BG85" s="78">
        <v>27.7</v>
      </c>
      <c r="BH85" s="78">
        <v>0</v>
      </c>
      <c r="BI85" s="78">
        <v>251.5</v>
      </c>
      <c r="BJ85" s="78">
        <v>0</v>
      </c>
      <c r="BK85" s="78">
        <v>0</v>
      </c>
      <c r="BL85" s="78">
        <v>45.2</v>
      </c>
    </row>
    <row r="86" spans="1:64" x14ac:dyDescent="0.25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48"/>
        <v>0</v>
      </c>
      <c r="AI86" s="11">
        <f t="shared" si="49"/>
        <v>0</v>
      </c>
      <c r="AK86" s="19"/>
      <c r="AY86" s="78"/>
      <c r="BF86" s="83"/>
      <c r="BG86" s="78">
        <v>47.7</v>
      </c>
      <c r="BH86" s="78">
        <v>0</v>
      </c>
      <c r="BI86" s="78">
        <v>202</v>
      </c>
      <c r="BJ86" s="78">
        <v>0</v>
      </c>
      <c r="BK86" s="78">
        <v>0</v>
      </c>
      <c r="BL86" s="78">
        <v>40.799999999999997</v>
      </c>
    </row>
    <row r="87" spans="1:64" ht="15.75" thickBot="1" x14ac:dyDescent="0.3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48"/>
        <v>0</v>
      </c>
      <c r="AI87" s="11">
        <f t="shared" si="49"/>
        <v>0</v>
      </c>
      <c r="AK87" s="19"/>
      <c r="AL87" s="108" t="s">
        <v>177</v>
      </c>
      <c r="AM87" s="108"/>
      <c r="AY87" s="78"/>
      <c r="BF87" s="78"/>
      <c r="BG87" s="78">
        <v>47.7</v>
      </c>
      <c r="BH87" s="78">
        <v>0</v>
      </c>
      <c r="BI87" s="78">
        <v>145</v>
      </c>
      <c r="BJ87" s="78">
        <v>0</v>
      </c>
      <c r="BK87" s="78">
        <v>0</v>
      </c>
      <c r="BL87" s="78">
        <v>40.799999999999997</v>
      </c>
    </row>
    <row r="88" spans="1:64" x14ac:dyDescent="0.25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48"/>
        <v>0</v>
      </c>
      <c r="AI88" s="11">
        <f t="shared" si="49"/>
        <v>0</v>
      </c>
      <c r="AK88" s="107"/>
      <c r="AL88" s="106"/>
      <c r="AM88" s="106"/>
      <c r="AN88" s="105"/>
      <c r="AY88" s="78"/>
      <c r="BF88" s="78"/>
      <c r="BG88" s="78">
        <v>47.7</v>
      </c>
      <c r="BH88" s="78">
        <v>0</v>
      </c>
      <c r="BI88" s="78">
        <v>195</v>
      </c>
      <c r="BJ88" s="78">
        <v>0</v>
      </c>
      <c r="BK88" s="78">
        <v>0</v>
      </c>
      <c r="BL88" s="78">
        <v>40.799999999999997</v>
      </c>
    </row>
    <row r="89" spans="1:64" x14ac:dyDescent="0.25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48"/>
        <v>0</v>
      </c>
      <c r="AI89" s="11">
        <f t="shared" si="49"/>
        <v>0</v>
      </c>
      <c r="AK89" s="104" t="s">
        <v>174</v>
      </c>
      <c r="AL89" s="70"/>
      <c r="AM89" s="85"/>
      <c r="AN89" s="103"/>
      <c r="AY89" s="78"/>
      <c r="BF89" s="78"/>
      <c r="BG89" s="78">
        <v>46.5</v>
      </c>
      <c r="BH89" s="78">
        <v>0</v>
      </c>
      <c r="BI89" s="78">
        <v>192.8</v>
      </c>
      <c r="BJ89" s="78">
        <v>0</v>
      </c>
      <c r="BK89" s="78">
        <v>0</v>
      </c>
      <c r="BL89" s="78">
        <v>41.4</v>
      </c>
    </row>
    <row r="90" spans="1:64" x14ac:dyDescent="0.25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48"/>
        <v>0</v>
      </c>
      <c r="AI90" s="11">
        <f t="shared" si="49"/>
        <v>0</v>
      </c>
      <c r="AK90" s="104" t="s">
        <v>172</v>
      </c>
      <c r="AL90" s="85"/>
      <c r="AM90" s="85"/>
      <c r="AN90" s="103"/>
      <c r="AY90" s="78"/>
      <c r="BF90" s="78"/>
      <c r="BG90" s="78">
        <v>68</v>
      </c>
      <c r="BH90" s="78">
        <v>102.4</v>
      </c>
      <c r="BI90" s="78">
        <v>504.7</v>
      </c>
      <c r="BJ90" s="78">
        <v>48</v>
      </c>
      <c r="BK90" s="78">
        <v>108.7</v>
      </c>
      <c r="BL90" s="78">
        <v>44.2</v>
      </c>
    </row>
    <row r="91" spans="1:64" ht="15.75" thickBot="1" x14ac:dyDescent="0.3">
      <c r="A91" s="82" t="s">
        <v>171</v>
      </c>
      <c r="B91" s="97">
        <v>45</v>
      </c>
      <c r="C91" s="97">
        <v>45.6</v>
      </c>
      <c r="D91" s="97">
        <v>45.2</v>
      </c>
      <c r="E91" s="97">
        <v>40.799999999999997</v>
      </c>
      <c r="F91" s="97">
        <v>40.799999999999997</v>
      </c>
      <c r="G91" s="97">
        <v>40.799999999999997</v>
      </c>
      <c r="H91" s="97">
        <v>40.799999999999997</v>
      </c>
      <c r="I91" s="97">
        <v>41.4</v>
      </c>
      <c r="J91" s="97">
        <v>38.299999999999997</v>
      </c>
      <c r="K91" s="97">
        <v>44.2</v>
      </c>
      <c r="L91" s="97">
        <v>52</v>
      </c>
      <c r="M91" s="97">
        <v>52.4</v>
      </c>
      <c r="N91" s="97">
        <v>49.9</v>
      </c>
      <c r="O91" s="97">
        <v>48.5</v>
      </c>
      <c r="P91" s="97">
        <v>51.1</v>
      </c>
      <c r="Q91" s="97">
        <v>53.2</v>
      </c>
      <c r="R91" s="97">
        <v>49.2</v>
      </c>
      <c r="S91" s="97">
        <v>50</v>
      </c>
      <c r="T91" s="97">
        <v>53.6</v>
      </c>
      <c r="U91" s="97">
        <v>56</v>
      </c>
      <c r="V91" s="97">
        <v>47.4</v>
      </c>
      <c r="W91" s="97">
        <v>41.7</v>
      </c>
      <c r="X91" s="97">
        <v>41.1</v>
      </c>
      <c r="Y91" s="97">
        <v>40.9</v>
      </c>
      <c r="Z91" s="97">
        <v>38.9</v>
      </c>
      <c r="AA91" s="97">
        <v>41.2</v>
      </c>
      <c r="AB91" s="97">
        <v>43.6</v>
      </c>
      <c r="AC91" s="97">
        <v>54.2</v>
      </c>
      <c r="AD91" s="97">
        <v>48.5</v>
      </c>
      <c r="AE91" s="97">
        <v>48.5</v>
      </c>
      <c r="AF91" s="97">
        <v>48.5</v>
      </c>
      <c r="AG91" s="80"/>
      <c r="AH91" s="12">
        <f t="shared" si="48"/>
        <v>56</v>
      </c>
      <c r="AI91" s="11">
        <f t="shared" si="49"/>
        <v>38.299999999999997</v>
      </c>
      <c r="AK91" s="98"/>
      <c r="AL91" s="102"/>
      <c r="AM91" s="102"/>
      <c r="AN91" s="101"/>
      <c r="AY91" s="78"/>
      <c r="BF91" s="78"/>
      <c r="BG91" s="78">
        <v>59.9</v>
      </c>
      <c r="BH91" s="78">
        <v>122.9</v>
      </c>
      <c r="BI91" s="78">
        <v>501</v>
      </c>
      <c r="BJ91" s="78">
        <v>44.5</v>
      </c>
      <c r="BK91" s="78">
        <v>118.3</v>
      </c>
      <c r="BL91" s="78">
        <v>52.4</v>
      </c>
    </row>
    <row r="92" spans="1:64" ht="15.75" thickBot="1" x14ac:dyDescent="0.3">
      <c r="A92" s="77" t="s">
        <v>170</v>
      </c>
      <c r="B92" s="76">
        <f t="shared" ref="B92:AF92" si="50">SUMIF(B81:B91,"&gt;0")</f>
        <v>188.4</v>
      </c>
      <c r="C92" s="76">
        <f t="shared" si="50"/>
        <v>235.79999999999998</v>
      </c>
      <c r="D92" s="76">
        <f t="shared" si="50"/>
        <v>324.39999999999998</v>
      </c>
      <c r="E92" s="76">
        <f t="shared" si="50"/>
        <v>290.5</v>
      </c>
      <c r="F92" s="76">
        <f t="shared" si="50"/>
        <v>233.5</v>
      </c>
      <c r="G92" s="76">
        <f t="shared" si="50"/>
        <v>283.5</v>
      </c>
      <c r="H92" s="76">
        <f t="shared" si="50"/>
        <v>290.5</v>
      </c>
      <c r="I92" s="76">
        <f t="shared" si="50"/>
        <v>280.7</v>
      </c>
      <c r="J92" s="76">
        <f t="shared" si="50"/>
        <v>775.59999999999991</v>
      </c>
      <c r="K92" s="76">
        <f t="shared" si="50"/>
        <v>876.00000000000011</v>
      </c>
      <c r="L92" s="76">
        <f t="shared" si="50"/>
        <v>888.60000000000014</v>
      </c>
      <c r="M92" s="76">
        <f t="shared" si="50"/>
        <v>898.99999999999989</v>
      </c>
      <c r="N92" s="76">
        <f t="shared" si="50"/>
        <v>894.2</v>
      </c>
      <c r="O92" s="76">
        <f t="shared" si="50"/>
        <v>912.1</v>
      </c>
      <c r="P92" s="76">
        <f t="shared" si="50"/>
        <v>899.20000000000016</v>
      </c>
      <c r="Q92" s="76">
        <f t="shared" si="50"/>
        <v>923.5</v>
      </c>
      <c r="R92" s="76">
        <f t="shared" si="50"/>
        <v>898.30000000000018</v>
      </c>
      <c r="S92" s="76">
        <f t="shared" si="50"/>
        <v>915.4</v>
      </c>
      <c r="T92" s="76">
        <f t="shared" si="50"/>
        <v>930.30000000000007</v>
      </c>
      <c r="U92" s="76">
        <f t="shared" si="50"/>
        <v>931.40000000000009</v>
      </c>
      <c r="V92" s="76">
        <f t="shared" si="50"/>
        <v>929.4</v>
      </c>
      <c r="W92" s="76">
        <f t="shared" ref="W92:X92" si="51">SUMIF(W81:W91,"&gt;0")</f>
        <v>855.90000000000009</v>
      </c>
      <c r="X92" s="76">
        <f t="shared" si="51"/>
        <v>732.8</v>
      </c>
      <c r="Y92" s="76">
        <f t="shared" ref="Y92:Z92" si="52">SUMIF(Y81:Y91,"&gt;0")</f>
        <v>696.89999999999986</v>
      </c>
      <c r="Z92" s="76">
        <f t="shared" si="52"/>
        <v>233.3</v>
      </c>
      <c r="AA92" s="76">
        <f t="shared" ref="AA92" si="53">SUMIF(AA81:AA91,"&gt;0")</f>
        <v>244.89999999999998</v>
      </c>
      <c r="AB92" s="76">
        <f t="shared" si="50"/>
        <v>234.10000000000002</v>
      </c>
      <c r="AC92" s="76">
        <f t="shared" si="50"/>
        <v>271.58000000000004</v>
      </c>
      <c r="AD92" s="76">
        <f t="shared" si="50"/>
        <v>253.9</v>
      </c>
      <c r="AE92" s="76">
        <f t="shared" si="50"/>
        <v>306.10000000000002</v>
      </c>
      <c r="AF92" s="76">
        <f t="shared" si="50"/>
        <v>301.10000000000002</v>
      </c>
      <c r="AG92" s="75">
        <f>SUM(AG81:AG91)</f>
        <v>0</v>
      </c>
      <c r="AH92" s="12">
        <f t="shared" si="48"/>
        <v>931.40000000000009</v>
      </c>
      <c r="AI92" s="11">
        <f t="shared" si="49"/>
        <v>188.4</v>
      </c>
      <c r="AK92" s="98"/>
      <c r="AL92" s="97"/>
      <c r="AM92" s="100"/>
      <c r="AN92" s="220"/>
      <c r="AY92" s="78"/>
      <c r="BF92" s="78"/>
      <c r="BG92" s="78">
        <v>57.2</v>
      </c>
      <c r="BH92" s="78">
        <v>124</v>
      </c>
      <c r="BI92" s="78">
        <v>514</v>
      </c>
      <c r="BJ92" s="78">
        <v>40.6</v>
      </c>
      <c r="BK92" s="78">
        <v>108.5</v>
      </c>
      <c r="BL92" s="78">
        <v>49.9</v>
      </c>
    </row>
    <row r="93" spans="1:64" x14ac:dyDescent="0.25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48"/>
        <v>0</v>
      </c>
      <c r="AI93" s="11">
        <f t="shared" si="49"/>
        <v>0</v>
      </c>
      <c r="AK93" s="98"/>
      <c r="AL93" s="97"/>
      <c r="AM93" s="97"/>
      <c r="AN93" s="221"/>
      <c r="BF93" s="78"/>
      <c r="BG93" s="78">
        <v>63.6</v>
      </c>
      <c r="BH93" s="78">
        <v>131.5</v>
      </c>
      <c r="BI93" s="78">
        <v>480</v>
      </c>
      <c r="BJ93" s="78">
        <v>48</v>
      </c>
      <c r="BK93" s="78">
        <v>140.5</v>
      </c>
      <c r="BL93" s="78">
        <v>48.5</v>
      </c>
    </row>
    <row r="94" spans="1:64" ht="15.75" thickBot="1" x14ac:dyDescent="0.3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48"/>
        <v>0</v>
      </c>
      <c r="AI94" s="11">
        <f t="shared" si="49"/>
        <v>0</v>
      </c>
      <c r="AK94" s="95"/>
      <c r="AL94" s="67"/>
      <c r="AM94" s="67"/>
      <c r="AN94" s="94"/>
      <c r="BF94" s="78"/>
      <c r="BG94" s="78">
        <v>63.3</v>
      </c>
      <c r="BH94" s="78">
        <v>120.4</v>
      </c>
      <c r="BI94" s="78">
        <v>481</v>
      </c>
      <c r="BJ94" s="78">
        <v>46.7</v>
      </c>
      <c r="BK94" s="78">
        <v>136.69999999999999</v>
      </c>
      <c r="BL94" s="78">
        <v>51.1</v>
      </c>
    </row>
    <row r="95" spans="1:64" ht="15.75" thickBot="1" x14ac:dyDescent="0.3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48"/>
        <v>0</v>
      </c>
      <c r="AI95" s="11">
        <f t="shared" si="49"/>
        <v>0</v>
      </c>
      <c r="BF95" s="78"/>
      <c r="BG95" s="78">
        <v>64.7</v>
      </c>
      <c r="BH95" s="78">
        <v>128.9</v>
      </c>
      <c r="BI95" s="78">
        <v>504.7</v>
      </c>
      <c r="BJ95" s="78">
        <v>37</v>
      </c>
      <c r="BK95" s="78">
        <v>135</v>
      </c>
      <c r="BL95" s="78">
        <v>53.2</v>
      </c>
    </row>
    <row r="96" spans="1:64" ht="15.75" thickBot="1" x14ac:dyDescent="0.3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48"/>
        <v>0</v>
      </c>
      <c r="AI96" s="11">
        <f t="shared" si="49"/>
        <v>0</v>
      </c>
      <c r="BF96" s="78"/>
      <c r="BG96" s="78">
        <v>70</v>
      </c>
      <c r="BH96" s="78">
        <v>111.6</v>
      </c>
      <c r="BI96" s="78">
        <v>505.1</v>
      </c>
      <c r="BJ96" s="78">
        <v>44.2</v>
      </c>
      <c r="BK96" s="78">
        <v>118.2</v>
      </c>
      <c r="BL96" s="78">
        <v>49.2</v>
      </c>
    </row>
    <row r="97" spans="1:64" ht="15.75" thickBot="1" x14ac:dyDescent="0.3">
      <c r="A97" s="77" t="s">
        <v>165</v>
      </c>
      <c r="B97" s="90">
        <f t="shared" ref="B97:AG97" si="54">B58+B62+B80+B76+B92+B96</f>
        <v>1327.3400000000001</v>
      </c>
      <c r="C97" s="90">
        <f t="shared" si="54"/>
        <v>1313.54</v>
      </c>
      <c r="D97" s="90">
        <f t="shared" si="54"/>
        <v>1281.74</v>
      </c>
      <c r="E97" s="90">
        <f t="shared" si="54"/>
        <v>1206.54</v>
      </c>
      <c r="F97" s="90">
        <f t="shared" si="54"/>
        <v>1149.54</v>
      </c>
      <c r="G97" s="90">
        <f t="shared" si="54"/>
        <v>1199.54</v>
      </c>
      <c r="H97" s="90">
        <f t="shared" si="54"/>
        <v>1290.1400000000001</v>
      </c>
      <c r="I97" s="90">
        <f t="shared" si="54"/>
        <v>1280.8400000000001</v>
      </c>
      <c r="J97" s="90">
        <f t="shared" si="54"/>
        <v>1539.84</v>
      </c>
      <c r="K97" s="90">
        <f t="shared" si="54"/>
        <v>1684.94</v>
      </c>
      <c r="L97" s="90">
        <f t="shared" si="54"/>
        <v>1756.44</v>
      </c>
      <c r="M97" s="90">
        <f t="shared" si="54"/>
        <v>1770.8400000000001</v>
      </c>
      <c r="N97" s="90">
        <f t="shared" si="54"/>
        <v>1763.1399999999999</v>
      </c>
      <c r="O97" s="90">
        <f t="shared" si="54"/>
        <v>1805.6400000000003</v>
      </c>
      <c r="P97" s="90">
        <f t="shared" si="54"/>
        <v>1811.44</v>
      </c>
      <c r="Q97" s="90">
        <f t="shared" si="54"/>
        <v>1826.3400000000001</v>
      </c>
      <c r="R97" s="90">
        <f t="shared" si="54"/>
        <v>1794.8400000000001</v>
      </c>
      <c r="S97" s="90">
        <f t="shared" si="54"/>
        <v>1789.2400000000002</v>
      </c>
      <c r="T97" s="90">
        <f t="shared" si="54"/>
        <v>1758.44</v>
      </c>
      <c r="U97" s="90">
        <f t="shared" si="54"/>
        <v>1759.5400000000002</v>
      </c>
      <c r="V97" s="90">
        <f t="shared" si="54"/>
        <v>1728.44</v>
      </c>
      <c r="W97" s="90">
        <f t="shared" ref="W97:X97" si="55">W58+W62+W80+W76+W92+W96</f>
        <v>1638.7800000000002</v>
      </c>
      <c r="X97" s="90">
        <f t="shared" si="55"/>
        <v>1530.28</v>
      </c>
      <c r="Y97" s="90">
        <f t="shared" ref="Y97:Z97" si="56">Y58+Y62+Y80+Y76+Y92+Y96</f>
        <v>1494.3799999999999</v>
      </c>
      <c r="Z97" s="90">
        <f t="shared" si="56"/>
        <v>1557.8400000000001</v>
      </c>
      <c r="AA97" s="90">
        <f t="shared" ref="AA97" si="57">AA58+AA62+AA80+AA76+AA92+AA96</f>
        <v>1558.94</v>
      </c>
      <c r="AB97" s="90">
        <f t="shared" si="54"/>
        <v>1568.6399999999999</v>
      </c>
      <c r="AC97" s="90">
        <f t="shared" si="54"/>
        <v>1493.8200000000002</v>
      </c>
      <c r="AD97" s="90">
        <f t="shared" si="54"/>
        <v>1441.2400000000002</v>
      </c>
      <c r="AE97" s="90">
        <f t="shared" si="54"/>
        <v>1343.44</v>
      </c>
      <c r="AF97" s="90">
        <f t="shared" si="54"/>
        <v>1248.44</v>
      </c>
      <c r="AG97" s="93">
        <f t="shared" si="54"/>
        <v>2231.81</v>
      </c>
      <c r="AH97" s="12">
        <f t="shared" si="48"/>
        <v>1826.3400000000001</v>
      </c>
      <c r="AI97" s="11">
        <f t="shared" si="49"/>
        <v>1149.54</v>
      </c>
      <c r="BF97" s="78"/>
      <c r="BG97" s="78">
        <v>73</v>
      </c>
      <c r="BH97" s="78">
        <v>116.3</v>
      </c>
      <c r="BI97" s="78">
        <v>488</v>
      </c>
      <c r="BJ97" s="78">
        <v>39.1</v>
      </c>
      <c r="BK97" s="78">
        <v>149</v>
      </c>
      <c r="BL97" s="78">
        <v>50</v>
      </c>
    </row>
    <row r="98" spans="1:64" ht="15.75" thickBot="1" x14ac:dyDescent="0.3">
      <c r="A98" s="92" t="s">
        <v>164</v>
      </c>
      <c r="B98" s="91">
        <v>250</v>
      </c>
      <c r="C98" s="91">
        <v>250</v>
      </c>
      <c r="D98" s="91">
        <v>250</v>
      </c>
      <c r="E98" s="91">
        <v>250</v>
      </c>
      <c r="F98" s="91">
        <v>250</v>
      </c>
      <c r="G98" s="91">
        <v>250</v>
      </c>
      <c r="H98" s="91">
        <v>250</v>
      </c>
      <c r="I98" s="91">
        <v>250</v>
      </c>
      <c r="J98" s="91">
        <v>0</v>
      </c>
      <c r="K98" s="91">
        <v>0</v>
      </c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>
        <v>100</v>
      </c>
      <c r="Z98" s="91">
        <v>350</v>
      </c>
      <c r="AA98" s="91">
        <v>350</v>
      </c>
      <c r="AB98" s="91">
        <v>350</v>
      </c>
      <c r="AC98" s="91">
        <v>350</v>
      </c>
      <c r="AD98" s="91">
        <v>350</v>
      </c>
      <c r="AE98" s="91">
        <v>300</v>
      </c>
      <c r="AF98" s="91">
        <v>300</v>
      </c>
      <c r="AG98" s="75"/>
      <c r="AH98" s="12">
        <f t="shared" si="48"/>
        <v>350</v>
      </c>
      <c r="AI98" s="11">
        <f t="shared" si="49"/>
        <v>0</v>
      </c>
      <c r="BF98" s="78"/>
      <c r="BG98" s="78">
        <v>75</v>
      </c>
      <c r="BH98" s="78">
        <v>105</v>
      </c>
      <c r="BI98" s="78">
        <v>529.6</v>
      </c>
      <c r="BJ98" s="78">
        <v>40.1</v>
      </c>
      <c r="BK98" s="78">
        <v>127</v>
      </c>
      <c r="BL98" s="78">
        <v>53.6</v>
      </c>
    </row>
    <row r="99" spans="1:64" ht="15.75" thickBot="1" x14ac:dyDescent="0.3">
      <c r="A99" s="77" t="s">
        <v>163</v>
      </c>
      <c r="B99" s="90">
        <f t="shared" ref="B99:AF99" si="58">B97+B98</f>
        <v>1577.3400000000001</v>
      </c>
      <c r="C99" s="90">
        <f t="shared" si="58"/>
        <v>1563.54</v>
      </c>
      <c r="D99" s="90">
        <f t="shared" si="58"/>
        <v>1531.74</v>
      </c>
      <c r="E99" s="90">
        <f t="shared" si="58"/>
        <v>1456.54</v>
      </c>
      <c r="F99" s="90">
        <f t="shared" si="58"/>
        <v>1399.54</v>
      </c>
      <c r="G99" s="90">
        <f t="shared" si="58"/>
        <v>1449.54</v>
      </c>
      <c r="H99" s="90">
        <f t="shared" si="58"/>
        <v>1540.14</v>
      </c>
      <c r="I99" s="90">
        <f t="shared" si="58"/>
        <v>1530.8400000000001</v>
      </c>
      <c r="J99" s="90">
        <f t="shared" si="58"/>
        <v>1539.84</v>
      </c>
      <c r="K99" s="90">
        <f t="shared" si="58"/>
        <v>1684.94</v>
      </c>
      <c r="L99" s="90">
        <f t="shared" si="58"/>
        <v>1756.44</v>
      </c>
      <c r="M99" s="90">
        <f t="shared" si="58"/>
        <v>1770.8400000000001</v>
      </c>
      <c r="N99" s="90">
        <f t="shared" si="58"/>
        <v>1763.1399999999999</v>
      </c>
      <c r="O99" s="90">
        <f t="shared" si="58"/>
        <v>1805.6400000000003</v>
      </c>
      <c r="P99" s="90">
        <f t="shared" si="58"/>
        <v>1811.44</v>
      </c>
      <c r="Q99" s="90">
        <f t="shared" si="58"/>
        <v>1826.3400000000001</v>
      </c>
      <c r="R99" s="90">
        <f t="shared" si="58"/>
        <v>1794.8400000000001</v>
      </c>
      <c r="S99" s="90">
        <f t="shared" si="58"/>
        <v>1789.2400000000002</v>
      </c>
      <c r="T99" s="90">
        <f t="shared" si="58"/>
        <v>1758.44</v>
      </c>
      <c r="U99" s="90">
        <f t="shared" si="58"/>
        <v>1759.5400000000002</v>
      </c>
      <c r="V99" s="90">
        <f t="shared" si="58"/>
        <v>1728.44</v>
      </c>
      <c r="W99" s="90">
        <f t="shared" ref="W99:X99" si="59">W97+W98</f>
        <v>1638.7800000000002</v>
      </c>
      <c r="X99" s="90">
        <f t="shared" si="59"/>
        <v>1530.28</v>
      </c>
      <c r="Y99" s="90">
        <f t="shared" ref="Y99:Z99" si="60">Y97+Y98</f>
        <v>1594.3799999999999</v>
      </c>
      <c r="Z99" s="90">
        <f t="shared" si="60"/>
        <v>1907.8400000000001</v>
      </c>
      <c r="AA99" s="90">
        <f t="shared" ref="AA99" si="61">AA97+AA98</f>
        <v>1908.94</v>
      </c>
      <c r="AB99" s="90">
        <f t="shared" si="58"/>
        <v>1918.6399999999999</v>
      </c>
      <c r="AC99" s="90">
        <f t="shared" si="58"/>
        <v>1843.8200000000002</v>
      </c>
      <c r="AD99" s="90">
        <f t="shared" si="58"/>
        <v>1791.2400000000002</v>
      </c>
      <c r="AE99" s="90">
        <f t="shared" si="58"/>
        <v>1643.44</v>
      </c>
      <c r="AF99" s="90">
        <f t="shared" si="58"/>
        <v>1548.44</v>
      </c>
      <c r="AG99" s="75">
        <f>AG96+AG92+AG80+AG76+AG58+AG98</f>
        <v>1693.71</v>
      </c>
      <c r="AH99" s="12">
        <f t="shared" si="48"/>
        <v>1918.6399999999999</v>
      </c>
      <c r="AI99" s="11">
        <f t="shared" si="49"/>
        <v>1399.54</v>
      </c>
      <c r="BF99" s="78"/>
      <c r="BG99" s="78">
        <v>75.2</v>
      </c>
      <c r="BH99" s="78">
        <v>98</v>
      </c>
      <c r="BI99" s="78">
        <v>529</v>
      </c>
      <c r="BJ99" s="78">
        <v>42</v>
      </c>
      <c r="BK99" s="78">
        <v>131.19999999999999</v>
      </c>
      <c r="BL99" s="78">
        <v>56</v>
      </c>
    </row>
    <row r="100" spans="1:64" ht="15.75" thickBot="1" x14ac:dyDescent="0.3">
      <c r="A100" s="77" t="s">
        <v>162</v>
      </c>
      <c r="B100" s="90">
        <f t="shared" ref="B100:AF100" si="62">B99-(B107)</f>
        <v>1577.3400000000001</v>
      </c>
      <c r="C100" s="90">
        <f t="shared" si="62"/>
        <v>1563.54</v>
      </c>
      <c r="D100" s="90">
        <f t="shared" si="62"/>
        <v>1531.74</v>
      </c>
      <c r="E100" s="90">
        <f t="shared" si="62"/>
        <v>1456.54</v>
      </c>
      <c r="F100" s="90">
        <f t="shared" si="62"/>
        <v>1399.54</v>
      </c>
      <c r="G100" s="90">
        <f t="shared" si="62"/>
        <v>1449.54</v>
      </c>
      <c r="H100" s="90">
        <f t="shared" si="62"/>
        <v>1540.14</v>
      </c>
      <c r="I100" s="90">
        <f t="shared" si="62"/>
        <v>1530.8400000000001</v>
      </c>
      <c r="J100" s="90">
        <f t="shared" si="62"/>
        <v>1539.84</v>
      </c>
      <c r="K100" s="90">
        <f>K99-(K107)</f>
        <v>1684.94</v>
      </c>
      <c r="L100" s="90">
        <f t="shared" si="62"/>
        <v>1756.44</v>
      </c>
      <c r="M100" s="90">
        <f t="shared" si="62"/>
        <v>1770.8400000000001</v>
      </c>
      <c r="N100" s="90">
        <f t="shared" si="62"/>
        <v>1763.1399999999999</v>
      </c>
      <c r="O100" s="90">
        <f t="shared" si="62"/>
        <v>1805.6400000000003</v>
      </c>
      <c r="P100" s="90">
        <f t="shared" si="62"/>
        <v>1811.44</v>
      </c>
      <c r="Q100" s="90">
        <f t="shared" si="62"/>
        <v>1826.3400000000001</v>
      </c>
      <c r="R100" s="90">
        <f t="shared" si="62"/>
        <v>1794.8400000000001</v>
      </c>
      <c r="S100" s="90">
        <f t="shared" si="62"/>
        <v>1789.2400000000002</v>
      </c>
      <c r="T100" s="90">
        <f t="shared" si="62"/>
        <v>1758.44</v>
      </c>
      <c r="U100" s="90">
        <f t="shared" si="62"/>
        <v>1759.5400000000002</v>
      </c>
      <c r="V100" s="90">
        <f t="shared" si="62"/>
        <v>1728.44</v>
      </c>
      <c r="W100" s="90">
        <f t="shared" ref="W100:X100" si="63">W99-(W107)</f>
        <v>1638.7800000000002</v>
      </c>
      <c r="X100" s="90">
        <f t="shared" si="63"/>
        <v>1530.28</v>
      </c>
      <c r="Y100" s="90">
        <f t="shared" ref="Y100:Z100" si="64">Y99-(Y107)</f>
        <v>1594.3799999999999</v>
      </c>
      <c r="Z100" s="90">
        <f t="shared" si="64"/>
        <v>1907.8400000000001</v>
      </c>
      <c r="AA100" s="90">
        <f t="shared" ref="AA100" si="65">AA99-(AA107)</f>
        <v>1908.94</v>
      </c>
      <c r="AB100" s="90">
        <f t="shared" si="62"/>
        <v>1918.6399999999999</v>
      </c>
      <c r="AC100" s="90">
        <f t="shared" si="62"/>
        <v>1843.8200000000002</v>
      </c>
      <c r="AD100" s="90">
        <f t="shared" si="62"/>
        <v>1791.2400000000002</v>
      </c>
      <c r="AE100" s="90">
        <f t="shared" si="62"/>
        <v>1643.44</v>
      </c>
      <c r="AF100" s="90">
        <f t="shared" si="62"/>
        <v>1548.44</v>
      </c>
      <c r="AG100" s="75"/>
      <c r="AH100" s="12">
        <f t="shared" si="48"/>
        <v>1918.6399999999999</v>
      </c>
      <c r="AI100" s="11">
        <f t="shared" si="49"/>
        <v>1399.54</v>
      </c>
      <c r="BF100" s="78"/>
      <c r="BG100" s="78">
        <v>72</v>
      </c>
      <c r="BH100" s="78">
        <v>124.9</v>
      </c>
      <c r="BI100" s="78">
        <v>514</v>
      </c>
      <c r="BJ100" s="78">
        <v>45</v>
      </c>
      <c r="BK100" s="78">
        <v>126.1</v>
      </c>
      <c r="BL100" s="78">
        <v>47.4</v>
      </c>
    </row>
    <row r="101" spans="1:64" x14ac:dyDescent="0.25">
      <c r="A101" s="89" t="s">
        <v>161</v>
      </c>
      <c r="B101" s="85">
        <f t="shared" ref="B101:AF101" si="66">IF(B84&lt;0,B84*-1,0)</f>
        <v>0</v>
      </c>
      <c r="C101" s="85">
        <f t="shared" si="66"/>
        <v>0</v>
      </c>
      <c r="D101" s="85">
        <f t="shared" si="66"/>
        <v>0</v>
      </c>
      <c r="E101" s="85">
        <f t="shared" si="66"/>
        <v>0</v>
      </c>
      <c r="F101" s="85">
        <f t="shared" si="66"/>
        <v>0</v>
      </c>
      <c r="G101" s="85">
        <f t="shared" si="66"/>
        <v>0</v>
      </c>
      <c r="H101" s="85">
        <f t="shared" si="66"/>
        <v>0</v>
      </c>
      <c r="I101" s="85">
        <f t="shared" si="66"/>
        <v>0</v>
      </c>
      <c r="J101" s="85">
        <f t="shared" si="66"/>
        <v>0</v>
      </c>
      <c r="K101" s="85">
        <f t="shared" si="66"/>
        <v>0</v>
      </c>
      <c r="L101" s="85">
        <f t="shared" si="66"/>
        <v>0</v>
      </c>
      <c r="M101" s="85">
        <f t="shared" si="66"/>
        <v>0</v>
      </c>
      <c r="N101" s="85">
        <f t="shared" si="66"/>
        <v>0</v>
      </c>
      <c r="O101" s="85">
        <f t="shared" si="66"/>
        <v>0</v>
      </c>
      <c r="P101" s="85">
        <f t="shared" si="66"/>
        <v>0</v>
      </c>
      <c r="Q101" s="85">
        <f t="shared" si="66"/>
        <v>0</v>
      </c>
      <c r="R101" s="85">
        <f t="shared" si="66"/>
        <v>0</v>
      </c>
      <c r="S101" s="85">
        <f t="shared" si="66"/>
        <v>0</v>
      </c>
      <c r="T101" s="85">
        <f t="shared" si="66"/>
        <v>0</v>
      </c>
      <c r="U101" s="85">
        <f t="shared" si="66"/>
        <v>0</v>
      </c>
      <c r="V101" s="85">
        <f t="shared" si="66"/>
        <v>0</v>
      </c>
      <c r="W101" s="85">
        <f t="shared" ref="W101:X101" si="67">IF(W84&lt;0,W84*-1,0)</f>
        <v>0</v>
      </c>
      <c r="X101" s="85">
        <f t="shared" si="67"/>
        <v>0</v>
      </c>
      <c r="Y101" s="85">
        <f t="shared" ref="Y101:Z101" si="68">IF(Y84&lt;0,Y84*-1,0)</f>
        <v>0</v>
      </c>
      <c r="Z101" s="85">
        <f t="shared" si="68"/>
        <v>0</v>
      </c>
      <c r="AA101" s="85">
        <f t="shared" ref="AA101" si="69">IF(AA84&lt;0,AA84*-1,0)</f>
        <v>0</v>
      </c>
      <c r="AB101" s="85">
        <f t="shared" si="66"/>
        <v>0</v>
      </c>
      <c r="AC101" s="85">
        <f t="shared" si="66"/>
        <v>0</v>
      </c>
      <c r="AD101" s="85">
        <f t="shared" si="66"/>
        <v>0</v>
      </c>
      <c r="AE101" s="85">
        <f t="shared" si="66"/>
        <v>0</v>
      </c>
      <c r="AF101" s="85">
        <f t="shared" si="66"/>
        <v>0</v>
      </c>
      <c r="AG101" s="88"/>
      <c r="AH101" s="12">
        <f t="shared" si="48"/>
        <v>0</v>
      </c>
      <c r="AI101" s="11">
        <f t="shared" si="49"/>
        <v>0</v>
      </c>
      <c r="BF101" s="83"/>
      <c r="BG101" s="78">
        <v>65.599999999999994</v>
      </c>
      <c r="BH101" s="78">
        <v>126.5</v>
      </c>
      <c r="BI101" s="78">
        <v>395.8</v>
      </c>
      <c r="BJ101" s="78">
        <v>23.5</v>
      </c>
      <c r="BK101" s="78">
        <v>80.3</v>
      </c>
      <c r="BL101" s="78">
        <v>41.1</v>
      </c>
    </row>
    <row r="102" spans="1:64" x14ac:dyDescent="0.25">
      <c r="A102" s="87" t="s">
        <v>160</v>
      </c>
      <c r="B102" s="85">
        <f t="shared" ref="B102:AF102" si="70">IF(B82&lt;0,B82*-1,0)</f>
        <v>0</v>
      </c>
      <c r="C102" s="85">
        <f t="shared" si="70"/>
        <v>0</v>
      </c>
      <c r="D102" s="85">
        <f t="shared" si="70"/>
        <v>0</v>
      </c>
      <c r="E102" s="85">
        <f t="shared" si="70"/>
        <v>0</v>
      </c>
      <c r="F102" s="85">
        <f t="shared" si="70"/>
        <v>0</v>
      </c>
      <c r="G102" s="85">
        <f t="shared" si="70"/>
        <v>0</v>
      </c>
      <c r="H102" s="85">
        <f t="shared" si="70"/>
        <v>0</v>
      </c>
      <c r="I102" s="85">
        <f t="shared" si="70"/>
        <v>0</v>
      </c>
      <c r="J102" s="85">
        <f t="shared" si="70"/>
        <v>0</v>
      </c>
      <c r="K102" s="85">
        <f t="shared" si="70"/>
        <v>0</v>
      </c>
      <c r="L102" s="85">
        <f t="shared" si="70"/>
        <v>0</v>
      </c>
      <c r="M102" s="85">
        <f t="shared" si="70"/>
        <v>0</v>
      </c>
      <c r="N102" s="85">
        <f t="shared" si="70"/>
        <v>0</v>
      </c>
      <c r="O102" s="85">
        <f t="shared" si="70"/>
        <v>0</v>
      </c>
      <c r="P102" s="85">
        <f t="shared" si="70"/>
        <v>0</v>
      </c>
      <c r="Q102" s="85">
        <f t="shared" si="70"/>
        <v>0</v>
      </c>
      <c r="R102" s="85">
        <f t="shared" si="70"/>
        <v>0</v>
      </c>
      <c r="S102" s="85">
        <f t="shared" si="70"/>
        <v>0</v>
      </c>
      <c r="T102" s="85">
        <f t="shared" si="70"/>
        <v>0</v>
      </c>
      <c r="U102" s="85">
        <f t="shared" si="70"/>
        <v>0</v>
      </c>
      <c r="V102" s="85">
        <f t="shared" si="70"/>
        <v>0</v>
      </c>
      <c r="W102" s="85">
        <f t="shared" ref="W102:X102" si="71">IF(W82&lt;0,W82*-1,0)</f>
        <v>0</v>
      </c>
      <c r="X102" s="85">
        <f t="shared" si="71"/>
        <v>0</v>
      </c>
      <c r="Y102" s="85">
        <f t="shared" ref="Y102:Z102" si="72">IF(Y82&lt;0,Y82*-1,0)</f>
        <v>0</v>
      </c>
      <c r="Z102" s="85">
        <f t="shared" si="72"/>
        <v>0</v>
      </c>
      <c r="AA102" s="85">
        <f t="shared" ref="AA102" si="73">IF(AA82&lt;0,AA82*-1,0)</f>
        <v>0</v>
      </c>
      <c r="AB102" s="85">
        <f t="shared" si="70"/>
        <v>0</v>
      </c>
      <c r="AC102" s="85">
        <f t="shared" si="70"/>
        <v>0</v>
      </c>
      <c r="AD102" s="85">
        <f t="shared" si="70"/>
        <v>0</v>
      </c>
      <c r="AE102" s="85">
        <f t="shared" si="70"/>
        <v>0</v>
      </c>
      <c r="AF102" s="85">
        <f t="shared" si="70"/>
        <v>0</v>
      </c>
      <c r="AG102" s="86"/>
      <c r="AH102" s="12">
        <f t="shared" si="48"/>
        <v>0</v>
      </c>
      <c r="AI102" s="11">
        <f t="shared" si="49"/>
        <v>0</v>
      </c>
      <c r="BF102" s="83"/>
      <c r="BG102" s="78">
        <v>51.7</v>
      </c>
      <c r="BH102" s="78">
        <v>0</v>
      </c>
      <c r="BI102" s="78">
        <v>86.9</v>
      </c>
      <c r="BJ102" s="78">
        <v>17.7</v>
      </c>
      <c r="BK102" s="78">
        <v>38.1</v>
      </c>
      <c r="BL102" s="78">
        <v>38.9</v>
      </c>
    </row>
    <row r="103" spans="1:64" x14ac:dyDescent="0.25">
      <c r="A103" s="82" t="s">
        <v>159</v>
      </c>
      <c r="B103" s="85">
        <f t="shared" ref="B103:AF103" si="74">IF(B85&lt;0,B85*-1,0)</f>
        <v>0</v>
      </c>
      <c r="C103" s="85">
        <f t="shared" si="74"/>
        <v>0</v>
      </c>
      <c r="D103" s="85">
        <f t="shared" si="74"/>
        <v>0</v>
      </c>
      <c r="E103" s="85">
        <f t="shared" si="74"/>
        <v>0</v>
      </c>
      <c r="F103" s="85">
        <f t="shared" si="74"/>
        <v>0</v>
      </c>
      <c r="G103" s="85">
        <f t="shared" si="74"/>
        <v>0</v>
      </c>
      <c r="H103" s="85">
        <f t="shared" si="74"/>
        <v>0</v>
      </c>
      <c r="I103" s="85">
        <f t="shared" si="74"/>
        <v>0</v>
      </c>
      <c r="J103" s="85">
        <f t="shared" si="74"/>
        <v>0</v>
      </c>
      <c r="K103" s="85">
        <f t="shared" si="74"/>
        <v>0</v>
      </c>
      <c r="L103" s="85">
        <f t="shared" si="74"/>
        <v>0</v>
      </c>
      <c r="M103" s="85">
        <f t="shared" si="74"/>
        <v>0</v>
      </c>
      <c r="N103" s="85">
        <f t="shared" si="74"/>
        <v>0</v>
      </c>
      <c r="O103" s="85">
        <f t="shared" si="74"/>
        <v>0</v>
      </c>
      <c r="P103" s="85">
        <f t="shared" si="74"/>
        <v>0</v>
      </c>
      <c r="Q103" s="85">
        <f t="shared" si="74"/>
        <v>0</v>
      </c>
      <c r="R103" s="85">
        <f t="shared" si="74"/>
        <v>0</v>
      </c>
      <c r="S103" s="85">
        <f t="shared" si="74"/>
        <v>0</v>
      </c>
      <c r="T103" s="85">
        <f t="shared" si="74"/>
        <v>0</v>
      </c>
      <c r="U103" s="85">
        <f t="shared" si="74"/>
        <v>0</v>
      </c>
      <c r="V103" s="85">
        <f t="shared" si="74"/>
        <v>0</v>
      </c>
      <c r="W103" s="85">
        <f t="shared" ref="W103:X103" si="75">IF(W85&lt;0,W85*-1,0)</f>
        <v>0</v>
      </c>
      <c r="X103" s="85">
        <f t="shared" si="75"/>
        <v>0</v>
      </c>
      <c r="Y103" s="85">
        <f t="shared" ref="Y103:Z103" si="76">IF(Y85&lt;0,Y85*-1,0)</f>
        <v>0</v>
      </c>
      <c r="Z103" s="85">
        <f t="shared" si="76"/>
        <v>0</v>
      </c>
      <c r="AA103" s="85">
        <f t="shared" ref="AA103" si="77">IF(AA85&lt;0,AA85*-1,0)</f>
        <v>0</v>
      </c>
      <c r="AB103" s="85">
        <f t="shared" si="74"/>
        <v>0</v>
      </c>
      <c r="AC103" s="85">
        <f t="shared" si="74"/>
        <v>0</v>
      </c>
      <c r="AD103" s="85">
        <f t="shared" si="74"/>
        <v>0</v>
      </c>
      <c r="AE103" s="85">
        <f t="shared" si="74"/>
        <v>0</v>
      </c>
      <c r="AF103" s="85">
        <f t="shared" si="74"/>
        <v>0</v>
      </c>
      <c r="AG103" s="84"/>
      <c r="AH103" s="12">
        <f t="shared" si="48"/>
        <v>0</v>
      </c>
      <c r="AI103" s="11">
        <f t="shared" si="49"/>
        <v>0</v>
      </c>
      <c r="BF103" s="83"/>
      <c r="BG103" s="78">
        <v>54.7</v>
      </c>
      <c r="BH103" s="78">
        <v>0</v>
      </c>
      <c r="BI103" s="78">
        <v>80.900000000000006</v>
      </c>
      <c r="BJ103" s="78">
        <v>11.9</v>
      </c>
      <c r="BK103" s="78">
        <v>43</v>
      </c>
      <c r="BL103" s="78">
        <v>43.6</v>
      </c>
    </row>
    <row r="104" spans="1:64" x14ac:dyDescent="0.25">
      <c r="A104" s="82" t="s">
        <v>158</v>
      </c>
      <c r="B104" s="85">
        <f t="shared" ref="B104:AF104" si="78">IF(B83&lt;0,B83*-1,0)</f>
        <v>0</v>
      </c>
      <c r="C104" s="85">
        <f t="shared" si="78"/>
        <v>0</v>
      </c>
      <c r="D104" s="85">
        <f t="shared" si="78"/>
        <v>0</v>
      </c>
      <c r="E104" s="85">
        <f t="shared" si="78"/>
        <v>0</v>
      </c>
      <c r="F104" s="85">
        <f t="shared" si="78"/>
        <v>0</v>
      </c>
      <c r="G104" s="85">
        <f t="shared" si="78"/>
        <v>0</v>
      </c>
      <c r="H104" s="85">
        <f t="shared" si="78"/>
        <v>0</v>
      </c>
      <c r="I104" s="85">
        <f t="shared" si="78"/>
        <v>0</v>
      </c>
      <c r="J104" s="85">
        <f t="shared" si="78"/>
        <v>0</v>
      </c>
      <c r="K104" s="85">
        <f t="shared" si="78"/>
        <v>0</v>
      </c>
      <c r="L104" s="85">
        <f t="shared" si="78"/>
        <v>0</v>
      </c>
      <c r="M104" s="85">
        <f t="shared" si="78"/>
        <v>0</v>
      </c>
      <c r="N104" s="85">
        <f t="shared" si="78"/>
        <v>0</v>
      </c>
      <c r="O104" s="85">
        <f t="shared" si="78"/>
        <v>0</v>
      </c>
      <c r="P104" s="85">
        <f t="shared" si="78"/>
        <v>0</v>
      </c>
      <c r="Q104" s="85">
        <f t="shared" si="78"/>
        <v>0</v>
      </c>
      <c r="R104" s="85">
        <f t="shared" si="78"/>
        <v>0</v>
      </c>
      <c r="S104" s="85">
        <f t="shared" si="78"/>
        <v>0</v>
      </c>
      <c r="T104" s="85">
        <f t="shared" si="78"/>
        <v>0</v>
      </c>
      <c r="U104" s="85">
        <f t="shared" si="78"/>
        <v>0</v>
      </c>
      <c r="V104" s="85">
        <f t="shared" si="78"/>
        <v>0</v>
      </c>
      <c r="W104" s="85">
        <f t="shared" ref="W104:X104" si="79">IF(W83&lt;0,W83*-1,0)</f>
        <v>0</v>
      </c>
      <c r="X104" s="85">
        <f t="shared" si="79"/>
        <v>0</v>
      </c>
      <c r="Y104" s="85">
        <f t="shared" ref="Y104:Z104" si="80">IF(Y83&lt;0,Y83*-1,0)</f>
        <v>0</v>
      </c>
      <c r="Z104" s="85">
        <f t="shared" si="80"/>
        <v>0</v>
      </c>
      <c r="AA104" s="85">
        <f t="shared" ref="AA104" si="81">IF(AA83&lt;0,AA83*-1,0)</f>
        <v>0</v>
      </c>
      <c r="AB104" s="85">
        <f t="shared" si="78"/>
        <v>0</v>
      </c>
      <c r="AC104" s="85">
        <f t="shared" si="78"/>
        <v>0</v>
      </c>
      <c r="AD104" s="85">
        <f t="shared" si="78"/>
        <v>0</v>
      </c>
      <c r="AE104" s="85">
        <f t="shared" si="78"/>
        <v>0</v>
      </c>
      <c r="AF104" s="85">
        <f t="shared" si="78"/>
        <v>0</v>
      </c>
      <c r="AG104" s="84"/>
      <c r="AH104" s="12">
        <f t="shared" si="48"/>
        <v>0</v>
      </c>
      <c r="AI104" s="11">
        <f t="shared" si="49"/>
        <v>0</v>
      </c>
      <c r="BF104" s="83"/>
      <c r="BG104" s="78">
        <v>61.8</v>
      </c>
      <c r="BH104" s="78">
        <v>0</v>
      </c>
      <c r="BI104" s="78">
        <v>131</v>
      </c>
      <c r="BJ104" s="78">
        <v>12.6</v>
      </c>
      <c r="BK104" s="78">
        <v>0</v>
      </c>
      <c r="BL104" s="78">
        <v>48.5</v>
      </c>
    </row>
    <row r="105" spans="1:64" x14ac:dyDescent="0.25">
      <c r="A105" s="82" t="s">
        <v>157</v>
      </c>
      <c r="B105" s="85">
        <f t="shared" ref="B105:AF105" si="82">IF(B81&lt;0,B81*-1,0)</f>
        <v>0</v>
      </c>
      <c r="C105" s="85">
        <f t="shared" si="82"/>
        <v>0</v>
      </c>
      <c r="D105" s="85">
        <f t="shared" si="82"/>
        <v>0</v>
      </c>
      <c r="E105" s="85">
        <f t="shared" si="82"/>
        <v>0</v>
      </c>
      <c r="F105" s="85">
        <f t="shared" si="82"/>
        <v>0</v>
      </c>
      <c r="G105" s="85">
        <f t="shared" si="82"/>
        <v>0</v>
      </c>
      <c r="H105" s="85">
        <f t="shared" si="82"/>
        <v>0</v>
      </c>
      <c r="I105" s="85">
        <f t="shared" si="82"/>
        <v>0</v>
      </c>
      <c r="J105" s="85">
        <f t="shared" si="82"/>
        <v>0</v>
      </c>
      <c r="K105" s="85">
        <f t="shared" si="82"/>
        <v>0</v>
      </c>
      <c r="L105" s="85">
        <f t="shared" si="82"/>
        <v>0</v>
      </c>
      <c r="M105" s="85">
        <f t="shared" si="82"/>
        <v>0</v>
      </c>
      <c r="N105" s="85">
        <f t="shared" si="82"/>
        <v>0</v>
      </c>
      <c r="O105" s="85">
        <f t="shared" si="82"/>
        <v>0</v>
      </c>
      <c r="P105" s="85">
        <f t="shared" si="82"/>
        <v>0</v>
      </c>
      <c r="Q105" s="85">
        <f t="shared" si="82"/>
        <v>0</v>
      </c>
      <c r="R105" s="85">
        <f t="shared" si="82"/>
        <v>0</v>
      </c>
      <c r="S105" s="85">
        <f t="shared" si="82"/>
        <v>0</v>
      </c>
      <c r="T105" s="85">
        <f t="shared" si="82"/>
        <v>0</v>
      </c>
      <c r="U105" s="85">
        <f t="shared" si="82"/>
        <v>0</v>
      </c>
      <c r="V105" s="85">
        <f t="shared" si="82"/>
        <v>0</v>
      </c>
      <c r="W105" s="85">
        <f t="shared" ref="W105:X105" si="83">IF(W81&lt;0,W81*-1,0)</f>
        <v>0</v>
      </c>
      <c r="X105" s="85">
        <f t="shared" si="83"/>
        <v>0</v>
      </c>
      <c r="Y105" s="85">
        <f t="shared" ref="Y105:Z105" si="84">IF(Y81&lt;0,Y81*-1,0)</f>
        <v>0</v>
      </c>
      <c r="Z105" s="85">
        <f t="shared" si="84"/>
        <v>0</v>
      </c>
      <c r="AA105" s="85">
        <f t="shared" ref="AA105" si="85">IF(AA81&lt;0,AA81*-1,0)</f>
        <v>0</v>
      </c>
      <c r="AB105" s="85">
        <f t="shared" si="82"/>
        <v>0</v>
      </c>
      <c r="AC105" s="85">
        <f t="shared" si="82"/>
        <v>0</v>
      </c>
      <c r="AD105" s="85">
        <f t="shared" si="82"/>
        <v>0</v>
      </c>
      <c r="AE105" s="85">
        <f t="shared" si="82"/>
        <v>0</v>
      </c>
      <c r="AF105" s="85">
        <f t="shared" si="82"/>
        <v>0</v>
      </c>
      <c r="AG105" s="84"/>
      <c r="AH105" s="12">
        <f t="shared" si="48"/>
        <v>0</v>
      </c>
      <c r="AI105" s="11">
        <f t="shared" si="49"/>
        <v>0</v>
      </c>
      <c r="BF105" s="83"/>
      <c r="BG105" s="78">
        <v>65</v>
      </c>
      <c r="BH105" s="78">
        <v>0</v>
      </c>
      <c r="BI105" s="78">
        <v>180</v>
      </c>
      <c r="BJ105" s="78">
        <v>12.6</v>
      </c>
      <c r="BK105" s="78">
        <v>0</v>
      </c>
      <c r="BL105" s="78">
        <v>48.5</v>
      </c>
    </row>
    <row r="106" spans="1:64" ht="15.75" thickBot="1" x14ac:dyDescent="0.3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48"/>
        <v>0</v>
      </c>
      <c r="AI106" s="11">
        <f t="shared" si="49"/>
        <v>0</v>
      </c>
      <c r="BG106" s="78">
        <v>66</v>
      </c>
      <c r="BH106" s="78">
        <v>0</v>
      </c>
      <c r="BI106" s="78">
        <v>174</v>
      </c>
      <c r="BJ106" s="78">
        <v>12.6</v>
      </c>
      <c r="BK106" s="78">
        <v>0</v>
      </c>
      <c r="BL106" s="78">
        <v>48.5</v>
      </c>
    </row>
    <row r="107" spans="1:64" ht="15.75" thickBot="1" x14ac:dyDescent="0.3">
      <c r="A107" s="79" t="s">
        <v>155</v>
      </c>
      <c r="B107" s="76">
        <f t="shared" ref="B107:AF107" si="86">SUM(B101:B106)</f>
        <v>0</v>
      </c>
      <c r="C107" s="76">
        <f t="shared" si="86"/>
        <v>0</v>
      </c>
      <c r="D107" s="76">
        <f t="shared" si="86"/>
        <v>0</v>
      </c>
      <c r="E107" s="76">
        <f t="shared" si="86"/>
        <v>0</v>
      </c>
      <c r="F107" s="76">
        <f t="shared" si="86"/>
        <v>0</v>
      </c>
      <c r="G107" s="76">
        <f t="shared" si="86"/>
        <v>0</v>
      </c>
      <c r="H107" s="76">
        <f t="shared" si="86"/>
        <v>0</v>
      </c>
      <c r="I107" s="76">
        <f t="shared" si="86"/>
        <v>0</v>
      </c>
      <c r="J107" s="76">
        <f t="shared" si="86"/>
        <v>0</v>
      </c>
      <c r="K107" s="76">
        <f t="shared" si="86"/>
        <v>0</v>
      </c>
      <c r="L107" s="76">
        <f t="shared" si="86"/>
        <v>0</v>
      </c>
      <c r="M107" s="76">
        <f t="shared" si="86"/>
        <v>0</v>
      </c>
      <c r="N107" s="76">
        <f t="shared" si="86"/>
        <v>0</v>
      </c>
      <c r="O107" s="76">
        <f t="shared" si="86"/>
        <v>0</v>
      </c>
      <c r="P107" s="76">
        <f t="shared" si="86"/>
        <v>0</v>
      </c>
      <c r="Q107" s="76">
        <f t="shared" si="86"/>
        <v>0</v>
      </c>
      <c r="R107" s="76">
        <f t="shared" si="86"/>
        <v>0</v>
      </c>
      <c r="S107" s="76">
        <f t="shared" si="86"/>
        <v>0</v>
      </c>
      <c r="T107" s="76">
        <f t="shared" si="86"/>
        <v>0</v>
      </c>
      <c r="U107" s="76">
        <f t="shared" si="86"/>
        <v>0</v>
      </c>
      <c r="V107" s="76">
        <f t="shared" si="86"/>
        <v>0</v>
      </c>
      <c r="W107" s="76">
        <f t="shared" ref="W107:X107" si="87">SUM(W101:W106)</f>
        <v>0</v>
      </c>
      <c r="X107" s="76">
        <f t="shared" si="87"/>
        <v>0</v>
      </c>
      <c r="Y107" s="76">
        <f t="shared" ref="Y107:Z107" si="88">SUM(Y101:Y106)</f>
        <v>0</v>
      </c>
      <c r="Z107" s="76">
        <f t="shared" si="88"/>
        <v>0</v>
      </c>
      <c r="AA107" s="76">
        <f t="shared" ref="AA107" si="89">SUM(AA101:AA106)</f>
        <v>0</v>
      </c>
      <c r="AB107" s="76">
        <f t="shared" si="86"/>
        <v>0</v>
      </c>
      <c r="AC107" s="76">
        <f t="shared" si="86"/>
        <v>0</v>
      </c>
      <c r="AD107" s="76">
        <f t="shared" si="86"/>
        <v>0</v>
      </c>
      <c r="AE107" s="76">
        <f t="shared" si="86"/>
        <v>0</v>
      </c>
      <c r="AF107" s="76">
        <f t="shared" si="86"/>
        <v>0</v>
      </c>
      <c r="AG107" s="75"/>
      <c r="AH107" s="12">
        <f t="shared" si="48"/>
        <v>0</v>
      </c>
      <c r="AI107" s="11">
        <f t="shared" si="49"/>
        <v>0</v>
      </c>
      <c r="AK107" s="19"/>
      <c r="BG107" s="78">
        <v>36</v>
      </c>
      <c r="BH107" s="78">
        <v>0</v>
      </c>
      <c r="BI107" s="78">
        <v>107.4</v>
      </c>
      <c r="BJ107" s="78">
        <v>0</v>
      </c>
      <c r="BK107" s="78">
        <v>0</v>
      </c>
      <c r="BL107" s="78">
        <v>45</v>
      </c>
    </row>
    <row r="108" spans="1:64" ht="15.75" thickBot="1" x14ac:dyDescent="0.3">
      <c r="A108" s="77" t="s">
        <v>154</v>
      </c>
      <c r="B108" s="76">
        <f t="shared" ref="B108:AF108" si="90">B92-B107</f>
        <v>188.4</v>
      </c>
      <c r="C108" s="76">
        <f t="shared" si="90"/>
        <v>235.79999999999998</v>
      </c>
      <c r="D108" s="76">
        <f t="shared" si="90"/>
        <v>324.39999999999998</v>
      </c>
      <c r="E108" s="76">
        <f t="shared" si="90"/>
        <v>290.5</v>
      </c>
      <c r="F108" s="76">
        <f t="shared" si="90"/>
        <v>233.5</v>
      </c>
      <c r="G108" s="76">
        <f t="shared" si="90"/>
        <v>283.5</v>
      </c>
      <c r="H108" s="76">
        <f t="shared" si="90"/>
        <v>290.5</v>
      </c>
      <c r="I108" s="76">
        <f t="shared" si="90"/>
        <v>280.7</v>
      </c>
      <c r="J108" s="76">
        <f t="shared" si="90"/>
        <v>775.59999999999991</v>
      </c>
      <c r="K108" s="76">
        <f t="shared" si="90"/>
        <v>876.00000000000011</v>
      </c>
      <c r="L108" s="76">
        <f t="shared" si="90"/>
        <v>888.60000000000014</v>
      </c>
      <c r="M108" s="76">
        <f t="shared" si="90"/>
        <v>898.99999999999989</v>
      </c>
      <c r="N108" s="76">
        <f t="shared" si="90"/>
        <v>894.2</v>
      </c>
      <c r="O108" s="76">
        <f t="shared" si="90"/>
        <v>912.1</v>
      </c>
      <c r="P108" s="76">
        <f t="shared" si="90"/>
        <v>899.20000000000016</v>
      </c>
      <c r="Q108" s="76">
        <f t="shared" si="90"/>
        <v>923.5</v>
      </c>
      <c r="R108" s="76">
        <f t="shared" si="90"/>
        <v>898.30000000000018</v>
      </c>
      <c r="S108" s="76">
        <f t="shared" si="90"/>
        <v>915.4</v>
      </c>
      <c r="T108" s="76">
        <f t="shared" si="90"/>
        <v>930.30000000000007</v>
      </c>
      <c r="U108" s="76">
        <f t="shared" si="90"/>
        <v>931.40000000000009</v>
      </c>
      <c r="V108" s="76">
        <f t="shared" si="90"/>
        <v>929.4</v>
      </c>
      <c r="W108" s="76">
        <f t="shared" ref="W108:X108" si="91">W92-W107</f>
        <v>855.90000000000009</v>
      </c>
      <c r="X108" s="76">
        <f t="shared" si="91"/>
        <v>732.8</v>
      </c>
      <c r="Y108" s="76">
        <f t="shared" ref="Y108:Z108" si="92">Y92-Y107</f>
        <v>696.89999999999986</v>
      </c>
      <c r="Z108" s="76">
        <f t="shared" si="92"/>
        <v>233.3</v>
      </c>
      <c r="AA108" s="76">
        <f t="shared" ref="AA108" si="93">AA92-AA107</f>
        <v>244.89999999999998</v>
      </c>
      <c r="AB108" s="76">
        <f t="shared" si="90"/>
        <v>234.10000000000002</v>
      </c>
      <c r="AC108" s="76">
        <f t="shared" si="90"/>
        <v>271.58000000000004</v>
      </c>
      <c r="AD108" s="76">
        <f t="shared" si="90"/>
        <v>253.9</v>
      </c>
      <c r="AE108" s="76">
        <f t="shared" si="90"/>
        <v>306.10000000000002</v>
      </c>
      <c r="AF108" s="76">
        <f t="shared" si="90"/>
        <v>301.10000000000002</v>
      </c>
      <c r="AG108" s="75"/>
      <c r="AH108" s="12">
        <f t="shared" si="48"/>
        <v>931.40000000000009</v>
      </c>
      <c r="AI108" s="11">
        <f t="shared" si="49"/>
        <v>188.4</v>
      </c>
    </row>
    <row r="109" spans="1:64" x14ac:dyDescent="0.25">
      <c r="A109" s="25" t="s">
        <v>153</v>
      </c>
      <c r="B109" s="74">
        <v>50.043999999999997</v>
      </c>
      <c r="C109" s="74">
        <v>50.02</v>
      </c>
      <c r="D109" s="74">
        <v>50.021000000000001</v>
      </c>
      <c r="E109" s="74">
        <v>50.03</v>
      </c>
      <c r="F109" s="74">
        <v>50</v>
      </c>
      <c r="G109" s="74">
        <v>49.994999999999997</v>
      </c>
      <c r="H109" s="74">
        <v>49.957999999999998</v>
      </c>
      <c r="I109" s="74">
        <v>49.973999999999997</v>
      </c>
      <c r="J109" s="74">
        <v>49.954000000000001</v>
      </c>
      <c r="K109" s="74">
        <v>49.984999999999999</v>
      </c>
      <c r="L109" s="74">
        <v>50.033999999999999</v>
      </c>
      <c r="M109" s="74">
        <v>49.99</v>
      </c>
      <c r="N109" s="74">
        <v>50.058</v>
      </c>
      <c r="O109" s="74">
        <v>49.911999999999999</v>
      </c>
      <c r="P109" s="74">
        <v>50.037999999999997</v>
      </c>
      <c r="Q109" s="74">
        <v>50.085000000000001</v>
      </c>
      <c r="R109" s="74">
        <v>49.997</v>
      </c>
      <c r="S109" s="74">
        <v>50.029000000000003</v>
      </c>
      <c r="T109" s="74">
        <v>50</v>
      </c>
      <c r="U109" s="74">
        <v>50</v>
      </c>
      <c r="V109" s="74">
        <v>50</v>
      </c>
      <c r="W109" s="74">
        <v>50.04</v>
      </c>
      <c r="X109" s="74">
        <v>50.03</v>
      </c>
      <c r="Y109" s="74">
        <v>50.127000000000002</v>
      </c>
      <c r="Z109" s="74">
        <v>50.04</v>
      </c>
      <c r="AA109" s="74">
        <v>49.94</v>
      </c>
      <c r="AB109" s="74">
        <v>50.057000000000002</v>
      </c>
      <c r="AC109" s="74">
        <v>50.034999999999997</v>
      </c>
      <c r="AD109" s="74">
        <v>49.972000000000001</v>
      </c>
      <c r="AE109" s="74">
        <v>49.972000000000001</v>
      </c>
      <c r="AF109" s="74">
        <v>50.012</v>
      </c>
      <c r="AG109" s="73"/>
      <c r="AH109" s="12">
        <f t="shared" si="48"/>
        <v>50.127000000000002</v>
      </c>
      <c r="AI109" s="11">
        <f t="shared" si="49"/>
        <v>49.911999999999999</v>
      </c>
    </row>
    <row r="110" spans="1:64" x14ac:dyDescent="0.25">
      <c r="A110" s="22" t="s">
        <v>152</v>
      </c>
      <c r="B110" s="70">
        <v>131.4</v>
      </c>
      <c r="C110" s="70">
        <v>131.6</v>
      </c>
      <c r="D110" s="70">
        <v>131.9</v>
      </c>
      <c r="E110" s="70">
        <v>131.9</v>
      </c>
      <c r="F110" s="70">
        <v>131.9</v>
      </c>
      <c r="G110" s="70">
        <v>131.9</v>
      </c>
      <c r="H110" s="70">
        <v>131.9</v>
      </c>
      <c r="I110" s="70">
        <v>132</v>
      </c>
      <c r="J110" s="70">
        <v>125.8</v>
      </c>
      <c r="K110" s="70">
        <v>125.8</v>
      </c>
      <c r="L110" s="70">
        <v>124.6</v>
      </c>
      <c r="M110" s="70">
        <v>124.7</v>
      </c>
      <c r="N110" s="70">
        <v>125.4</v>
      </c>
      <c r="O110" s="70">
        <v>124.9</v>
      </c>
      <c r="P110" s="70">
        <v>125.8</v>
      </c>
      <c r="Q110" s="70">
        <v>125.4</v>
      </c>
      <c r="R110" s="70">
        <v>125.2</v>
      </c>
      <c r="S110" s="70">
        <v>126.6</v>
      </c>
      <c r="T110" s="70">
        <v>124.6</v>
      </c>
      <c r="U110" s="70">
        <v>124.6</v>
      </c>
      <c r="V110" s="70">
        <v>124.6</v>
      </c>
      <c r="W110" s="70">
        <v>127.5</v>
      </c>
      <c r="X110" s="70">
        <v>129.5</v>
      </c>
      <c r="Y110" s="70">
        <v>129.5</v>
      </c>
      <c r="Z110" s="70">
        <v>130.9</v>
      </c>
      <c r="AA110" s="70">
        <v>129.80000000000001</v>
      </c>
      <c r="AB110" s="70">
        <v>129</v>
      </c>
      <c r="AC110" s="70">
        <v>129.30000000000001</v>
      </c>
      <c r="AD110" s="70">
        <v>129.6</v>
      </c>
      <c r="AE110" s="70">
        <v>129.6</v>
      </c>
      <c r="AF110" s="70">
        <v>131.4</v>
      </c>
      <c r="AG110" s="69"/>
      <c r="AH110" s="12">
        <f t="shared" si="48"/>
        <v>132</v>
      </c>
      <c r="AI110" s="11">
        <f t="shared" si="49"/>
        <v>124.6</v>
      </c>
    </row>
    <row r="111" spans="1:64" x14ac:dyDescent="0.25">
      <c r="A111" s="22" t="s">
        <v>151</v>
      </c>
      <c r="B111" s="70">
        <v>134.9</v>
      </c>
      <c r="C111" s="70">
        <v>135.1</v>
      </c>
      <c r="D111" s="70">
        <v>135.30000000000001</v>
      </c>
      <c r="E111" s="70">
        <v>135.30000000000001</v>
      </c>
      <c r="F111" s="70">
        <v>135.30000000000001</v>
      </c>
      <c r="G111" s="70">
        <v>135.30000000000001</v>
      </c>
      <c r="H111" s="70">
        <v>135.30000000000001</v>
      </c>
      <c r="I111" s="70">
        <v>134</v>
      </c>
      <c r="J111" s="70">
        <v>128.9</v>
      </c>
      <c r="K111" s="70">
        <v>128.9</v>
      </c>
      <c r="L111" s="70">
        <v>128.1</v>
      </c>
      <c r="M111" s="70">
        <v>130.5</v>
      </c>
      <c r="N111" s="70">
        <v>128.6</v>
      </c>
      <c r="O111" s="70">
        <v>128.19999999999999</v>
      </c>
      <c r="P111" s="70">
        <v>128.6</v>
      </c>
      <c r="Q111" s="70">
        <v>128.19999999999999</v>
      </c>
      <c r="R111" s="70">
        <v>127.9</v>
      </c>
      <c r="S111" s="70">
        <v>129</v>
      </c>
      <c r="T111" s="70">
        <v>127.7</v>
      </c>
      <c r="U111" s="70">
        <v>127.7</v>
      </c>
      <c r="V111" s="70">
        <v>127.7</v>
      </c>
      <c r="W111" s="70">
        <v>130.19999999999999</v>
      </c>
      <c r="X111" s="70">
        <v>130.19999999999999</v>
      </c>
      <c r="Y111" s="70">
        <v>130.19999999999999</v>
      </c>
      <c r="Z111" s="70">
        <v>133.1</v>
      </c>
      <c r="AA111" s="70">
        <v>129.19999999999999</v>
      </c>
      <c r="AB111" s="70">
        <v>131.69999999999999</v>
      </c>
      <c r="AC111" s="70">
        <v>131.80000000000001</v>
      </c>
      <c r="AD111" s="70">
        <v>132.6</v>
      </c>
      <c r="AE111" s="70">
        <v>132.6</v>
      </c>
      <c r="AF111" s="70">
        <v>134</v>
      </c>
      <c r="AG111" s="69"/>
      <c r="AH111" s="12">
        <f t="shared" si="48"/>
        <v>135.30000000000001</v>
      </c>
      <c r="AI111" s="11">
        <f t="shared" si="49"/>
        <v>127.7</v>
      </c>
    </row>
    <row r="112" spans="1:64" x14ac:dyDescent="0.25">
      <c r="A112" s="22" t="s">
        <v>150</v>
      </c>
      <c r="B112" s="70">
        <v>131.80000000000001</v>
      </c>
      <c r="C112" s="70">
        <v>132.19999999999999</v>
      </c>
      <c r="D112" s="70">
        <v>133.19999999999999</v>
      </c>
      <c r="E112" s="70">
        <v>133.19999999999999</v>
      </c>
      <c r="F112" s="70">
        <v>133.19999999999999</v>
      </c>
      <c r="G112" s="70">
        <v>133.19999999999999</v>
      </c>
      <c r="H112" s="70">
        <v>133.19999999999999</v>
      </c>
      <c r="I112" s="70">
        <v>131</v>
      </c>
      <c r="J112" s="70">
        <v>130</v>
      </c>
      <c r="K112" s="70">
        <v>130</v>
      </c>
      <c r="L112" s="70">
        <v>128.69999999999999</v>
      </c>
      <c r="M112" s="70">
        <v>127.6</v>
      </c>
      <c r="N112" s="70">
        <v>126.8</v>
      </c>
      <c r="O112" s="70">
        <v>127.5</v>
      </c>
      <c r="P112" s="70">
        <v>126.3</v>
      </c>
      <c r="Q112" s="70">
        <v>128.19999999999999</v>
      </c>
      <c r="R112" s="70">
        <v>128.9</v>
      </c>
      <c r="S112" s="70">
        <v>129.19999999999999</v>
      </c>
      <c r="T112" s="70">
        <v>130</v>
      </c>
      <c r="U112" s="70">
        <v>130</v>
      </c>
      <c r="V112" s="70">
        <v>130</v>
      </c>
      <c r="W112" s="70">
        <v>126.8</v>
      </c>
      <c r="X112" s="70">
        <v>126.8</v>
      </c>
      <c r="Y112" s="70">
        <v>126.8</v>
      </c>
      <c r="Z112" s="70">
        <v>132.9</v>
      </c>
      <c r="AA112" s="70">
        <v>128.19999999999999</v>
      </c>
      <c r="AB112" s="70">
        <v>127</v>
      </c>
      <c r="AC112" s="70">
        <v>126.9</v>
      </c>
      <c r="AD112" s="70">
        <v>132.5</v>
      </c>
      <c r="AE112" s="70">
        <v>132.5</v>
      </c>
      <c r="AF112" s="70">
        <v>130.19999999999999</v>
      </c>
      <c r="AG112" s="69"/>
      <c r="AH112" s="12">
        <f t="shared" si="48"/>
        <v>133.19999999999999</v>
      </c>
      <c r="AI112" s="11">
        <f t="shared" si="49"/>
        <v>126.3</v>
      </c>
    </row>
    <row r="113" spans="1:35" x14ac:dyDescent="0.25">
      <c r="A113" s="72" t="s">
        <v>149</v>
      </c>
      <c r="B113" s="70">
        <v>132.69999999999999</v>
      </c>
      <c r="C113" s="70">
        <v>134.4</v>
      </c>
      <c r="D113" s="70">
        <v>132.80000000000001</v>
      </c>
      <c r="E113" s="70">
        <v>132.80000000000001</v>
      </c>
      <c r="F113" s="70">
        <v>132.80000000000001</v>
      </c>
      <c r="G113" s="70">
        <v>132.80000000000001</v>
      </c>
      <c r="H113" s="70">
        <v>132.80000000000001</v>
      </c>
      <c r="I113" s="70">
        <v>129</v>
      </c>
      <c r="J113" s="70">
        <v>126.6</v>
      </c>
      <c r="K113" s="70">
        <v>126.6</v>
      </c>
      <c r="L113" s="70">
        <v>126.1</v>
      </c>
      <c r="M113" s="70">
        <v>122.4</v>
      </c>
      <c r="N113" s="70">
        <v>123.5</v>
      </c>
      <c r="O113" s="70">
        <v>124.9</v>
      </c>
      <c r="P113" s="70">
        <v>124.6</v>
      </c>
      <c r="Q113" s="70">
        <v>125.4</v>
      </c>
      <c r="R113" s="70">
        <v>126.5</v>
      </c>
      <c r="S113" s="70">
        <v>125.8</v>
      </c>
      <c r="T113" s="70">
        <v>128.30000000000001</v>
      </c>
      <c r="U113" s="70">
        <v>128.30000000000001</v>
      </c>
      <c r="V113" s="70">
        <v>128.30000000000001</v>
      </c>
      <c r="W113" s="70">
        <v>122.3</v>
      </c>
      <c r="X113" s="70">
        <v>122.3</v>
      </c>
      <c r="Y113" s="70">
        <v>122.3</v>
      </c>
      <c r="Z113" s="70">
        <v>122.3</v>
      </c>
      <c r="AA113" s="70">
        <v>122.3</v>
      </c>
      <c r="AB113" s="70">
        <v>126.8</v>
      </c>
      <c r="AC113" s="70">
        <v>127</v>
      </c>
      <c r="AD113" s="70">
        <v>131</v>
      </c>
      <c r="AE113" s="70">
        <v>131</v>
      </c>
      <c r="AF113" s="70">
        <v>131.69999999999999</v>
      </c>
      <c r="AG113" s="69"/>
      <c r="AH113" s="12">
        <f t="shared" si="48"/>
        <v>134.4</v>
      </c>
      <c r="AI113" s="11">
        <f t="shared" si="49"/>
        <v>122.3</v>
      </c>
    </row>
    <row r="114" spans="1:35" x14ac:dyDescent="0.25">
      <c r="A114" s="72" t="s">
        <v>148</v>
      </c>
      <c r="B114" s="56">
        <v>136.5</v>
      </c>
      <c r="C114" s="56">
        <v>137</v>
      </c>
      <c r="D114" s="56">
        <v>136</v>
      </c>
      <c r="E114" s="56">
        <v>136</v>
      </c>
      <c r="F114" s="56">
        <v>136</v>
      </c>
      <c r="G114" s="56">
        <v>136</v>
      </c>
      <c r="H114" s="56">
        <v>136</v>
      </c>
      <c r="I114" s="56">
        <v>135</v>
      </c>
      <c r="J114" s="56">
        <v>134</v>
      </c>
      <c r="K114" s="56">
        <v>134</v>
      </c>
      <c r="L114" s="56">
        <v>132.80000000000001</v>
      </c>
      <c r="M114" s="56">
        <v>134.69999999999999</v>
      </c>
      <c r="N114" s="56">
        <v>132</v>
      </c>
      <c r="O114" s="56">
        <v>132</v>
      </c>
      <c r="P114" s="56">
        <v>131.69999999999999</v>
      </c>
      <c r="Q114" s="56">
        <v>131.19999999999999</v>
      </c>
      <c r="R114" s="56">
        <v>130.69999999999999</v>
      </c>
      <c r="S114" s="56">
        <v>130</v>
      </c>
      <c r="T114" s="56">
        <v>129.5</v>
      </c>
      <c r="U114" s="56">
        <v>129.5</v>
      </c>
      <c r="V114" s="56">
        <v>129.5</v>
      </c>
      <c r="W114" s="56">
        <v>132.9</v>
      </c>
      <c r="X114" s="56">
        <v>132.9</v>
      </c>
      <c r="Y114" s="56">
        <v>132.9</v>
      </c>
      <c r="Z114" s="56">
        <v>132.9</v>
      </c>
      <c r="AA114" s="56">
        <v>134.1</v>
      </c>
      <c r="AB114" s="56">
        <v>132.19999999999999</v>
      </c>
      <c r="AC114" s="56">
        <v>131.4</v>
      </c>
      <c r="AD114" s="56">
        <v>132.19999999999999</v>
      </c>
      <c r="AE114" s="56">
        <v>132.19999999999999</v>
      </c>
      <c r="AF114" s="56">
        <v>133.80000000000001</v>
      </c>
      <c r="AG114" s="71"/>
      <c r="AH114" s="12">
        <f t="shared" si="48"/>
        <v>137</v>
      </c>
      <c r="AI114" s="11">
        <f t="shared" si="49"/>
        <v>129.5</v>
      </c>
    </row>
    <row r="115" spans="1:35" x14ac:dyDescent="0.25">
      <c r="A115" s="22" t="s">
        <v>147</v>
      </c>
      <c r="B115" s="70">
        <v>136</v>
      </c>
      <c r="C115" s="70">
        <v>137.5</v>
      </c>
      <c r="D115" s="70">
        <v>136.30000000000001</v>
      </c>
      <c r="E115" s="70">
        <v>136.30000000000001</v>
      </c>
      <c r="F115" s="70">
        <v>136.30000000000001</v>
      </c>
      <c r="G115" s="70">
        <v>136.30000000000001</v>
      </c>
      <c r="H115" s="70">
        <v>136.30000000000001</v>
      </c>
      <c r="I115" s="70">
        <v>132</v>
      </c>
      <c r="J115" s="70">
        <v>129</v>
      </c>
      <c r="K115" s="70">
        <v>129</v>
      </c>
      <c r="L115" s="70">
        <v>131</v>
      </c>
      <c r="M115" s="70">
        <v>129.80000000000001</v>
      </c>
      <c r="N115" s="70">
        <v>129.6</v>
      </c>
      <c r="O115" s="70">
        <v>127.8</v>
      </c>
      <c r="P115" s="70">
        <v>127</v>
      </c>
      <c r="Q115" s="70">
        <v>132.6</v>
      </c>
      <c r="R115" s="70">
        <v>130.69999999999999</v>
      </c>
      <c r="S115" s="70">
        <v>126.7</v>
      </c>
      <c r="T115" s="70">
        <v>126.7</v>
      </c>
      <c r="U115" s="70">
        <v>126.7</v>
      </c>
      <c r="V115" s="70">
        <v>126.7</v>
      </c>
      <c r="W115" s="70">
        <v>128</v>
      </c>
      <c r="X115" s="70">
        <v>128</v>
      </c>
      <c r="Y115" s="70">
        <v>128</v>
      </c>
      <c r="Z115" s="70">
        <v>128</v>
      </c>
      <c r="AA115" s="70">
        <v>131.69999999999999</v>
      </c>
      <c r="AB115" s="70">
        <v>131.30000000000001</v>
      </c>
      <c r="AC115" s="70">
        <v>132.6</v>
      </c>
      <c r="AD115" s="70">
        <v>132.80000000000001</v>
      </c>
      <c r="AE115" s="70">
        <v>132.80000000000001</v>
      </c>
      <c r="AF115" s="70">
        <v>132.69999999999999</v>
      </c>
      <c r="AG115" s="69"/>
      <c r="AH115" s="12">
        <f t="shared" si="48"/>
        <v>137.5</v>
      </c>
      <c r="AI115" s="11">
        <f t="shared" si="49"/>
        <v>126.7</v>
      </c>
    </row>
    <row r="116" spans="1:35" ht="15.75" thickBot="1" x14ac:dyDescent="0.3">
      <c r="A116" s="22" t="s">
        <v>146</v>
      </c>
      <c r="B116" s="67">
        <v>67.7</v>
      </c>
      <c r="C116" s="67">
        <v>67.8</v>
      </c>
      <c r="D116" s="67">
        <v>67.5</v>
      </c>
      <c r="E116" s="67">
        <v>67.5</v>
      </c>
      <c r="F116" s="67">
        <v>67.5</v>
      </c>
      <c r="G116" s="67">
        <v>67.5</v>
      </c>
      <c r="H116" s="67">
        <v>67.5</v>
      </c>
      <c r="I116" s="67">
        <v>67.5</v>
      </c>
      <c r="J116" s="67">
        <v>64.5</v>
      </c>
      <c r="K116" s="67">
        <v>64.5</v>
      </c>
      <c r="L116" s="67">
        <v>64.2</v>
      </c>
      <c r="M116" s="67">
        <v>65.2</v>
      </c>
      <c r="N116" s="67">
        <v>64.2</v>
      </c>
      <c r="O116" s="67">
        <v>63.8</v>
      </c>
      <c r="P116" s="67">
        <v>63.9</v>
      </c>
      <c r="Q116" s="67">
        <v>63.7</v>
      </c>
      <c r="R116" s="67">
        <v>63.5</v>
      </c>
      <c r="S116" s="67">
        <v>64</v>
      </c>
      <c r="T116" s="67">
        <v>63.8</v>
      </c>
      <c r="U116" s="67">
        <v>63.8</v>
      </c>
      <c r="V116" s="67">
        <v>63.8</v>
      </c>
      <c r="W116" s="67">
        <v>63.8</v>
      </c>
      <c r="X116" s="67">
        <v>63.8</v>
      </c>
      <c r="Y116" s="67">
        <v>63.8</v>
      </c>
      <c r="Z116" s="67">
        <v>63.8</v>
      </c>
      <c r="AA116" s="67">
        <v>65.5</v>
      </c>
      <c r="AB116" s="67">
        <v>65.599999999999994</v>
      </c>
      <c r="AC116" s="67">
        <v>65.7</v>
      </c>
      <c r="AD116" s="67">
        <v>66.2</v>
      </c>
      <c r="AE116" s="67">
        <v>66.2</v>
      </c>
      <c r="AF116" s="67">
        <v>67.099999999999994</v>
      </c>
      <c r="AG116" s="66"/>
      <c r="AH116" s="12">
        <f t="shared" si="48"/>
        <v>67.8</v>
      </c>
      <c r="AI116" s="11">
        <f t="shared" si="49"/>
        <v>63.5</v>
      </c>
    </row>
    <row r="117" spans="1:35" ht="15.75" thickBot="1" x14ac:dyDescent="0.3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48"/>
        <v>0</v>
      </c>
      <c r="AI117" s="11">
        <f t="shared" si="49"/>
        <v>0</v>
      </c>
    </row>
    <row r="118" spans="1:35" ht="15.75" thickBot="1" x14ac:dyDescent="0.3">
      <c r="A118" s="65" t="s">
        <v>144</v>
      </c>
      <c r="B118" s="64">
        <f t="shared" ref="B118:O118" si="94">SUM(B22,B28,B31:B32,B66,B68:B69,B71,B73,B119:B123,B155,B161,B167,B176,B178,B190,B197,B200:B201,B208,B210,B212,B216:B218,B220:B222,B227,B233:B234,B236:B238,B246,B251)</f>
        <v>142.23999999999998</v>
      </c>
      <c r="C118" s="64">
        <f t="shared" si="94"/>
        <v>128.83999999999997</v>
      </c>
      <c r="D118" s="64">
        <f t="shared" si="94"/>
        <v>122.83999999999997</v>
      </c>
      <c r="E118" s="64">
        <f t="shared" si="94"/>
        <v>137.24</v>
      </c>
      <c r="F118" s="64">
        <f t="shared" si="94"/>
        <v>138.24</v>
      </c>
      <c r="G118" s="64">
        <f t="shared" si="94"/>
        <v>142.94</v>
      </c>
      <c r="H118" s="64">
        <f t="shared" si="94"/>
        <v>155.94</v>
      </c>
      <c r="I118" s="64">
        <f t="shared" si="94"/>
        <v>190.54000000000002</v>
      </c>
      <c r="J118" s="64">
        <f t="shared" si="94"/>
        <v>274.74</v>
      </c>
      <c r="K118" s="64">
        <f t="shared" si="94"/>
        <v>306.44</v>
      </c>
      <c r="L118" s="64">
        <f t="shared" si="94"/>
        <v>298.24</v>
      </c>
      <c r="M118" s="64">
        <f t="shared" si="94"/>
        <v>322.23999999999995</v>
      </c>
      <c r="N118" s="64">
        <f t="shared" si="94"/>
        <v>315.73999999999995</v>
      </c>
      <c r="O118" s="64">
        <f t="shared" si="94"/>
        <v>327.44</v>
      </c>
      <c r="P118" s="64">
        <v>42</v>
      </c>
      <c r="Q118" s="64">
        <f t="shared" ref="Q118:T118" si="95">SUM(Q22,Q28,Q31:Q32,Q66,Q68:Q69,Q71,Q73,Q119:Q123,Q155,Q161,Q167,Q176,Q178,Q190,Q197,Q200:Q201,Q208,Q210,Q212,Q216:Q218,Q220:Q222,Q227,Q233:Q234,Q236:Q238,Q246,Q251)</f>
        <v>312.33999999999997</v>
      </c>
      <c r="R118" s="64">
        <f t="shared" si="95"/>
        <v>318.23999999999995</v>
      </c>
      <c r="S118" s="64">
        <f t="shared" si="95"/>
        <v>326.54000000000002</v>
      </c>
      <c r="T118" s="64">
        <f t="shared" si="95"/>
        <v>329.34</v>
      </c>
      <c r="U118" s="64">
        <f t="shared" ref="U118:V118" si="96">SUM(U22,U28,U31:U32,U66,U68:U69,U71,U73,U119:U123,U155,U161,U167,U176,U178,U190,U197,U200:U201,U208,U210,U212,U216:U218,U220:U222,U227,U233:U234,U236:U238,U246,U251)</f>
        <v>329.34</v>
      </c>
      <c r="V118" s="64">
        <f t="shared" si="96"/>
        <v>316.14000000000004</v>
      </c>
      <c r="W118" s="64">
        <f t="shared" ref="W118:X118" si="97">SUM(W22,W28,W31:W32,W66,W68:W69,W71,W73,W119:W123,W155,W161,W167,W176,W178,W190,W197,W200:W201,W208,W210,W212,W216:W218,W220:W222,W227,W233:W234,W236:W238,W246,W251)</f>
        <v>294.13999999999993</v>
      </c>
      <c r="X118" s="64">
        <f t="shared" si="97"/>
        <v>298.14</v>
      </c>
      <c r="Y118" s="64">
        <f t="shared" ref="Y118:Z118" si="98">SUM(Y22,Y28,Y31:Y32,Y66,Y68:Y69,Y71,Y73,Y119:Y123,Y155,Y161,Y167,Y176,Y178,Y190,Y197,Y200:Y201,Y208,Y210,Y212,Y216:Y218,Y220:Y222,Y227,Y233:Y234,Y236:Y238,Y246,Y251)</f>
        <v>306.83999999999997</v>
      </c>
      <c r="Z118" s="64">
        <f t="shared" si="98"/>
        <v>363.44</v>
      </c>
      <c r="AA118" s="64">
        <f t="shared" ref="AA118" si="99">SUM(AA22,AA28,AA31:AA32,AA66,AA68:AA69,AA71,AA73,AA119:AA123,AA155,AA161,AA167,AA176,AA178,AA190,AA197,AA200:AA201,AA208,AA210,AA212,AA216:AA218,AA220:AA222,AA227,AA233:AA234,AA236:AA238,AA246,AA251)</f>
        <v>377.34</v>
      </c>
      <c r="AB118" s="64">
        <f t="shared" ref="AB118:AF118" si="100">SUM(AB22,AB28,AB31:AB32,AB66,AB68:AB69,AB71,AB73,AB119:AB123,AB155,AB161,AB167,AB176,AB178,AB190,AB197,AB200:AB201,AB208,AB210,AB212,AB216:AB218,AB220:AB222,AB227,AB233:AB234,AB236:AB238,AB246,AB251)</f>
        <v>347.84</v>
      </c>
      <c r="AC118" s="64">
        <f t="shared" si="100"/>
        <v>257.94</v>
      </c>
      <c r="AD118" s="64">
        <f t="shared" si="100"/>
        <v>227.23999999999998</v>
      </c>
      <c r="AE118" s="64">
        <f t="shared" si="100"/>
        <v>227.23999999999998</v>
      </c>
      <c r="AF118" s="64">
        <f t="shared" si="100"/>
        <v>161.44</v>
      </c>
      <c r="AG118" s="63"/>
      <c r="AH118" s="12">
        <f t="shared" si="48"/>
        <v>377.34</v>
      </c>
      <c r="AI118" s="11">
        <f t="shared" si="49"/>
        <v>42</v>
      </c>
    </row>
    <row r="119" spans="1:35" x14ac:dyDescent="0.25">
      <c r="A119" s="59" t="s">
        <v>143</v>
      </c>
      <c r="B119" s="62">
        <v>10.6</v>
      </c>
      <c r="C119" s="62">
        <v>7.5</v>
      </c>
      <c r="D119" s="62">
        <v>10.1</v>
      </c>
      <c r="E119" s="62">
        <v>9.5</v>
      </c>
      <c r="F119" s="62">
        <v>3.2</v>
      </c>
      <c r="G119" s="62">
        <v>-0.7</v>
      </c>
      <c r="H119" s="62">
        <v>18.2</v>
      </c>
      <c r="I119" s="62">
        <v>3.2</v>
      </c>
      <c r="J119" s="62">
        <v>2.4</v>
      </c>
      <c r="K119" s="62">
        <v>7.4</v>
      </c>
      <c r="L119" s="62">
        <v>3</v>
      </c>
      <c r="M119" s="62">
        <v>4.5999999999999996</v>
      </c>
      <c r="N119" s="62">
        <v>6.1</v>
      </c>
      <c r="O119" s="62">
        <v>10.7</v>
      </c>
      <c r="P119" s="62">
        <v>10.8</v>
      </c>
      <c r="Q119" s="62">
        <v>8.4</v>
      </c>
      <c r="R119" s="62">
        <v>8.6999999999999993</v>
      </c>
      <c r="S119" s="62">
        <v>5</v>
      </c>
      <c r="T119" s="62">
        <v>-0.9</v>
      </c>
      <c r="U119" s="62">
        <v>-0.9</v>
      </c>
      <c r="V119" s="62">
        <v>-0.9</v>
      </c>
      <c r="W119" s="62">
        <v>-3.4</v>
      </c>
      <c r="X119" s="62">
        <v>-6.5</v>
      </c>
      <c r="Y119" s="62">
        <v>-8.9</v>
      </c>
      <c r="Z119" s="62">
        <v>3.4</v>
      </c>
      <c r="AA119" s="62">
        <v>4</v>
      </c>
      <c r="AB119" s="62">
        <v>13.7</v>
      </c>
      <c r="AC119" s="62">
        <v>15.9</v>
      </c>
      <c r="AD119" s="62">
        <v>10.1</v>
      </c>
      <c r="AE119" s="62">
        <v>10.1</v>
      </c>
      <c r="AF119" s="62">
        <v>9.6</v>
      </c>
      <c r="AG119" s="55">
        <v>75</v>
      </c>
      <c r="AH119" s="12">
        <f t="shared" si="48"/>
        <v>18.2</v>
      </c>
      <c r="AI119" s="11">
        <f t="shared" si="49"/>
        <v>-8.9</v>
      </c>
    </row>
    <row r="120" spans="1:35" x14ac:dyDescent="0.25">
      <c r="A120" s="57" t="s">
        <v>142</v>
      </c>
      <c r="B120" s="61">
        <v>22.7</v>
      </c>
      <c r="C120" s="61">
        <v>17.600000000000001</v>
      </c>
      <c r="D120" s="61">
        <v>21.2</v>
      </c>
      <c r="E120" s="61">
        <v>15.5</v>
      </c>
      <c r="F120" s="61">
        <v>10.3</v>
      </c>
      <c r="G120" s="61">
        <v>5.7</v>
      </c>
      <c r="H120" s="61">
        <v>31.9</v>
      </c>
      <c r="I120" s="61">
        <v>10.9</v>
      </c>
      <c r="J120" s="61">
        <v>-2</v>
      </c>
      <c r="K120" s="61">
        <v>5.5</v>
      </c>
      <c r="L120" s="61">
        <v>0.2</v>
      </c>
      <c r="M120" s="61">
        <v>2</v>
      </c>
      <c r="N120" s="61">
        <v>2.7</v>
      </c>
      <c r="O120" s="61">
        <v>9.1999999999999993</v>
      </c>
      <c r="P120" s="61">
        <v>9.3000000000000007</v>
      </c>
      <c r="Q120" s="61">
        <v>6.4</v>
      </c>
      <c r="R120" s="61">
        <v>7.7</v>
      </c>
      <c r="S120" s="61">
        <v>2.2999999999999998</v>
      </c>
      <c r="T120" s="61">
        <v>-6.8</v>
      </c>
      <c r="U120" s="61">
        <v>-6.8</v>
      </c>
      <c r="V120" s="61">
        <v>-6.8</v>
      </c>
      <c r="W120" s="61">
        <v>-8.3000000000000007</v>
      </c>
      <c r="X120" s="61">
        <v>-7.3</v>
      </c>
      <c r="Y120" s="61">
        <v>-8.3000000000000007</v>
      </c>
      <c r="Z120" s="61">
        <v>10.8</v>
      </c>
      <c r="AA120" s="61">
        <v>10.9</v>
      </c>
      <c r="AB120" s="61">
        <v>26.1</v>
      </c>
      <c r="AC120" s="61">
        <v>30.3</v>
      </c>
      <c r="AD120" s="61">
        <v>22.2</v>
      </c>
      <c r="AE120" s="61">
        <v>22.2</v>
      </c>
      <c r="AF120" s="61">
        <v>23.9</v>
      </c>
      <c r="AG120" s="55">
        <v>240</v>
      </c>
      <c r="AH120" s="12">
        <f t="shared" si="48"/>
        <v>31.9</v>
      </c>
      <c r="AI120" s="11">
        <f t="shared" si="49"/>
        <v>-8.3000000000000007</v>
      </c>
    </row>
    <row r="121" spans="1:35" x14ac:dyDescent="0.25">
      <c r="A121" s="57" t="s">
        <v>141</v>
      </c>
      <c r="B121" s="61">
        <v>-55</v>
      </c>
      <c r="C121" s="61">
        <v>-57.6</v>
      </c>
      <c r="D121" s="61">
        <v>-63</v>
      </c>
      <c r="E121" s="61">
        <v>-58</v>
      </c>
      <c r="F121" s="61">
        <v>-55</v>
      </c>
      <c r="G121" s="61">
        <v>-52</v>
      </c>
      <c r="H121" s="61">
        <v>-93.1</v>
      </c>
      <c r="I121" s="61">
        <v>-56.5</v>
      </c>
      <c r="J121" s="61">
        <v>34</v>
      </c>
      <c r="K121" s="61">
        <v>32.6</v>
      </c>
      <c r="L121" s="61">
        <v>11.5</v>
      </c>
      <c r="M121" s="61">
        <f>19+11.3</f>
        <v>30.3</v>
      </c>
      <c r="N121" s="61">
        <v>39</v>
      </c>
      <c r="O121" s="61">
        <v>37</v>
      </c>
      <c r="P121" s="61">
        <v>33</v>
      </c>
      <c r="Q121" s="61">
        <v>36</v>
      </c>
      <c r="R121" s="61">
        <v>34</v>
      </c>
      <c r="S121" s="61">
        <v>44</v>
      </c>
      <c r="T121" s="61">
        <v>49</v>
      </c>
      <c r="U121" s="61">
        <v>49</v>
      </c>
      <c r="V121" s="61">
        <v>49</v>
      </c>
      <c r="W121" s="61">
        <v>47.9</v>
      </c>
      <c r="X121" s="61">
        <v>45</v>
      </c>
      <c r="Y121" s="61">
        <v>43.4</v>
      </c>
      <c r="Z121" s="61">
        <v>36</v>
      </c>
      <c r="AA121" s="61">
        <v>48.9</v>
      </c>
      <c r="AB121" s="61">
        <v>30.6</v>
      </c>
      <c r="AC121" s="61">
        <v>-42.5</v>
      </c>
      <c r="AD121" s="61">
        <v>-20</v>
      </c>
      <c r="AE121" s="61">
        <v>-20</v>
      </c>
      <c r="AF121" s="61">
        <v>-42</v>
      </c>
      <c r="AG121" s="55">
        <v>240</v>
      </c>
      <c r="AH121" s="12">
        <f t="shared" si="48"/>
        <v>49</v>
      </c>
      <c r="AI121" s="11">
        <f t="shared" si="49"/>
        <v>-93.1</v>
      </c>
    </row>
    <row r="122" spans="1:35" ht="15.75" thickBot="1" x14ac:dyDescent="0.3">
      <c r="A122" s="57" t="s">
        <v>140</v>
      </c>
      <c r="B122" s="61">
        <v>14.6</v>
      </c>
      <c r="C122" s="61">
        <v>15.3</v>
      </c>
      <c r="D122" s="61">
        <v>15</v>
      </c>
      <c r="E122" s="61">
        <v>30.8</v>
      </c>
      <c r="F122" s="61">
        <v>30.8</v>
      </c>
      <c r="G122" s="61">
        <v>30.8</v>
      </c>
      <c r="H122" s="61">
        <v>21.2</v>
      </c>
      <c r="I122" s="61">
        <v>34.6</v>
      </c>
      <c r="J122" s="61">
        <v>19.600000000000001</v>
      </c>
      <c r="K122" s="61">
        <v>19.2</v>
      </c>
      <c r="L122" s="61">
        <v>27.9</v>
      </c>
      <c r="M122" s="61">
        <v>33.9</v>
      </c>
      <c r="N122" s="61">
        <v>23.5</v>
      </c>
      <c r="O122" s="61">
        <v>23.9</v>
      </c>
      <c r="P122" s="61">
        <v>24.2</v>
      </c>
      <c r="Q122" s="61">
        <v>23.4</v>
      </c>
      <c r="R122" s="61">
        <v>25.7</v>
      </c>
      <c r="S122" s="61">
        <v>32.4</v>
      </c>
      <c r="T122" s="61">
        <v>20.3</v>
      </c>
      <c r="U122" s="61">
        <v>20.3</v>
      </c>
      <c r="V122" s="61">
        <v>20.3</v>
      </c>
      <c r="W122" s="61">
        <v>39.799999999999997</v>
      </c>
      <c r="X122" s="61">
        <v>42</v>
      </c>
      <c r="Y122" s="61">
        <v>44.2</v>
      </c>
      <c r="Z122" s="61">
        <v>44.1</v>
      </c>
      <c r="AA122" s="61">
        <v>49.6</v>
      </c>
      <c r="AB122" s="61">
        <v>42.2</v>
      </c>
      <c r="AC122" s="61">
        <v>40.6</v>
      </c>
      <c r="AD122" s="61">
        <v>34</v>
      </c>
      <c r="AE122" s="61">
        <v>34</v>
      </c>
      <c r="AF122" s="61">
        <v>30</v>
      </c>
      <c r="AG122" s="55">
        <v>60</v>
      </c>
      <c r="AH122" s="12">
        <f t="shared" si="48"/>
        <v>49.6</v>
      </c>
      <c r="AI122" s="11">
        <f t="shared" si="49"/>
        <v>14.6</v>
      </c>
    </row>
    <row r="123" spans="1:35" x14ac:dyDescent="0.25">
      <c r="A123" s="59" t="s">
        <v>139</v>
      </c>
      <c r="B123" s="58">
        <v>33.1</v>
      </c>
      <c r="C123" s="58">
        <v>27</v>
      </c>
      <c r="D123" s="58">
        <v>21.4</v>
      </c>
      <c r="E123" s="58">
        <v>25.5</v>
      </c>
      <c r="F123" s="58">
        <v>35</v>
      </c>
      <c r="G123" s="58">
        <v>45.2</v>
      </c>
      <c r="H123" s="58">
        <v>63.8</v>
      </c>
      <c r="I123" s="58">
        <v>83.9</v>
      </c>
      <c r="J123" s="58">
        <v>107.2</v>
      </c>
      <c r="K123" s="58">
        <v>126.6</v>
      </c>
      <c r="L123" s="58">
        <v>139</v>
      </c>
      <c r="M123" s="58">
        <v>132.1</v>
      </c>
      <c r="N123" s="58">
        <v>124.7</v>
      </c>
      <c r="O123" s="58">
        <v>123.7</v>
      </c>
      <c r="P123" s="58">
        <v>113.1</v>
      </c>
      <c r="Q123" s="58">
        <v>115.5</v>
      </c>
      <c r="R123" s="58">
        <v>122.3</v>
      </c>
      <c r="S123" s="58">
        <v>124</v>
      </c>
      <c r="T123" s="58">
        <v>152.6</v>
      </c>
      <c r="U123" s="58">
        <v>152.6</v>
      </c>
      <c r="V123" s="58">
        <v>152.6</v>
      </c>
      <c r="W123" s="58">
        <v>139.1</v>
      </c>
      <c r="X123" s="58">
        <v>146.30000000000001</v>
      </c>
      <c r="Y123" s="58">
        <v>157.80000000000001</v>
      </c>
      <c r="Z123" s="58">
        <v>171</v>
      </c>
      <c r="AA123" s="58">
        <v>165.8</v>
      </c>
      <c r="AB123" s="58">
        <v>137</v>
      </c>
      <c r="AC123" s="58">
        <v>114.7</v>
      </c>
      <c r="AD123" s="58">
        <v>82</v>
      </c>
      <c r="AE123" s="58">
        <v>82</v>
      </c>
      <c r="AF123" s="58">
        <v>41</v>
      </c>
      <c r="AG123" s="60">
        <v>120</v>
      </c>
      <c r="AH123" s="12">
        <f t="shared" si="48"/>
        <v>171</v>
      </c>
      <c r="AI123" s="11">
        <f t="shared" si="49"/>
        <v>21.4</v>
      </c>
    </row>
    <row r="124" spans="1:35" x14ac:dyDescent="0.25">
      <c r="A124" s="57" t="s">
        <v>138</v>
      </c>
      <c r="B124" s="58">
        <v>31.4</v>
      </c>
      <c r="C124" s="58">
        <v>28.1</v>
      </c>
      <c r="D124" s="58">
        <v>25.4</v>
      </c>
      <c r="E124" s="58">
        <v>32</v>
      </c>
      <c r="F124" s="58">
        <v>34</v>
      </c>
      <c r="G124" s="58">
        <v>36</v>
      </c>
      <c r="H124" s="58">
        <v>45.4</v>
      </c>
      <c r="I124" s="58">
        <v>55.6</v>
      </c>
      <c r="J124" s="58">
        <v>67.7</v>
      </c>
      <c r="K124" s="58">
        <v>76.599999999999994</v>
      </c>
      <c r="L124" s="58">
        <v>82.3</v>
      </c>
      <c r="M124" s="58">
        <v>78.8</v>
      </c>
      <c r="N124" s="58">
        <v>76</v>
      </c>
      <c r="O124" s="58">
        <v>74.900000000000006</v>
      </c>
      <c r="P124" s="58">
        <v>69.599999999999994</v>
      </c>
      <c r="Q124" s="58">
        <v>71</v>
      </c>
      <c r="R124" s="58">
        <v>74.3</v>
      </c>
      <c r="S124" s="58">
        <v>75</v>
      </c>
      <c r="T124" s="58">
        <v>89</v>
      </c>
      <c r="U124" s="58">
        <v>89</v>
      </c>
      <c r="V124" s="58">
        <v>89</v>
      </c>
      <c r="W124" s="58">
        <v>77.400000000000006</v>
      </c>
      <c r="X124" s="58">
        <v>80.3</v>
      </c>
      <c r="Y124" s="58">
        <v>85.5</v>
      </c>
      <c r="Z124" s="58">
        <v>95.3</v>
      </c>
      <c r="AA124" s="58">
        <v>88.8</v>
      </c>
      <c r="AB124" s="58">
        <v>80.7</v>
      </c>
      <c r="AC124" s="58">
        <v>71.2</v>
      </c>
      <c r="AD124" s="58">
        <v>56</v>
      </c>
      <c r="AE124" s="58">
        <v>56</v>
      </c>
      <c r="AF124" s="58">
        <v>33.9</v>
      </c>
      <c r="AG124" s="60"/>
      <c r="AH124" s="12">
        <f t="shared" si="48"/>
        <v>95.3</v>
      </c>
      <c r="AI124" s="11">
        <f t="shared" si="49"/>
        <v>25.4</v>
      </c>
    </row>
    <row r="125" spans="1:35" x14ac:dyDescent="0.25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48"/>
        <v>0</v>
      </c>
      <c r="AI125" s="11">
        <f t="shared" si="49"/>
        <v>0</v>
      </c>
    </row>
    <row r="126" spans="1:35" ht="15.75" thickBot="1" x14ac:dyDescent="0.3">
      <c r="A126" s="57" t="s">
        <v>136</v>
      </c>
      <c r="B126" s="58">
        <v>63.3</v>
      </c>
      <c r="C126" s="58">
        <v>65.7</v>
      </c>
      <c r="D126" s="58">
        <v>58.3</v>
      </c>
      <c r="E126" s="58">
        <v>56</v>
      </c>
      <c r="F126" s="58">
        <v>54.5</v>
      </c>
      <c r="G126" s="58">
        <v>52.3</v>
      </c>
      <c r="H126" s="58">
        <v>49.7</v>
      </c>
      <c r="I126" s="58">
        <v>27.5</v>
      </c>
      <c r="J126" s="58">
        <v>104.5</v>
      </c>
      <c r="K126" s="58">
        <v>111</v>
      </c>
      <c r="L126" s="58">
        <v>99.1</v>
      </c>
      <c r="M126" s="58">
        <v>93.9</v>
      </c>
      <c r="N126" s="58">
        <v>105</v>
      </c>
      <c r="O126" s="58">
        <v>103.9</v>
      </c>
      <c r="P126" s="58">
        <v>92.3</v>
      </c>
      <c r="Q126" s="58">
        <v>101</v>
      </c>
      <c r="R126" s="58">
        <v>100</v>
      </c>
      <c r="S126" s="58">
        <v>90</v>
      </c>
      <c r="T126" s="58">
        <v>106.1</v>
      </c>
      <c r="U126" s="58">
        <v>106.1</v>
      </c>
      <c r="V126" s="58">
        <v>106.1</v>
      </c>
      <c r="W126" s="58">
        <v>92.3</v>
      </c>
      <c r="X126" s="58">
        <v>78.2</v>
      </c>
      <c r="Y126" s="58">
        <v>87.4</v>
      </c>
      <c r="Z126" s="58">
        <v>62.6</v>
      </c>
      <c r="AA126" s="58">
        <v>69</v>
      </c>
      <c r="AB126" s="58">
        <v>65.599999999999994</v>
      </c>
      <c r="AC126" s="58">
        <v>48.2</v>
      </c>
      <c r="AD126" s="58">
        <v>44</v>
      </c>
      <c r="AE126" s="58">
        <v>44</v>
      </c>
      <c r="AF126" s="58">
        <v>26</v>
      </c>
      <c r="AG126" s="55"/>
      <c r="AH126" s="12">
        <f>MAX(B126:AF126)</f>
        <v>111</v>
      </c>
      <c r="AI126" s="11">
        <f>MIN(B126:AF126)</f>
        <v>26</v>
      </c>
    </row>
    <row r="127" spans="1:35" x14ac:dyDescent="0.25">
      <c r="A127" s="59" t="s">
        <v>135</v>
      </c>
      <c r="B127" s="58">
        <v>-141.19999999999999</v>
      </c>
      <c r="C127" s="58">
        <v>-91.2</v>
      </c>
      <c r="D127" s="58">
        <v>-63.3</v>
      </c>
      <c r="E127" s="58">
        <v>-58.5</v>
      </c>
      <c r="F127" s="58">
        <v>-55.1</v>
      </c>
      <c r="G127" s="58">
        <v>-48.6</v>
      </c>
      <c r="H127" s="58">
        <v>-52.9</v>
      </c>
      <c r="I127" s="58">
        <v>-44.8</v>
      </c>
      <c r="J127" s="58">
        <v>30.5</v>
      </c>
      <c r="K127" s="58">
        <v>40.1</v>
      </c>
      <c r="L127" s="58">
        <v>46.7</v>
      </c>
      <c r="M127" s="58">
        <v>44.7</v>
      </c>
      <c r="N127" s="58">
        <v>40</v>
      </c>
      <c r="O127" s="58">
        <v>39.299999999999997</v>
      </c>
      <c r="P127" s="58">
        <v>34.200000000000003</v>
      </c>
      <c r="Q127" s="58">
        <v>36.700000000000003</v>
      </c>
      <c r="R127" s="58">
        <v>41.4</v>
      </c>
      <c r="S127" s="58">
        <v>42</v>
      </c>
      <c r="T127" s="58">
        <v>54</v>
      </c>
      <c r="U127" s="58">
        <v>54</v>
      </c>
      <c r="V127" s="58">
        <v>54</v>
      </c>
      <c r="W127" s="58">
        <v>48.2</v>
      </c>
      <c r="X127" s="58">
        <v>33.9</v>
      </c>
      <c r="Y127" s="58">
        <v>27.6</v>
      </c>
      <c r="Z127" s="58">
        <v>-153.69999999999999</v>
      </c>
      <c r="AA127" s="58">
        <v>-152.80000000000001</v>
      </c>
      <c r="AB127" s="58">
        <v>-167.2</v>
      </c>
      <c r="AC127" s="58">
        <v>-135.19999999999999</v>
      </c>
      <c r="AD127" s="58">
        <v>-127</v>
      </c>
      <c r="AE127" s="58">
        <v>-127</v>
      </c>
      <c r="AF127" s="58">
        <v>-71</v>
      </c>
      <c r="AG127" s="55"/>
      <c r="AH127" s="12">
        <f>MAX(B127:AF127)</f>
        <v>54</v>
      </c>
      <c r="AI127" s="11">
        <f>MIN(B127:AF127)</f>
        <v>-167.2</v>
      </c>
    </row>
    <row r="128" spans="1:35" x14ac:dyDescent="0.25">
      <c r="A128" s="57" t="s">
        <v>134</v>
      </c>
      <c r="B128" s="56">
        <v>-46.1</v>
      </c>
      <c r="C128" s="56">
        <v>-48.8</v>
      </c>
      <c r="D128" s="56">
        <v>-46</v>
      </c>
      <c r="E128" s="56">
        <v>-42</v>
      </c>
      <c r="F128" s="56">
        <v>-40</v>
      </c>
      <c r="G128" s="56">
        <v>-38.700000000000003</v>
      </c>
      <c r="H128" s="56">
        <v>-45.2</v>
      </c>
      <c r="I128" s="56">
        <v>-50</v>
      </c>
      <c r="J128" s="56">
        <v>-56.1</v>
      </c>
      <c r="K128" s="56">
        <v>-61.6</v>
      </c>
      <c r="L128" s="56">
        <v>-65</v>
      </c>
      <c r="M128" s="56">
        <v>-65.5</v>
      </c>
      <c r="N128" s="56">
        <v>-62.3</v>
      </c>
      <c r="O128" s="56"/>
      <c r="P128" s="56">
        <v>-62.9</v>
      </c>
      <c r="Q128" s="56"/>
      <c r="R128" s="56">
        <v>-57</v>
      </c>
      <c r="S128" s="56">
        <v>-60.4</v>
      </c>
      <c r="T128" s="56">
        <v>-52.5</v>
      </c>
      <c r="U128" s="56">
        <v>-52.5</v>
      </c>
      <c r="V128" s="56">
        <v>-52.5</v>
      </c>
      <c r="W128" s="56"/>
      <c r="X128" s="56"/>
      <c r="Y128" s="56"/>
      <c r="Z128" s="56"/>
      <c r="AA128" s="56">
        <v>-64.2</v>
      </c>
      <c r="AB128" s="56">
        <v>-65.3</v>
      </c>
      <c r="AC128" s="56">
        <v>-66.099999999999994</v>
      </c>
      <c r="AD128" s="56">
        <v>-63.5</v>
      </c>
      <c r="AE128" s="56">
        <v>-63.5</v>
      </c>
      <c r="AF128" s="56">
        <v>-54</v>
      </c>
      <c r="AG128" s="55"/>
      <c r="AH128" s="12">
        <f>MAX(B128:AF128)</f>
        <v>-38.700000000000003</v>
      </c>
      <c r="AI128" s="11">
        <f>MIN(B128:AF128)</f>
        <v>-66.099999999999994</v>
      </c>
    </row>
    <row r="129" spans="1:37" x14ac:dyDescent="0.25">
      <c r="A129" s="57" t="s">
        <v>133</v>
      </c>
      <c r="B129" s="56">
        <v>94.9</v>
      </c>
      <c r="C129" s="56">
        <v>94</v>
      </c>
      <c r="D129" s="56">
        <v>89.8</v>
      </c>
      <c r="E129" s="56">
        <v>86.9</v>
      </c>
      <c r="F129" s="56">
        <v>82.5</v>
      </c>
      <c r="G129" s="56">
        <v>71.400000000000006</v>
      </c>
      <c r="H129" s="56">
        <v>72.2</v>
      </c>
      <c r="I129" s="56">
        <v>82.2</v>
      </c>
      <c r="J129" s="56">
        <v>62.2</v>
      </c>
      <c r="K129" s="56">
        <v>80.099999999999994</v>
      </c>
      <c r="L129" s="56">
        <v>87</v>
      </c>
      <c r="M129" s="56">
        <v>87</v>
      </c>
      <c r="N129" s="56">
        <v>83.1</v>
      </c>
      <c r="O129" s="56">
        <v>76.7</v>
      </c>
      <c r="P129" s="56">
        <v>86.8</v>
      </c>
      <c r="Q129" s="56">
        <v>90</v>
      </c>
      <c r="R129" s="56">
        <v>87.5</v>
      </c>
      <c r="S129" s="56">
        <v>86</v>
      </c>
      <c r="T129" s="56">
        <v>83</v>
      </c>
      <c r="U129" s="56">
        <v>83</v>
      </c>
      <c r="V129" s="56">
        <v>83</v>
      </c>
      <c r="W129" s="56">
        <v>68</v>
      </c>
      <c r="X129" s="56">
        <v>54.4</v>
      </c>
      <c r="Y129" s="56">
        <v>47.7</v>
      </c>
      <c r="Z129" s="56">
        <v>100.6</v>
      </c>
      <c r="AA129" s="56">
        <v>104</v>
      </c>
      <c r="AB129" s="56">
        <v>109.7</v>
      </c>
      <c r="AC129" s="56">
        <v>111.8</v>
      </c>
      <c r="AD129" s="56">
        <v>96</v>
      </c>
      <c r="AE129" s="56">
        <v>96</v>
      </c>
      <c r="AF129" s="56">
        <v>94</v>
      </c>
      <c r="AG129" s="55"/>
      <c r="AH129" s="12">
        <f>MAX(B129:AF129)</f>
        <v>111.8</v>
      </c>
      <c r="AI129" s="11">
        <f>MIN(B129:AF129)</f>
        <v>47.7</v>
      </c>
    </row>
    <row r="130" spans="1:37" ht="15.75" thickBot="1" x14ac:dyDescent="0.3">
      <c r="A130" s="57" t="s">
        <v>132</v>
      </c>
      <c r="B130" s="56">
        <v>104.6</v>
      </c>
      <c r="C130" s="56">
        <v>103.4</v>
      </c>
      <c r="D130" s="56">
        <v>99.1</v>
      </c>
      <c r="E130" s="56">
        <v>89.3</v>
      </c>
      <c r="F130" s="56">
        <v>85.5</v>
      </c>
      <c r="G130" s="56">
        <v>83.4</v>
      </c>
      <c r="H130" s="56">
        <v>83</v>
      </c>
      <c r="I130" s="56">
        <v>87.7</v>
      </c>
      <c r="J130" s="56">
        <v>62.1</v>
      </c>
      <c r="K130" s="56">
        <v>77.599999999999994</v>
      </c>
      <c r="L130" s="56">
        <v>86.1</v>
      </c>
      <c r="M130" s="56">
        <v>89.5</v>
      </c>
      <c r="N130" s="56">
        <v>85</v>
      </c>
      <c r="O130" s="56">
        <v>73.3</v>
      </c>
      <c r="P130" s="56">
        <v>83.8</v>
      </c>
      <c r="Q130" s="56">
        <v>86</v>
      </c>
      <c r="R130" s="56">
        <v>82.4</v>
      </c>
      <c r="S130" s="56">
        <v>85</v>
      </c>
      <c r="T130" s="56">
        <v>86.3</v>
      </c>
      <c r="U130" s="56">
        <v>86.3</v>
      </c>
      <c r="V130" s="56">
        <v>86.3</v>
      </c>
      <c r="W130" s="56">
        <v>68.7</v>
      </c>
      <c r="X130" s="56">
        <v>61.9</v>
      </c>
      <c r="Y130" s="56">
        <v>59.5</v>
      </c>
      <c r="Z130" s="56">
        <v>109.8</v>
      </c>
      <c r="AA130" s="56">
        <v>113.4</v>
      </c>
      <c r="AB130" s="56">
        <v>118.3</v>
      </c>
      <c r="AC130" s="56">
        <v>121.8</v>
      </c>
      <c r="AD130" s="56">
        <v>105</v>
      </c>
      <c r="AE130" s="56">
        <v>105</v>
      </c>
      <c r="AF130" s="56">
        <v>105</v>
      </c>
      <c r="AG130" s="55"/>
      <c r="AH130" s="12">
        <f>MAX(B130:AF130)</f>
        <v>121.8</v>
      </c>
      <c r="AI130" s="11">
        <f>MIN(B130:AF130)</f>
        <v>59.5</v>
      </c>
    </row>
    <row r="131" spans="1:37" x14ac:dyDescent="0.25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25">
      <c r="A132" s="47" t="s">
        <v>130</v>
      </c>
      <c r="B132" s="51">
        <v>1983.25</v>
      </c>
      <c r="C132" s="51">
        <v>1982.62</v>
      </c>
      <c r="D132" s="51">
        <v>1982.59</v>
      </c>
      <c r="E132" s="51">
        <v>1982.63</v>
      </c>
      <c r="F132" s="51">
        <v>1982.67</v>
      </c>
      <c r="G132" s="51">
        <v>1982.7</v>
      </c>
      <c r="H132" s="51"/>
      <c r="I132" s="51">
        <v>1982.56</v>
      </c>
      <c r="J132" s="51"/>
      <c r="K132" s="51">
        <v>1982.86</v>
      </c>
      <c r="L132" s="51"/>
      <c r="M132" s="51">
        <v>1983.23</v>
      </c>
      <c r="N132" s="51">
        <v>1983.59</v>
      </c>
      <c r="O132" s="51">
        <v>1983.8</v>
      </c>
      <c r="P132" s="51">
        <v>1984.15</v>
      </c>
      <c r="Q132" s="51">
        <v>1984.45</v>
      </c>
      <c r="R132" s="51">
        <v>1984.7</v>
      </c>
      <c r="S132" s="51">
        <v>1984.9</v>
      </c>
      <c r="T132" s="51">
        <v>1985.5</v>
      </c>
      <c r="U132" s="51">
        <v>1985.6</v>
      </c>
      <c r="V132" s="51">
        <v>1985.82</v>
      </c>
      <c r="W132" s="51"/>
      <c r="X132" s="51">
        <v>1985.98</v>
      </c>
      <c r="Y132" s="51"/>
      <c r="Z132" s="51">
        <v>1985.65</v>
      </c>
      <c r="AA132" s="51"/>
      <c r="AB132" s="51">
        <v>1984.8</v>
      </c>
      <c r="AC132" s="51"/>
      <c r="AD132" s="51">
        <v>1983.9</v>
      </c>
      <c r="AE132" s="51">
        <v>1982</v>
      </c>
      <c r="AF132" s="50">
        <v>1982.6</v>
      </c>
      <c r="AG132" s="44"/>
      <c r="AH132" s="12"/>
      <c r="AI132" s="11">
        <f>(200-187.63)</f>
        <v>12.370000000000005</v>
      </c>
    </row>
    <row r="133" spans="1:37" x14ac:dyDescent="0.25">
      <c r="A133" s="47" t="s">
        <v>129</v>
      </c>
      <c r="B133" s="49">
        <v>520.24</v>
      </c>
      <c r="C133" s="49">
        <v>520.22</v>
      </c>
      <c r="D133" s="49">
        <v>520.21</v>
      </c>
      <c r="E133" s="49">
        <v>520.17999999999995</v>
      </c>
      <c r="F133" s="49">
        <v>520.16</v>
      </c>
      <c r="G133" s="49">
        <v>520.15</v>
      </c>
      <c r="H133" s="49"/>
      <c r="I133" s="49">
        <v>520.05999999999995</v>
      </c>
      <c r="J133" s="49"/>
      <c r="K133" s="49">
        <v>520.12</v>
      </c>
      <c r="L133" s="49"/>
      <c r="M133" s="49">
        <v>520.1</v>
      </c>
      <c r="N133" s="49">
        <v>520.04</v>
      </c>
      <c r="O133" s="49">
        <v>520</v>
      </c>
      <c r="P133" s="49">
        <v>519.84</v>
      </c>
      <c r="Q133" s="49">
        <v>519.64</v>
      </c>
      <c r="R133" s="49">
        <v>519.41999999999996</v>
      </c>
      <c r="S133" s="49">
        <v>519.15</v>
      </c>
      <c r="T133" s="49">
        <v>519.08000000000004</v>
      </c>
      <c r="U133" s="49">
        <v>519.01</v>
      </c>
      <c r="V133" s="49">
        <v>518.99</v>
      </c>
      <c r="W133" s="49"/>
      <c r="X133" s="49">
        <v>518.95000000000005</v>
      </c>
      <c r="Y133" s="49"/>
      <c r="Z133" s="49">
        <v>518.91</v>
      </c>
      <c r="AA133" s="49"/>
      <c r="AB133" s="49" t="s">
        <v>311</v>
      </c>
      <c r="AC133" s="49"/>
      <c r="AD133" s="49">
        <v>518.82000000000005</v>
      </c>
      <c r="AE133" s="49">
        <v>518.79</v>
      </c>
      <c r="AF133" s="48">
        <v>518.73</v>
      </c>
      <c r="AG133" s="44"/>
      <c r="AH133" s="12"/>
      <c r="AI133" s="194">
        <f>AI132/2</f>
        <v>6.1850000000000023</v>
      </c>
    </row>
    <row r="134" spans="1:37" x14ac:dyDescent="0.25">
      <c r="A134" s="47" t="s">
        <v>128</v>
      </c>
      <c r="B134" s="49">
        <v>622.98</v>
      </c>
      <c r="C134" s="49">
        <v>622.70000000000005</v>
      </c>
      <c r="D134" s="49">
        <v>622.29999999999995</v>
      </c>
      <c r="E134" s="49">
        <v>622.5</v>
      </c>
      <c r="F134" s="49">
        <v>622.85</v>
      </c>
      <c r="G134" s="49">
        <v>623</v>
      </c>
      <c r="H134" s="49"/>
      <c r="I134" s="49">
        <v>622.87</v>
      </c>
      <c r="J134" s="49"/>
      <c r="K134" s="49">
        <v>623.1</v>
      </c>
      <c r="L134" s="49"/>
      <c r="M134" s="49"/>
      <c r="N134" s="49">
        <v>623.22</v>
      </c>
      <c r="O134" s="49">
        <v>623.25</v>
      </c>
      <c r="P134" s="49">
        <v>623.30999999999995</v>
      </c>
      <c r="Q134" s="49">
        <v>623.39</v>
      </c>
      <c r="R134" s="49">
        <v>623.37</v>
      </c>
      <c r="S134" s="49">
        <v>623.32000000000005</v>
      </c>
      <c r="T134" s="49">
        <v>623.14</v>
      </c>
      <c r="U134" s="49">
        <v>623.14</v>
      </c>
      <c r="V134" s="49">
        <v>623.34</v>
      </c>
      <c r="W134" s="49"/>
      <c r="X134" s="49">
        <v>623.41</v>
      </c>
      <c r="Y134" s="49"/>
      <c r="Z134" s="49">
        <v>623.41</v>
      </c>
      <c r="AA134" s="49"/>
      <c r="AB134" s="49">
        <v>622.4</v>
      </c>
      <c r="AC134" s="49"/>
      <c r="AD134" s="49">
        <v>621.96</v>
      </c>
      <c r="AE134" s="49">
        <v>622.5</v>
      </c>
      <c r="AF134" s="48">
        <v>622.01</v>
      </c>
      <c r="AG134" s="44"/>
      <c r="AH134" s="12"/>
      <c r="AI134" s="11"/>
      <c r="AJ134" s="1">
        <v>3</v>
      </c>
    </row>
    <row r="135" spans="1:37" x14ac:dyDescent="0.25">
      <c r="A135" s="47" t="s">
        <v>127</v>
      </c>
      <c r="B135" s="49">
        <v>334.2</v>
      </c>
      <c r="C135" s="49">
        <v>333.86</v>
      </c>
      <c r="D135" s="49">
        <v>334.09</v>
      </c>
      <c r="E135" s="49">
        <v>334.55</v>
      </c>
      <c r="F135" s="49">
        <v>335.08</v>
      </c>
      <c r="G135" s="49">
        <v>335.54</v>
      </c>
      <c r="H135" s="49"/>
      <c r="I135" s="49">
        <v>335.76</v>
      </c>
      <c r="J135" s="49"/>
      <c r="K135" s="49">
        <v>335.8</v>
      </c>
      <c r="L135" s="49"/>
      <c r="M135" s="49">
        <v>335.72</v>
      </c>
      <c r="N135" s="49">
        <v>335.53</v>
      </c>
      <c r="O135" s="49">
        <v>335.22</v>
      </c>
      <c r="P135" s="49">
        <v>334.82</v>
      </c>
      <c r="Q135" s="49">
        <v>334.6</v>
      </c>
      <c r="R135" s="49">
        <v>334.26</v>
      </c>
      <c r="S135" s="49">
        <v>333.92</v>
      </c>
      <c r="T135" s="49">
        <v>333.87</v>
      </c>
      <c r="U135" s="49">
        <v>333.85</v>
      </c>
      <c r="V135" s="49">
        <v>333.87</v>
      </c>
      <c r="W135" s="49"/>
      <c r="X135" s="49">
        <v>334.05</v>
      </c>
      <c r="Y135" s="49"/>
      <c r="Z135" s="49">
        <v>334.24</v>
      </c>
      <c r="AA135" s="49"/>
      <c r="AB135" s="49">
        <v>334.22</v>
      </c>
      <c r="AC135" s="49"/>
      <c r="AD135" s="49">
        <v>334.18</v>
      </c>
      <c r="AE135" s="49">
        <v>334.2</v>
      </c>
      <c r="AF135" s="48">
        <v>334.28</v>
      </c>
      <c r="AG135" s="44"/>
      <c r="AH135" s="12"/>
      <c r="AI135" s="194">
        <v>3</v>
      </c>
    </row>
    <row r="136" spans="1:37" x14ac:dyDescent="0.25">
      <c r="A136" s="47" t="s">
        <v>126</v>
      </c>
      <c r="B136" s="49">
        <v>883.5</v>
      </c>
      <c r="C136" s="49">
        <v>883.5</v>
      </c>
      <c r="D136" s="49">
        <v>883.6</v>
      </c>
      <c r="E136" s="49">
        <v>884.1</v>
      </c>
      <c r="F136" s="49">
        <v>885</v>
      </c>
      <c r="G136" s="49">
        <v>885.6</v>
      </c>
      <c r="H136" s="49"/>
      <c r="I136" s="49">
        <v>886.1</v>
      </c>
      <c r="J136" s="49"/>
      <c r="K136" s="49">
        <v>886.2</v>
      </c>
      <c r="L136" s="49"/>
      <c r="M136" s="49">
        <v>886.1</v>
      </c>
      <c r="N136" s="49">
        <v>886.2</v>
      </c>
      <c r="O136" s="49">
        <v>886.1</v>
      </c>
      <c r="P136" s="49">
        <v>886</v>
      </c>
      <c r="Q136" s="49">
        <v>886</v>
      </c>
      <c r="R136" s="49">
        <v>886</v>
      </c>
      <c r="S136" s="49">
        <v>886</v>
      </c>
      <c r="T136" s="49">
        <v>885.9</v>
      </c>
      <c r="U136" s="49">
        <v>885.7</v>
      </c>
      <c r="V136" s="49">
        <v>885.3</v>
      </c>
      <c r="W136" s="49"/>
      <c r="X136" s="49">
        <v>885</v>
      </c>
      <c r="Y136" s="49"/>
      <c r="Z136" s="49">
        <v>884.7</v>
      </c>
      <c r="AA136" s="49"/>
      <c r="AB136" s="49">
        <v>883.5</v>
      </c>
      <c r="AC136" s="49"/>
      <c r="AD136" s="49">
        <v>882.5</v>
      </c>
      <c r="AE136" s="49">
        <v>882.3</v>
      </c>
      <c r="AF136" s="48">
        <v>882.2</v>
      </c>
      <c r="AG136" s="44"/>
      <c r="AH136" s="12"/>
      <c r="AI136" s="194">
        <v>3.29</v>
      </c>
    </row>
    <row r="137" spans="1:37" ht="15.75" thickBot="1" x14ac:dyDescent="0.3">
      <c r="A137" s="47" t="s">
        <v>125</v>
      </c>
      <c r="B137" s="46">
        <v>1504.49</v>
      </c>
      <c r="C137" s="46"/>
      <c r="D137" s="46"/>
      <c r="E137" s="46"/>
      <c r="F137" s="46"/>
      <c r="G137" s="46"/>
      <c r="H137" s="46"/>
      <c r="I137" s="46">
        <v>1504.31</v>
      </c>
      <c r="J137" s="46"/>
      <c r="K137" s="46"/>
      <c r="L137" s="46"/>
      <c r="M137" s="46"/>
      <c r="N137" s="46"/>
      <c r="O137" s="46">
        <v>1504.18</v>
      </c>
      <c r="P137" s="46"/>
      <c r="Q137" s="46"/>
      <c r="R137" s="46"/>
      <c r="S137" s="46">
        <v>1504.04</v>
      </c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94">
        <f>AI135+AI136</f>
        <v>6.29</v>
      </c>
    </row>
    <row r="138" spans="1:37" ht="15.75" thickBot="1" x14ac:dyDescent="0.3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94">
        <f>AI137%*100</f>
        <v>6.29</v>
      </c>
      <c r="AK138" s="19"/>
    </row>
    <row r="139" spans="1:37" x14ac:dyDescent="0.25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25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25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25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25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25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25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25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25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25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25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25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25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25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25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25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25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25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25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25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25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25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25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25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25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25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25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25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25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25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25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25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25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25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25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25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25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25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25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25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25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25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25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25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25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25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25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25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25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25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25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25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25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25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25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25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25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25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25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25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25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25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25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25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25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25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25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25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25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25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25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25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25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25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25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25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25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25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25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25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25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25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25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25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25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25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25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25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25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25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25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25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25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25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25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25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25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25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25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25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25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25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25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25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.75" thickBot="1" x14ac:dyDescent="0.3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.75" thickBot="1" x14ac:dyDescent="0.3">
      <c r="A244" s="31" t="s">
        <v>17</v>
      </c>
      <c r="B244" s="30">
        <f t="shared" ref="B244:AG244" si="101">SUM(B139:B243)</f>
        <v>0</v>
      </c>
      <c r="C244" s="14">
        <f t="shared" si="101"/>
        <v>0</v>
      </c>
      <c r="D244" s="14">
        <f t="shared" si="101"/>
        <v>0</v>
      </c>
      <c r="E244" s="14">
        <f t="shared" si="101"/>
        <v>0</v>
      </c>
      <c r="F244" s="14">
        <f t="shared" si="101"/>
        <v>0</v>
      </c>
      <c r="G244" s="14">
        <f t="shared" si="101"/>
        <v>0</v>
      </c>
      <c r="H244" s="14">
        <f t="shared" si="101"/>
        <v>0</v>
      </c>
      <c r="I244" s="14">
        <f t="shared" si="101"/>
        <v>0</v>
      </c>
      <c r="J244" s="14">
        <f t="shared" si="101"/>
        <v>0</v>
      </c>
      <c r="K244" s="14">
        <f t="shared" si="101"/>
        <v>0</v>
      </c>
      <c r="L244" s="14">
        <f t="shared" si="101"/>
        <v>0</v>
      </c>
      <c r="M244" s="14">
        <f t="shared" si="101"/>
        <v>0</v>
      </c>
      <c r="N244" s="14">
        <f t="shared" si="101"/>
        <v>0</v>
      </c>
      <c r="O244" s="14">
        <f t="shared" si="101"/>
        <v>0</v>
      </c>
      <c r="P244" s="14">
        <f t="shared" si="101"/>
        <v>0</v>
      </c>
      <c r="Q244" s="14">
        <f t="shared" si="101"/>
        <v>0</v>
      </c>
      <c r="R244" s="14">
        <f t="shared" si="101"/>
        <v>0</v>
      </c>
      <c r="S244" s="14">
        <f t="shared" si="101"/>
        <v>0</v>
      </c>
      <c r="T244" s="14">
        <f t="shared" si="101"/>
        <v>0</v>
      </c>
      <c r="U244" s="14">
        <f t="shared" si="101"/>
        <v>0</v>
      </c>
      <c r="V244" s="14">
        <f t="shared" si="101"/>
        <v>0</v>
      </c>
      <c r="W244" s="14">
        <f t="shared" si="101"/>
        <v>0</v>
      </c>
      <c r="X244" s="14">
        <f t="shared" si="101"/>
        <v>0</v>
      </c>
      <c r="Y244" s="14">
        <f t="shared" si="101"/>
        <v>0</v>
      </c>
      <c r="Z244" s="14">
        <f t="shared" si="101"/>
        <v>0</v>
      </c>
      <c r="AA244" s="14">
        <f t="shared" si="101"/>
        <v>0</v>
      </c>
      <c r="AB244" s="14">
        <f t="shared" si="101"/>
        <v>0</v>
      </c>
      <c r="AC244" s="14">
        <f t="shared" si="101"/>
        <v>0</v>
      </c>
      <c r="AD244" s="14">
        <f t="shared" si="101"/>
        <v>0</v>
      </c>
      <c r="AE244" s="14">
        <f t="shared" si="101"/>
        <v>0</v>
      </c>
      <c r="AF244" s="29">
        <f t="shared" si="101"/>
        <v>0</v>
      </c>
      <c r="AG244" s="28">
        <f t="shared" si="101"/>
        <v>412.72299999999984</v>
      </c>
      <c r="AH244" s="12"/>
      <c r="AI244" s="11"/>
      <c r="AK244" s="19"/>
    </row>
    <row r="245" spans="1:37" ht="15.75" thickBot="1" x14ac:dyDescent="0.3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25">
      <c r="A246" s="25" t="s">
        <v>16</v>
      </c>
      <c r="B246" s="24">
        <f t="shared" ref="B246:B251" si="102">AF246</f>
        <v>0.3</v>
      </c>
      <c r="C246" s="24">
        <v>0.3</v>
      </c>
      <c r="D246" s="24">
        <f t="shared" ref="D246:AF251" si="103">C246</f>
        <v>0.3</v>
      </c>
      <c r="E246" s="24">
        <f t="shared" si="103"/>
        <v>0.3</v>
      </c>
      <c r="F246" s="24">
        <f t="shared" si="103"/>
        <v>0.3</v>
      </c>
      <c r="G246" s="24">
        <f t="shared" si="103"/>
        <v>0.3</v>
      </c>
      <c r="H246" s="24">
        <f t="shared" si="103"/>
        <v>0.3</v>
      </c>
      <c r="I246" s="24">
        <f t="shared" si="103"/>
        <v>0.3</v>
      </c>
      <c r="J246" s="24">
        <f t="shared" si="103"/>
        <v>0.3</v>
      </c>
      <c r="K246" s="24">
        <f t="shared" si="103"/>
        <v>0.3</v>
      </c>
      <c r="L246" s="24">
        <f t="shared" si="103"/>
        <v>0.3</v>
      </c>
      <c r="M246" s="24">
        <f t="shared" si="103"/>
        <v>0.3</v>
      </c>
      <c r="N246" s="24">
        <f t="shared" si="103"/>
        <v>0.3</v>
      </c>
      <c r="O246" s="24">
        <f t="shared" si="103"/>
        <v>0.3</v>
      </c>
      <c r="P246" s="24">
        <f t="shared" si="103"/>
        <v>0.3</v>
      </c>
      <c r="Q246" s="24">
        <f t="shared" si="103"/>
        <v>0.3</v>
      </c>
      <c r="R246" s="24">
        <f t="shared" si="103"/>
        <v>0.3</v>
      </c>
      <c r="S246" s="24">
        <f t="shared" si="103"/>
        <v>0.3</v>
      </c>
      <c r="T246" s="24">
        <f t="shared" si="103"/>
        <v>0.3</v>
      </c>
      <c r="U246" s="24">
        <f t="shared" si="103"/>
        <v>0.3</v>
      </c>
      <c r="V246" s="24">
        <f t="shared" si="103"/>
        <v>0.3</v>
      </c>
      <c r="W246" s="24">
        <f t="shared" si="103"/>
        <v>0.3</v>
      </c>
      <c r="X246" s="24">
        <f t="shared" si="103"/>
        <v>0.3</v>
      </c>
      <c r="Y246" s="24">
        <f t="shared" si="103"/>
        <v>0.3</v>
      </c>
      <c r="Z246" s="24">
        <f t="shared" si="103"/>
        <v>0.3</v>
      </c>
      <c r="AA246" s="24">
        <f t="shared" si="103"/>
        <v>0.3</v>
      </c>
      <c r="AB246" s="24">
        <f t="shared" si="103"/>
        <v>0.3</v>
      </c>
      <c r="AC246" s="24">
        <f t="shared" si="103"/>
        <v>0.3</v>
      </c>
      <c r="AD246" s="24">
        <f t="shared" si="103"/>
        <v>0.3</v>
      </c>
      <c r="AE246" s="24">
        <f t="shared" si="103"/>
        <v>0.3</v>
      </c>
      <c r="AF246" s="24">
        <f t="shared" si="103"/>
        <v>0.3</v>
      </c>
      <c r="AG246" s="23">
        <v>2.4</v>
      </c>
      <c r="AH246" s="12"/>
      <c r="AI246" s="11"/>
      <c r="AK246" s="19"/>
    </row>
    <row r="247" spans="1:37" x14ac:dyDescent="0.25">
      <c r="A247" s="22" t="s">
        <v>15</v>
      </c>
      <c r="B247" s="21">
        <f t="shared" si="102"/>
        <v>0.4</v>
      </c>
      <c r="C247" s="21">
        <v>0.4</v>
      </c>
      <c r="D247" s="21">
        <f t="shared" si="103"/>
        <v>0.4</v>
      </c>
      <c r="E247" s="21">
        <f t="shared" si="103"/>
        <v>0.4</v>
      </c>
      <c r="F247" s="21">
        <f t="shared" si="103"/>
        <v>0.4</v>
      </c>
      <c r="G247" s="21">
        <f t="shared" si="103"/>
        <v>0.4</v>
      </c>
      <c r="H247" s="21">
        <f t="shared" si="103"/>
        <v>0.4</v>
      </c>
      <c r="I247" s="21">
        <f t="shared" si="103"/>
        <v>0.4</v>
      </c>
      <c r="J247" s="21">
        <f t="shared" si="103"/>
        <v>0.4</v>
      </c>
      <c r="K247" s="21">
        <f t="shared" si="103"/>
        <v>0.4</v>
      </c>
      <c r="L247" s="21">
        <f t="shared" si="103"/>
        <v>0.4</v>
      </c>
      <c r="M247" s="21">
        <f t="shared" si="103"/>
        <v>0.4</v>
      </c>
      <c r="N247" s="21">
        <f t="shared" si="103"/>
        <v>0.4</v>
      </c>
      <c r="O247" s="21">
        <f t="shared" si="103"/>
        <v>0.4</v>
      </c>
      <c r="P247" s="21">
        <f t="shared" si="103"/>
        <v>0.4</v>
      </c>
      <c r="Q247" s="21">
        <f t="shared" si="103"/>
        <v>0.4</v>
      </c>
      <c r="R247" s="21">
        <f t="shared" si="103"/>
        <v>0.4</v>
      </c>
      <c r="S247" s="21">
        <f t="shared" si="103"/>
        <v>0.4</v>
      </c>
      <c r="T247" s="21">
        <f t="shared" si="103"/>
        <v>0.4</v>
      </c>
      <c r="U247" s="21">
        <f t="shared" si="103"/>
        <v>0.4</v>
      </c>
      <c r="V247" s="21">
        <f t="shared" si="103"/>
        <v>0.4</v>
      </c>
      <c r="W247" s="21">
        <f t="shared" si="103"/>
        <v>0.4</v>
      </c>
      <c r="X247" s="21">
        <f t="shared" si="103"/>
        <v>0.4</v>
      </c>
      <c r="Y247" s="21">
        <f t="shared" si="103"/>
        <v>0.4</v>
      </c>
      <c r="Z247" s="21">
        <f t="shared" si="103"/>
        <v>0.4</v>
      </c>
      <c r="AA247" s="21">
        <f t="shared" si="103"/>
        <v>0.4</v>
      </c>
      <c r="AB247" s="21">
        <f t="shared" si="103"/>
        <v>0.4</v>
      </c>
      <c r="AC247" s="21">
        <f t="shared" si="103"/>
        <v>0.4</v>
      </c>
      <c r="AD247" s="21">
        <f t="shared" si="103"/>
        <v>0.4</v>
      </c>
      <c r="AE247" s="21">
        <f t="shared" si="103"/>
        <v>0.4</v>
      </c>
      <c r="AF247" s="21">
        <f t="shared" si="103"/>
        <v>0.4</v>
      </c>
      <c r="AG247" s="20">
        <v>2</v>
      </c>
      <c r="AH247" s="12"/>
      <c r="AI247" s="11"/>
      <c r="AK247" s="19"/>
    </row>
    <row r="248" spans="1:37" x14ac:dyDescent="0.25">
      <c r="A248" s="22" t="s">
        <v>14</v>
      </c>
      <c r="B248" s="21">
        <f t="shared" si="102"/>
        <v>1.5</v>
      </c>
      <c r="C248" s="21">
        <v>1.5</v>
      </c>
      <c r="D248" s="21">
        <f t="shared" si="103"/>
        <v>1.5</v>
      </c>
      <c r="E248" s="21">
        <f t="shared" si="103"/>
        <v>1.5</v>
      </c>
      <c r="F248" s="21">
        <f t="shared" si="103"/>
        <v>1.5</v>
      </c>
      <c r="G248" s="21">
        <f t="shared" si="103"/>
        <v>1.5</v>
      </c>
      <c r="H248" s="21">
        <f t="shared" si="103"/>
        <v>1.5</v>
      </c>
      <c r="I248" s="21">
        <f t="shared" si="103"/>
        <v>1.5</v>
      </c>
      <c r="J248" s="21">
        <f t="shared" si="103"/>
        <v>1.5</v>
      </c>
      <c r="K248" s="21">
        <f t="shared" si="103"/>
        <v>1.5</v>
      </c>
      <c r="L248" s="21">
        <f t="shared" si="103"/>
        <v>1.5</v>
      </c>
      <c r="M248" s="21">
        <f t="shared" si="103"/>
        <v>1.5</v>
      </c>
      <c r="N248" s="21">
        <f t="shared" si="103"/>
        <v>1.5</v>
      </c>
      <c r="O248" s="21">
        <f t="shared" si="103"/>
        <v>1.5</v>
      </c>
      <c r="P248" s="21">
        <f t="shared" si="103"/>
        <v>1.5</v>
      </c>
      <c r="Q248" s="21">
        <f t="shared" si="103"/>
        <v>1.5</v>
      </c>
      <c r="R248" s="21">
        <f t="shared" si="103"/>
        <v>1.5</v>
      </c>
      <c r="S248" s="21">
        <f t="shared" si="103"/>
        <v>1.5</v>
      </c>
      <c r="T248" s="21">
        <f t="shared" si="103"/>
        <v>1.5</v>
      </c>
      <c r="U248" s="21">
        <f t="shared" si="103"/>
        <v>1.5</v>
      </c>
      <c r="V248" s="21">
        <f t="shared" si="103"/>
        <v>1.5</v>
      </c>
      <c r="W248" s="21">
        <f t="shared" si="103"/>
        <v>1.5</v>
      </c>
      <c r="X248" s="21">
        <f t="shared" si="103"/>
        <v>1.5</v>
      </c>
      <c r="Y248" s="21">
        <f t="shared" si="103"/>
        <v>1.5</v>
      </c>
      <c r="Z248" s="21">
        <f t="shared" si="103"/>
        <v>1.5</v>
      </c>
      <c r="AA248" s="21">
        <f t="shared" si="103"/>
        <v>1.5</v>
      </c>
      <c r="AB248" s="21">
        <f t="shared" si="103"/>
        <v>1.5</v>
      </c>
      <c r="AC248" s="21">
        <f t="shared" si="103"/>
        <v>1.5</v>
      </c>
      <c r="AD248" s="21">
        <f t="shared" si="103"/>
        <v>1.5</v>
      </c>
      <c r="AE248" s="21">
        <f t="shared" si="103"/>
        <v>1.5</v>
      </c>
      <c r="AF248" s="21">
        <f t="shared" si="103"/>
        <v>1.5</v>
      </c>
      <c r="AG248" s="20">
        <v>1.5</v>
      </c>
      <c r="AH248" s="12"/>
      <c r="AI248" s="11"/>
      <c r="AK248" s="19"/>
    </row>
    <row r="249" spans="1:37" x14ac:dyDescent="0.25">
      <c r="A249" s="22" t="s">
        <v>13</v>
      </c>
      <c r="B249" s="21">
        <f t="shared" si="102"/>
        <v>0.3</v>
      </c>
      <c r="C249" s="21">
        <v>0.3</v>
      </c>
      <c r="D249" s="21">
        <f t="shared" si="103"/>
        <v>0.3</v>
      </c>
      <c r="E249" s="21">
        <f t="shared" si="103"/>
        <v>0.3</v>
      </c>
      <c r="F249" s="21">
        <f t="shared" si="103"/>
        <v>0.3</v>
      </c>
      <c r="G249" s="21">
        <f t="shared" si="103"/>
        <v>0.3</v>
      </c>
      <c r="H249" s="21">
        <f t="shared" si="103"/>
        <v>0.3</v>
      </c>
      <c r="I249" s="21">
        <f t="shared" si="103"/>
        <v>0.3</v>
      </c>
      <c r="J249" s="21">
        <f t="shared" si="103"/>
        <v>0.3</v>
      </c>
      <c r="K249" s="21">
        <f t="shared" si="103"/>
        <v>0.3</v>
      </c>
      <c r="L249" s="21">
        <f t="shared" si="103"/>
        <v>0.3</v>
      </c>
      <c r="M249" s="21">
        <f t="shared" si="103"/>
        <v>0.3</v>
      </c>
      <c r="N249" s="21">
        <f t="shared" si="103"/>
        <v>0.3</v>
      </c>
      <c r="O249" s="21">
        <f t="shared" si="103"/>
        <v>0.3</v>
      </c>
      <c r="P249" s="21">
        <f t="shared" si="103"/>
        <v>0.3</v>
      </c>
      <c r="Q249" s="21">
        <f t="shared" si="103"/>
        <v>0.3</v>
      </c>
      <c r="R249" s="21">
        <f t="shared" si="103"/>
        <v>0.3</v>
      </c>
      <c r="S249" s="21">
        <f t="shared" si="103"/>
        <v>0.3</v>
      </c>
      <c r="T249" s="21">
        <f t="shared" si="103"/>
        <v>0.3</v>
      </c>
      <c r="U249" s="21">
        <f t="shared" si="103"/>
        <v>0.3</v>
      </c>
      <c r="V249" s="21">
        <f t="shared" si="103"/>
        <v>0.3</v>
      </c>
      <c r="W249" s="21">
        <f t="shared" si="103"/>
        <v>0.3</v>
      </c>
      <c r="X249" s="21">
        <f t="shared" si="103"/>
        <v>0.3</v>
      </c>
      <c r="Y249" s="21">
        <f t="shared" si="103"/>
        <v>0.3</v>
      </c>
      <c r="Z249" s="21">
        <f t="shared" si="103"/>
        <v>0.3</v>
      </c>
      <c r="AA249" s="21">
        <f t="shared" si="103"/>
        <v>0.3</v>
      </c>
      <c r="AB249" s="21">
        <f t="shared" si="103"/>
        <v>0.3</v>
      </c>
      <c r="AC249" s="21">
        <f t="shared" si="103"/>
        <v>0.3</v>
      </c>
      <c r="AD249" s="21">
        <f t="shared" si="103"/>
        <v>0.3</v>
      </c>
      <c r="AE249" s="21">
        <f t="shared" si="103"/>
        <v>0.3</v>
      </c>
      <c r="AF249" s="21">
        <f t="shared" si="103"/>
        <v>0.3</v>
      </c>
      <c r="AG249" s="20">
        <v>1</v>
      </c>
      <c r="AH249" s="12"/>
      <c r="AI249" s="11"/>
      <c r="AK249" s="19"/>
    </row>
    <row r="250" spans="1:37" x14ac:dyDescent="0.25">
      <c r="A250" s="22" t="s">
        <v>12</v>
      </c>
      <c r="B250" s="21">
        <f t="shared" si="102"/>
        <v>0.4</v>
      </c>
      <c r="C250" s="21">
        <v>0.4</v>
      </c>
      <c r="D250" s="21">
        <f t="shared" si="103"/>
        <v>0.4</v>
      </c>
      <c r="E250" s="21">
        <f t="shared" si="103"/>
        <v>0.4</v>
      </c>
      <c r="F250" s="21">
        <f t="shared" si="103"/>
        <v>0.4</v>
      </c>
      <c r="G250" s="21">
        <f t="shared" si="103"/>
        <v>0.4</v>
      </c>
      <c r="H250" s="21">
        <f t="shared" si="103"/>
        <v>0.4</v>
      </c>
      <c r="I250" s="21">
        <f t="shared" si="103"/>
        <v>0.4</v>
      </c>
      <c r="J250" s="21">
        <f t="shared" si="103"/>
        <v>0.4</v>
      </c>
      <c r="K250" s="21">
        <f t="shared" si="103"/>
        <v>0.4</v>
      </c>
      <c r="L250" s="21">
        <f t="shared" si="103"/>
        <v>0.4</v>
      </c>
      <c r="M250" s="21">
        <f t="shared" si="103"/>
        <v>0.4</v>
      </c>
      <c r="N250" s="21">
        <f t="shared" si="103"/>
        <v>0.4</v>
      </c>
      <c r="O250" s="21">
        <f t="shared" si="103"/>
        <v>0.4</v>
      </c>
      <c r="P250" s="21">
        <f t="shared" si="103"/>
        <v>0.4</v>
      </c>
      <c r="Q250" s="21">
        <f t="shared" si="103"/>
        <v>0.4</v>
      </c>
      <c r="R250" s="21">
        <f t="shared" si="103"/>
        <v>0.4</v>
      </c>
      <c r="S250" s="21">
        <f t="shared" si="103"/>
        <v>0.4</v>
      </c>
      <c r="T250" s="21">
        <f t="shared" si="103"/>
        <v>0.4</v>
      </c>
      <c r="U250" s="21">
        <f t="shared" si="103"/>
        <v>0.4</v>
      </c>
      <c r="V250" s="21">
        <f t="shared" si="103"/>
        <v>0.4</v>
      </c>
      <c r="W250" s="21">
        <f t="shared" si="103"/>
        <v>0.4</v>
      </c>
      <c r="X250" s="21">
        <f t="shared" si="103"/>
        <v>0.4</v>
      </c>
      <c r="Y250" s="21">
        <f t="shared" si="103"/>
        <v>0.4</v>
      </c>
      <c r="Z250" s="21">
        <f t="shared" si="103"/>
        <v>0.4</v>
      </c>
      <c r="AA250" s="21">
        <f t="shared" si="103"/>
        <v>0.4</v>
      </c>
      <c r="AB250" s="21">
        <f t="shared" si="103"/>
        <v>0.4</v>
      </c>
      <c r="AC250" s="21">
        <f t="shared" si="103"/>
        <v>0.4</v>
      </c>
      <c r="AD250" s="21">
        <f t="shared" si="103"/>
        <v>0.4</v>
      </c>
      <c r="AE250" s="21">
        <f t="shared" si="103"/>
        <v>0.4</v>
      </c>
      <c r="AF250" s="21">
        <f t="shared" si="103"/>
        <v>0.4</v>
      </c>
      <c r="AG250" s="20">
        <v>1</v>
      </c>
      <c r="AH250" s="12"/>
      <c r="AI250" s="11"/>
      <c r="AK250" s="19"/>
    </row>
    <row r="251" spans="1:37" ht="15.75" thickBot="1" x14ac:dyDescent="0.3">
      <c r="A251" s="18" t="s">
        <v>11</v>
      </c>
      <c r="B251" s="17">
        <f t="shared" si="102"/>
        <v>0.64</v>
      </c>
      <c r="C251" s="17">
        <v>0.64</v>
      </c>
      <c r="D251" s="17">
        <f t="shared" si="103"/>
        <v>0.64</v>
      </c>
      <c r="E251" s="17">
        <f t="shared" si="103"/>
        <v>0.64</v>
      </c>
      <c r="F251" s="17">
        <f t="shared" si="103"/>
        <v>0.64</v>
      </c>
      <c r="G251" s="17">
        <f t="shared" si="103"/>
        <v>0.64</v>
      </c>
      <c r="H251" s="17">
        <f t="shared" si="103"/>
        <v>0.64</v>
      </c>
      <c r="I251" s="17">
        <f t="shared" si="103"/>
        <v>0.64</v>
      </c>
      <c r="J251" s="17">
        <f t="shared" si="103"/>
        <v>0.64</v>
      </c>
      <c r="K251" s="17">
        <f t="shared" si="103"/>
        <v>0.64</v>
      </c>
      <c r="L251" s="17">
        <f t="shared" si="103"/>
        <v>0.64</v>
      </c>
      <c r="M251" s="17">
        <f t="shared" si="103"/>
        <v>0.64</v>
      </c>
      <c r="N251" s="17">
        <f t="shared" si="103"/>
        <v>0.64</v>
      </c>
      <c r="O251" s="17">
        <f t="shared" si="103"/>
        <v>0.64</v>
      </c>
      <c r="P251" s="17">
        <f t="shared" si="103"/>
        <v>0.64</v>
      </c>
      <c r="Q251" s="17">
        <f t="shared" si="103"/>
        <v>0.64</v>
      </c>
      <c r="R251" s="17">
        <f t="shared" si="103"/>
        <v>0.64</v>
      </c>
      <c r="S251" s="17">
        <f t="shared" si="103"/>
        <v>0.64</v>
      </c>
      <c r="T251" s="17">
        <f t="shared" si="103"/>
        <v>0.64</v>
      </c>
      <c r="U251" s="17">
        <f t="shared" si="103"/>
        <v>0.64</v>
      </c>
      <c r="V251" s="17">
        <f t="shared" si="103"/>
        <v>0.64</v>
      </c>
      <c r="W251" s="17">
        <f t="shared" si="103"/>
        <v>0.64</v>
      </c>
      <c r="X251" s="17">
        <f t="shared" si="103"/>
        <v>0.64</v>
      </c>
      <c r="Y251" s="17">
        <f t="shared" si="103"/>
        <v>0.64</v>
      </c>
      <c r="Z251" s="17">
        <f t="shared" si="103"/>
        <v>0.64</v>
      </c>
      <c r="AA251" s="17">
        <f t="shared" si="103"/>
        <v>0.64</v>
      </c>
      <c r="AB251" s="17">
        <f t="shared" si="103"/>
        <v>0.64</v>
      </c>
      <c r="AC251" s="17">
        <f t="shared" si="103"/>
        <v>0.64</v>
      </c>
      <c r="AD251" s="17">
        <f t="shared" si="103"/>
        <v>0.64</v>
      </c>
      <c r="AE251" s="17">
        <f t="shared" si="103"/>
        <v>0.64</v>
      </c>
      <c r="AF251" s="17">
        <f t="shared" si="103"/>
        <v>0.64</v>
      </c>
      <c r="AG251" s="16">
        <v>0.66</v>
      </c>
      <c r="AH251" s="12"/>
      <c r="AI251" s="11"/>
    </row>
    <row r="252" spans="1:37" ht="15.75" thickBot="1" x14ac:dyDescent="0.3">
      <c r="A252" s="15" t="s">
        <v>10</v>
      </c>
      <c r="B252" s="14">
        <f t="shared" ref="B252:AG252" si="104">SUM(B246:B251)</f>
        <v>3.54</v>
      </c>
      <c r="C252" s="14">
        <f t="shared" si="104"/>
        <v>3.54</v>
      </c>
      <c r="D252" s="14">
        <f t="shared" si="104"/>
        <v>3.54</v>
      </c>
      <c r="E252" s="14">
        <f t="shared" si="104"/>
        <v>3.54</v>
      </c>
      <c r="F252" s="14">
        <f t="shared" si="104"/>
        <v>3.54</v>
      </c>
      <c r="G252" s="14">
        <f t="shared" si="104"/>
        <v>3.54</v>
      </c>
      <c r="H252" s="14">
        <f t="shared" si="104"/>
        <v>3.54</v>
      </c>
      <c r="I252" s="14">
        <f t="shared" si="104"/>
        <v>3.54</v>
      </c>
      <c r="J252" s="14">
        <f t="shared" si="104"/>
        <v>3.54</v>
      </c>
      <c r="K252" s="14">
        <f t="shared" si="104"/>
        <v>3.54</v>
      </c>
      <c r="L252" s="14">
        <f t="shared" si="104"/>
        <v>3.54</v>
      </c>
      <c r="M252" s="14">
        <f t="shared" si="104"/>
        <v>3.54</v>
      </c>
      <c r="N252" s="14">
        <f t="shared" si="104"/>
        <v>3.54</v>
      </c>
      <c r="O252" s="14">
        <f t="shared" si="104"/>
        <v>3.54</v>
      </c>
      <c r="P252" s="14">
        <f t="shared" si="104"/>
        <v>3.54</v>
      </c>
      <c r="Q252" s="14">
        <f t="shared" si="104"/>
        <v>3.54</v>
      </c>
      <c r="R252" s="14">
        <f t="shared" si="104"/>
        <v>3.54</v>
      </c>
      <c r="S252" s="14">
        <f t="shared" si="104"/>
        <v>3.54</v>
      </c>
      <c r="T252" s="14">
        <f t="shared" si="104"/>
        <v>3.54</v>
      </c>
      <c r="U252" s="14">
        <f t="shared" si="104"/>
        <v>3.54</v>
      </c>
      <c r="V252" s="14">
        <f t="shared" si="104"/>
        <v>3.54</v>
      </c>
      <c r="W252" s="14">
        <f t="shared" si="104"/>
        <v>3.54</v>
      </c>
      <c r="X252" s="14">
        <f t="shared" si="104"/>
        <v>3.54</v>
      </c>
      <c r="Y252" s="14">
        <f t="shared" si="104"/>
        <v>3.54</v>
      </c>
      <c r="Z252" s="14">
        <f t="shared" si="104"/>
        <v>3.54</v>
      </c>
      <c r="AA252" s="14">
        <f t="shared" si="104"/>
        <v>3.54</v>
      </c>
      <c r="AB252" s="14">
        <f t="shared" si="104"/>
        <v>3.54</v>
      </c>
      <c r="AC252" s="14">
        <f t="shared" si="104"/>
        <v>3.54</v>
      </c>
      <c r="AD252" s="14">
        <f t="shared" si="104"/>
        <v>3.54</v>
      </c>
      <c r="AE252" s="14">
        <f t="shared" si="104"/>
        <v>3.54</v>
      </c>
      <c r="AF252" s="14">
        <f t="shared" si="104"/>
        <v>3.54</v>
      </c>
      <c r="AG252" s="13">
        <f t="shared" si="104"/>
        <v>8.56</v>
      </c>
      <c r="AH252" s="12"/>
      <c r="AI252" s="11"/>
    </row>
    <row r="253" spans="1:37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25">
      <c r="A256" s="9" t="s">
        <v>9</v>
      </c>
      <c r="B256" s="8">
        <f>MAX(G99:N99)</f>
        <v>1770.8400000000001</v>
      </c>
      <c r="C256" s="7">
        <f>INDEX(G9:N9,1,MATCH(MAX(G99:N99),G99:N99,0))</f>
        <v>0.33333333333333331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25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2080/10/20)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25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25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25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25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25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25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25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25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25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25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25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25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25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25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1709" priority="93">
      <formula>$AH11=0</formula>
    </cfRule>
  </conditionalFormatting>
  <conditionalFormatting sqref="A132:A253">
    <cfRule type="expression" dxfId="1708" priority="94">
      <formula>$AH132=0</formula>
    </cfRule>
  </conditionalFormatting>
  <conditionalFormatting sqref="B8">
    <cfRule type="expression" dxfId="1707" priority="151">
      <formula>C$9&gt;=20/24</formula>
    </cfRule>
    <cfRule type="expression" dxfId="1706" priority="150">
      <formula>C$9&lt;8/24</formula>
    </cfRule>
    <cfRule type="expression" dxfId="1705" priority="149">
      <formula>AND(C$9&gt;=8/24,C$9&lt;14/24)</formula>
    </cfRule>
    <cfRule type="expression" dxfId="1704" priority="148">
      <formula>AND(C$9&gt;=14/24,C$9&lt;20/24)</formula>
    </cfRule>
  </conditionalFormatting>
  <conditionalFormatting sqref="B11:B57 M11:M80 N12:N56 O13:W55 X13:Y80 C19:D57 E19:L61 M56:W56 C11:L18 N57:W80 B58:D61 AB58:AF61 Z58:AA80 AB62:AG62 B62:L80 AB63:AF80 AG80">
    <cfRule type="expression" dxfId="1703" priority="44">
      <formula>B11&gt;$AG11</formula>
    </cfRule>
  </conditionalFormatting>
  <conditionalFormatting sqref="B11:M52 N12:N52 O13:Y52 B59:D68 E63:I68 C67:C74 B69:AF74 B77:AF99 B9:AF10 B101:AF117 B119:AF137 B244:AF244 B246:B252">
    <cfRule type="expression" dxfId="1702" priority="45">
      <formula>B$9&gt;=20/24</formula>
    </cfRule>
  </conditionalFormatting>
  <conditionalFormatting sqref="B53:Y57">
    <cfRule type="expression" dxfId="1701" priority="57">
      <formula>B$9&lt;8/24</formula>
    </cfRule>
  </conditionalFormatting>
  <conditionalFormatting sqref="B9:AF10 B11:M52 N12:N52 O13:Y52 B59:D68 E63:I68 C67:C74 B69:AF74 B77:AF99 B101:AF117 B119:AF137 B244:AF244 B246:B252">
    <cfRule type="expression" dxfId="1700" priority="48">
      <formula>B$9&lt;8/24</formula>
    </cfRule>
    <cfRule type="expression" dxfId="1699" priority="47">
      <formula>AND(B$9&gt;=8/24,B$9&lt;14/24)</formula>
    </cfRule>
    <cfRule type="expression" dxfId="1698" priority="46">
      <formula>AND(B$9&gt;=14/24,B$9&lt;20/24)</formula>
    </cfRule>
  </conditionalFormatting>
  <conditionalFormatting sqref="D246:AF252">
    <cfRule type="expression" dxfId="1697" priority="136">
      <formula>D$9&lt;8/24</formula>
    </cfRule>
    <cfRule type="expression" dxfId="1696" priority="135">
      <formula>AND(D$9&gt;=8/24,D$9&lt;14/24)</formula>
    </cfRule>
    <cfRule type="expression" dxfId="1695" priority="134">
      <formula>AND(D$9&gt;=14/24,D$9&lt;20/24)</formula>
    </cfRule>
    <cfRule type="expression" dxfId="1694" priority="133">
      <formula>D$9&gt;=20/24</formula>
    </cfRule>
  </conditionalFormatting>
  <conditionalFormatting sqref="E68:K68">
    <cfRule type="expression" dxfId="1693" priority="55">
      <formula>AND(E$9&gt;=8/24,E$9&lt;14/24)</formula>
    </cfRule>
    <cfRule type="expression" dxfId="1692" priority="56">
      <formula>E$9&lt;8/24</formula>
    </cfRule>
    <cfRule type="expression" dxfId="1691" priority="54">
      <formula>AND(E$9&gt;=14/24,E$9&lt;20/24)</formula>
    </cfRule>
    <cfRule type="expression" dxfId="1690" priority="53">
      <formula>E$9&gt;=20/24</formula>
    </cfRule>
  </conditionalFormatting>
  <conditionalFormatting sqref="E11:R11 S11:Y12 Z11:AF52 O12:R12">
    <cfRule type="expression" dxfId="1689" priority="66">
      <formula>E$9&lt;8/24</formula>
    </cfRule>
    <cfRule type="expression" dxfId="1688" priority="62">
      <formula>E11&gt;$AG11</formula>
    </cfRule>
    <cfRule type="expression" dxfId="1687" priority="63">
      <formula>E$9&gt;=20/24</formula>
    </cfRule>
    <cfRule type="expression" dxfId="1686" priority="64">
      <formula>AND(E$9&gt;=14/24,E$9&lt;20/24)</formula>
    </cfRule>
    <cfRule type="expression" dxfId="1685" priority="65">
      <formula>AND(E$9&gt;=8/24,E$9&lt;14/24)</formula>
    </cfRule>
  </conditionalFormatting>
  <conditionalFormatting sqref="E59:AF62">
    <cfRule type="expression" dxfId="1684" priority="74">
      <formula>E$9&lt;8/24</formula>
    </cfRule>
    <cfRule type="expression" dxfId="1683" priority="73">
      <formula>AND(E$9&gt;=8/24,E$9&lt;14/24)</formula>
    </cfRule>
    <cfRule type="expression" dxfId="1682" priority="71">
      <formula>E$9&gt;=20/24</formula>
    </cfRule>
    <cfRule type="expression" dxfId="1681" priority="72">
      <formula>AND(E$9&gt;=14/24,E$9&lt;20/24)</formula>
    </cfRule>
  </conditionalFormatting>
  <conditionalFormatting sqref="F63:M65">
    <cfRule type="expression" dxfId="1680" priority="88">
      <formula>F$9&lt;8/24</formula>
    </cfRule>
    <cfRule type="expression" dxfId="1679" priority="87">
      <formula>AND(F$9&gt;=8/24,F$9&lt;14/24)</formula>
    </cfRule>
    <cfRule type="expression" dxfId="1678" priority="86">
      <formula>AND(F$9&gt;=14/24,F$9&lt;20/24)</formula>
    </cfRule>
    <cfRule type="expression" dxfId="1677" priority="85">
      <formula>F$9&gt;=20/24</formula>
    </cfRule>
  </conditionalFormatting>
  <conditionalFormatting sqref="J64:J67 K67">
    <cfRule type="expression" dxfId="1676" priority="58">
      <formula>J$9&gt;=20/24</formula>
    </cfRule>
    <cfRule type="expression" dxfId="1675" priority="59">
      <formula>AND(J$9&gt;=14/24,J$9&lt;20/24)</formula>
    </cfRule>
    <cfRule type="expression" dxfId="1674" priority="60">
      <formula>AND(J$9&gt;=8/24,J$9&lt;14/24)</formula>
    </cfRule>
    <cfRule type="expression" dxfId="1673" priority="61">
      <formula>J$9&lt;8/24</formula>
    </cfRule>
  </conditionalFormatting>
  <conditionalFormatting sqref="L68:Y68">
    <cfRule type="expression" dxfId="1672" priority="81">
      <formula>L$9&gt;=20/24</formula>
    </cfRule>
    <cfRule type="expression" dxfId="1671" priority="82">
      <formula>AND(L$9&gt;=14/24,L$9&lt;20/24)</formula>
    </cfRule>
    <cfRule type="expression" dxfId="1670" priority="83">
      <formula>AND(L$9&gt;=8/24,L$9&lt;14/24)</formula>
    </cfRule>
    <cfRule type="expression" dxfId="1669" priority="84">
      <formula>L$9&lt;8/24</formula>
    </cfRule>
  </conditionalFormatting>
  <conditionalFormatting sqref="M8 S8 AB8">
    <cfRule type="expression" dxfId="1668" priority="140">
      <formula>AND(N$9&gt;=14/24,N$9&lt;20/24)</formula>
    </cfRule>
    <cfRule type="expression" dxfId="1667" priority="141">
      <formula>AND(N$9&gt;=8/24,N$9&lt;14/24)</formula>
    </cfRule>
    <cfRule type="expression" dxfId="1666" priority="142">
      <formula>N$9&lt;8/24</formula>
    </cfRule>
  </conditionalFormatting>
  <conditionalFormatting sqref="M66:M71">
    <cfRule type="expression" dxfId="1665" priority="2">
      <formula>AND(M$9&gt;=14/24,M$9&lt;20/24)</formula>
    </cfRule>
    <cfRule type="expression" dxfId="1664" priority="3">
      <formula>AND(M$9&gt;=8/24,M$9&lt;14/24)</formula>
    </cfRule>
    <cfRule type="expression" dxfId="1663" priority="1">
      <formula>M$9&gt;=20/24</formula>
    </cfRule>
    <cfRule type="expression" dxfId="1662" priority="4">
      <formula>M$9&lt;8/24</formula>
    </cfRule>
  </conditionalFormatting>
  <conditionalFormatting sqref="N63:Y67">
    <cfRule type="expression" dxfId="1661" priority="92">
      <formula>N$9&lt;8/24</formula>
    </cfRule>
    <cfRule type="expression" dxfId="1660" priority="91">
      <formula>AND(N$9&gt;=8/24,N$9&lt;14/24)</formula>
    </cfRule>
    <cfRule type="expression" dxfId="1659" priority="89">
      <formula>N$9&gt;=20/24</formula>
    </cfRule>
    <cfRule type="expression" dxfId="1658" priority="90">
      <formula>AND(N$9&gt;=14/24,N$9&lt;20/24)</formula>
    </cfRule>
  </conditionalFormatting>
  <conditionalFormatting sqref="O3:P3">
    <cfRule type="iconSet" priority="137">
      <iconSet iconSet="3TrafficLights2" reverse="1">
        <cfvo type="percent" val="0"/>
        <cfvo type="num" val="1"/>
        <cfvo type="num" val="1"/>
      </iconSet>
    </cfRule>
  </conditionalFormatting>
  <conditionalFormatting sqref="O56:R56 S56:Y57 E57:R57">
    <cfRule type="expression" dxfId="1657" priority="50">
      <formula>E$9&gt;=20/24</formula>
    </cfRule>
    <cfRule type="expression" dxfId="1656" priority="51">
      <formula>AND(E$9&gt;=14/24,E$9&lt;20/24)</formula>
    </cfRule>
    <cfRule type="expression" dxfId="1655" priority="52">
      <formula>AND(E$9&gt;=8/24,E$9&lt;14/24)</formula>
    </cfRule>
  </conditionalFormatting>
  <conditionalFormatting sqref="S8 AB8 M8">
    <cfRule type="expression" dxfId="1654" priority="139">
      <formula>N$9&gt;=20/24</formula>
    </cfRule>
  </conditionalFormatting>
  <conditionalFormatting sqref="S8">
    <cfRule type="expression" dxfId="1653" priority="126">
      <formula>U$9&gt;=20/24</formula>
    </cfRule>
    <cfRule type="expression" dxfId="1652" priority="128">
      <formula>AND(U$9&gt;=8/24,U$9&lt;14/24)</formula>
    </cfRule>
    <cfRule type="expression" dxfId="1651" priority="129">
      <formula>U$9&lt;8/24</formula>
    </cfRule>
    <cfRule type="expression" dxfId="1650" priority="127">
      <formula>AND(U$9&gt;=14/24,U$9&lt;20/24)</formula>
    </cfRule>
  </conditionalFormatting>
  <conditionalFormatting sqref="T63:AF68">
    <cfRule type="expression" dxfId="1649" priority="75">
      <formula>T$9&gt;=20/24</formula>
    </cfRule>
    <cfRule type="expression" dxfId="1648" priority="76">
      <formula>AND(T$9&gt;=14/24,T$9&lt;20/24)</formula>
    </cfRule>
    <cfRule type="expression" dxfId="1647" priority="77">
      <formula>AND(T$9&gt;=8/24,T$9&lt;14/24)</formula>
    </cfRule>
    <cfRule type="expression" dxfId="1646" priority="78">
      <formula>T$9&lt;8/24</formula>
    </cfRule>
  </conditionalFormatting>
  <conditionalFormatting sqref="V3 AB3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Z53:AF54 O53:Y55 E53:N56 B53:D57 M56:O56">
    <cfRule type="expression" dxfId="1645" priority="41">
      <formula>B$9&gt;=20/24</formula>
    </cfRule>
    <cfRule type="expression" dxfId="1644" priority="42">
      <formula>AND(B$9&gt;=14/24,B$9&lt;20/24)</formula>
    </cfRule>
    <cfRule type="expression" dxfId="1643" priority="43">
      <formula>AND(B$9&gt;=8/24,B$9&lt;14/24)</formula>
    </cfRule>
  </conditionalFormatting>
  <conditionalFormatting sqref="Z53:AF55">
    <cfRule type="expression" dxfId="1642" priority="80">
      <formula>Z53&gt;$AG53</formula>
    </cfRule>
  </conditionalFormatting>
  <conditionalFormatting sqref="Z53:AF57">
    <cfRule type="expression" dxfId="1641" priority="79">
      <formula>Z$9&lt;8/24</formula>
    </cfRule>
  </conditionalFormatting>
  <conditionalFormatting sqref="Z55:AF57">
    <cfRule type="expression" dxfId="1640" priority="70">
      <formula>AND(Z$9&gt;=8/24,Z$9&lt;14/24)</formula>
    </cfRule>
    <cfRule type="expression" dxfId="1639" priority="69">
      <formula>AND(Z$9&gt;=14/24,Z$9&lt;20/24)</formula>
    </cfRule>
    <cfRule type="expression" dxfId="1638" priority="68">
      <formula>Z$9&gt;=20/24</formula>
    </cfRule>
  </conditionalFormatting>
  <conditionalFormatting sqref="Z56:AF57">
    <cfRule type="expression" dxfId="1637" priority="67">
      <formula>Z56&gt;$AG56</formula>
    </cfRule>
  </conditionalFormatting>
  <conditionalFormatting sqref="AB8">
    <cfRule type="expression" dxfId="1636" priority="125">
      <formula>AD$9&lt;8/24</formula>
    </cfRule>
    <cfRule type="expression" dxfId="1635" priority="124">
      <formula>AND(AD$9&gt;=8/24,AD$9&lt;14/24)</formula>
    </cfRule>
    <cfRule type="expression" dxfId="1634" priority="123">
      <formula>AND(AD$9&gt;=14/24,AD$9&lt;20/24)</formula>
    </cfRule>
    <cfRule type="expression" dxfId="1633" priority="122">
      <formula>AD$9&gt;=20/24</formula>
    </cfRule>
  </conditionalFormatting>
  <conditionalFormatting sqref="AG58">
    <cfRule type="expression" dxfId="1632" priority="117">
      <formula>AG58&gt;$AG58</formula>
    </cfRule>
  </conditionalFormatting>
  <conditionalFormatting sqref="AG62">
    <cfRule type="expression" dxfId="1631" priority="101">
      <formula>AND(AG$9&gt;=14/24,AG$9&lt;20/24)</formula>
    </cfRule>
    <cfRule type="expression" dxfId="1630" priority="102">
      <formula>AND(AG$9&gt;=8/24,AG$9&lt;14/24)</formula>
    </cfRule>
    <cfRule type="expression" dxfId="1629" priority="103">
      <formula>AG$9&lt;8/24</formula>
    </cfRule>
    <cfRule type="expression" dxfId="1628" priority="100">
      <formula>AG$9&gt;=20/24</formula>
    </cfRule>
  </conditionalFormatting>
  <conditionalFormatting sqref="AG75:AG76">
    <cfRule type="expression" dxfId="1627" priority="95">
      <formula>AG75&gt;$AG75</formula>
    </cfRule>
  </conditionalFormatting>
  <conditionalFormatting sqref="AG80">
    <cfRule type="expression" dxfId="1626" priority="96">
      <formula>AG$9&gt;=20/24</formula>
    </cfRule>
    <cfRule type="expression" dxfId="1625" priority="97">
      <formula>AND(AG$9&gt;=14/24,AG$9&lt;20/24)</formula>
    </cfRule>
    <cfRule type="expression" dxfId="1624" priority="98">
      <formula>AND(AG$9&gt;=8/24,AG$9&lt;14/24)</formula>
    </cfRule>
    <cfRule type="expression" dxfId="1623" priority="99">
      <formula>AG$9&lt;8/24</formula>
    </cfRule>
  </conditionalFormatting>
  <conditionalFormatting sqref="AG97">
    <cfRule type="expression" dxfId="1622" priority="118">
      <formula>AG$9&gt;=20/24</formula>
    </cfRule>
    <cfRule type="expression" dxfId="1621" priority="119">
      <formula>AND(AG$9&gt;=14/24,AG$9&lt;20/24)</formula>
    </cfRule>
    <cfRule type="expression" dxfId="1620" priority="121">
      <formula>AG$9&lt;8/24</formula>
    </cfRule>
    <cfRule type="expression" dxfId="1619" priority="120">
      <formula>AND(AG$9&gt;=8/24,AG$9&lt;14/24)</formula>
    </cfRule>
  </conditionalFormatting>
  <conditionalFormatting sqref="AL4:AL6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5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5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4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6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7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31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30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4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618" priority="146">
      <formula>AJ$9&lt;8/24</formula>
    </cfRule>
    <cfRule type="expression" dxfId="1617" priority="144">
      <formula>AND(AJ$9&gt;=14/24,AJ$9&lt;20/24)</formula>
    </cfRule>
    <cfRule type="expression" dxfId="1616" priority="143">
      <formula>AJ$9&gt;=20/24</formula>
    </cfRule>
    <cfRule type="expression" dxfId="1615" priority="145">
      <formula>AND(AJ$9&gt;=8/24,AJ$9&lt;14/24)</formula>
    </cfRule>
  </conditionalFormatting>
  <conditionalFormatting sqref="AL88:AN88 AL94:AN94">
    <cfRule type="expression" dxfId="1614" priority="110">
      <formula>AL$9&gt;=20/24</formula>
    </cfRule>
    <cfRule type="expression" dxfId="1613" priority="111">
      <formula>AND(AL$9&gt;=14/24,AL$9&lt;20/24)</formula>
    </cfRule>
    <cfRule type="expression" dxfId="1612" priority="112">
      <formula>AND(AL$9&gt;=8/24,AL$9&lt;14/24)</formula>
    </cfRule>
    <cfRule type="expression" dxfId="1611" priority="113">
      <formula>AL$9&lt;8/24</formula>
    </cfRule>
  </conditionalFormatting>
  <conditionalFormatting sqref="AM15:AM21 AN16:AR21">
    <cfRule type="expression" dxfId="1610" priority="18">
      <formula>AND(AX$9&gt;=14/24,AX$9&lt;20/24)</formula>
    </cfRule>
    <cfRule type="expression" dxfId="1609" priority="20">
      <formula>AX$9&lt;8/24</formula>
    </cfRule>
    <cfRule type="expression" dxfId="1608" priority="19">
      <formula>AND(AX$9&gt;=8/24,AX$9&lt;14/24)</formula>
    </cfRule>
    <cfRule type="expression" dxfId="1607" priority="17">
      <formula>AX$9&gt;=20/24</formula>
    </cfRule>
  </conditionalFormatting>
  <conditionalFormatting sqref="AN89:AN92">
    <cfRule type="expression" dxfId="1606" priority="108">
      <formula>AND(AN$9&gt;=8/24,AN$9&lt;14/24)</formula>
    </cfRule>
    <cfRule type="expression" dxfId="1605" priority="107">
      <formula>AND(AN$9&gt;=14/24,AN$9&lt;20/24)</formula>
    </cfRule>
    <cfRule type="expression" dxfId="1604" priority="106">
      <formula>AN$9&gt;=20/24</formula>
    </cfRule>
    <cfRule type="expression" dxfId="1603" priority="109">
      <formula>AN$9&lt;8/24</formula>
    </cfRule>
  </conditionalFormatting>
  <conditionalFormatting sqref="AN15:AR15">
    <cfRule type="expression" dxfId="1602" priority="7">
      <formula>AND(U$9&gt;=8/24,U$9&lt;14/24)</formula>
    </cfRule>
    <cfRule type="expression" dxfId="1601" priority="8">
      <formula>U$9&lt;8/24</formula>
    </cfRule>
    <cfRule type="expression" dxfId="1600" priority="6">
      <formula>AND(U$9&gt;=14/24,U$9&lt;20/24)</formula>
    </cfRule>
    <cfRule type="expression" dxfId="1599" priority="5">
      <formula>U$9&gt;=20/24</formula>
    </cfRule>
  </conditionalFormatting>
  <conditionalFormatting sqref="AS15">
    <cfRule type="expression" dxfId="1598" priority="14">
      <formula>AND(AA$9&gt;=14/24,AA$9&lt;20/24)</formula>
    </cfRule>
    <cfRule type="expression" dxfId="1597" priority="13">
      <formula>AA$9&gt;=20/24</formula>
    </cfRule>
    <cfRule type="expression" dxfId="1596" priority="16">
      <formula>AA$9&lt;8/24</formula>
    </cfRule>
    <cfRule type="expression" dxfId="1595" priority="15">
      <formula>AND(AA$9&gt;=8/24,AA$9&lt;14/24)</formula>
    </cfRule>
  </conditionalFormatting>
  <conditionalFormatting sqref="AS16:AS21">
    <cfRule type="expression" dxfId="1594" priority="23">
      <formula>AND(BE$9&gt;=8/24,BE$9&lt;14/24)</formula>
    </cfRule>
    <cfRule type="expression" dxfId="1593" priority="21">
      <formula>BE$9&gt;=20/24</formula>
    </cfRule>
    <cfRule type="expression" dxfId="1592" priority="24">
      <formula>BE$9&lt;8/24</formula>
    </cfRule>
    <cfRule type="expression" dxfId="1591" priority="22">
      <formula>AND(BE$9&gt;=14/24,BE$9&lt;20/24)</formula>
    </cfRule>
  </conditionalFormatting>
  <conditionalFormatting sqref="AT15 AX15:BJ15">
    <cfRule type="expression" dxfId="1590" priority="28">
      <formula>AC$9&lt;8/24</formula>
    </cfRule>
    <cfRule type="expression" dxfId="1589" priority="27">
      <formula>AND(AC$9&gt;=8/24,AC$9&lt;14/24)</formula>
    </cfRule>
    <cfRule type="expression" dxfId="1588" priority="26">
      <formula>AND(AC$9&gt;=14/24,AC$9&lt;20/24)</formula>
    </cfRule>
    <cfRule type="expression" dxfId="1587" priority="25">
      <formula>AC$9&gt;=20/24</formula>
    </cfRule>
  </conditionalFormatting>
  <conditionalFormatting sqref="AT16:AT21">
    <cfRule type="expression" dxfId="1586" priority="30">
      <formula>AND(BG$9&gt;=14/24,BG$9&lt;20/24)</formula>
    </cfRule>
    <cfRule type="expression" dxfId="1585" priority="29">
      <formula>BG$9&gt;=20/24</formula>
    </cfRule>
    <cfRule type="expression" dxfId="1584" priority="31">
      <formula>AND(BG$9&gt;=8/24,BG$9&lt;14/24)</formula>
    </cfRule>
    <cfRule type="expression" dxfId="1583" priority="32">
      <formula>BG$9&lt;8/24</formula>
    </cfRule>
  </conditionalFormatting>
  <conditionalFormatting sqref="AU15:AV15">
    <cfRule type="expression" dxfId="1582" priority="35">
      <formula>AND(AE$9&gt;=8/24,AE$9&lt;14/24)</formula>
    </cfRule>
    <cfRule type="expression" dxfId="1581" priority="36">
      <formula>AE$9&lt;8/24</formula>
    </cfRule>
    <cfRule type="expression" dxfId="1580" priority="34">
      <formula>AND(AE$9&gt;=14/24,AE$9&lt;20/24)</formula>
    </cfRule>
    <cfRule type="expression" dxfId="1579" priority="33">
      <formula>AE$9&gt;=20/24</formula>
    </cfRule>
  </conditionalFormatting>
  <conditionalFormatting sqref="AU16:BJ21">
    <cfRule type="expression" dxfId="1578" priority="39">
      <formula>AND(BI$9&gt;=8/24,BI$9&lt;14/24)</formula>
    </cfRule>
    <cfRule type="expression" dxfId="1577" priority="38">
      <formula>AND(BI$9&gt;=14/24,BI$9&lt;20/24)</formula>
    </cfRule>
    <cfRule type="expression" dxfId="1576" priority="37">
      <formula>BI$9&gt;=20/24</formula>
    </cfRule>
    <cfRule type="expression" dxfId="1575" priority="40">
      <formula>BI$9&lt;8/24</formula>
    </cfRule>
  </conditionalFormatting>
  <conditionalFormatting sqref="AW15">
    <cfRule type="expression" dxfId="1574" priority="12">
      <formula>B$9&lt;8/24</formula>
    </cfRule>
    <cfRule type="expression" dxfId="1573" priority="11">
      <formula>AND(B$9&gt;=8/24,B$9&lt;14/24)</formula>
    </cfRule>
    <cfRule type="expression" dxfId="1572" priority="10">
      <formula>AND(B$9&gt;=14/24,B$9&lt;20/24)</formula>
    </cfRule>
    <cfRule type="expression" dxfId="1571" priority="9">
      <formula>B$9&gt;=20/24</formula>
    </cfRule>
  </conditionalFormatting>
  <pageMargins left="0.7" right="0.7" top="0.75" bottom="0.75" header="0.3" footer="0.3"/>
  <drawing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F3E75-CA5B-4C00-92E2-C1673D7E7290}">
  <dimension ref="A1:CJ294"/>
  <sheetViews>
    <sheetView zoomScale="106" workbookViewId="0">
      <pane xSplit="1" ySplit="10" topLeftCell="B91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97" sqref="A97:AF10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20.25" hidden="1" x14ac:dyDescent="0.2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9.5" hidden="1" thickBot="1" x14ac:dyDescent="0.3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3">
      <c r="A4" s="162" t="s">
        <v>273</v>
      </c>
      <c r="B4" s="205" t="str">
        <f ca="1">"2080/"&amp;"10/"&amp;INT(MID(CELL("filename",D6),FIND("]",CELL("filename",D6))+1,200))</f>
        <v>2080/10/21</v>
      </c>
      <c r="C4" s="205"/>
      <c r="D4" s="205"/>
      <c r="E4" s="206" t="str">
        <f ca="1">"2080/"&amp;"10/"&amp;INT(MID(CELL("filename",G6),FIND("]",CELL("filename",G6))+1,200))</f>
        <v>2080/10/21</v>
      </c>
      <c r="F4" s="206"/>
      <c r="G4" s="206"/>
      <c r="H4" s="206" t="str">
        <f ca="1">TEXT(E4,"dddd")</f>
        <v>Monday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3">
      <c r="A5" s="158"/>
      <c r="B5" s="161">
        <f t="shared" ref="B5:AE5" si="0">C92</f>
        <v>262.60000000000002</v>
      </c>
      <c r="C5" s="161">
        <f t="shared" si="0"/>
        <v>232</v>
      </c>
      <c r="D5" s="161">
        <f t="shared" si="0"/>
        <v>224.5</v>
      </c>
      <c r="E5" s="161">
        <f t="shared" si="0"/>
        <v>231.39999999999998</v>
      </c>
      <c r="F5" s="161">
        <f t="shared" si="0"/>
        <v>262.5</v>
      </c>
      <c r="G5" s="161">
        <f t="shared" si="0"/>
        <v>249</v>
      </c>
      <c r="H5" s="161">
        <f t="shared" si="0"/>
        <v>274.14</v>
      </c>
      <c r="I5" s="161">
        <f t="shared" si="0"/>
        <v>689</v>
      </c>
      <c r="J5" s="161">
        <f t="shared" si="0"/>
        <v>830.4</v>
      </c>
      <c r="K5" s="161">
        <f t="shared" si="0"/>
        <v>898.8599999999999</v>
      </c>
      <c r="L5" s="161">
        <f t="shared" si="0"/>
        <v>921.90000000000009</v>
      </c>
      <c r="M5" s="161">
        <f t="shared" si="0"/>
        <v>869.7</v>
      </c>
      <c r="N5" s="161">
        <f t="shared" si="0"/>
        <v>922.9</v>
      </c>
      <c r="O5" s="161">
        <f t="shared" si="0"/>
        <v>915.80000000000007</v>
      </c>
      <c r="P5" s="161">
        <f t="shared" si="0"/>
        <v>916.69999999999993</v>
      </c>
      <c r="Q5" s="161">
        <f t="shared" si="0"/>
        <v>894.1</v>
      </c>
      <c r="R5" s="161">
        <f t="shared" si="0"/>
        <v>976.5</v>
      </c>
      <c r="S5" s="161">
        <f t="shared" si="0"/>
        <v>966.9</v>
      </c>
      <c r="T5" s="161">
        <f t="shared" si="0"/>
        <v>937.5</v>
      </c>
      <c r="U5" s="161">
        <f t="shared" si="0"/>
        <v>880.40000000000009</v>
      </c>
      <c r="V5" s="161">
        <f t="shared" si="0"/>
        <v>900.4</v>
      </c>
      <c r="W5" s="161">
        <f t="shared" si="0"/>
        <v>740</v>
      </c>
      <c r="X5" s="161">
        <f t="shared" si="0"/>
        <v>519.5</v>
      </c>
      <c r="Y5" s="161">
        <f t="shared" si="0"/>
        <v>191.6</v>
      </c>
      <c r="Z5" s="161">
        <f t="shared" si="0"/>
        <v>148.69999999999999</v>
      </c>
      <c r="AA5" s="161">
        <f t="shared" si="0"/>
        <v>83.1</v>
      </c>
      <c r="AB5" s="161">
        <f t="shared" si="0"/>
        <v>117.5</v>
      </c>
      <c r="AC5" s="161">
        <f t="shared" si="0"/>
        <v>117.5</v>
      </c>
      <c r="AD5" s="161">
        <f t="shared" si="0"/>
        <v>129.6</v>
      </c>
      <c r="AE5" s="161">
        <f t="shared" si="0"/>
        <v>233.6</v>
      </c>
      <c r="AF5" s="161">
        <f>B92</f>
        <v>291.2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3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1786MW at 8:00hr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5" thickBot="1" x14ac:dyDescent="0.3">
      <c r="A7" s="151" t="str">
        <f>"Base Load="&amp;ROUND(MIN($B$7:$AF$7),0)</f>
        <v>Base Load=1118</v>
      </c>
      <c r="B7" s="150">
        <f t="shared" ref="B7:AF7" si="1">B100</f>
        <v>1539.1399999999999</v>
      </c>
      <c r="C7" s="150">
        <f t="shared" si="1"/>
        <v>1470.54</v>
      </c>
      <c r="D7" s="150">
        <f t="shared" si="1"/>
        <v>1414.94</v>
      </c>
      <c r="E7" s="150">
        <f t="shared" si="1"/>
        <v>1118.29</v>
      </c>
      <c r="F7" s="150">
        <f t="shared" si="1"/>
        <v>1125.19</v>
      </c>
      <c r="G7" s="150">
        <f t="shared" si="1"/>
        <v>1156.29</v>
      </c>
      <c r="H7" s="150">
        <f t="shared" si="1"/>
        <v>1156.04</v>
      </c>
      <c r="I7" s="150">
        <f t="shared" si="1"/>
        <v>1200.3799999999999</v>
      </c>
      <c r="J7" s="150">
        <f t="shared" si="1"/>
        <v>1498.04</v>
      </c>
      <c r="K7" s="150">
        <f t="shared" si="1"/>
        <v>1664.7399999999998</v>
      </c>
      <c r="L7" s="150">
        <f t="shared" si="1"/>
        <v>1771.6</v>
      </c>
      <c r="M7" s="150">
        <f t="shared" si="1"/>
        <v>1785.5400000000002</v>
      </c>
      <c r="N7" s="150">
        <f t="shared" si="1"/>
        <v>1732.44</v>
      </c>
      <c r="O7" s="150">
        <f t="shared" si="1"/>
        <v>1781.44</v>
      </c>
      <c r="P7" s="150">
        <f t="shared" si="1"/>
        <v>1786.44</v>
      </c>
      <c r="Q7" s="150">
        <f t="shared" si="1"/>
        <v>1795.2399999999998</v>
      </c>
      <c r="R7" s="150">
        <f t="shared" si="1"/>
        <v>1773.64</v>
      </c>
      <c r="S7" s="150">
        <f t="shared" si="1"/>
        <v>1842.24</v>
      </c>
      <c r="T7" s="150">
        <f t="shared" si="1"/>
        <v>1863.6399999999999</v>
      </c>
      <c r="U7" s="150">
        <f t="shared" si="1"/>
        <v>1806.3400000000001</v>
      </c>
      <c r="V7" s="150">
        <f t="shared" si="1"/>
        <v>1709.54</v>
      </c>
      <c r="W7" s="150">
        <f t="shared" si="1"/>
        <v>1718.24</v>
      </c>
      <c r="X7" s="150">
        <f t="shared" si="1"/>
        <v>1529.74</v>
      </c>
      <c r="Y7" s="150">
        <f t="shared" si="1"/>
        <v>1741</v>
      </c>
      <c r="Z7" s="150">
        <f t="shared" si="1"/>
        <v>1815.6</v>
      </c>
      <c r="AA7" s="150">
        <f t="shared" si="1"/>
        <v>1799.3400000000001</v>
      </c>
      <c r="AB7" s="150">
        <f t="shared" si="1"/>
        <v>1740.64</v>
      </c>
      <c r="AC7" s="150">
        <f t="shared" si="1"/>
        <v>1720.94</v>
      </c>
      <c r="AD7" s="150">
        <f t="shared" si="1"/>
        <v>1838.44</v>
      </c>
      <c r="AE7" s="150">
        <f t="shared" si="1"/>
        <v>1782.5400000000002</v>
      </c>
      <c r="AF7" s="150">
        <f t="shared" si="1"/>
        <v>1609.6399999999999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7.25" thickTop="1" thickBot="1" x14ac:dyDescent="0.3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1863.64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2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1863.64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.75" thickBot="1" x14ac:dyDescent="0.3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25">
      <c r="A11" s="89" t="s">
        <v>264</v>
      </c>
      <c r="B11" s="102">
        <v>19.8</v>
      </c>
      <c r="C11" s="102">
        <v>19.8</v>
      </c>
      <c r="D11" s="102">
        <v>19.8</v>
      </c>
      <c r="E11" s="102">
        <v>19.3</v>
      </c>
      <c r="F11" s="102">
        <v>19.3</v>
      </c>
      <c r="G11" s="102">
        <v>19.3</v>
      </c>
      <c r="H11" s="102">
        <v>20</v>
      </c>
      <c r="I11" s="102">
        <v>20</v>
      </c>
      <c r="J11" s="102">
        <v>20</v>
      </c>
      <c r="K11" s="102">
        <v>20</v>
      </c>
      <c r="L11" s="102">
        <v>19.3</v>
      </c>
      <c r="M11" s="102">
        <v>16.899999999999999</v>
      </c>
      <c r="N11" s="102">
        <v>17.399999999999999</v>
      </c>
      <c r="O11" s="102">
        <v>16.899999999999999</v>
      </c>
      <c r="P11" s="102">
        <v>17.2</v>
      </c>
      <c r="Q11" s="102">
        <v>17.8</v>
      </c>
      <c r="R11" s="102">
        <v>16.399999999999999</v>
      </c>
      <c r="S11" s="102">
        <v>18.7</v>
      </c>
      <c r="T11" s="102">
        <v>18.7</v>
      </c>
      <c r="U11" s="102">
        <v>18.7</v>
      </c>
      <c r="V11" s="102">
        <v>18.7</v>
      </c>
      <c r="W11" s="102">
        <v>18.7</v>
      </c>
      <c r="X11" s="102">
        <v>18.7</v>
      </c>
      <c r="Y11" s="102">
        <v>18.7</v>
      </c>
      <c r="Z11" s="102">
        <v>18.7</v>
      </c>
      <c r="AA11" s="102">
        <v>18.7</v>
      </c>
      <c r="AB11" s="102">
        <v>18.7</v>
      </c>
      <c r="AC11" s="102">
        <v>18.7</v>
      </c>
      <c r="AD11" s="102">
        <v>18.899999999999999</v>
      </c>
      <c r="AE11" s="102">
        <v>18.899999999999999</v>
      </c>
      <c r="AF11" s="102">
        <v>18.899999999999999</v>
      </c>
      <c r="AG11" s="140">
        <v>86</v>
      </c>
      <c r="AH11" s="12">
        <f t="shared" ref="AH11:AH16" si="2">MAX(B11:AF11)</f>
        <v>20</v>
      </c>
      <c r="AI11" s="11">
        <f t="shared" ref="AI11:AI16" si="3">MIN(B11:AF11)</f>
        <v>16.399999999999999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25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>
        <v>11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>
        <v>11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21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25">
      <c r="A13" s="89" t="s">
        <v>262</v>
      </c>
      <c r="B13" s="102">
        <v>17.899999999999999</v>
      </c>
      <c r="C13" s="102">
        <v>17.899999999999999</v>
      </c>
      <c r="D13" s="102">
        <v>17.899999999999999</v>
      </c>
      <c r="E13" s="102">
        <v>13.3</v>
      </c>
      <c r="F13" s="102">
        <v>13.3</v>
      </c>
      <c r="G13" s="102">
        <v>13.3</v>
      </c>
      <c r="H13" s="102">
        <v>13.4</v>
      </c>
      <c r="I13" s="102">
        <v>13.4</v>
      </c>
      <c r="J13" s="102">
        <v>13.4</v>
      </c>
      <c r="K13" s="102">
        <v>13.4</v>
      </c>
      <c r="L13" s="102">
        <v>10.9</v>
      </c>
      <c r="M13" s="102">
        <v>10.9</v>
      </c>
      <c r="N13" s="102">
        <v>10.9</v>
      </c>
      <c r="O13" s="102">
        <v>10.9</v>
      </c>
      <c r="P13" s="102">
        <v>10.9</v>
      </c>
      <c r="Q13" s="102">
        <v>10.9</v>
      </c>
      <c r="R13" s="102">
        <v>10.9</v>
      </c>
      <c r="S13" s="102">
        <v>13.2</v>
      </c>
      <c r="T13" s="102">
        <v>13.2</v>
      </c>
      <c r="U13" s="102">
        <v>13.2</v>
      </c>
      <c r="V13" s="102">
        <v>13.2</v>
      </c>
      <c r="W13" s="102">
        <v>13.2</v>
      </c>
      <c r="X13" s="102">
        <v>13.2</v>
      </c>
      <c r="Y13" s="102">
        <v>13.2</v>
      </c>
      <c r="Z13" s="102">
        <v>13.2</v>
      </c>
      <c r="AA13" s="102">
        <v>13.2</v>
      </c>
      <c r="AB13" s="102">
        <v>13.2</v>
      </c>
      <c r="AC13" s="102">
        <v>13.2</v>
      </c>
      <c r="AD13" s="102">
        <v>27.7</v>
      </c>
      <c r="AE13" s="102">
        <v>27.7</v>
      </c>
      <c r="AF13" s="102">
        <v>27.7</v>
      </c>
      <c r="AG13" s="130">
        <v>54</v>
      </c>
      <c r="AH13" s="12">
        <f t="shared" si="2"/>
        <v>27.7</v>
      </c>
      <c r="AI13" s="11">
        <f t="shared" si="3"/>
        <v>10.9</v>
      </c>
      <c r="AK13" s="19"/>
      <c r="AL13" s="6" t="str">
        <f ca="1">"Daily Load Curve(Excluding of Export) of Nepal ("&amp;A4&amp;" "&amp;B4&amp;")"</f>
        <v>Daily Load Curve(Excluding of Export) of Nepal (Nepali Date: 2080/10/21)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.75" thickBot="1" x14ac:dyDescent="0.3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.75" thickTop="1" x14ac:dyDescent="0.25">
      <c r="A15" s="89" t="s">
        <v>260</v>
      </c>
      <c r="B15" s="102">
        <v>36.200000000000003</v>
      </c>
      <c r="C15" s="102">
        <v>36.200000000000003</v>
      </c>
      <c r="D15" s="102">
        <v>36.200000000000003</v>
      </c>
      <c r="E15" s="102">
        <v>43.9</v>
      </c>
      <c r="F15" s="102">
        <v>43.9</v>
      </c>
      <c r="G15" s="102">
        <v>43.9</v>
      </c>
      <c r="H15" s="102">
        <v>43.2</v>
      </c>
      <c r="I15" s="102">
        <v>43.2</v>
      </c>
      <c r="J15" s="102">
        <v>43.2</v>
      </c>
      <c r="K15" s="102">
        <v>43.2</v>
      </c>
      <c r="L15" s="102">
        <v>43.4</v>
      </c>
      <c r="M15" s="102">
        <v>43.4</v>
      </c>
      <c r="N15" s="102">
        <v>43.4</v>
      </c>
      <c r="O15" s="102">
        <v>43.4</v>
      </c>
      <c r="P15" s="102">
        <v>43.4</v>
      </c>
      <c r="Q15" s="102">
        <v>43.4</v>
      </c>
      <c r="R15" s="102">
        <v>43.4</v>
      </c>
      <c r="S15" s="102">
        <v>37.299999999999997</v>
      </c>
      <c r="T15" s="102">
        <v>37.299999999999997</v>
      </c>
      <c r="U15" s="102">
        <v>37.299999999999997</v>
      </c>
      <c r="V15" s="102">
        <v>37.299999999999997</v>
      </c>
      <c r="W15" s="102">
        <v>37.299999999999997</v>
      </c>
      <c r="X15" s="102">
        <v>37.299999999999997</v>
      </c>
      <c r="Y15" s="102">
        <v>37.299999999999997</v>
      </c>
      <c r="Z15" s="123">
        <v>37.299999999999997</v>
      </c>
      <c r="AA15" s="123">
        <v>37.299999999999997</v>
      </c>
      <c r="AB15" s="123">
        <v>37.299999999999997</v>
      </c>
      <c r="AC15" s="123">
        <v>37.299999999999997</v>
      </c>
      <c r="AD15" s="123">
        <v>49.8</v>
      </c>
      <c r="AE15" s="123">
        <v>49.8</v>
      </c>
      <c r="AF15" s="123">
        <v>49.8</v>
      </c>
      <c r="AG15" s="130">
        <v>50</v>
      </c>
      <c r="AH15" s="12">
        <f t="shared" si="2"/>
        <v>49.8</v>
      </c>
      <c r="AI15" s="11">
        <f t="shared" si="3"/>
        <v>36.200000000000003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25">
      <c r="A16" s="89" t="s">
        <v>258</v>
      </c>
      <c r="B16" s="102">
        <v>15.2</v>
      </c>
      <c r="C16" s="102">
        <v>15.2</v>
      </c>
      <c r="D16" s="102">
        <v>15.2</v>
      </c>
      <c r="E16" s="102">
        <v>15.2</v>
      </c>
      <c r="F16" s="102">
        <v>15.2</v>
      </c>
      <c r="G16" s="102">
        <v>15.2</v>
      </c>
      <c r="H16" s="102">
        <v>15.1</v>
      </c>
      <c r="I16" s="102">
        <v>15.1</v>
      </c>
      <c r="J16" s="102">
        <v>15.1</v>
      </c>
      <c r="K16" s="102">
        <v>15.1</v>
      </c>
      <c r="L16" s="102">
        <v>15</v>
      </c>
      <c r="M16" s="102">
        <v>15</v>
      </c>
      <c r="N16" s="102">
        <v>15</v>
      </c>
      <c r="O16" s="102">
        <v>15</v>
      </c>
      <c r="P16" s="102">
        <v>15</v>
      </c>
      <c r="Q16" s="102">
        <v>15</v>
      </c>
      <c r="R16" s="102">
        <v>15</v>
      </c>
      <c r="S16" s="102">
        <v>15</v>
      </c>
      <c r="T16" s="102">
        <v>15</v>
      </c>
      <c r="U16" s="102">
        <v>15</v>
      </c>
      <c r="V16" s="102">
        <v>15</v>
      </c>
      <c r="W16" s="102">
        <v>15</v>
      </c>
      <c r="X16" s="102">
        <v>15</v>
      </c>
      <c r="Y16" s="102">
        <v>15</v>
      </c>
      <c r="Z16" s="102">
        <v>15</v>
      </c>
      <c r="AA16" s="102">
        <v>15</v>
      </c>
      <c r="AB16" s="102">
        <v>15</v>
      </c>
      <c r="AC16" s="102">
        <v>15</v>
      </c>
      <c r="AD16" s="102">
        <v>15</v>
      </c>
      <c r="AE16" s="102">
        <v>15</v>
      </c>
      <c r="AF16" s="102">
        <v>15</v>
      </c>
      <c r="AG16" s="130">
        <v>45</v>
      </c>
      <c r="AH16" s="12">
        <f t="shared" si="2"/>
        <v>15.2</v>
      </c>
      <c r="AI16" s="11">
        <f t="shared" si="3"/>
        <v>15</v>
      </c>
      <c r="AK16" s="19"/>
      <c r="AL16" s="135" t="s">
        <v>7</v>
      </c>
      <c r="AM16" s="134">
        <f t="shared" ref="AM16:AR16" si="4">B58</f>
        <v>471.1</v>
      </c>
      <c r="AN16" s="134">
        <f t="shared" si="4"/>
        <v>471.1</v>
      </c>
      <c r="AO16" s="134">
        <f t="shared" si="4"/>
        <v>471.1</v>
      </c>
      <c r="AP16" s="134">
        <f t="shared" si="4"/>
        <v>484.15000000000003</v>
      </c>
      <c r="AQ16" s="134">
        <f t="shared" si="4"/>
        <v>484.15000000000003</v>
      </c>
      <c r="AR16" s="134">
        <f t="shared" si="4"/>
        <v>484.15000000000003</v>
      </c>
      <c r="AS16" s="134">
        <f>I58</f>
        <v>480.2</v>
      </c>
      <c r="AT16" s="134">
        <f>K58</f>
        <v>480.2</v>
      </c>
      <c r="AU16" s="134">
        <f t="shared" ref="AU16:BD16" si="5">M58</f>
        <v>472.09999999999997</v>
      </c>
      <c r="AV16" s="134">
        <f t="shared" si="5"/>
        <v>472.59999999999997</v>
      </c>
      <c r="AW16" s="134">
        <f t="shared" si="5"/>
        <v>472.09999999999997</v>
      </c>
      <c r="AX16" s="134">
        <f t="shared" si="5"/>
        <v>472.4</v>
      </c>
      <c r="AY16" s="134">
        <f t="shared" si="5"/>
        <v>473</v>
      </c>
      <c r="AZ16" s="134">
        <f t="shared" si="5"/>
        <v>471.59999999999997</v>
      </c>
      <c r="BA16" s="134">
        <f t="shared" si="5"/>
        <v>464.9</v>
      </c>
      <c r="BB16" s="134">
        <f t="shared" si="5"/>
        <v>464.9</v>
      </c>
      <c r="BC16" s="134">
        <f t="shared" si="5"/>
        <v>464.9</v>
      </c>
      <c r="BD16" s="134">
        <f t="shared" si="5"/>
        <v>464.9</v>
      </c>
      <c r="BE16" s="133">
        <f>X58</f>
        <v>464.9</v>
      </c>
      <c r="BF16" s="133">
        <f>Z58</f>
        <v>473.5</v>
      </c>
      <c r="BG16" s="133">
        <f>AB58</f>
        <v>473.5</v>
      </c>
      <c r="BH16" s="133">
        <f>AD58</f>
        <v>547.6</v>
      </c>
      <c r="BI16" s="133">
        <f>AE58</f>
        <v>547.6</v>
      </c>
      <c r="BJ16" s="133">
        <f>AF58</f>
        <v>547.6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25">
      <c r="A17" s="89" t="s">
        <v>257</v>
      </c>
      <c r="B17" s="102">
        <v>16</v>
      </c>
      <c r="C17" s="102">
        <v>16</v>
      </c>
      <c r="D17" s="102">
        <v>16</v>
      </c>
      <c r="E17" s="102">
        <v>16</v>
      </c>
      <c r="F17" s="102">
        <v>16</v>
      </c>
      <c r="G17" s="102">
        <v>16</v>
      </c>
      <c r="H17" s="102">
        <v>16</v>
      </c>
      <c r="I17" s="102">
        <v>16</v>
      </c>
      <c r="J17" s="102">
        <v>16</v>
      </c>
      <c r="K17" s="102">
        <v>16</v>
      </c>
      <c r="L17" s="102">
        <v>16</v>
      </c>
      <c r="M17" s="102">
        <v>16</v>
      </c>
      <c r="N17" s="102">
        <v>16</v>
      </c>
      <c r="O17" s="102">
        <v>16</v>
      </c>
      <c r="P17" s="102">
        <v>16</v>
      </c>
      <c r="Q17" s="102">
        <v>16</v>
      </c>
      <c r="R17" s="102">
        <v>16</v>
      </c>
      <c r="S17" s="102">
        <v>16</v>
      </c>
      <c r="T17" s="102">
        <v>16</v>
      </c>
      <c r="U17" s="102">
        <v>16</v>
      </c>
      <c r="V17" s="102">
        <v>16</v>
      </c>
      <c r="W17" s="102">
        <v>16</v>
      </c>
      <c r="X17" s="102">
        <v>16</v>
      </c>
      <c r="Y17" s="102">
        <v>16</v>
      </c>
      <c r="Z17" s="102">
        <v>16</v>
      </c>
      <c r="AA17" s="102">
        <v>16</v>
      </c>
      <c r="AB17" s="102">
        <v>16</v>
      </c>
      <c r="AC17" s="102">
        <v>16</v>
      </c>
      <c r="AD17" s="102">
        <v>16</v>
      </c>
      <c r="AE17" s="102">
        <v>16</v>
      </c>
      <c r="AF17" s="102">
        <v>16</v>
      </c>
      <c r="AG17" s="130">
        <v>44</v>
      </c>
      <c r="AH17" s="12">
        <f>MAX(B17:AG17)</f>
        <v>44</v>
      </c>
      <c r="AI17" s="11">
        <f>MIN(B17:AG17)</f>
        <v>16</v>
      </c>
      <c r="AK17" s="19"/>
      <c r="AL17" s="135" t="s">
        <v>256</v>
      </c>
      <c r="AM17" s="134">
        <f t="shared" ref="AM17:AR17" si="6">B62</f>
        <v>178.89999999999998</v>
      </c>
      <c r="AN17" s="134">
        <f t="shared" si="6"/>
        <v>138.9</v>
      </c>
      <c r="AO17" s="134">
        <f t="shared" si="6"/>
        <v>133.9</v>
      </c>
      <c r="AP17" s="134">
        <f t="shared" si="6"/>
        <v>133.9</v>
      </c>
      <c r="AQ17" s="134">
        <f t="shared" si="6"/>
        <v>133.9</v>
      </c>
      <c r="AR17" s="134">
        <f t="shared" si="6"/>
        <v>133.9</v>
      </c>
      <c r="AS17" s="134">
        <f>I62</f>
        <v>134.39999999999998</v>
      </c>
      <c r="AT17" s="134">
        <f>K62</f>
        <v>38.700000000000003</v>
      </c>
      <c r="AU17" s="134">
        <f t="shared" ref="AU17:BD17" si="7">M62</f>
        <v>38.299999999999997</v>
      </c>
      <c r="AV17" s="134">
        <f t="shared" si="7"/>
        <v>35.299999999999997</v>
      </c>
      <c r="AW17" s="134">
        <f t="shared" si="7"/>
        <v>35.299999999999997</v>
      </c>
      <c r="AX17" s="134">
        <f t="shared" si="7"/>
        <v>35.299999999999997</v>
      </c>
      <c r="AY17" s="134">
        <f t="shared" si="7"/>
        <v>31.700000000000003</v>
      </c>
      <c r="AZ17" s="134">
        <f t="shared" si="7"/>
        <v>31.8</v>
      </c>
      <c r="BA17" s="134">
        <f t="shared" si="7"/>
        <v>31.8</v>
      </c>
      <c r="BB17" s="134">
        <f t="shared" si="7"/>
        <v>35.6</v>
      </c>
      <c r="BC17" s="134">
        <f t="shared" si="7"/>
        <v>35.6</v>
      </c>
      <c r="BD17" s="134">
        <f t="shared" si="7"/>
        <v>35.6</v>
      </c>
      <c r="BE17" s="133">
        <f>X62</f>
        <v>50.6</v>
      </c>
      <c r="BF17" s="133">
        <f>Z62</f>
        <v>497.70000000000005</v>
      </c>
      <c r="BG17" s="133">
        <f>AB62</f>
        <v>467.40000000000003</v>
      </c>
      <c r="BH17" s="133">
        <f>AD62</f>
        <v>413.30000000000007</v>
      </c>
      <c r="BI17" s="133">
        <f>AE62</f>
        <v>413.30000000000007</v>
      </c>
      <c r="BJ17" s="133">
        <f>AF62</f>
        <v>161.1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25">
      <c r="A18" s="89" t="s">
        <v>255</v>
      </c>
      <c r="B18" s="102">
        <v>11</v>
      </c>
      <c r="C18" s="102">
        <v>11</v>
      </c>
      <c r="D18" s="102">
        <v>11</v>
      </c>
      <c r="E18" s="102">
        <v>10</v>
      </c>
      <c r="F18" s="102">
        <v>10</v>
      </c>
      <c r="G18" s="102">
        <v>10</v>
      </c>
      <c r="H18" s="102">
        <v>9</v>
      </c>
      <c r="I18" s="102">
        <v>9</v>
      </c>
      <c r="J18" s="102">
        <v>9</v>
      </c>
      <c r="K18" s="102">
        <v>9</v>
      </c>
      <c r="L18" s="102">
        <v>9</v>
      </c>
      <c r="M18" s="102">
        <v>9</v>
      </c>
      <c r="N18" s="102">
        <v>9</v>
      </c>
      <c r="O18" s="102">
        <v>9</v>
      </c>
      <c r="P18" s="102">
        <v>9</v>
      </c>
      <c r="Q18" s="102">
        <v>9</v>
      </c>
      <c r="R18" s="102">
        <v>9</v>
      </c>
      <c r="S18" s="102">
        <v>8.5</v>
      </c>
      <c r="T18" s="102">
        <v>8.5</v>
      </c>
      <c r="U18" s="102">
        <v>8.5</v>
      </c>
      <c r="V18" s="102">
        <v>8.5</v>
      </c>
      <c r="W18" s="102">
        <v>8.5</v>
      </c>
      <c r="X18" s="102">
        <v>8.5</v>
      </c>
      <c r="Y18" s="102">
        <v>8.5</v>
      </c>
      <c r="Z18" s="102">
        <v>8.5</v>
      </c>
      <c r="AA18" s="102">
        <v>8.5</v>
      </c>
      <c r="AB18" s="102">
        <v>8.5</v>
      </c>
      <c r="AC18" s="102">
        <v>8.5</v>
      </c>
      <c r="AD18" s="102">
        <v>19</v>
      </c>
      <c r="AE18" s="102">
        <v>19</v>
      </c>
      <c r="AF18" s="102">
        <v>19</v>
      </c>
      <c r="AG18" s="130">
        <v>42</v>
      </c>
      <c r="AH18" s="12">
        <f t="shared" ref="AH18:AH81" si="8">MAX(B18:AF18)</f>
        <v>19</v>
      </c>
      <c r="AI18" s="11">
        <f t="shared" ref="AI18:AI81" si="9">MIN(B18:AF18)</f>
        <v>8.5</v>
      </c>
      <c r="AK18" s="19"/>
      <c r="AL18" s="135" t="s">
        <v>254</v>
      </c>
      <c r="AM18" s="134">
        <f t="shared" ref="AM18:AR18" si="10">B76</f>
        <v>199.64</v>
      </c>
      <c r="AN18" s="134">
        <f t="shared" si="10"/>
        <v>199.64</v>
      </c>
      <c r="AO18" s="134">
        <f t="shared" si="10"/>
        <v>199.64</v>
      </c>
      <c r="AP18" s="134">
        <f t="shared" si="10"/>
        <v>177.43999999999997</v>
      </c>
      <c r="AQ18" s="134">
        <f t="shared" si="10"/>
        <v>177.43999999999997</v>
      </c>
      <c r="AR18" s="134">
        <f t="shared" si="10"/>
        <v>177.43999999999997</v>
      </c>
      <c r="AS18" s="134">
        <f>I76</f>
        <v>213.34</v>
      </c>
      <c r="AT18" s="134">
        <f>K76</f>
        <v>277.04000000000002</v>
      </c>
      <c r="AU18" s="134">
        <f t="shared" ref="AU18:BD18" si="11">M76</f>
        <v>289.54000000000008</v>
      </c>
      <c r="AV18" s="134">
        <f t="shared" si="11"/>
        <v>285.54000000000002</v>
      </c>
      <c r="AW18" s="134">
        <f t="shared" si="11"/>
        <v>281.64000000000004</v>
      </c>
      <c r="AX18" s="134">
        <f t="shared" si="11"/>
        <v>282.94000000000005</v>
      </c>
      <c r="AY18" s="134">
        <f t="shared" si="11"/>
        <v>292.14000000000004</v>
      </c>
      <c r="AZ18" s="134">
        <f t="shared" si="11"/>
        <v>278.44000000000005</v>
      </c>
      <c r="BA18" s="134">
        <f t="shared" si="11"/>
        <v>271.34000000000003</v>
      </c>
      <c r="BB18" s="134">
        <f t="shared" si="11"/>
        <v>278.54000000000002</v>
      </c>
      <c r="BC18" s="134">
        <f t="shared" si="11"/>
        <v>250.64</v>
      </c>
      <c r="BD18" s="134">
        <f t="shared" si="11"/>
        <v>230.04</v>
      </c>
      <c r="BE18" s="133">
        <f>X76</f>
        <v>202.94</v>
      </c>
      <c r="BF18" s="133">
        <f>Z76</f>
        <v>306.59999999999997</v>
      </c>
      <c r="BG18" s="133">
        <f>AB76</f>
        <v>330.44</v>
      </c>
      <c r="BH18" s="133">
        <f>AD76</f>
        <v>313.83999999999997</v>
      </c>
      <c r="BI18" s="133">
        <f>AE76</f>
        <v>245.14000000000001</v>
      </c>
      <c r="BJ18" s="133">
        <f>AF76</f>
        <v>221.44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25">
      <c r="A19" s="89" t="s">
        <v>253</v>
      </c>
      <c r="B19" s="102">
        <v>14.5</v>
      </c>
      <c r="C19" s="102">
        <v>14.5</v>
      </c>
      <c r="D19" s="102">
        <v>14.5</v>
      </c>
      <c r="E19" s="102">
        <v>22.3</v>
      </c>
      <c r="F19" s="102">
        <v>22.3</v>
      </c>
      <c r="G19" s="102">
        <v>22.3</v>
      </c>
      <c r="H19" s="102">
        <v>21</v>
      </c>
      <c r="I19" s="102">
        <v>21</v>
      </c>
      <c r="J19" s="102">
        <v>21</v>
      </c>
      <c r="K19" s="102">
        <v>21</v>
      </c>
      <c r="L19" s="102">
        <v>21</v>
      </c>
      <c r="M19" s="102">
        <v>21</v>
      </c>
      <c r="N19" s="102">
        <v>21</v>
      </c>
      <c r="O19" s="102">
        <v>21</v>
      </c>
      <c r="P19" s="102">
        <v>21</v>
      </c>
      <c r="Q19" s="102">
        <v>21</v>
      </c>
      <c r="R19" s="102">
        <v>21</v>
      </c>
      <c r="S19" s="102">
        <v>16.3</v>
      </c>
      <c r="T19" s="102">
        <v>16.3</v>
      </c>
      <c r="U19" s="102">
        <v>16.3</v>
      </c>
      <c r="V19" s="102">
        <v>16.3</v>
      </c>
      <c r="W19" s="102">
        <v>16.3</v>
      </c>
      <c r="X19" s="102">
        <v>16.3</v>
      </c>
      <c r="Y19" s="102">
        <v>16.3</v>
      </c>
      <c r="Z19" s="102">
        <v>16.3</v>
      </c>
      <c r="AA19" s="102">
        <v>16.3</v>
      </c>
      <c r="AB19" s="102">
        <v>16.3</v>
      </c>
      <c r="AC19" s="102">
        <v>16.3</v>
      </c>
      <c r="AD19" s="102">
        <v>26.9</v>
      </c>
      <c r="AE19" s="102">
        <v>26.9</v>
      </c>
      <c r="AF19" s="102">
        <v>26.9</v>
      </c>
      <c r="AG19" s="130">
        <v>38.46</v>
      </c>
      <c r="AH19" s="12">
        <f t="shared" si="8"/>
        <v>26.9</v>
      </c>
      <c r="AI19" s="11">
        <f t="shared" si="9"/>
        <v>14.5</v>
      </c>
      <c r="AK19" s="19"/>
      <c r="AL19" s="135" t="s">
        <v>252</v>
      </c>
      <c r="AM19" s="134">
        <f t="shared" ref="AM19:AR19" si="12">B92</f>
        <v>291.2</v>
      </c>
      <c r="AN19" s="134">
        <f t="shared" si="12"/>
        <v>262.60000000000002</v>
      </c>
      <c r="AO19" s="134">
        <f t="shared" si="12"/>
        <v>232</v>
      </c>
      <c r="AP19" s="134">
        <f t="shared" si="12"/>
        <v>224.5</v>
      </c>
      <c r="AQ19" s="134">
        <f t="shared" si="12"/>
        <v>231.39999999999998</v>
      </c>
      <c r="AR19" s="134">
        <f t="shared" si="12"/>
        <v>262.5</v>
      </c>
      <c r="AS19" s="134">
        <f>I92</f>
        <v>274.14</v>
      </c>
      <c r="AT19" s="134">
        <f>K92</f>
        <v>830.4</v>
      </c>
      <c r="AU19" s="134">
        <f t="shared" ref="AU19:BD19" si="13">M92</f>
        <v>921.90000000000009</v>
      </c>
      <c r="AV19" s="134">
        <f t="shared" si="13"/>
        <v>869.7</v>
      </c>
      <c r="AW19" s="134">
        <f t="shared" si="13"/>
        <v>922.9</v>
      </c>
      <c r="AX19" s="134">
        <f t="shared" si="13"/>
        <v>915.80000000000007</v>
      </c>
      <c r="AY19" s="134">
        <f t="shared" si="13"/>
        <v>916.69999999999993</v>
      </c>
      <c r="AZ19" s="134">
        <f t="shared" si="13"/>
        <v>894.1</v>
      </c>
      <c r="BA19" s="134">
        <f t="shared" si="13"/>
        <v>976.5</v>
      </c>
      <c r="BB19" s="134">
        <f t="shared" si="13"/>
        <v>966.9</v>
      </c>
      <c r="BC19" s="134">
        <f t="shared" si="13"/>
        <v>937.5</v>
      </c>
      <c r="BD19" s="134">
        <f t="shared" si="13"/>
        <v>880.40000000000009</v>
      </c>
      <c r="BE19" s="133">
        <f>X92</f>
        <v>740</v>
      </c>
      <c r="BF19" s="133">
        <f>Z92</f>
        <v>191.6</v>
      </c>
      <c r="BG19" s="133">
        <f>AB92</f>
        <v>83.1</v>
      </c>
      <c r="BH19" s="133">
        <f>AD92</f>
        <v>117.5</v>
      </c>
      <c r="BI19" s="133">
        <f>AE92</f>
        <v>129.6</v>
      </c>
      <c r="BJ19" s="133">
        <f>AF92</f>
        <v>233.6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25">
      <c r="A20" s="89" t="s">
        <v>251</v>
      </c>
      <c r="B20" s="102">
        <v>14</v>
      </c>
      <c r="C20" s="102">
        <v>14</v>
      </c>
      <c r="D20" s="102">
        <v>14</v>
      </c>
      <c r="E20" s="102">
        <v>14</v>
      </c>
      <c r="F20" s="102">
        <v>14</v>
      </c>
      <c r="G20" s="102">
        <v>14</v>
      </c>
      <c r="H20" s="102">
        <v>14</v>
      </c>
      <c r="I20" s="102">
        <v>14</v>
      </c>
      <c r="J20" s="102">
        <v>14</v>
      </c>
      <c r="K20" s="102">
        <v>14</v>
      </c>
      <c r="L20" s="102">
        <v>14</v>
      </c>
      <c r="M20" s="102">
        <v>14</v>
      </c>
      <c r="N20" s="102">
        <v>14</v>
      </c>
      <c r="O20" s="102">
        <v>14</v>
      </c>
      <c r="P20" s="102">
        <v>14</v>
      </c>
      <c r="Q20" s="102">
        <v>14</v>
      </c>
      <c r="R20" s="102">
        <v>14</v>
      </c>
      <c r="S20" s="102">
        <v>14</v>
      </c>
      <c r="T20" s="102">
        <v>14</v>
      </c>
      <c r="U20" s="102">
        <v>14</v>
      </c>
      <c r="V20" s="102">
        <v>14</v>
      </c>
      <c r="W20" s="102">
        <v>14</v>
      </c>
      <c r="X20" s="102">
        <v>14</v>
      </c>
      <c r="Y20" s="102">
        <v>14</v>
      </c>
      <c r="Z20" s="102">
        <v>14</v>
      </c>
      <c r="AA20" s="102">
        <v>14</v>
      </c>
      <c r="AB20" s="102">
        <v>14</v>
      </c>
      <c r="AC20" s="102">
        <v>14</v>
      </c>
      <c r="AD20" s="102">
        <v>14</v>
      </c>
      <c r="AE20" s="102">
        <v>14</v>
      </c>
      <c r="AF20" s="102">
        <v>14</v>
      </c>
      <c r="AG20" s="130">
        <v>38.46</v>
      </c>
      <c r="AH20" s="12">
        <f t="shared" si="8"/>
        <v>14</v>
      </c>
      <c r="AI20" s="11">
        <f t="shared" si="9"/>
        <v>14</v>
      </c>
      <c r="AK20" s="19"/>
      <c r="AL20" s="135" t="s">
        <v>250</v>
      </c>
      <c r="AM20" s="134">
        <f t="shared" ref="AM20:AR20" si="14">B80</f>
        <v>98.3</v>
      </c>
      <c r="AN20" s="134">
        <f t="shared" si="14"/>
        <v>98.3</v>
      </c>
      <c r="AO20" s="134">
        <f t="shared" si="14"/>
        <v>98.3</v>
      </c>
      <c r="AP20" s="134">
        <f t="shared" si="14"/>
        <v>98.3</v>
      </c>
      <c r="AQ20" s="134">
        <f t="shared" si="14"/>
        <v>98.3</v>
      </c>
      <c r="AR20" s="134">
        <f t="shared" si="14"/>
        <v>98.3</v>
      </c>
      <c r="AS20" s="134">
        <f>I80</f>
        <v>98.3</v>
      </c>
      <c r="AT20" s="134">
        <f>K80</f>
        <v>38.4</v>
      </c>
      <c r="AU20" s="134">
        <f t="shared" ref="AU20:BD20" si="15">M80</f>
        <v>63.699999999999996</v>
      </c>
      <c r="AV20" s="134">
        <f t="shared" si="15"/>
        <v>69.3</v>
      </c>
      <c r="AW20" s="134">
        <f t="shared" si="15"/>
        <v>69.5</v>
      </c>
      <c r="AX20" s="134">
        <f t="shared" si="15"/>
        <v>80</v>
      </c>
      <c r="AY20" s="134">
        <f t="shared" si="15"/>
        <v>81.7</v>
      </c>
      <c r="AZ20" s="134">
        <f t="shared" si="15"/>
        <v>97.7</v>
      </c>
      <c r="BA20" s="134">
        <f t="shared" si="15"/>
        <v>97.7</v>
      </c>
      <c r="BB20" s="134">
        <f t="shared" si="15"/>
        <v>97.7</v>
      </c>
      <c r="BC20" s="134">
        <f t="shared" si="15"/>
        <v>97.7</v>
      </c>
      <c r="BD20" s="134">
        <f t="shared" si="15"/>
        <v>98.600000000000009</v>
      </c>
      <c r="BE20" s="133">
        <f>X80</f>
        <v>71.3</v>
      </c>
      <c r="BF20" s="133">
        <f>Z80</f>
        <v>96.2</v>
      </c>
      <c r="BG20" s="133">
        <f>AB80</f>
        <v>96.2</v>
      </c>
      <c r="BH20" s="133">
        <f>AD80</f>
        <v>96.2</v>
      </c>
      <c r="BI20" s="133">
        <f>AE80</f>
        <v>96.899999999999991</v>
      </c>
      <c r="BJ20" s="133">
        <f>AF80</f>
        <v>96.899999999999991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25">
      <c r="A21" s="89" t="s">
        <v>249</v>
      </c>
      <c r="B21" s="102">
        <v>0</v>
      </c>
      <c r="C21" s="102">
        <v>0</v>
      </c>
      <c r="D21" s="102">
        <v>0</v>
      </c>
      <c r="E21" s="102">
        <v>0</v>
      </c>
      <c r="F21" s="102">
        <v>0</v>
      </c>
      <c r="G21" s="102">
        <v>0</v>
      </c>
      <c r="H21" s="102">
        <v>0</v>
      </c>
      <c r="I21" s="102">
        <v>0</v>
      </c>
      <c r="J21" s="102">
        <v>0</v>
      </c>
      <c r="K21" s="102">
        <v>0</v>
      </c>
      <c r="L21" s="102">
        <v>0</v>
      </c>
      <c r="M21" s="102">
        <v>0</v>
      </c>
      <c r="N21" s="102">
        <v>0</v>
      </c>
      <c r="O21" s="102">
        <v>0</v>
      </c>
      <c r="P21" s="102">
        <v>0</v>
      </c>
      <c r="Q21" s="102">
        <v>0</v>
      </c>
      <c r="R21" s="102">
        <v>0</v>
      </c>
      <c r="S21" s="102">
        <v>0</v>
      </c>
      <c r="T21" s="102">
        <v>0</v>
      </c>
      <c r="U21" s="102">
        <v>0</v>
      </c>
      <c r="V21" s="102">
        <v>0</v>
      </c>
      <c r="W21" s="102">
        <v>0</v>
      </c>
      <c r="X21" s="102">
        <v>0</v>
      </c>
      <c r="Y21" s="102">
        <v>0</v>
      </c>
      <c r="Z21" s="102">
        <v>0</v>
      </c>
      <c r="AA21" s="102">
        <v>0</v>
      </c>
      <c r="AB21" s="102">
        <v>0</v>
      </c>
      <c r="AC21" s="102">
        <v>0</v>
      </c>
      <c r="AD21" s="102">
        <v>0</v>
      </c>
      <c r="AE21" s="102">
        <v>0</v>
      </c>
      <c r="AF21" s="102">
        <v>0</v>
      </c>
      <c r="AG21" s="130">
        <v>36</v>
      </c>
      <c r="AH21" s="12">
        <f t="shared" si="8"/>
        <v>0</v>
      </c>
      <c r="AI21" s="11">
        <f t="shared" si="9"/>
        <v>0</v>
      </c>
      <c r="AK21" s="19"/>
      <c r="AL21" s="135" t="s">
        <v>248</v>
      </c>
      <c r="AM21" s="134">
        <f t="shared" ref="AM21:AR21" si="16">B98</f>
        <v>300</v>
      </c>
      <c r="AN21" s="134">
        <f t="shared" si="16"/>
        <v>300</v>
      </c>
      <c r="AO21" s="134">
        <f t="shared" si="16"/>
        <v>280</v>
      </c>
      <c r="AP21" s="134">
        <f t="shared" si="16"/>
        <v>0</v>
      </c>
      <c r="AQ21" s="134">
        <f t="shared" si="16"/>
        <v>0</v>
      </c>
      <c r="AR21" s="134">
        <f t="shared" si="16"/>
        <v>0</v>
      </c>
      <c r="AS21" s="134">
        <f>I98</f>
        <v>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20</v>
      </c>
      <c r="BC21" s="134">
        <f t="shared" si="17"/>
        <v>20</v>
      </c>
      <c r="BD21" s="134">
        <f t="shared" si="17"/>
        <v>0</v>
      </c>
      <c r="BE21" s="133">
        <f>X98</f>
        <v>0</v>
      </c>
      <c r="BF21" s="133">
        <f>Z98</f>
        <v>250</v>
      </c>
      <c r="BG21" s="133">
        <f>AB98</f>
        <v>290</v>
      </c>
      <c r="BH21" s="133">
        <f>AD98</f>
        <v>350</v>
      </c>
      <c r="BI21" s="133">
        <f>AE98</f>
        <v>350</v>
      </c>
      <c r="BJ21" s="133">
        <f>AF98</f>
        <v>350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25">
      <c r="A22" s="89" t="s">
        <v>247</v>
      </c>
      <c r="B22" s="102">
        <v>7.9</v>
      </c>
      <c r="C22" s="102">
        <v>7.9</v>
      </c>
      <c r="D22" s="102">
        <v>7.9</v>
      </c>
      <c r="E22" s="102">
        <v>10.199999999999999</v>
      </c>
      <c r="F22" s="102">
        <v>10.199999999999999</v>
      </c>
      <c r="G22" s="102">
        <v>10.199999999999999</v>
      </c>
      <c r="H22" s="102">
        <v>8.1999999999999993</v>
      </c>
      <c r="I22" s="102">
        <v>8.1999999999999993</v>
      </c>
      <c r="J22" s="102">
        <v>8.1999999999999993</v>
      </c>
      <c r="K22" s="102">
        <v>8.1999999999999993</v>
      </c>
      <c r="L22" s="102">
        <v>8.1999999999999993</v>
      </c>
      <c r="M22" s="102">
        <v>8.4</v>
      </c>
      <c r="N22" s="102">
        <v>8.4</v>
      </c>
      <c r="O22" s="102">
        <v>8.4</v>
      </c>
      <c r="P22" s="102">
        <v>8.4</v>
      </c>
      <c r="Q22" s="102">
        <v>8.4</v>
      </c>
      <c r="R22" s="102">
        <v>8.4</v>
      </c>
      <c r="S22" s="102">
        <v>8.4</v>
      </c>
      <c r="T22" s="102">
        <v>8.4</v>
      </c>
      <c r="U22" s="102">
        <v>8.4</v>
      </c>
      <c r="V22" s="102">
        <v>8.4</v>
      </c>
      <c r="W22" s="102">
        <v>8.4</v>
      </c>
      <c r="X22" s="102">
        <v>8.4</v>
      </c>
      <c r="Y22" s="102">
        <v>8.4</v>
      </c>
      <c r="Z22" s="102">
        <v>17</v>
      </c>
      <c r="AA22" s="102">
        <v>17</v>
      </c>
      <c r="AB22" s="102">
        <v>17</v>
      </c>
      <c r="AC22" s="102">
        <v>17</v>
      </c>
      <c r="AD22" s="102">
        <v>18.8</v>
      </c>
      <c r="AE22" s="102">
        <v>18.8</v>
      </c>
      <c r="AF22" s="102">
        <v>18.8</v>
      </c>
      <c r="AG22" s="88">
        <v>30</v>
      </c>
      <c r="AH22" s="12">
        <f t="shared" si="8"/>
        <v>18.8</v>
      </c>
      <c r="AI22" s="11">
        <f t="shared" si="9"/>
        <v>7.9</v>
      </c>
      <c r="AK22" s="19"/>
      <c r="AL22" s="132" t="s">
        <v>246</v>
      </c>
      <c r="AM22" s="131">
        <f t="shared" ref="AM22:BJ22" si="18">SUM(AM16:AM21)</f>
        <v>1539.1399999999999</v>
      </c>
      <c r="AN22" s="131">
        <f t="shared" si="18"/>
        <v>1470.54</v>
      </c>
      <c r="AO22" s="131">
        <f t="shared" si="18"/>
        <v>1414.9399999999998</v>
      </c>
      <c r="AP22" s="131">
        <f t="shared" si="18"/>
        <v>1118.29</v>
      </c>
      <c r="AQ22" s="131">
        <f t="shared" si="18"/>
        <v>1125.1899999999998</v>
      </c>
      <c r="AR22" s="131">
        <f t="shared" si="18"/>
        <v>1156.29</v>
      </c>
      <c r="AS22" s="131">
        <f t="shared" si="18"/>
        <v>1200.3799999999999</v>
      </c>
      <c r="AT22" s="131">
        <f t="shared" si="18"/>
        <v>1664.7400000000002</v>
      </c>
      <c r="AU22" s="131">
        <f t="shared" si="18"/>
        <v>1785.5400000000002</v>
      </c>
      <c r="AV22" s="131">
        <f t="shared" si="18"/>
        <v>1732.44</v>
      </c>
      <c r="AW22" s="131">
        <f t="shared" si="18"/>
        <v>1781.44</v>
      </c>
      <c r="AX22" s="131">
        <f t="shared" si="18"/>
        <v>1786.44</v>
      </c>
      <c r="AY22" s="131">
        <f t="shared" si="18"/>
        <v>1795.24</v>
      </c>
      <c r="AZ22" s="131">
        <f t="shared" si="18"/>
        <v>1773.64</v>
      </c>
      <c r="BA22" s="131">
        <f t="shared" si="18"/>
        <v>1842.24</v>
      </c>
      <c r="BB22" s="131">
        <f t="shared" si="18"/>
        <v>1863.64</v>
      </c>
      <c r="BC22" s="131">
        <f t="shared" si="18"/>
        <v>1806.34</v>
      </c>
      <c r="BD22" s="131">
        <f t="shared" si="18"/>
        <v>1709.54</v>
      </c>
      <c r="BE22" s="131">
        <f t="shared" si="18"/>
        <v>1529.74</v>
      </c>
      <c r="BF22" s="131">
        <f t="shared" si="18"/>
        <v>1815.6</v>
      </c>
      <c r="BG22" s="131">
        <f t="shared" si="18"/>
        <v>1740.64</v>
      </c>
      <c r="BH22" s="131">
        <f t="shared" si="18"/>
        <v>1838.44</v>
      </c>
      <c r="BI22" s="131">
        <f t="shared" si="18"/>
        <v>1782.5400000000002</v>
      </c>
      <c r="BJ22" s="131">
        <f t="shared" si="18"/>
        <v>1610.64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25">
      <c r="A23" s="89" t="s">
        <v>245</v>
      </c>
      <c r="B23" s="102">
        <v>5.6</v>
      </c>
      <c r="C23" s="102">
        <v>5.6</v>
      </c>
      <c r="D23" s="102">
        <v>5.6</v>
      </c>
      <c r="E23" s="102">
        <v>5.6</v>
      </c>
      <c r="F23" s="102">
        <v>5.6</v>
      </c>
      <c r="G23" s="102">
        <v>5.6</v>
      </c>
      <c r="H23" s="102">
        <v>5.6</v>
      </c>
      <c r="I23" s="102">
        <v>5.6</v>
      </c>
      <c r="J23" s="102">
        <v>5.6</v>
      </c>
      <c r="K23" s="102">
        <v>5.6</v>
      </c>
      <c r="L23" s="102">
        <v>5.6</v>
      </c>
      <c r="M23" s="102">
        <v>5.6</v>
      </c>
      <c r="N23" s="102">
        <v>5.6</v>
      </c>
      <c r="O23" s="102">
        <v>5.6</v>
      </c>
      <c r="P23" s="102">
        <v>5.6</v>
      </c>
      <c r="Q23" s="102">
        <v>5.6</v>
      </c>
      <c r="R23" s="102">
        <v>5.6</v>
      </c>
      <c r="S23" s="102">
        <v>5.6</v>
      </c>
      <c r="T23" s="102">
        <v>5.6</v>
      </c>
      <c r="U23" s="102">
        <v>5.6</v>
      </c>
      <c r="V23" s="102">
        <v>5.6</v>
      </c>
      <c r="W23" s="102">
        <v>5.6</v>
      </c>
      <c r="X23" s="102">
        <v>5.6</v>
      </c>
      <c r="Y23" s="102">
        <v>5.6</v>
      </c>
      <c r="Z23" s="102">
        <v>5.6</v>
      </c>
      <c r="AA23" s="102">
        <v>5.6</v>
      </c>
      <c r="AB23" s="102">
        <v>5.6</v>
      </c>
      <c r="AC23" s="102">
        <v>5.6</v>
      </c>
      <c r="AD23" s="102">
        <v>5.6</v>
      </c>
      <c r="AE23" s="102">
        <v>5.6</v>
      </c>
      <c r="AF23" s="102">
        <v>5.6</v>
      </c>
      <c r="AG23" s="130">
        <v>24.2</v>
      </c>
      <c r="AH23" s="12">
        <f t="shared" si="8"/>
        <v>5.6</v>
      </c>
      <c r="AI23" s="11">
        <f t="shared" si="9"/>
        <v>5.6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-1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25">
      <c r="A24" s="89" t="s">
        <v>244</v>
      </c>
      <c r="B24" s="102">
        <v>5.8</v>
      </c>
      <c r="C24" s="102">
        <v>5.8</v>
      </c>
      <c r="D24" s="102">
        <v>5.8</v>
      </c>
      <c r="E24" s="102">
        <v>5.5</v>
      </c>
      <c r="F24" s="102">
        <v>5.5</v>
      </c>
      <c r="G24" s="102">
        <v>5.5</v>
      </c>
      <c r="H24" s="102">
        <v>5.7</v>
      </c>
      <c r="I24" s="102">
        <v>5.7</v>
      </c>
      <c r="J24" s="102">
        <v>5.7</v>
      </c>
      <c r="K24" s="102">
        <v>5.7</v>
      </c>
      <c r="L24" s="102">
        <v>5.7</v>
      </c>
      <c r="M24" s="102">
        <v>5.7</v>
      </c>
      <c r="N24" s="102">
        <v>5.7</v>
      </c>
      <c r="O24" s="102">
        <v>5.7</v>
      </c>
      <c r="P24" s="102">
        <v>5.7</v>
      </c>
      <c r="Q24" s="102">
        <v>5.7</v>
      </c>
      <c r="R24" s="102">
        <v>5.7</v>
      </c>
      <c r="S24" s="102">
        <v>5.7</v>
      </c>
      <c r="T24" s="102">
        <v>5.7</v>
      </c>
      <c r="U24" s="102">
        <v>5.7</v>
      </c>
      <c r="V24" s="102">
        <v>5.7</v>
      </c>
      <c r="W24" s="102">
        <v>5.7</v>
      </c>
      <c r="X24" s="102">
        <v>5.7</v>
      </c>
      <c r="Y24" s="102">
        <v>5.7</v>
      </c>
      <c r="Z24" s="102">
        <v>5.7</v>
      </c>
      <c r="AA24" s="102">
        <v>5.7</v>
      </c>
      <c r="AB24" s="102">
        <v>5.7</v>
      </c>
      <c r="AC24" s="102">
        <v>5.7</v>
      </c>
      <c r="AD24" s="102">
        <v>6.1</v>
      </c>
      <c r="AE24" s="102">
        <v>6.1</v>
      </c>
      <c r="AF24" s="102">
        <v>6.1</v>
      </c>
      <c r="AG24" s="130">
        <v>28</v>
      </c>
      <c r="AH24" s="12">
        <f t="shared" si="8"/>
        <v>6.1</v>
      </c>
      <c r="AI24" s="11">
        <f t="shared" si="9"/>
        <v>5.5</v>
      </c>
      <c r="AK24" s="19"/>
      <c r="AL24" s="132" t="s">
        <v>243</v>
      </c>
      <c r="AM24" s="131">
        <f t="shared" ref="AM24:BJ24" si="21">AM22+AM23</f>
        <v>1539.1399999999999</v>
      </c>
      <c r="AN24" s="131">
        <f t="shared" si="21"/>
        <v>1470.54</v>
      </c>
      <c r="AO24" s="131">
        <f t="shared" si="21"/>
        <v>1414.9399999999998</v>
      </c>
      <c r="AP24" s="131">
        <f t="shared" si="21"/>
        <v>1118.29</v>
      </c>
      <c r="AQ24" s="131">
        <f t="shared" si="21"/>
        <v>1125.1899999999998</v>
      </c>
      <c r="AR24" s="131">
        <f t="shared" si="21"/>
        <v>1156.29</v>
      </c>
      <c r="AS24" s="131">
        <f t="shared" si="21"/>
        <v>1200.3799999999999</v>
      </c>
      <c r="AT24" s="131">
        <f t="shared" si="21"/>
        <v>1664.7400000000002</v>
      </c>
      <c r="AU24" s="131">
        <f t="shared" si="21"/>
        <v>1785.5400000000002</v>
      </c>
      <c r="AV24" s="131">
        <f t="shared" si="21"/>
        <v>1732.44</v>
      </c>
      <c r="AW24" s="131">
        <f t="shared" si="21"/>
        <v>1781.44</v>
      </c>
      <c r="AX24" s="131">
        <f t="shared" si="21"/>
        <v>1786.44</v>
      </c>
      <c r="AY24" s="131">
        <f t="shared" si="21"/>
        <v>1795.24</v>
      </c>
      <c r="AZ24" s="131">
        <f t="shared" si="21"/>
        <v>1773.64</v>
      </c>
      <c r="BA24" s="131">
        <f t="shared" si="21"/>
        <v>1842.24</v>
      </c>
      <c r="BB24" s="131">
        <f t="shared" si="21"/>
        <v>1863.64</v>
      </c>
      <c r="BC24" s="131">
        <f t="shared" si="21"/>
        <v>1806.34</v>
      </c>
      <c r="BD24" s="131">
        <f t="shared" si="21"/>
        <v>1709.54</v>
      </c>
      <c r="BE24" s="131">
        <f t="shared" si="21"/>
        <v>1529.74</v>
      </c>
      <c r="BF24" s="131">
        <f t="shared" si="21"/>
        <v>1815.6</v>
      </c>
      <c r="BG24" s="131">
        <f t="shared" si="21"/>
        <v>1740.64</v>
      </c>
      <c r="BH24" s="131">
        <f t="shared" si="21"/>
        <v>1838.44</v>
      </c>
      <c r="BI24" s="131">
        <f t="shared" si="21"/>
        <v>1782.5400000000002</v>
      </c>
      <c r="BJ24" s="131">
        <f t="shared" si="21"/>
        <v>1609.64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25">
      <c r="A25" s="89" t="s">
        <v>242</v>
      </c>
      <c r="B25" s="102">
        <v>5.7</v>
      </c>
      <c r="C25" s="102">
        <v>5.7</v>
      </c>
      <c r="D25" s="102">
        <v>5.7</v>
      </c>
      <c r="E25" s="102">
        <v>6.85</v>
      </c>
      <c r="F25" s="102">
        <v>6.85</v>
      </c>
      <c r="G25" s="102">
        <v>6.85</v>
      </c>
      <c r="H25" s="102">
        <v>6.8</v>
      </c>
      <c r="I25" s="102">
        <v>6.8</v>
      </c>
      <c r="J25" s="102">
        <v>6.8</v>
      </c>
      <c r="K25" s="102">
        <v>6.8</v>
      </c>
      <c r="L25" s="102">
        <v>6.8</v>
      </c>
      <c r="M25" s="102">
        <v>5.2</v>
      </c>
      <c r="N25" s="102">
        <v>5.2</v>
      </c>
      <c r="O25" s="102">
        <v>5.2</v>
      </c>
      <c r="P25" s="102">
        <v>5.2</v>
      </c>
      <c r="Q25" s="102">
        <v>5.2</v>
      </c>
      <c r="R25" s="102">
        <v>5.2</v>
      </c>
      <c r="S25" s="102">
        <v>5.2</v>
      </c>
      <c r="T25" s="102">
        <v>5.2</v>
      </c>
      <c r="U25" s="102">
        <v>5.2</v>
      </c>
      <c r="V25" s="102">
        <v>5.2</v>
      </c>
      <c r="W25" s="102">
        <v>5.2</v>
      </c>
      <c r="X25" s="102">
        <v>5.2</v>
      </c>
      <c r="Y25" s="102">
        <v>5.2</v>
      </c>
      <c r="Z25" s="102">
        <v>5.2</v>
      </c>
      <c r="AA25" s="102">
        <v>5.2</v>
      </c>
      <c r="AB25" s="102">
        <v>5.2</v>
      </c>
      <c r="AC25" s="102">
        <v>5.2</v>
      </c>
      <c r="AD25" s="102">
        <v>11.8</v>
      </c>
      <c r="AE25" s="102">
        <v>11.8</v>
      </c>
      <c r="AF25" s="102">
        <v>11.8</v>
      </c>
      <c r="AG25" s="88">
        <v>30</v>
      </c>
      <c r="AH25" s="12">
        <f t="shared" si="8"/>
        <v>11.8</v>
      </c>
      <c r="AI25" s="11">
        <f t="shared" si="9"/>
        <v>5.2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25">
      <c r="A26" s="89" t="s">
        <v>241</v>
      </c>
      <c r="B26" s="102">
        <v>9.9</v>
      </c>
      <c r="C26" s="102">
        <v>9.9</v>
      </c>
      <c r="D26" s="102">
        <v>9.9</v>
      </c>
      <c r="E26" s="102">
        <v>10.4</v>
      </c>
      <c r="F26" s="102">
        <v>10.4</v>
      </c>
      <c r="G26" s="102">
        <v>10.4</v>
      </c>
      <c r="H26" s="102">
        <v>9.3000000000000007</v>
      </c>
      <c r="I26" s="102">
        <v>9.3000000000000007</v>
      </c>
      <c r="J26" s="102">
        <v>9.3000000000000007</v>
      </c>
      <c r="K26" s="102">
        <v>9.3000000000000007</v>
      </c>
      <c r="L26" s="102">
        <v>9.3000000000000007</v>
      </c>
      <c r="M26" s="102">
        <v>9.3000000000000007</v>
      </c>
      <c r="N26" s="102">
        <v>9.3000000000000007</v>
      </c>
      <c r="O26" s="102">
        <v>9.3000000000000007</v>
      </c>
      <c r="P26" s="102">
        <v>9.3000000000000007</v>
      </c>
      <c r="Q26" s="102">
        <v>9.3000000000000007</v>
      </c>
      <c r="R26" s="102">
        <v>9.3000000000000007</v>
      </c>
      <c r="S26" s="102">
        <v>9.3000000000000007</v>
      </c>
      <c r="T26" s="102">
        <v>9.3000000000000007</v>
      </c>
      <c r="U26" s="102">
        <v>9.3000000000000007</v>
      </c>
      <c r="V26" s="102">
        <v>9.3000000000000007</v>
      </c>
      <c r="W26" s="102">
        <v>9.3000000000000007</v>
      </c>
      <c r="X26" s="102">
        <v>9.3000000000000007</v>
      </c>
      <c r="Y26" s="102">
        <v>9.3000000000000007</v>
      </c>
      <c r="Z26" s="102">
        <v>9.3000000000000007</v>
      </c>
      <c r="AA26" s="102">
        <v>9.3000000000000007</v>
      </c>
      <c r="AB26" s="102">
        <v>9.3000000000000007</v>
      </c>
      <c r="AC26" s="102">
        <v>9.3000000000000007</v>
      </c>
      <c r="AD26" s="102">
        <v>19</v>
      </c>
      <c r="AE26" s="102">
        <v>19</v>
      </c>
      <c r="AF26" s="102">
        <v>19</v>
      </c>
      <c r="AG26" s="130">
        <v>25</v>
      </c>
      <c r="AH26" s="12">
        <f t="shared" si="8"/>
        <v>19</v>
      </c>
      <c r="AI26" s="11">
        <f t="shared" si="9"/>
        <v>9.3000000000000007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25">
      <c r="A27" s="89" t="s">
        <v>240</v>
      </c>
      <c r="B27" s="102">
        <v>8</v>
      </c>
      <c r="C27" s="102">
        <v>8</v>
      </c>
      <c r="D27" s="102">
        <v>8</v>
      </c>
      <c r="E27" s="102">
        <v>8</v>
      </c>
      <c r="F27" s="102">
        <v>8</v>
      </c>
      <c r="G27" s="102">
        <v>8</v>
      </c>
      <c r="H27" s="102">
        <v>8</v>
      </c>
      <c r="I27" s="102">
        <v>8</v>
      </c>
      <c r="J27" s="102">
        <v>8</v>
      </c>
      <c r="K27" s="102">
        <v>8</v>
      </c>
      <c r="L27" s="102">
        <v>8</v>
      </c>
      <c r="M27" s="102">
        <v>8</v>
      </c>
      <c r="N27" s="102">
        <v>8</v>
      </c>
      <c r="O27" s="102">
        <v>8</v>
      </c>
      <c r="P27" s="102">
        <v>8</v>
      </c>
      <c r="Q27" s="102">
        <v>8</v>
      </c>
      <c r="R27" s="102">
        <v>8</v>
      </c>
      <c r="S27" s="102">
        <v>8</v>
      </c>
      <c r="T27" s="102">
        <v>8</v>
      </c>
      <c r="U27" s="102">
        <v>8</v>
      </c>
      <c r="V27" s="102">
        <v>8</v>
      </c>
      <c r="W27" s="102">
        <v>8</v>
      </c>
      <c r="X27" s="102">
        <v>8</v>
      </c>
      <c r="Y27" s="102">
        <v>8</v>
      </c>
      <c r="Z27" s="102">
        <v>8</v>
      </c>
      <c r="AA27" s="102">
        <v>8</v>
      </c>
      <c r="AB27" s="102">
        <v>8</v>
      </c>
      <c r="AC27" s="102">
        <v>8</v>
      </c>
      <c r="AD27" s="102">
        <v>8</v>
      </c>
      <c r="AE27" s="102">
        <v>8</v>
      </c>
      <c r="AF27" s="102">
        <v>8</v>
      </c>
      <c r="AG27" s="130">
        <v>25</v>
      </c>
      <c r="AH27" s="12">
        <f t="shared" si="8"/>
        <v>8</v>
      </c>
      <c r="AI27" s="11">
        <f t="shared" si="9"/>
        <v>8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25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25">
      <c r="A29" s="89" t="s">
        <v>238</v>
      </c>
      <c r="B29" s="102">
        <v>8</v>
      </c>
      <c r="C29" s="102">
        <v>8</v>
      </c>
      <c r="D29" s="102">
        <v>8</v>
      </c>
      <c r="E29" s="102">
        <v>8</v>
      </c>
      <c r="F29" s="102">
        <v>8</v>
      </c>
      <c r="G29" s="102">
        <v>8</v>
      </c>
      <c r="H29" s="102">
        <v>9.3000000000000007</v>
      </c>
      <c r="I29" s="102">
        <v>9.3000000000000007</v>
      </c>
      <c r="J29" s="102">
        <v>9.3000000000000007</v>
      </c>
      <c r="K29" s="102">
        <v>9.3000000000000007</v>
      </c>
      <c r="L29" s="102">
        <v>9.3000000000000007</v>
      </c>
      <c r="M29" s="102">
        <v>8.1</v>
      </c>
      <c r="N29" s="102">
        <v>8.1</v>
      </c>
      <c r="O29" s="102">
        <v>8.1</v>
      </c>
      <c r="P29" s="102">
        <v>8.1</v>
      </c>
      <c r="Q29" s="102">
        <v>8.1</v>
      </c>
      <c r="R29" s="102">
        <v>8.1</v>
      </c>
      <c r="S29" s="102">
        <v>8.1</v>
      </c>
      <c r="T29" s="102">
        <v>8.1</v>
      </c>
      <c r="U29" s="102">
        <v>8.1</v>
      </c>
      <c r="V29" s="102">
        <v>8.1</v>
      </c>
      <c r="W29" s="102">
        <v>8.1</v>
      </c>
      <c r="X29" s="102">
        <v>8.1</v>
      </c>
      <c r="Y29" s="102">
        <v>8.1</v>
      </c>
      <c r="Z29" s="102">
        <v>8.1</v>
      </c>
      <c r="AA29" s="102">
        <v>8.1</v>
      </c>
      <c r="AB29" s="102">
        <v>8.1</v>
      </c>
      <c r="AC29" s="102">
        <v>8.1</v>
      </c>
      <c r="AD29" s="102">
        <v>15.4</v>
      </c>
      <c r="AE29" s="102">
        <v>15.4</v>
      </c>
      <c r="AF29" s="102">
        <v>15.4</v>
      </c>
      <c r="AG29" s="130">
        <v>25</v>
      </c>
      <c r="AH29" s="12">
        <f t="shared" si="8"/>
        <v>15.4</v>
      </c>
      <c r="AI29" s="11">
        <f t="shared" si="9"/>
        <v>8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25">
      <c r="A30" s="89" t="s">
        <v>237</v>
      </c>
      <c r="B30" s="102">
        <v>5</v>
      </c>
      <c r="C30" s="102">
        <v>5</v>
      </c>
      <c r="D30" s="102">
        <v>5</v>
      </c>
      <c r="E30" s="102">
        <v>5</v>
      </c>
      <c r="F30" s="102">
        <v>5</v>
      </c>
      <c r="G30" s="102">
        <v>5</v>
      </c>
      <c r="H30" s="102">
        <v>5</v>
      </c>
      <c r="I30" s="102">
        <v>5</v>
      </c>
      <c r="J30" s="102">
        <v>5</v>
      </c>
      <c r="K30" s="102">
        <v>5</v>
      </c>
      <c r="L30" s="102">
        <v>5</v>
      </c>
      <c r="M30" s="102">
        <v>5</v>
      </c>
      <c r="N30" s="102">
        <v>5</v>
      </c>
      <c r="O30" s="102">
        <v>5</v>
      </c>
      <c r="P30" s="102">
        <v>5</v>
      </c>
      <c r="Q30" s="102">
        <v>5</v>
      </c>
      <c r="R30" s="102">
        <v>5</v>
      </c>
      <c r="S30" s="102">
        <v>5</v>
      </c>
      <c r="T30" s="102">
        <v>5</v>
      </c>
      <c r="U30" s="102">
        <v>5</v>
      </c>
      <c r="V30" s="102">
        <v>5</v>
      </c>
      <c r="W30" s="102">
        <v>5</v>
      </c>
      <c r="X30" s="102">
        <v>5</v>
      </c>
      <c r="Y30" s="102">
        <v>5</v>
      </c>
      <c r="Z30" s="102">
        <v>5</v>
      </c>
      <c r="AA30" s="102">
        <v>5</v>
      </c>
      <c r="AB30" s="102">
        <v>5</v>
      </c>
      <c r="AC30" s="102">
        <v>5</v>
      </c>
      <c r="AD30" s="102">
        <v>5</v>
      </c>
      <c r="AE30" s="102">
        <v>5</v>
      </c>
      <c r="AF30" s="102">
        <v>5</v>
      </c>
      <c r="AG30" s="130">
        <v>23.5</v>
      </c>
      <c r="AH30" s="12">
        <f t="shared" si="8"/>
        <v>5</v>
      </c>
      <c r="AI30" s="11">
        <f t="shared" si="9"/>
        <v>5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25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25">
      <c r="A32" s="89" t="s">
        <v>235</v>
      </c>
      <c r="B32" s="102">
        <v>3</v>
      </c>
      <c r="C32" s="102">
        <v>3</v>
      </c>
      <c r="D32" s="102">
        <v>3</v>
      </c>
      <c r="E32" s="102">
        <v>3</v>
      </c>
      <c r="F32" s="102">
        <v>3</v>
      </c>
      <c r="G32" s="102">
        <v>3</v>
      </c>
      <c r="H32" s="102">
        <v>3</v>
      </c>
      <c r="I32" s="102">
        <v>3</v>
      </c>
      <c r="J32" s="102">
        <v>3</v>
      </c>
      <c r="K32" s="102">
        <v>3</v>
      </c>
      <c r="L32" s="102">
        <v>3</v>
      </c>
      <c r="M32" s="102">
        <v>3</v>
      </c>
      <c r="N32" s="102">
        <v>3</v>
      </c>
      <c r="O32" s="102">
        <v>3</v>
      </c>
      <c r="P32" s="102">
        <v>3</v>
      </c>
      <c r="Q32" s="102">
        <v>3</v>
      </c>
      <c r="R32" s="102">
        <v>3</v>
      </c>
      <c r="S32" s="102">
        <v>3</v>
      </c>
      <c r="T32" s="102">
        <v>3</v>
      </c>
      <c r="U32" s="102">
        <v>3</v>
      </c>
      <c r="V32" s="102">
        <v>3</v>
      </c>
      <c r="W32" s="102">
        <v>3</v>
      </c>
      <c r="X32" s="102">
        <v>3</v>
      </c>
      <c r="Y32" s="102">
        <v>3</v>
      </c>
      <c r="Z32" s="102">
        <v>3</v>
      </c>
      <c r="AA32" s="102">
        <v>3</v>
      </c>
      <c r="AB32" s="102">
        <v>3</v>
      </c>
      <c r="AC32" s="102">
        <v>3</v>
      </c>
      <c r="AD32" s="102">
        <v>3</v>
      </c>
      <c r="AE32" s="102">
        <v>3</v>
      </c>
      <c r="AF32" s="102">
        <v>3</v>
      </c>
      <c r="AG32" s="130">
        <v>22.1</v>
      </c>
      <c r="AH32" s="12">
        <f t="shared" si="8"/>
        <v>3</v>
      </c>
      <c r="AI32" s="11">
        <f t="shared" si="9"/>
        <v>3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25">
      <c r="A33" s="89" t="s">
        <v>234</v>
      </c>
      <c r="B33" s="102">
        <v>3.9</v>
      </c>
      <c r="C33" s="102">
        <v>3.9</v>
      </c>
      <c r="D33" s="102">
        <v>3.9</v>
      </c>
      <c r="E33" s="102">
        <v>3.9</v>
      </c>
      <c r="F33" s="102">
        <v>3.9</v>
      </c>
      <c r="G33" s="102">
        <v>3.9</v>
      </c>
      <c r="H33" s="102">
        <v>3.9</v>
      </c>
      <c r="I33" s="102">
        <v>3.9</v>
      </c>
      <c r="J33" s="102">
        <v>3.9</v>
      </c>
      <c r="K33" s="102">
        <v>3.9</v>
      </c>
      <c r="L33" s="102">
        <v>3.9</v>
      </c>
      <c r="M33" s="102">
        <v>3.9</v>
      </c>
      <c r="N33" s="102">
        <v>3.9</v>
      </c>
      <c r="O33" s="102">
        <v>3.9</v>
      </c>
      <c r="P33" s="102">
        <v>3.9</v>
      </c>
      <c r="Q33" s="102">
        <v>3.9</v>
      </c>
      <c r="R33" s="102">
        <v>3.9</v>
      </c>
      <c r="S33" s="102">
        <v>3.9</v>
      </c>
      <c r="T33" s="102">
        <v>3.9</v>
      </c>
      <c r="U33" s="102">
        <v>3.9</v>
      </c>
      <c r="V33" s="102">
        <v>3.9</v>
      </c>
      <c r="W33" s="102">
        <v>3.9</v>
      </c>
      <c r="X33" s="102">
        <v>3.9</v>
      </c>
      <c r="Y33" s="102">
        <v>3.9</v>
      </c>
      <c r="Z33" s="102">
        <v>3.9</v>
      </c>
      <c r="AA33" s="102">
        <v>3.9</v>
      </c>
      <c r="AB33" s="102">
        <v>3.9</v>
      </c>
      <c r="AC33" s="102">
        <v>3.9</v>
      </c>
      <c r="AD33" s="102">
        <v>3.9</v>
      </c>
      <c r="AE33" s="102">
        <v>3.9</v>
      </c>
      <c r="AF33" s="102">
        <v>3.9</v>
      </c>
      <c r="AG33" s="130">
        <v>22</v>
      </c>
      <c r="AH33" s="12">
        <f t="shared" si="8"/>
        <v>3.9</v>
      </c>
      <c r="AI33" s="11">
        <f t="shared" si="9"/>
        <v>3.9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25">
      <c r="A34" s="89" t="s">
        <v>233</v>
      </c>
      <c r="B34" s="102">
        <v>5.8</v>
      </c>
      <c r="C34" s="102">
        <v>5.8</v>
      </c>
      <c r="D34" s="102">
        <v>5.8</v>
      </c>
      <c r="E34" s="102">
        <v>5.8</v>
      </c>
      <c r="F34" s="102">
        <v>5.8</v>
      </c>
      <c r="G34" s="102">
        <v>5.8</v>
      </c>
      <c r="H34" s="102">
        <v>5.8</v>
      </c>
      <c r="I34" s="102">
        <v>5.8</v>
      </c>
      <c r="J34" s="102">
        <v>5.8</v>
      </c>
      <c r="K34" s="102">
        <v>5.8</v>
      </c>
      <c r="L34" s="102">
        <v>5.8</v>
      </c>
      <c r="M34" s="102">
        <v>5.8</v>
      </c>
      <c r="N34" s="102">
        <v>5.8</v>
      </c>
      <c r="O34" s="102">
        <v>5.8</v>
      </c>
      <c r="P34" s="102">
        <v>5.8</v>
      </c>
      <c r="Q34" s="102">
        <v>5.8</v>
      </c>
      <c r="R34" s="102">
        <v>5.8</v>
      </c>
      <c r="S34" s="102">
        <v>5.8</v>
      </c>
      <c r="T34" s="102">
        <v>5.8</v>
      </c>
      <c r="U34" s="102">
        <v>5.8</v>
      </c>
      <c r="V34" s="102">
        <v>5.8</v>
      </c>
      <c r="W34" s="102">
        <v>5.8</v>
      </c>
      <c r="X34" s="102">
        <v>5.8</v>
      </c>
      <c r="Y34" s="102">
        <v>5.8</v>
      </c>
      <c r="Z34" s="102">
        <v>5.8</v>
      </c>
      <c r="AA34" s="102">
        <v>5.8</v>
      </c>
      <c r="AB34" s="102">
        <v>5.8</v>
      </c>
      <c r="AC34" s="102">
        <v>5.8</v>
      </c>
      <c r="AD34" s="102">
        <v>5.8</v>
      </c>
      <c r="AE34" s="102">
        <v>5.8</v>
      </c>
      <c r="AF34" s="102">
        <v>5.8</v>
      </c>
      <c r="AG34" s="130">
        <v>22</v>
      </c>
      <c r="AH34" s="12">
        <f t="shared" si="8"/>
        <v>5.8</v>
      </c>
      <c r="AI34" s="11">
        <f t="shared" si="9"/>
        <v>5.8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25">
      <c r="A35" s="89" t="s">
        <v>232</v>
      </c>
      <c r="B35" s="102">
        <v>6.6</v>
      </c>
      <c r="C35" s="102">
        <v>6.6</v>
      </c>
      <c r="D35" s="102">
        <v>6.6</v>
      </c>
      <c r="E35" s="102">
        <v>6.6</v>
      </c>
      <c r="F35" s="102">
        <v>6.6</v>
      </c>
      <c r="G35" s="102">
        <v>6.6</v>
      </c>
      <c r="H35" s="102">
        <v>6.6</v>
      </c>
      <c r="I35" s="102">
        <v>6.6</v>
      </c>
      <c r="J35" s="102">
        <v>6.6</v>
      </c>
      <c r="K35" s="102">
        <v>6.6</v>
      </c>
      <c r="L35" s="102">
        <v>6.6</v>
      </c>
      <c r="M35" s="102">
        <v>6.6</v>
      </c>
      <c r="N35" s="102">
        <v>6.6</v>
      </c>
      <c r="O35" s="102">
        <v>6.6</v>
      </c>
      <c r="P35" s="102">
        <v>6.6</v>
      </c>
      <c r="Q35" s="102">
        <v>6.6</v>
      </c>
      <c r="R35" s="102">
        <v>6.6</v>
      </c>
      <c r="S35" s="102">
        <v>6.6</v>
      </c>
      <c r="T35" s="102">
        <v>6.6</v>
      </c>
      <c r="U35" s="102">
        <v>6.6</v>
      </c>
      <c r="V35" s="102">
        <v>6.6</v>
      </c>
      <c r="W35" s="102">
        <v>6.6</v>
      </c>
      <c r="X35" s="102">
        <v>6.6</v>
      </c>
      <c r="Y35" s="102">
        <v>6.6</v>
      </c>
      <c r="Z35" s="102">
        <v>6.6</v>
      </c>
      <c r="AA35" s="102">
        <v>6.6</v>
      </c>
      <c r="AB35" s="102">
        <v>6.6</v>
      </c>
      <c r="AC35" s="102">
        <v>6.6</v>
      </c>
      <c r="AD35" s="102">
        <v>6.6</v>
      </c>
      <c r="AE35" s="102">
        <v>6.6</v>
      </c>
      <c r="AF35" s="102">
        <v>6.6</v>
      </c>
      <c r="AG35" s="130">
        <v>20</v>
      </c>
      <c r="AH35" s="12">
        <f t="shared" si="8"/>
        <v>6.6</v>
      </c>
      <c r="AI35" s="11">
        <f t="shared" si="9"/>
        <v>6.6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25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25">
      <c r="A37" s="89" t="s">
        <v>230</v>
      </c>
      <c r="B37" s="102">
        <v>5.8</v>
      </c>
      <c r="C37" s="102">
        <v>5.8</v>
      </c>
      <c r="D37" s="102">
        <v>5.8</v>
      </c>
      <c r="E37" s="102">
        <v>5.8</v>
      </c>
      <c r="F37" s="102">
        <v>5.8</v>
      </c>
      <c r="G37" s="102">
        <v>5.8</v>
      </c>
      <c r="H37" s="102">
        <v>5.8</v>
      </c>
      <c r="I37" s="102">
        <v>5.8</v>
      </c>
      <c r="J37" s="102">
        <v>5.8</v>
      </c>
      <c r="K37" s="102">
        <v>5.8</v>
      </c>
      <c r="L37" s="102">
        <v>5.8</v>
      </c>
      <c r="M37" s="102">
        <v>5.8</v>
      </c>
      <c r="N37" s="102">
        <v>5.8</v>
      </c>
      <c r="O37" s="102">
        <v>5.8</v>
      </c>
      <c r="P37" s="102">
        <v>5.8</v>
      </c>
      <c r="Q37" s="102">
        <v>5.8</v>
      </c>
      <c r="R37" s="102">
        <v>5.8</v>
      </c>
      <c r="S37" s="102">
        <v>5.8</v>
      </c>
      <c r="T37" s="102">
        <v>5.8</v>
      </c>
      <c r="U37" s="102">
        <v>5.8</v>
      </c>
      <c r="V37" s="102">
        <v>5.8</v>
      </c>
      <c r="W37" s="102">
        <v>5.8</v>
      </c>
      <c r="X37" s="102">
        <v>5.8</v>
      </c>
      <c r="Y37" s="102">
        <v>5.8</v>
      </c>
      <c r="Z37" s="102">
        <v>5.8</v>
      </c>
      <c r="AA37" s="102">
        <v>5.8</v>
      </c>
      <c r="AB37" s="102">
        <v>5.8</v>
      </c>
      <c r="AC37" s="102">
        <v>5.8</v>
      </c>
      <c r="AD37" s="102">
        <v>5.8</v>
      </c>
      <c r="AE37" s="102">
        <v>5.8</v>
      </c>
      <c r="AF37" s="102">
        <v>5.8</v>
      </c>
      <c r="AG37" s="130">
        <v>18</v>
      </c>
      <c r="AH37" s="12">
        <f t="shared" si="8"/>
        <v>5.8</v>
      </c>
      <c r="AI37" s="11">
        <f t="shared" si="9"/>
        <v>5.8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25">
      <c r="A38" s="89" t="s">
        <v>229</v>
      </c>
      <c r="B38" s="102">
        <v>5.0999999999999996</v>
      </c>
      <c r="C38" s="102">
        <v>5.0999999999999996</v>
      </c>
      <c r="D38" s="102">
        <v>5.0999999999999996</v>
      </c>
      <c r="E38" s="102">
        <v>5.0999999999999996</v>
      </c>
      <c r="F38" s="102">
        <v>5.0999999999999996</v>
      </c>
      <c r="G38" s="102">
        <v>5.0999999999999996</v>
      </c>
      <c r="H38" s="102">
        <v>5.0999999999999996</v>
      </c>
      <c r="I38" s="102">
        <v>5.0999999999999996</v>
      </c>
      <c r="J38" s="102">
        <v>5.0999999999999996</v>
      </c>
      <c r="K38" s="102">
        <v>5.0999999999999996</v>
      </c>
      <c r="L38" s="102">
        <v>5.0999999999999996</v>
      </c>
      <c r="M38" s="102">
        <v>5.0999999999999996</v>
      </c>
      <c r="N38" s="102">
        <v>5.0999999999999996</v>
      </c>
      <c r="O38" s="102">
        <v>5.0999999999999996</v>
      </c>
      <c r="P38" s="102">
        <v>5.0999999999999996</v>
      </c>
      <c r="Q38" s="102">
        <v>5.0999999999999996</v>
      </c>
      <c r="R38" s="102">
        <v>5.0999999999999996</v>
      </c>
      <c r="S38" s="102">
        <v>5.0999999999999996</v>
      </c>
      <c r="T38" s="102">
        <v>5.0999999999999996</v>
      </c>
      <c r="U38" s="102">
        <v>5.0999999999999996</v>
      </c>
      <c r="V38" s="102">
        <v>5.0999999999999996</v>
      </c>
      <c r="W38" s="102">
        <v>5.0999999999999996</v>
      </c>
      <c r="X38" s="102">
        <v>5.0999999999999996</v>
      </c>
      <c r="Y38" s="102">
        <v>5.0999999999999996</v>
      </c>
      <c r="Z38" s="102">
        <v>5.0999999999999996</v>
      </c>
      <c r="AA38" s="102">
        <v>5.0999999999999996</v>
      </c>
      <c r="AB38" s="102">
        <v>5.0999999999999996</v>
      </c>
      <c r="AC38" s="102">
        <v>5.0999999999999996</v>
      </c>
      <c r="AD38" s="102">
        <v>5.0999999999999996</v>
      </c>
      <c r="AE38" s="102">
        <v>5.0999999999999996</v>
      </c>
      <c r="AF38" s="102">
        <v>5.0999999999999996</v>
      </c>
      <c r="AG38" s="130">
        <v>14.9</v>
      </c>
      <c r="AH38" s="12">
        <f t="shared" si="8"/>
        <v>5.0999999999999996</v>
      </c>
      <c r="AI38" s="11">
        <f t="shared" si="9"/>
        <v>5.0999999999999996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25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25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25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25">
      <c r="A42" s="89" t="s">
        <v>225</v>
      </c>
      <c r="B42" s="102">
        <v>5.2</v>
      </c>
      <c r="C42" s="102">
        <v>5.2</v>
      </c>
      <c r="D42" s="102">
        <v>5.2</v>
      </c>
      <c r="E42" s="102">
        <v>5.2</v>
      </c>
      <c r="F42" s="102">
        <v>5.2</v>
      </c>
      <c r="G42" s="102">
        <v>5.2</v>
      </c>
      <c r="H42" s="102">
        <v>5.2</v>
      </c>
      <c r="I42" s="102">
        <v>5.2</v>
      </c>
      <c r="J42" s="102">
        <v>5.2</v>
      </c>
      <c r="K42" s="102">
        <v>5.2</v>
      </c>
      <c r="L42" s="102">
        <v>5.2</v>
      </c>
      <c r="M42" s="102">
        <v>5.2</v>
      </c>
      <c r="N42" s="102">
        <v>5.2</v>
      </c>
      <c r="O42" s="102">
        <v>5.2</v>
      </c>
      <c r="P42" s="102">
        <v>5.2</v>
      </c>
      <c r="Q42" s="102">
        <v>5.2</v>
      </c>
      <c r="R42" s="102">
        <v>5.2</v>
      </c>
      <c r="S42" s="102">
        <v>5.2</v>
      </c>
      <c r="T42" s="102">
        <v>5.2</v>
      </c>
      <c r="U42" s="102">
        <v>5.2</v>
      </c>
      <c r="V42" s="102">
        <v>5.2</v>
      </c>
      <c r="W42" s="102">
        <v>5.2</v>
      </c>
      <c r="X42" s="102">
        <v>5.2</v>
      </c>
      <c r="Y42" s="102">
        <v>5.2</v>
      </c>
      <c r="Z42" s="102">
        <v>5.2</v>
      </c>
      <c r="AA42" s="102">
        <v>5.2</v>
      </c>
      <c r="AB42" s="102">
        <v>5.2</v>
      </c>
      <c r="AC42" s="102">
        <v>5.2</v>
      </c>
      <c r="AD42" s="102">
        <v>5.2</v>
      </c>
      <c r="AE42" s="102">
        <v>5.2</v>
      </c>
      <c r="AF42" s="102">
        <v>5.2</v>
      </c>
      <c r="AG42" s="130">
        <v>13.6</v>
      </c>
      <c r="AH42" s="12">
        <f t="shared" si="8"/>
        <v>5.2</v>
      </c>
      <c r="AI42" s="11">
        <f t="shared" si="9"/>
        <v>5.2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25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25">
      <c r="A44" s="89" t="s">
        <v>223</v>
      </c>
      <c r="B44" s="102">
        <v>4.5</v>
      </c>
      <c r="C44" s="102">
        <v>4.5</v>
      </c>
      <c r="D44" s="102">
        <v>4.5</v>
      </c>
      <c r="E44" s="102">
        <v>4.5</v>
      </c>
      <c r="F44" s="102">
        <v>4.5</v>
      </c>
      <c r="G44" s="102">
        <v>4.5</v>
      </c>
      <c r="H44" s="102">
        <v>4.5</v>
      </c>
      <c r="I44" s="102">
        <v>4.5</v>
      </c>
      <c r="J44" s="102">
        <v>4.5</v>
      </c>
      <c r="K44" s="102">
        <v>4.5</v>
      </c>
      <c r="L44" s="102">
        <v>4.5</v>
      </c>
      <c r="M44" s="102">
        <v>4.5</v>
      </c>
      <c r="N44" s="102">
        <v>4.5</v>
      </c>
      <c r="O44" s="102">
        <v>4.5</v>
      </c>
      <c r="P44" s="102">
        <v>4.5</v>
      </c>
      <c r="Q44" s="102">
        <v>4.5</v>
      </c>
      <c r="R44" s="102">
        <v>4.5</v>
      </c>
      <c r="S44" s="102">
        <v>4.5</v>
      </c>
      <c r="T44" s="102">
        <v>4.5</v>
      </c>
      <c r="U44" s="102">
        <v>4.5</v>
      </c>
      <c r="V44" s="102">
        <v>4.5</v>
      </c>
      <c r="W44" s="102">
        <v>4.5</v>
      </c>
      <c r="X44" s="102">
        <v>4.5</v>
      </c>
      <c r="Y44" s="102">
        <v>4.5</v>
      </c>
      <c r="Z44" s="102">
        <v>4.5</v>
      </c>
      <c r="AA44" s="102">
        <v>4.5</v>
      </c>
      <c r="AB44" s="102">
        <v>4.5</v>
      </c>
      <c r="AC44" s="102">
        <v>4.5</v>
      </c>
      <c r="AD44" s="102">
        <v>4.5</v>
      </c>
      <c r="AE44" s="102">
        <v>4.5</v>
      </c>
      <c r="AF44" s="102">
        <v>4.5</v>
      </c>
      <c r="AG44" s="130">
        <v>12</v>
      </c>
      <c r="AH44" s="12">
        <f t="shared" si="8"/>
        <v>4.5</v>
      </c>
      <c r="AI44" s="11">
        <f t="shared" si="9"/>
        <v>4.5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25">
      <c r="A45" s="89" t="s">
        <v>222</v>
      </c>
      <c r="B45" s="102">
        <v>3.5</v>
      </c>
      <c r="C45" s="102">
        <v>3.5</v>
      </c>
      <c r="D45" s="102">
        <v>3.5</v>
      </c>
      <c r="E45" s="102">
        <v>3.5</v>
      </c>
      <c r="F45" s="102">
        <v>3.5</v>
      </c>
      <c r="G45" s="102">
        <v>3.5</v>
      </c>
      <c r="H45" s="102">
        <v>3.5</v>
      </c>
      <c r="I45" s="102">
        <v>3.5</v>
      </c>
      <c r="J45" s="102">
        <v>3.5</v>
      </c>
      <c r="K45" s="102">
        <v>3.5</v>
      </c>
      <c r="L45" s="102">
        <v>3.5</v>
      </c>
      <c r="M45" s="102">
        <v>3.5</v>
      </c>
      <c r="N45" s="102">
        <v>3.5</v>
      </c>
      <c r="O45" s="102">
        <v>3.5</v>
      </c>
      <c r="P45" s="102">
        <v>3.5</v>
      </c>
      <c r="Q45" s="102">
        <v>3.5</v>
      </c>
      <c r="R45" s="102">
        <v>3.5</v>
      </c>
      <c r="S45" s="102">
        <v>3.5</v>
      </c>
      <c r="T45" s="102">
        <v>3.5</v>
      </c>
      <c r="U45" s="102">
        <v>3.5</v>
      </c>
      <c r="V45" s="102">
        <v>3.5</v>
      </c>
      <c r="W45" s="102">
        <v>3.5</v>
      </c>
      <c r="X45" s="102">
        <v>3.5</v>
      </c>
      <c r="Y45" s="102">
        <v>3.5</v>
      </c>
      <c r="Z45" s="102">
        <v>3.5</v>
      </c>
      <c r="AA45" s="102">
        <v>3.5</v>
      </c>
      <c r="AB45" s="102">
        <v>3.5</v>
      </c>
      <c r="AC45" s="102">
        <v>3.5</v>
      </c>
      <c r="AD45" s="102">
        <v>3.5</v>
      </c>
      <c r="AE45" s="102">
        <v>3.5</v>
      </c>
      <c r="AF45" s="102">
        <v>3.5</v>
      </c>
      <c r="AG45" s="130">
        <v>12</v>
      </c>
      <c r="AH45" s="12">
        <f t="shared" si="8"/>
        <v>3.5</v>
      </c>
      <c r="AI45" s="11">
        <f t="shared" si="9"/>
        <v>3.5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25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25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25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25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25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25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25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25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25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25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25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.75" thickBot="1" x14ac:dyDescent="0.3">
      <c r="A57" s="124" t="s">
        <v>210</v>
      </c>
      <c r="B57" s="122">
        <v>20.399999999999999</v>
      </c>
      <c r="C57" s="122">
        <v>20.399999999999999</v>
      </c>
      <c r="D57" s="122">
        <v>25.6</v>
      </c>
      <c r="E57" s="122">
        <v>25.2</v>
      </c>
      <c r="F57" s="122">
        <v>25.2</v>
      </c>
      <c r="G57" s="122">
        <v>25.2</v>
      </c>
      <c r="H57" s="122">
        <v>16.899999999999999</v>
      </c>
      <c r="I57" s="122">
        <v>16.899999999999999</v>
      </c>
      <c r="J57" s="122">
        <v>16.899999999999999</v>
      </c>
      <c r="K57" s="122">
        <v>15.6</v>
      </c>
      <c r="L57" s="122">
        <v>21.3</v>
      </c>
      <c r="M57" s="123">
        <f>13.6+8.4</f>
        <v>22</v>
      </c>
      <c r="N57" s="123">
        <f>11.9+7.9</f>
        <v>19.8</v>
      </c>
      <c r="O57" s="123">
        <f>12+7.8</f>
        <v>19.8</v>
      </c>
      <c r="P57" s="123">
        <f>12.8+8.1</f>
        <v>20.9</v>
      </c>
      <c r="Q57" s="123">
        <f>10.5+8.1</f>
        <v>18.600000000000001</v>
      </c>
      <c r="R57" s="123">
        <f>9.9+7.8</f>
        <v>17.7</v>
      </c>
      <c r="S57" s="123">
        <f>9.9+7.8</f>
        <v>17.7</v>
      </c>
      <c r="T57" s="123">
        <v>22.3</v>
      </c>
      <c r="U57" s="123">
        <v>23</v>
      </c>
      <c r="V57" s="123">
        <v>21</v>
      </c>
      <c r="W57" s="123">
        <v>21</v>
      </c>
      <c r="X57" s="123">
        <v>21</v>
      </c>
      <c r="Y57" s="123">
        <v>16.399999999999999</v>
      </c>
      <c r="Z57" s="122">
        <v>16.399999999999999</v>
      </c>
      <c r="AA57" s="122">
        <v>16.399999999999999</v>
      </c>
      <c r="AB57" s="122">
        <v>12.7</v>
      </c>
      <c r="AC57" s="122">
        <v>11.7</v>
      </c>
      <c r="AD57" s="122">
        <v>12.4</v>
      </c>
      <c r="AE57" s="122">
        <v>14.8</v>
      </c>
      <c r="AF57" s="122">
        <f>7.6+11.1</f>
        <v>18.7</v>
      </c>
      <c r="AG57" s="86">
        <v>240</v>
      </c>
      <c r="AH57" s="12">
        <f t="shared" si="8"/>
        <v>25.6</v>
      </c>
      <c r="AI57" s="11">
        <f t="shared" si="9"/>
        <v>11.7</v>
      </c>
      <c r="AK57" s="19"/>
    </row>
    <row r="58" spans="1:88" ht="15.75" thickBot="1" x14ac:dyDescent="0.3">
      <c r="A58" s="121" t="s">
        <v>209</v>
      </c>
      <c r="B58" s="76">
        <f t="shared" ref="B58:AA58" si="22">SUM(B11:B56)</f>
        <v>471.1</v>
      </c>
      <c r="C58" s="76">
        <f t="shared" si="22"/>
        <v>471.1</v>
      </c>
      <c r="D58" s="76">
        <f t="shared" si="22"/>
        <v>471.1</v>
      </c>
      <c r="E58" s="76">
        <f t="shared" si="22"/>
        <v>484.15000000000003</v>
      </c>
      <c r="F58" s="76">
        <f t="shared" si="22"/>
        <v>484.15000000000003</v>
      </c>
      <c r="G58" s="76">
        <f t="shared" si="22"/>
        <v>484.15000000000003</v>
      </c>
      <c r="H58" s="76">
        <f t="shared" si="22"/>
        <v>480.2</v>
      </c>
      <c r="I58" s="76">
        <f t="shared" si="22"/>
        <v>480.2</v>
      </c>
      <c r="J58" s="76">
        <f t="shared" si="22"/>
        <v>480.2</v>
      </c>
      <c r="K58" s="76">
        <f t="shared" si="22"/>
        <v>480.2</v>
      </c>
      <c r="L58" s="76">
        <f t="shared" si="22"/>
        <v>477.1</v>
      </c>
      <c r="M58" s="76">
        <f t="shared" si="22"/>
        <v>472.09999999999997</v>
      </c>
      <c r="N58" s="76">
        <f t="shared" si="22"/>
        <v>472.59999999999997</v>
      </c>
      <c r="O58" s="76">
        <f t="shared" si="22"/>
        <v>472.09999999999997</v>
      </c>
      <c r="P58" s="76">
        <f t="shared" si="22"/>
        <v>472.4</v>
      </c>
      <c r="Q58" s="76">
        <f t="shared" si="22"/>
        <v>473</v>
      </c>
      <c r="R58" s="76">
        <f t="shared" si="22"/>
        <v>471.59999999999997</v>
      </c>
      <c r="S58" s="76">
        <f t="shared" si="22"/>
        <v>464.9</v>
      </c>
      <c r="T58" s="76">
        <f t="shared" si="22"/>
        <v>464.9</v>
      </c>
      <c r="U58" s="76">
        <f t="shared" si="22"/>
        <v>464.9</v>
      </c>
      <c r="V58" s="76">
        <f t="shared" si="22"/>
        <v>464.9</v>
      </c>
      <c r="W58" s="76">
        <f t="shared" si="22"/>
        <v>464.9</v>
      </c>
      <c r="X58" s="76">
        <f t="shared" si="22"/>
        <v>464.9</v>
      </c>
      <c r="Y58" s="76">
        <f t="shared" si="22"/>
        <v>464.9</v>
      </c>
      <c r="Z58" s="76">
        <f t="shared" si="22"/>
        <v>473.5</v>
      </c>
      <c r="AA58" s="76">
        <f t="shared" si="22"/>
        <v>473.5</v>
      </c>
      <c r="AB58" s="76">
        <f t="shared" ref="AB58:AC58" si="23">SUM(AB11:AB56)</f>
        <v>473.5</v>
      </c>
      <c r="AC58" s="76">
        <f t="shared" si="23"/>
        <v>473.5</v>
      </c>
      <c r="AD58" s="76">
        <f t="shared" ref="AD58:AE58" si="24">SUM(AD11:AD56)</f>
        <v>547.6</v>
      </c>
      <c r="AE58" s="76">
        <f t="shared" si="24"/>
        <v>547.6</v>
      </c>
      <c r="AF58" s="76">
        <f t="shared" ref="AF58" si="25">SUM(AF11:AF56)</f>
        <v>547.6</v>
      </c>
      <c r="AG58" s="93">
        <f>SUM(AG14:AG56)</f>
        <v>1042.4000000000001</v>
      </c>
      <c r="AH58" s="12">
        <f t="shared" si="8"/>
        <v>547.6</v>
      </c>
      <c r="AI58" s="11">
        <f t="shared" si="9"/>
        <v>464.9</v>
      </c>
      <c r="AK58" s="19"/>
    </row>
    <row r="59" spans="1:88" x14ac:dyDescent="0.25">
      <c r="A59" s="120" t="s">
        <v>208</v>
      </c>
      <c r="B59" s="102">
        <v>140</v>
      </c>
      <c r="C59" s="102">
        <v>100</v>
      </c>
      <c r="D59" s="102">
        <v>95</v>
      </c>
      <c r="E59" s="102">
        <v>95</v>
      </c>
      <c r="F59" s="102">
        <v>95</v>
      </c>
      <c r="G59" s="102">
        <v>95</v>
      </c>
      <c r="H59" s="102">
        <v>95.6</v>
      </c>
      <c r="I59" s="102">
        <v>95.6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19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19">
        <v>0</v>
      </c>
      <c r="X59" s="119">
        <v>15</v>
      </c>
      <c r="Y59" s="102">
        <v>202</v>
      </c>
      <c r="Z59" s="102">
        <v>457</v>
      </c>
      <c r="AA59" s="102">
        <v>457</v>
      </c>
      <c r="AB59" s="102">
        <v>426.7</v>
      </c>
      <c r="AC59" s="102">
        <v>372.6</v>
      </c>
      <c r="AD59" s="102">
        <v>372.6</v>
      </c>
      <c r="AE59" s="102">
        <v>372.6</v>
      </c>
      <c r="AF59" s="102">
        <v>120.8</v>
      </c>
      <c r="AG59" s="88">
        <v>456</v>
      </c>
      <c r="AH59" s="12">
        <f t="shared" si="8"/>
        <v>457</v>
      </c>
      <c r="AI59" s="11">
        <f t="shared" si="9"/>
        <v>0</v>
      </c>
      <c r="AK59" s="19"/>
    </row>
    <row r="60" spans="1:88" x14ac:dyDescent="0.25">
      <c r="A60" s="118" t="s">
        <v>207</v>
      </c>
      <c r="B60" s="70">
        <v>17.7</v>
      </c>
      <c r="C60" s="70">
        <v>17.7</v>
      </c>
      <c r="D60" s="70">
        <v>17.7</v>
      </c>
      <c r="E60" s="70">
        <v>17.7</v>
      </c>
      <c r="F60" s="70">
        <v>17.7</v>
      </c>
      <c r="G60" s="70">
        <v>17.7</v>
      </c>
      <c r="H60" s="70">
        <v>17.600000000000001</v>
      </c>
      <c r="I60" s="70">
        <v>17.600000000000001</v>
      </c>
      <c r="J60" s="70">
        <v>17.600000000000001</v>
      </c>
      <c r="K60" s="70">
        <v>19</v>
      </c>
      <c r="L60" s="70">
        <v>18.600000000000001</v>
      </c>
      <c r="M60" s="70">
        <v>18.600000000000001</v>
      </c>
      <c r="N60" s="70">
        <v>18.600000000000001</v>
      </c>
      <c r="O60" s="70">
        <v>18.600000000000001</v>
      </c>
      <c r="P60" s="70">
        <v>18.600000000000001</v>
      </c>
      <c r="Q60" s="70">
        <v>18.600000000000001</v>
      </c>
      <c r="R60" s="70">
        <v>18.600000000000001</v>
      </c>
      <c r="S60" s="70">
        <v>18.600000000000001</v>
      </c>
      <c r="T60" s="70">
        <v>18.600000000000001</v>
      </c>
      <c r="U60" s="70">
        <v>18.600000000000001</v>
      </c>
      <c r="V60" s="70">
        <v>18.600000000000001</v>
      </c>
      <c r="W60" s="70">
        <v>18.600000000000001</v>
      </c>
      <c r="X60" s="70">
        <v>18.600000000000001</v>
      </c>
      <c r="Y60" s="70">
        <v>18.100000000000001</v>
      </c>
      <c r="Z60" s="70">
        <v>18.100000000000001</v>
      </c>
      <c r="AA60" s="70">
        <v>18.100000000000001</v>
      </c>
      <c r="AB60" s="70">
        <v>18.100000000000001</v>
      </c>
      <c r="AC60" s="70">
        <v>18.100000000000001</v>
      </c>
      <c r="AD60" s="70">
        <v>18.100000000000001</v>
      </c>
      <c r="AE60" s="70">
        <v>18.100000000000001</v>
      </c>
      <c r="AF60" s="70">
        <v>17.899999999999999</v>
      </c>
      <c r="AG60" s="86">
        <v>60</v>
      </c>
      <c r="AH60" s="12">
        <f t="shared" si="8"/>
        <v>19</v>
      </c>
      <c r="AI60" s="11">
        <f t="shared" si="9"/>
        <v>17.600000000000001</v>
      </c>
      <c r="AK60" s="19"/>
    </row>
    <row r="61" spans="1:88" ht="15.75" thickBot="1" x14ac:dyDescent="0.3">
      <c r="A61" s="117" t="s">
        <v>206</v>
      </c>
      <c r="B61" s="110">
        <v>21.2</v>
      </c>
      <c r="C61" s="110">
        <v>21.2</v>
      </c>
      <c r="D61" s="110">
        <v>21.2</v>
      </c>
      <c r="E61" s="110">
        <v>21.2</v>
      </c>
      <c r="F61" s="110">
        <v>21.2</v>
      </c>
      <c r="G61" s="110">
        <v>21.2</v>
      </c>
      <c r="H61" s="110">
        <v>21.2</v>
      </c>
      <c r="I61" s="110">
        <v>21.2</v>
      </c>
      <c r="J61" s="110">
        <v>21.2</v>
      </c>
      <c r="K61" s="110">
        <v>19.7</v>
      </c>
      <c r="L61" s="110">
        <v>19.7</v>
      </c>
      <c r="M61" s="110">
        <v>19.7</v>
      </c>
      <c r="N61" s="110">
        <v>16.7</v>
      </c>
      <c r="O61" s="110">
        <v>16.7</v>
      </c>
      <c r="P61" s="110">
        <v>16.7</v>
      </c>
      <c r="Q61" s="110">
        <v>13.1</v>
      </c>
      <c r="R61" s="110">
        <v>13.2</v>
      </c>
      <c r="S61" s="110">
        <v>13.2</v>
      </c>
      <c r="T61" s="110">
        <v>17</v>
      </c>
      <c r="U61" s="110">
        <v>17</v>
      </c>
      <c r="V61" s="110">
        <v>17</v>
      </c>
      <c r="W61" s="110">
        <v>17</v>
      </c>
      <c r="X61" s="110">
        <v>17</v>
      </c>
      <c r="Y61" s="110">
        <v>22.6</v>
      </c>
      <c r="Z61" s="110">
        <v>22.6</v>
      </c>
      <c r="AA61" s="110">
        <v>22.6</v>
      </c>
      <c r="AB61" s="110">
        <v>22.6</v>
      </c>
      <c r="AC61" s="110">
        <v>22.6</v>
      </c>
      <c r="AD61" s="110">
        <v>22.6</v>
      </c>
      <c r="AE61" s="110">
        <v>22.6</v>
      </c>
      <c r="AF61" s="110">
        <v>22.4</v>
      </c>
      <c r="AG61" s="109">
        <v>22.1</v>
      </c>
      <c r="AH61" s="12">
        <f t="shared" si="8"/>
        <v>22.6</v>
      </c>
      <c r="AI61" s="11">
        <f t="shared" si="9"/>
        <v>13.1</v>
      </c>
      <c r="AK61" s="19"/>
    </row>
    <row r="62" spans="1:88" ht="15.75" thickBot="1" x14ac:dyDescent="0.3">
      <c r="A62" s="116" t="s">
        <v>205</v>
      </c>
      <c r="B62" s="76">
        <f t="shared" ref="B62:AG62" si="26">SUM(B59:B61)</f>
        <v>178.89999999999998</v>
      </c>
      <c r="C62" s="76">
        <f t="shared" si="26"/>
        <v>138.9</v>
      </c>
      <c r="D62" s="76">
        <f t="shared" si="26"/>
        <v>133.9</v>
      </c>
      <c r="E62" s="76">
        <f t="shared" si="26"/>
        <v>133.9</v>
      </c>
      <c r="F62" s="76">
        <f t="shared" ref="F62:G62" si="27">SUM(F59:F61)</f>
        <v>133.9</v>
      </c>
      <c r="G62" s="76">
        <f t="shared" si="27"/>
        <v>133.9</v>
      </c>
      <c r="H62" s="76">
        <f t="shared" si="26"/>
        <v>134.39999999999998</v>
      </c>
      <c r="I62" s="76">
        <f t="shared" si="26"/>
        <v>134.39999999999998</v>
      </c>
      <c r="J62" s="76">
        <f t="shared" si="26"/>
        <v>38.799999999999997</v>
      </c>
      <c r="K62" s="76">
        <f t="shared" si="26"/>
        <v>38.700000000000003</v>
      </c>
      <c r="L62" s="76">
        <f t="shared" si="26"/>
        <v>38.299999999999997</v>
      </c>
      <c r="M62" s="76">
        <f t="shared" si="26"/>
        <v>38.299999999999997</v>
      </c>
      <c r="N62" s="76">
        <f t="shared" si="26"/>
        <v>35.299999999999997</v>
      </c>
      <c r="O62" s="76">
        <f t="shared" si="26"/>
        <v>35.299999999999997</v>
      </c>
      <c r="P62" s="76">
        <f t="shared" si="26"/>
        <v>35.299999999999997</v>
      </c>
      <c r="Q62" s="76">
        <f t="shared" si="26"/>
        <v>31.700000000000003</v>
      </c>
      <c r="R62" s="76">
        <f t="shared" si="26"/>
        <v>31.8</v>
      </c>
      <c r="S62" s="76">
        <f t="shared" si="26"/>
        <v>31.8</v>
      </c>
      <c r="T62" s="76">
        <f t="shared" si="26"/>
        <v>35.6</v>
      </c>
      <c r="U62" s="76">
        <f t="shared" si="26"/>
        <v>35.6</v>
      </c>
      <c r="V62" s="76">
        <f t="shared" si="26"/>
        <v>35.6</v>
      </c>
      <c r="W62" s="76">
        <f t="shared" si="26"/>
        <v>35.6</v>
      </c>
      <c r="X62" s="76">
        <f t="shared" si="26"/>
        <v>50.6</v>
      </c>
      <c r="Y62" s="76">
        <f t="shared" si="26"/>
        <v>242.7</v>
      </c>
      <c r="Z62" s="76">
        <f t="shared" si="26"/>
        <v>497.70000000000005</v>
      </c>
      <c r="AA62" s="76">
        <f t="shared" si="26"/>
        <v>497.70000000000005</v>
      </c>
      <c r="AB62" s="76">
        <f t="shared" ref="AB62:AC62" si="28">SUM(AB59:AB61)</f>
        <v>467.40000000000003</v>
      </c>
      <c r="AC62" s="76">
        <f t="shared" si="28"/>
        <v>413.30000000000007</v>
      </c>
      <c r="AD62" s="76">
        <f t="shared" ref="AD62:AE62" si="29">SUM(AD59:AD61)</f>
        <v>413.30000000000007</v>
      </c>
      <c r="AE62" s="76">
        <f t="shared" si="29"/>
        <v>413.30000000000007</v>
      </c>
      <c r="AF62" s="76">
        <f t="shared" ref="AF62" si="30">SUM(AF59:AF61)</f>
        <v>161.1</v>
      </c>
      <c r="AG62" s="93">
        <f t="shared" si="26"/>
        <v>538.1</v>
      </c>
      <c r="AH62" s="12">
        <f t="shared" si="8"/>
        <v>497.70000000000005</v>
      </c>
      <c r="AI62" s="11">
        <f t="shared" si="9"/>
        <v>31.700000000000003</v>
      </c>
      <c r="AK62" s="19"/>
    </row>
    <row r="63" spans="1:88" x14ac:dyDescent="0.25">
      <c r="A63" s="89" t="s">
        <v>204</v>
      </c>
      <c r="B63" s="102">
        <v>62</v>
      </c>
      <c r="C63" s="102">
        <v>62</v>
      </c>
      <c r="D63" s="102">
        <v>62</v>
      </c>
      <c r="E63" s="102">
        <v>30.5</v>
      </c>
      <c r="F63" s="102">
        <v>30.5</v>
      </c>
      <c r="G63" s="102">
        <v>30.5</v>
      </c>
      <c r="H63" s="102">
        <v>30.7</v>
      </c>
      <c r="I63" s="102">
        <v>30.7</v>
      </c>
      <c r="J63" s="102">
        <v>30.7</v>
      </c>
      <c r="K63" s="102">
        <v>48.8</v>
      </c>
      <c r="L63" s="102">
        <v>72.7</v>
      </c>
      <c r="M63" s="102">
        <v>72.900000000000006</v>
      </c>
      <c r="N63" s="102">
        <v>67</v>
      </c>
      <c r="O63" s="102">
        <v>62.9</v>
      </c>
      <c r="P63" s="102">
        <v>62.8</v>
      </c>
      <c r="Q63" s="102">
        <v>63.1</v>
      </c>
      <c r="R63" s="102">
        <v>63</v>
      </c>
      <c r="S63" s="102">
        <v>63</v>
      </c>
      <c r="T63" s="102">
        <v>70</v>
      </c>
      <c r="U63" s="102">
        <v>60</v>
      </c>
      <c r="V63" s="102">
        <v>60</v>
      </c>
      <c r="W63" s="102">
        <v>60</v>
      </c>
      <c r="X63" s="102">
        <v>60</v>
      </c>
      <c r="Y63" s="102">
        <v>60</v>
      </c>
      <c r="Z63" s="102">
        <v>89</v>
      </c>
      <c r="AA63" s="102">
        <v>91</v>
      </c>
      <c r="AB63" s="102">
        <v>91.1</v>
      </c>
      <c r="AC63" s="102">
        <v>91.1</v>
      </c>
      <c r="AD63" s="102">
        <v>91.1</v>
      </c>
      <c r="AE63" s="102">
        <v>80</v>
      </c>
      <c r="AF63" s="102">
        <v>45.8</v>
      </c>
      <c r="AG63" s="88">
        <v>144</v>
      </c>
      <c r="AH63" s="12">
        <f t="shared" si="8"/>
        <v>91.1</v>
      </c>
      <c r="AI63" s="11">
        <f t="shared" si="9"/>
        <v>30.5</v>
      </c>
      <c r="AK63" s="19"/>
    </row>
    <row r="64" spans="1:88" x14ac:dyDescent="0.25">
      <c r="A64" s="87" t="s">
        <v>203</v>
      </c>
      <c r="B64" s="70">
        <v>35</v>
      </c>
      <c r="C64" s="70">
        <v>35</v>
      </c>
      <c r="D64" s="70">
        <v>35</v>
      </c>
      <c r="E64" s="70">
        <v>25.5</v>
      </c>
      <c r="F64" s="70">
        <v>25.5</v>
      </c>
      <c r="G64" s="70">
        <v>25.5</v>
      </c>
      <c r="H64" s="70">
        <v>25.8</v>
      </c>
      <c r="I64" s="70">
        <v>45</v>
      </c>
      <c r="J64" s="70">
        <v>58.2</v>
      </c>
      <c r="K64" s="70">
        <v>60</v>
      </c>
      <c r="L64" s="70">
        <v>60.9</v>
      </c>
      <c r="M64" s="70">
        <v>45.9</v>
      </c>
      <c r="N64" s="70">
        <v>47</v>
      </c>
      <c r="O64" s="70">
        <v>46.4</v>
      </c>
      <c r="P64" s="70">
        <v>46.5</v>
      </c>
      <c r="Q64" s="70">
        <v>46.4</v>
      </c>
      <c r="R64" s="70">
        <v>34.4</v>
      </c>
      <c r="S64" s="70">
        <v>34.4</v>
      </c>
      <c r="T64" s="70">
        <v>34.4</v>
      </c>
      <c r="U64" s="70">
        <v>31.3</v>
      </c>
      <c r="V64" s="70">
        <v>24.5</v>
      </c>
      <c r="W64" s="70">
        <v>24.5</v>
      </c>
      <c r="X64" s="70">
        <v>0</v>
      </c>
      <c r="Y64" s="70">
        <v>0</v>
      </c>
      <c r="Z64" s="102">
        <v>60</v>
      </c>
      <c r="AA64" s="102">
        <v>67.599999999999994</v>
      </c>
      <c r="AB64" s="102">
        <v>66.599999999999994</v>
      </c>
      <c r="AC64" s="102">
        <v>66.599999999999994</v>
      </c>
      <c r="AD64" s="102">
        <v>50</v>
      </c>
      <c r="AE64" s="102">
        <v>24.2</v>
      </c>
      <c r="AF64" s="102">
        <v>24.3</v>
      </c>
      <c r="AG64" s="86">
        <v>70</v>
      </c>
      <c r="AH64" s="12">
        <f t="shared" si="8"/>
        <v>67.599999999999994</v>
      </c>
      <c r="AI64" s="11">
        <f t="shared" si="9"/>
        <v>0</v>
      </c>
      <c r="AK64" s="19"/>
    </row>
    <row r="65" spans="1:75" x14ac:dyDescent="0.25">
      <c r="A65" s="87" t="s">
        <v>202</v>
      </c>
      <c r="B65" s="70">
        <v>16</v>
      </c>
      <c r="C65" s="70">
        <v>16</v>
      </c>
      <c r="D65" s="70">
        <v>16</v>
      </c>
      <c r="E65" s="70">
        <v>16.600000000000001</v>
      </c>
      <c r="F65" s="70">
        <v>16.600000000000001</v>
      </c>
      <c r="G65" s="70">
        <v>16.600000000000001</v>
      </c>
      <c r="H65" s="70">
        <v>16.5</v>
      </c>
      <c r="I65" s="70">
        <v>16.5</v>
      </c>
      <c r="J65" s="70">
        <v>43.7</v>
      </c>
      <c r="K65" s="70">
        <v>45.6</v>
      </c>
      <c r="L65" s="70">
        <v>46.6</v>
      </c>
      <c r="M65" s="70">
        <v>45.4</v>
      </c>
      <c r="N65" s="70">
        <v>45.5</v>
      </c>
      <c r="O65" s="70">
        <v>45.4</v>
      </c>
      <c r="P65" s="70">
        <v>45.8</v>
      </c>
      <c r="Q65" s="70">
        <v>45.6</v>
      </c>
      <c r="R65" s="70">
        <v>45.7</v>
      </c>
      <c r="S65" s="70">
        <v>45.7</v>
      </c>
      <c r="T65" s="70">
        <v>45.7</v>
      </c>
      <c r="U65" s="70">
        <v>40</v>
      </c>
      <c r="V65" s="70">
        <v>45</v>
      </c>
      <c r="W65" s="70">
        <v>33.299999999999997</v>
      </c>
      <c r="X65" s="70">
        <v>33.299999999999997</v>
      </c>
      <c r="Y65" s="70">
        <v>33.299999999999997</v>
      </c>
      <c r="Z65" s="102">
        <v>54</v>
      </c>
      <c r="AA65" s="102">
        <v>68.400000000000006</v>
      </c>
      <c r="AB65" s="102">
        <v>68.3</v>
      </c>
      <c r="AC65" s="102">
        <v>68.3</v>
      </c>
      <c r="AD65" s="102">
        <v>68.3</v>
      </c>
      <c r="AE65" s="102">
        <v>52.1</v>
      </c>
      <c r="AF65" s="102">
        <v>51.3</v>
      </c>
      <c r="AG65" s="86">
        <v>69</v>
      </c>
      <c r="AH65" s="12">
        <f t="shared" si="8"/>
        <v>68.400000000000006</v>
      </c>
      <c r="AI65" s="11">
        <f t="shared" si="9"/>
        <v>16</v>
      </c>
      <c r="AK65" s="19"/>
    </row>
    <row r="66" spans="1:75" x14ac:dyDescent="0.25">
      <c r="A66" s="87" t="s">
        <v>201</v>
      </c>
      <c r="B66" s="70">
        <v>44.6</v>
      </c>
      <c r="C66" s="70">
        <v>44.6</v>
      </c>
      <c r="D66" s="70">
        <v>44.6</v>
      </c>
      <c r="E66" s="70">
        <v>58.5</v>
      </c>
      <c r="F66" s="70">
        <v>58.5</v>
      </c>
      <c r="G66" s="70">
        <v>58.5</v>
      </c>
      <c r="H66" s="70">
        <v>60.2</v>
      </c>
      <c r="I66" s="70">
        <v>60.2</v>
      </c>
      <c r="J66" s="70">
        <v>60.2</v>
      </c>
      <c r="K66" s="70">
        <v>60.4</v>
      </c>
      <c r="L66" s="122">
        <v>58.4</v>
      </c>
      <c r="M66" s="70">
        <v>59.2</v>
      </c>
      <c r="N66" s="70">
        <v>58.2</v>
      </c>
      <c r="O66" s="70">
        <v>56.7</v>
      </c>
      <c r="P66" s="70">
        <v>54.2</v>
      </c>
      <c r="Q66" s="70">
        <v>54.4</v>
      </c>
      <c r="R66" s="70">
        <v>54.2</v>
      </c>
      <c r="S66" s="70">
        <v>51.4</v>
      </c>
      <c r="T66" s="70">
        <v>51.4</v>
      </c>
      <c r="U66" s="70">
        <v>48.9</v>
      </c>
      <c r="V66" s="70">
        <v>45.3</v>
      </c>
      <c r="W66" s="70">
        <v>47.4</v>
      </c>
      <c r="X66" s="70">
        <v>51.4</v>
      </c>
      <c r="Y66" s="70">
        <v>53.4</v>
      </c>
      <c r="Z66" s="102">
        <v>53.4</v>
      </c>
      <c r="AA66" s="102">
        <v>56</v>
      </c>
      <c r="AB66" s="102">
        <v>54.2</v>
      </c>
      <c r="AC66" s="102">
        <v>54.2</v>
      </c>
      <c r="AD66" s="102">
        <v>54.2</v>
      </c>
      <c r="AE66" s="102">
        <v>60</v>
      </c>
      <c r="AF66" s="102">
        <v>60.2</v>
      </c>
      <c r="AG66" s="86">
        <v>60</v>
      </c>
      <c r="AH66" s="12">
        <f t="shared" si="8"/>
        <v>60.4</v>
      </c>
      <c r="AI66" s="11">
        <f t="shared" si="9"/>
        <v>44.6</v>
      </c>
      <c r="AK66" s="19"/>
    </row>
    <row r="67" spans="1:75" x14ac:dyDescent="0.25">
      <c r="A67" s="87" t="s">
        <v>200</v>
      </c>
      <c r="B67" s="102">
        <v>0</v>
      </c>
      <c r="C67" s="102">
        <v>0</v>
      </c>
      <c r="D67" s="102">
        <v>0</v>
      </c>
      <c r="E67" s="70">
        <v>0</v>
      </c>
      <c r="F67" s="70">
        <v>0</v>
      </c>
      <c r="G67" s="70">
        <v>0</v>
      </c>
      <c r="H67" s="70">
        <v>14.8</v>
      </c>
      <c r="I67" s="70">
        <v>14.8</v>
      </c>
      <c r="J67" s="70">
        <v>10</v>
      </c>
      <c r="K67" s="70">
        <v>13.6</v>
      </c>
      <c r="L67" s="122">
        <v>13.6</v>
      </c>
      <c r="M67" s="70">
        <v>13.6</v>
      </c>
      <c r="N67" s="70">
        <v>13.3</v>
      </c>
      <c r="O67" s="70">
        <v>13.3</v>
      </c>
      <c r="P67" s="70">
        <v>15</v>
      </c>
      <c r="Q67" s="70">
        <v>23</v>
      </c>
      <c r="R67" s="70">
        <v>22.4</v>
      </c>
      <c r="S67" s="70">
        <v>22.4</v>
      </c>
      <c r="T67" s="70">
        <v>25</v>
      </c>
      <c r="U67" s="70">
        <v>22.7</v>
      </c>
      <c r="V67" s="70">
        <v>10.3</v>
      </c>
      <c r="W67" s="70">
        <v>10.3</v>
      </c>
      <c r="X67" s="70">
        <v>15.4</v>
      </c>
      <c r="Y67" s="70">
        <v>10.199999999999999</v>
      </c>
      <c r="Z67" s="102">
        <v>10.199999999999999</v>
      </c>
      <c r="AA67" s="102">
        <v>10.199999999999999</v>
      </c>
      <c r="AB67" s="102">
        <v>10.199999999999999</v>
      </c>
      <c r="AC67" s="102">
        <v>10.199999999999999</v>
      </c>
      <c r="AD67" s="102">
        <v>10.199999999999999</v>
      </c>
      <c r="AE67" s="102">
        <v>0</v>
      </c>
      <c r="AF67" s="102">
        <v>0</v>
      </c>
      <c r="AG67" s="86">
        <v>30</v>
      </c>
      <c r="AH67" s="12">
        <f t="shared" si="8"/>
        <v>25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25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2.2999999999999998</v>
      </c>
      <c r="K68" s="102">
        <v>2.5</v>
      </c>
      <c r="L68" s="70">
        <v>3.5</v>
      </c>
      <c r="M68" s="70">
        <v>6.4</v>
      </c>
      <c r="N68" s="70">
        <v>8.4</v>
      </c>
      <c r="O68" s="70">
        <v>10.8</v>
      </c>
      <c r="P68" s="70">
        <v>12.5</v>
      </c>
      <c r="Q68" s="70">
        <v>13.5</v>
      </c>
      <c r="R68" s="70">
        <v>12.6</v>
      </c>
      <c r="S68" s="70">
        <v>9.6999999999999993</v>
      </c>
      <c r="T68" s="70">
        <v>7.3</v>
      </c>
      <c r="U68" s="70">
        <v>4.5</v>
      </c>
      <c r="V68" s="70">
        <v>1.7</v>
      </c>
      <c r="W68" s="70">
        <v>1</v>
      </c>
      <c r="X68" s="70">
        <v>0.3</v>
      </c>
      <c r="Y68" s="70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13.5</v>
      </c>
      <c r="AI68" s="11">
        <f t="shared" si="9"/>
        <v>0</v>
      </c>
      <c r="AK68" s="19"/>
      <c r="AY68" s="1" t="s">
        <v>198</v>
      </c>
      <c r="AZ68" s="78">
        <f>ROUND(C81,0)</f>
        <v>53</v>
      </c>
      <c r="BA68" s="83">
        <f t="shared" ref="BA68:BD72" si="31">D81</f>
        <v>50</v>
      </c>
      <c r="BB68" s="83">
        <f t="shared" si="31"/>
        <v>41.2</v>
      </c>
      <c r="BC68" s="83">
        <f t="shared" si="31"/>
        <v>45.2</v>
      </c>
      <c r="BD68" s="83">
        <f t="shared" si="31"/>
        <v>47.1</v>
      </c>
      <c r="BE68" s="78">
        <f>I81</f>
        <v>32.54</v>
      </c>
      <c r="BF68" s="78">
        <f>K81</f>
        <v>66</v>
      </c>
      <c r="BG68" s="78">
        <f t="shared" ref="BG68:BP72" si="32">M81</f>
        <v>68.2</v>
      </c>
      <c r="BH68" s="78">
        <f t="shared" si="32"/>
        <v>67</v>
      </c>
      <c r="BI68" s="78">
        <f t="shared" si="32"/>
        <v>72</v>
      </c>
      <c r="BJ68" s="78">
        <f t="shared" si="32"/>
        <v>75</v>
      </c>
      <c r="BK68" s="78">
        <f t="shared" si="32"/>
        <v>60</v>
      </c>
      <c r="BL68" s="78">
        <f t="shared" si="32"/>
        <v>64.8</v>
      </c>
      <c r="BM68" s="78">
        <f t="shared" si="32"/>
        <v>69.400000000000006</v>
      </c>
      <c r="BN68" s="78">
        <f t="shared" si="32"/>
        <v>76.099999999999994</v>
      </c>
      <c r="BO68" s="78">
        <f t="shared" si="32"/>
        <v>74.3</v>
      </c>
      <c r="BP68" s="78">
        <f t="shared" si="32"/>
        <v>67.7</v>
      </c>
      <c r="BQ68" s="78">
        <f>X81</f>
        <v>66.7</v>
      </c>
      <c r="BR68" s="78">
        <f>Z81</f>
        <v>62.6</v>
      </c>
      <c r="BS68" s="83">
        <f>AB81</f>
        <v>17.100000000000001</v>
      </c>
      <c r="BT68" s="83">
        <f t="shared" ref="BT68:BV72" si="33">AD81</f>
        <v>15.9</v>
      </c>
      <c r="BU68" s="83">
        <f t="shared" si="33"/>
        <v>18.5</v>
      </c>
      <c r="BV68" s="83">
        <f t="shared" si="33"/>
        <v>17.2</v>
      </c>
      <c r="BW68" s="83">
        <f>B81</f>
        <v>55.4</v>
      </c>
    </row>
    <row r="69" spans="1:75" x14ac:dyDescent="0.25">
      <c r="A69" s="87" t="s">
        <v>197</v>
      </c>
      <c r="B69" s="70">
        <v>14.4</v>
      </c>
      <c r="C69" s="70">
        <v>14.4</v>
      </c>
      <c r="D69" s="70">
        <v>14.4</v>
      </c>
      <c r="E69" s="70">
        <v>15.7</v>
      </c>
      <c r="F69" s="70">
        <v>15.7</v>
      </c>
      <c r="G69" s="70">
        <v>15.7</v>
      </c>
      <c r="H69" s="70">
        <v>16.2</v>
      </c>
      <c r="I69" s="70">
        <v>16.2</v>
      </c>
      <c r="J69" s="70">
        <v>16.2</v>
      </c>
      <c r="K69" s="70">
        <v>16.2</v>
      </c>
      <c r="L69" s="70">
        <v>16.2</v>
      </c>
      <c r="M69" s="70">
        <v>16.2</v>
      </c>
      <c r="N69" s="70">
        <v>16.2</v>
      </c>
      <c r="O69" s="70">
        <v>16.2</v>
      </c>
      <c r="P69" s="70">
        <v>16.2</v>
      </c>
      <c r="Q69" s="70">
        <v>16.2</v>
      </c>
      <c r="R69" s="70">
        <v>16.2</v>
      </c>
      <c r="S69" s="70">
        <v>16.2</v>
      </c>
      <c r="T69" s="70">
        <v>16.2</v>
      </c>
      <c r="U69" s="70">
        <v>14.7</v>
      </c>
      <c r="V69" s="70">
        <v>14.7</v>
      </c>
      <c r="W69" s="70">
        <v>14.7</v>
      </c>
      <c r="X69" s="70">
        <v>15</v>
      </c>
      <c r="Y69" s="70">
        <v>15</v>
      </c>
      <c r="Z69" s="70">
        <v>15</v>
      </c>
      <c r="AA69" s="70">
        <v>15</v>
      </c>
      <c r="AB69" s="70">
        <v>15</v>
      </c>
      <c r="AC69" s="70">
        <v>15</v>
      </c>
      <c r="AD69" s="70">
        <v>15</v>
      </c>
      <c r="AE69" s="70">
        <v>0</v>
      </c>
      <c r="AF69" s="70">
        <v>15.4</v>
      </c>
      <c r="AG69" s="86">
        <v>24</v>
      </c>
      <c r="AH69" s="12">
        <f t="shared" si="8"/>
        <v>16.2</v>
      </c>
      <c r="AI69" s="11">
        <f t="shared" si="9"/>
        <v>0</v>
      </c>
      <c r="AK69" s="19"/>
      <c r="AY69" s="1" t="s">
        <v>196</v>
      </c>
      <c r="AZ69" s="78">
        <f>ROUND(C82,0)</f>
        <v>0</v>
      </c>
      <c r="BA69" s="83">
        <f t="shared" si="31"/>
        <v>0</v>
      </c>
      <c r="BB69" s="83">
        <f t="shared" si="31"/>
        <v>0</v>
      </c>
      <c r="BC69" s="83">
        <f t="shared" si="31"/>
        <v>0</v>
      </c>
      <c r="BD69" s="83">
        <f t="shared" si="31"/>
        <v>0</v>
      </c>
      <c r="BE69" s="78">
        <f>I82</f>
        <v>0</v>
      </c>
      <c r="BF69" s="78">
        <f>K82</f>
        <v>103</v>
      </c>
      <c r="BG69" s="78">
        <f t="shared" si="32"/>
        <v>115</v>
      </c>
      <c r="BH69" s="78">
        <f t="shared" si="32"/>
        <v>106</v>
      </c>
      <c r="BI69" s="78">
        <f t="shared" si="32"/>
        <v>113</v>
      </c>
      <c r="BJ69" s="78">
        <f t="shared" si="32"/>
        <v>114.9</v>
      </c>
      <c r="BK69" s="78">
        <f t="shared" si="32"/>
        <v>108.9</v>
      </c>
      <c r="BL69" s="78">
        <f t="shared" si="32"/>
        <v>112.2</v>
      </c>
      <c r="BM69" s="78">
        <f t="shared" si="32"/>
        <v>121.4</v>
      </c>
      <c r="BN69" s="78">
        <f t="shared" si="32"/>
        <v>118</v>
      </c>
      <c r="BO69" s="78">
        <f t="shared" si="32"/>
        <v>120</v>
      </c>
      <c r="BP69" s="78">
        <f t="shared" si="32"/>
        <v>124</v>
      </c>
      <c r="BQ69" s="78">
        <f>X82</f>
        <v>123.3</v>
      </c>
      <c r="BR69" s="78">
        <f>Z82</f>
        <v>0</v>
      </c>
      <c r="BS69" s="83">
        <f>AB82</f>
        <v>0</v>
      </c>
      <c r="BT69" s="83">
        <f t="shared" si="33"/>
        <v>0</v>
      </c>
      <c r="BU69" s="83">
        <f t="shared" si="33"/>
        <v>0</v>
      </c>
      <c r="BV69" s="83">
        <f t="shared" si="33"/>
        <v>0</v>
      </c>
      <c r="BW69" s="83">
        <f>B82</f>
        <v>0</v>
      </c>
    </row>
    <row r="70" spans="1:75" x14ac:dyDescent="0.25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146</v>
      </c>
      <c r="BA70" s="83">
        <f t="shared" si="31"/>
        <v>121</v>
      </c>
      <c r="BB70" s="83">
        <f t="shared" si="31"/>
        <v>114</v>
      </c>
      <c r="BC70" s="83">
        <f t="shared" si="31"/>
        <v>125</v>
      </c>
      <c r="BD70" s="83">
        <f t="shared" si="31"/>
        <v>150</v>
      </c>
      <c r="BE70" s="78">
        <f>I83</f>
        <v>172</v>
      </c>
      <c r="BF70" s="78">
        <f>K83</f>
        <v>445</v>
      </c>
      <c r="BG70" s="78">
        <f t="shared" si="32"/>
        <v>493.5</v>
      </c>
      <c r="BH70" s="78">
        <f t="shared" si="32"/>
        <v>489</v>
      </c>
      <c r="BI70" s="78">
        <f t="shared" si="32"/>
        <v>515</v>
      </c>
      <c r="BJ70" s="78">
        <f t="shared" si="32"/>
        <v>480</v>
      </c>
      <c r="BK70" s="78">
        <f t="shared" si="32"/>
        <v>522.1</v>
      </c>
      <c r="BL70" s="78">
        <f t="shared" si="32"/>
        <v>529.70000000000005</v>
      </c>
      <c r="BM70" s="78">
        <f t="shared" si="32"/>
        <v>538</v>
      </c>
      <c r="BN70" s="78">
        <f t="shared" si="32"/>
        <v>535</v>
      </c>
      <c r="BO70" s="78">
        <f t="shared" si="32"/>
        <v>509</v>
      </c>
      <c r="BP70" s="78">
        <f t="shared" si="32"/>
        <v>468</v>
      </c>
      <c r="BQ70" s="78">
        <f>X83</f>
        <v>425</v>
      </c>
      <c r="BR70" s="78">
        <f>Z83</f>
        <v>74</v>
      </c>
      <c r="BS70" s="83">
        <f>AB83</f>
        <v>12.5</v>
      </c>
      <c r="BT70" s="83">
        <f t="shared" si="33"/>
        <v>46.9</v>
      </c>
      <c r="BU70" s="83">
        <f t="shared" si="33"/>
        <v>70</v>
      </c>
      <c r="BV70" s="83">
        <f t="shared" si="33"/>
        <v>173.9</v>
      </c>
      <c r="BW70" s="83">
        <f>B83</f>
        <v>170</v>
      </c>
    </row>
    <row r="71" spans="1:75" s="115" customFormat="1" x14ac:dyDescent="0.25">
      <c r="A71" s="87" t="s">
        <v>193</v>
      </c>
      <c r="B71" s="70">
        <v>11.1</v>
      </c>
      <c r="C71" s="70">
        <v>11.1</v>
      </c>
      <c r="D71" s="70">
        <v>11.1</v>
      </c>
      <c r="E71" s="70">
        <v>13.9</v>
      </c>
      <c r="F71" s="70">
        <v>13.9</v>
      </c>
      <c r="G71" s="70">
        <v>13.9</v>
      </c>
      <c r="H71" s="70">
        <v>13.3</v>
      </c>
      <c r="I71" s="70">
        <v>13.3</v>
      </c>
      <c r="J71" s="70">
        <v>13.3</v>
      </c>
      <c r="K71" s="70">
        <v>13.3</v>
      </c>
      <c r="L71" s="70">
        <v>13.3</v>
      </c>
      <c r="M71" s="70">
        <v>13.3</v>
      </c>
      <c r="N71" s="70">
        <v>13.3</v>
      </c>
      <c r="O71" s="70">
        <v>13.3</v>
      </c>
      <c r="P71" s="70">
        <v>13.3</v>
      </c>
      <c r="Q71" s="70">
        <v>13.3</v>
      </c>
      <c r="R71" s="70">
        <v>13.3</v>
      </c>
      <c r="S71" s="70">
        <v>13.3</v>
      </c>
      <c r="T71" s="70">
        <v>13.3</v>
      </c>
      <c r="U71" s="70">
        <v>13.3</v>
      </c>
      <c r="V71" s="70">
        <v>13.3</v>
      </c>
      <c r="W71" s="70">
        <v>12.3</v>
      </c>
      <c r="X71" s="70">
        <v>12.3</v>
      </c>
      <c r="Y71" s="70">
        <v>12.3</v>
      </c>
      <c r="Z71" s="70">
        <v>9.8000000000000007</v>
      </c>
      <c r="AA71" s="70">
        <v>9.8000000000000007</v>
      </c>
      <c r="AB71" s="70">
        <v>9.8000000000000007</v>
      </c>
      <c r="AC71" s="70">
        <v>9.8000000000000007</v>
      </c>
      <c r="AD71" s="70">
        <v>9.8000000000000007</v>
      </c>
      <c r="AE71" s="70">
        <v>9.8000000000000007</v>
      </c>
      <c r="AF71" s="70">
        <v>5.4</v>
      </c>
      <c r="AG71" s="86">
        <v>14.1</v>
      </c>
      <c r="AH71" s="12">
        <f t="shared" si="8"/>
        <v>13.9</v>
      </c>
      <c r="AI71" s="11">
        <f t="shared" si="9"/>
        <v>5.4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12</v>
      </c>
      <c r="BA71" s="83">
        <f t="shared" si="31"/>
        <v>11</v>
      </c>
      <c r="BB71" s="83">
        <f t="shared" si="31"/>
        <v>21</v>
      </c>
      <c r="BC71" s="83">
        <f t="shared" si="31"/>
        <v>15.6</v>
      </c>
      <c r="BD71" s="83">
        <f t="shared" si="31"/>
        <v>21.8</v>
      </c>
      <c r="BE71" s="78">
        <f>I84</f>
        <v>23.6</v>
      </c>
      <c r="BF71" s="78">
        <f>K84</f>
        <v>47.5</v>
      </c>
      <c r="BG71" s="78">
        <f t="shared" si="32"/>
        <v>53</v>
      </c>
      <c r="BH71" s="78">
        <f t="shared" si="32"/>
        <v>49.5</v>
      </c>
      <c r="BI71" s="78">
        <f t="shared" si="32"/>
        <v>54.5</v>
      </c>
      <c r="BJ71" s="78">
        <f t="shared" si="32"/>
        <v>55.5</v>
      </c>
      <c r="BK71" s="78">
        <f t="shared" si="32"/>
        <v>46.4</v>
      </c>
      <c r="BL71" s="78">
        <f t="shared" si="32"/>
        <v>48.4</v>
      </c>
      <c r="BM71" s="78">
        <f t="shared" si="32"/>
        <v>51.7</v>
      </c>
      <c r="BN71" s="78">
        <f t="shared" si="32"/>
        <v>48.8</v>
      </c>
      <c r="BO71" s="78">
        <f t="shared" si="32"/>
        <v>54.2</v>
      </c>
      <c r="BP71" s="78">
        <f t="shared" si="32"/>
        <v>43</v>
      </c>
      <c r="BQ71" s="78">
        <f>X84</f>
        <v>21.5</v>
      </c>
      <c r="BR71" s="78">
        <f>Z84</f>
        <v>15</v>
      </c>
      <c r="BS71" s="83">
        <f>AB84</f>
        <v>14</v>
      </c>
      <c r="BT71" s="83">
        <f t="shared" si="33"/>
        <v>14.2</v>
      </c>
      <c r="BU71" s="83">
        <f t="shared" si="33"/>
        <v>0</v>
      </c>
      <c r="BV71" s="83">
        <f t="shared" si="33"/>
        <v>0</v>
      </c>
      <c r="BW71" s="83">
        <f>B84</f>
        <v>13</v>
      </c>
    </row>
    <row r="72" spans="1:75" x14ac:dyDescent="0.25">
      <c r="A72" s="111" t="s">
        <v>191</v>
      </c>
      <c r="B72" s="70">
        <v>7</v>
      </c>
      <c r="C72" s="70">
        <v>7</v>
      </c>
      <c r="D72" s="70">
        <v>7</v>
      </c>
      <c r="E72" s="70">
        <v>7.2</v>
      </c>
      <c r="F72" s="70">
        <v>7.2</v>
      </c>
      <c r="G72" s="70">
        <v>7.2</v>
      </c>
      <c r="H72" s="70">
        <v>7.1</v>
      </c>
      <c r="I72" s="70">
        <v>7.1</v>
      </c>
      <c r="J72" s="70">
        <v>7.1</v>
      </c>
      <c r="K72" s="70">
        <v>7.1</v>
      </c>
      <c r="L72" s="70">
        <v>7.1</v>
      </c>
      <c r="M72" s="70">
        <v>7.1</v>
      </c>
      <c r="N72" s="70">
        <v>7.1</v>
      </c>
      <c r="O72" s="70">
        <v>7.1</v>
      </c>
      <c r="P72" s="70">
        <v>7.1</v>
      </c>
      <c r="Q72" s="70">
        <v>7.1</v>
      </c>
      <c r="R72" s="70">
        <v>7.1</v>
      </c>
      <c r="S72" s="70">
        <v>5.7</v>
      </c>
      <c r="T72" s="70">
        <v>5.7</v>
      </c>
      <c r="U72" s="70">
        <v>5.7</v>
      </c>
      <c r="V72" s="70">
        <v>5.7</v>
      </c>
      <c r="W72" s="70">
        <v>5.7</v>
      </c>
      <c r="X72" s="70">
        <v>5.7</v>
      </c>
      <c r="Y72" s="70">
        <v>5.7</v>
      </c>
      <c r="Z72" s="70">
        <v>5.7</v>
      </c>
      <c r="AA72" s="70">
        <v>5.7</v>
      </c>
      <c r="AB72" s="70">
        <v>5.7</v>
      </c>
      <c r="AC72" s="70">
        <v>5.7</v>
      </c>
      <c r="AD72" s="70">
        <v>5.7</v>
      </c>
      <c r="AE72" s="70">
        <v>9.5</v>
      </c>
      <c r="AF72" s="70">
        <v>9.5</v>
      </c>
      <c r="AG72" s="86">
        <v>14</v>
      </c>
      <c r="AH72" s="12">
        <f t="shared" si="8"/>
        <v>9.5</v>
      </c>
      <c r="AI72" s="11">
        <f t="shared" si="9"/>
        <v>5.7</v>
      </c>
      <c r="AK72" s="19"/>
      <c r="AY72" s="1" t="s">
        <v>190</v>
      </c>
      <c r="AZ72" s="78">
        <f>ROUND(C85,0)</f>
        <v>0</v>
      </c>
      <c r="BA72" s="83">
        <f t="shared" si="31"/>
        <v>0</v>
      </c>
      <c r="BB72" s="83">
        <f t="shared" si="31"/>
        <v>0</v>
      </c>
      <c r="BC72" s="83">
        <f t="shared" si="31"/>
        <v>0</v>
      </c>
      <c r="BD72" s="83">
        <f t="shared" si="31"/>
        <v>0</v>
      </c>
      <c r="BE72" s="78">
        <f>I85</f>
        <v>0</v>
      </c>
      <c r="BF72" s="78">
        <f>K85</f>
        <v>120.1</v>
      </c>
      <c r="BG72" s="78">
        <f t="shared" si="32"/>
        <v>137</v>
      </c>
      <c r="BH72" s="78">
        <f t="shared" si="32"/>
        <v>104.2</v>
      </c>
      <c r="BI72" s="78">
        <f t="shared" si="32"/>
        <v>120.3</v>
      </c>
      <c r="BJ72" s="78">
        <f t="shared" si="32"/>
        <v>134.30000000000001</v>
      </c>
      <c r="BK72" s="78">
        <f t="shared" si="32"/>
        <v>124.4</v>
      </c>
      <c r="BL72" s="78">
        <f t="shared" si="32"/>
        <v>86</v>
      </c>
      <c r="BM72" s="78">
        <f t="shared" si="32"/>
        <v>148</v>
      </c>
      <c r="BN72" s="78">
        <f t="shared" si="32"/>
        <v>129.5</v>
      </c>
      <c r="BO72" s="78">
        <f t="shared" si="32"/>
        <v>118</v>
      </c>
      <c r="BP72" s="78">
        <f t="shared" si="32"/>
        <v>128.19999999999999</v>
      </c>
      <c r="BQ72" s="78">
        <f>X85</f>
        <v>64.5</v>
      </c>
      <c r="BR72" s="78">
        <f>Z85</f>
        <v>0</v>
      </c>
      <c r="BS72" s="83">
        <f>AB85</f>
        <v>0</v>
      </c>
      <c r="BT72" s="83">
        <f t="shared" si="33"/>
        <v>0</v>
      </c>
      <c r="BU72" s="83">
        <f t="shared" si="33"/>
        <v>0</v>
      </c>
      <c r="BV72" s="83">
        <f t="shared" si="33"/>
        <v>0</v>
      </c>
      <c r="BW72" s="83">
        <f>B85</f>
        <v>0</v>
      </c>
    </row>
    <row r="73" spans="1:75" x14ac:dyDescent="0.25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8"/>
        <v>4</v>
      </c>
      <c r="AI73" s="11">
        <f t="shared" si="9"/>
        <v>4</v>
      </c>
      <c r="AK73" s="19"/>
      <c r="AY73" s="1" t="s">
        <v>188</v>
      </c>
      <c r="AZ73" s="78">
        <f>ROUND(C91,0)</f>
        <v>52</v>
      </c>
      <c r="BA73" s="78">
        <f>D91</f>
        <v>50</v>
      </c>
      <c r="BB73" s="78">
        <f>E91</f>
        <v>48.3</v>
      </c>
      <c r="BC73" s="78">
        <f>F91</f>
        <v>45.6</v>
      </c>
      <c r="BD73" s="78">
        <f>G91</f>
        <v>43.6</v>
      </c>
      <c r="BE73" s="78">
        <f>I91</f>
        <v>46</v>
      </c>
      <c r="BF73" s="78">
        <f>K91</f>
        <v>48.8</v>
      </c>
      <c r="BG73" s="78">
        <f t="shared" ref="BG73:BP73" si="34">M91</f>
        <v>55.2</v>
      </c>
      <c r="BH73" s="78">
        <f t="shared" si="34"/>
        <v>54</v>
      </c>
      <c r="BI73" s="78">
        <f t="shared" si="34"/>
        <v>48.1</v>
      </c>
      <c r="BJ73" s="78">
        <f t="shared" si="34"/>
        <v>56.1</v>
      </c>
      <c r="BK73" s="78">
        <f t="shared" si="34"/>
        <v>54.9</v>
      </c>
      <c r="BL73" s="78">
        <f t="shared" si="34"/>
        <v>53</v>
      </c>
      <c r="BM73" s="78">
        <f t="shared" si="34"/>
        <v>48</v>
      </c>
      <c r="BN73" s="78">
        <f t="shared" si="34"/>
        <v>59.5</v>
      </c>
      <c r="BO73" s="78">
        <f t="shared" si="34"/>
        <v>62</v>
      </c>
      <c r="BP73" s="78">
        <f t="shared" si="34"/>
        <v>49.5</v>
      </c>
      <c r="BQ73" s="78">
        <f>X91</f>
        <v>39</v>
      </c>
      <c r="BR73" s="78">
        <f>Z91</f>
        <v>40</v>
      </c>
      <c r="BS73" s="78">
        <f>AB91</f>
        <v>39.5</v>
      </c>
      <c r="BT73" s="78">
        <f>AD91</f>
        <v>40.5</v>
      </c>
      <c r="BU73" s="78">
        <f>AE91</f>
        <v>41.1</v>
      </c>
      <c r="BV73" s="78">
        <f>AF91</f>
        <v>42.5</v>
      </c>
      <c r="BW73" s="78">
        <f>B91</f>
        <v>52.8</v>
      </c>
    </row>
    <row r="74" spans="1:75" x14ac:dyDescent="0.25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.75" thickBot="1" x14ac:dyDescent="0.3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3.5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</v>
      </c>
      <c r="AK75" s="19"/>
      <c r="AZ75" s="78">
        <f t="shared" ref="AZ75:BW80" si="35">VALUE(AZ68)</f>
        <v>53</v>
      </c>
      <c r="BA75" s="78">
        <f t="shared" si="35"/>
        <v>50</v>
      </c>
      <c r="BB75" s="78">
        <f t="shared" si="35"/>
        <v>41.2</v>
      </c>
      <c r="BC75" s="78">
        <f t="shared" si="35"/>
        <v>45.2</v>
      </c>
      <c r="BD75" s="78">
        <f t="shared" si="35"/>
        <v>47.1</v>
      </c>
      <c r="BE75" s="78">
        <f t="shared" si="35"/>
        <v>32.54</v>
      </c>
      <c r="BF75" s="78">
        <f t="shared" si="35"/>
        <v>66</v>
      </c>
      <c r="BG75" s="78">
        <f t="shared" si="35"/>
        <v>68.2</v>
      </c>
      <c r="BH75" s="78">
        <f t="shared" si="35"/>
        <v>67</v>
      </c>
      <c r="BI75" s="78">
        <f t="shared" si="35"/>
        <v>72</v>
      </c>
      <c r="BJ75" s="78">
        <f t="shared" si="35"/>
        <v>75</v>
      </c>
      <c r="BK75" s="78">
        <f t="shared" si="35"/>
        <v>60</v>
      </c>
      <c r="BL75" s="78">
        <f t="shared" si="35"/>
        <v>64.8</v>
      </c>
      <c r="BM75" s="78">
        <f t="shared" si="35"/>
        <v>69.400000000000006</v>
      </c>
      <c r="BN75" s="78">
        <f t="shared" si="35"/>
        <v>76.099999999999994</v>
      </c>
      <c r="BO75" s="78">
        <f t="shared" si="35"/>
        <v>74.3</v>
      </c>
      <c r="BP75" s="78">
        <f t="shared" si="35"/>
        <v>67.7</v>
      </c>
      <c r="BQ75" s="78">
        <f t="shared" si="35"/>
        <v>66.7</v>
      </c>
      <c r="BR75" s="78">
        <f t="shared" si="35"/>
        <v>62.6</v>
      </c>
      <c r="BS75" s="78">
        <f t="shared" si="35"/>
        <v>17.100000000000001</v>
      </c>
      <c r="BT75" s="78">
        <f t="shared" si="35"/>
        <v>15.9</v>
      </c>
      <c r="BU75" s="78">
        <f t="shared" si="35"/>
        <v>18.5</v>
      </c>
      <c r="BV75" s="78">
        <f t="shared" si="35"/>
        <v>17.2</v>
      </c>
      <c r="BW75" s="78">
        <f t="shared" si="35"/>
        <v>55.4</v>
      </c>
    </row>
    <row r="76" spans="1:75" ht="15.75" thickBot="1" x14ac:dyDescent="0.3">
      <c r="A76" s="77" t="s">
        <v>186</v>
      </c>
      <c r="B76" s="76">
        <f t="shared" ref="B76:AG76" si="36">SUM(B63:B75)</f>
        <v>199.64</v>
      </c>
      <c r="C76" s="76">
        <f t="shared" si="36"/>
        <v>199.64</v>
      </c>
      <c r="D76" s="76">
        <f t="shared" si="36"/>
        <v>199.64</v>
      </c>
      <c r="E76" s="76">
        <f t="shared" si="36"/>
        <v>177.43999999999997</v>
      </c>
      <c r="F76" s="76">
        <f t="shared" ref="F76:G76" si="37">SUM(F63:F75)</f>
        <v>177.43999999999997</v>
      </c>
      <c r="G76" s="76">
        <f t="shared" si="37"/>
        <v>177.43999999999997</v>
      </c>
      <c r="H76" s="76">
        <f t="shared" si="36"/>
        <v>194.14</v>
      </c>
      <c r="I76" s="76">
        <f t="shared" si="36"/>
        <v>213.34</v>
      </c>
      <c r="J76" s="76">
        <f t="shared" si="36"/>
        <v>251.24</v>
      </c>
      <c r="K76" s="76">
        <f t="shared" si="36"/>
        <v>277.04000000000002</v>
      </c>
      <c r="L76" s="76">
        <f t="shared" si="36"/>
        <v>301.84000000000003</v>
      </c>
      <c r="M76" s="76">
        <f t="shared" si="36"/>
        <v>289.54000000000008</v>
      </c>
      <c r="N76" s="76">
        <f t="shared" si="36"/>
        <v>285.54000000000002</v>
      </c>
      <c r="O76" s="76">
        <f t="shared" si="36"/>
        <v>281.64000000000004</v>
      </c>
      <c r="P76" s="76">
        <f t="shared" si="36"/>
        <v>282.94000000000005</v>
      </c>
      <c r="Q76" s="76">
        <f t="shared" si="36"/>
        <v>292.14000000000004</v>
      </c>
      <c r="R76" s="76">
        <f t="shared" si="36"/>
        <v>278.44000000000005</v>
      </c>
      <c r="S76" s="76">
        <f t="shared" si="36"/>
        <v>271.34000000000003</v>
      </c>
      <c r="T76" s="76">
        <f t="shared" si="36"/>
        <v>278.54000000000002</v>
      </c>
      <c r="U76" s="76">
        <f t="shared" si="36"/>
        <v>250.64</v>
      </c>
      <c r="V76" s="76">
        <f t="shared" si="36"/>
        <v>230.04</v>
      </c>
      <c r="W76" s="76">
        <f t="shared" si="36"/>
        <v>218.73999999999998</v>
      </c>
      <c r="X76" s="76">
        <f t="shared" si="36"/>
        <v>202.94</v>
      </c>
      <c r="Y76" s="76">
        <f t="shared" si="36"/>
        <v>199.39999999999998</v>
      </c>
      <c r="Z76" s="76">
        <f t="shared" si="36"/>
        <v>306.59999999999997</v>
      </c>
      <c r="AA76" s="76">
        <f t="shared" si="36"/>
        <v>333.24</v>
      </c>
      <c r="AB76" s="76">
        <f t="shared" ref="AB76:AC76" si="38">SUM(AB63:AB75)</f>
        <v>330.44</v>
      </c>
      <c r="AC76" s="76">
        <f t="shared" si="38"/>
        <v>330.44</v>
      </c>
      <c r="AD76" s="76">
        <f t="shared" ref="AD76" si="39">SUM(AD63:AD75)</f>
        <v>313.83999999999997</v>
      </c>
      <c r="AE76" s="76">
        <f t="shared" si="36"/>
        <v>245.14000000000001</v>
      </c>
      <c r="AF76" s="76">
        <f t="shared" ref="AF76" si="40">SUM(AF63:AF75)</f>
        <v>221.44</v>
      </c>
      <c r="AG76" s="93">
        <f t="shared" si="36"/>
        <v>489.91</v>
      </c>
      <c r="AH76" s="12">
        <f t="shared" si="8"/>
        <v>333.24</v>
      </c>
      <c r="AI76" s="11">
        <f t="shared" si="9"/>
        <v>177.43999999999997</v>
      </c>
      <c r="AK76" s="19"/>
      <c r="AZ76" s="78">
        <f t="shared" si="35"/>
        <v>0</v>
      </c>
      <c r="BA76" s="78">
        <f t="shared" si="35"/>
        <v>0</v>
      </c>
      <c r="BB76" s="78">
        <f t="shared" si="35"/>
        <v>0</v>
      </c>
      <c r="BC76" s="78">
        <f t="shared" si="35"/>
        <v>0</v>
      </c>
      <c r="BD76" s="78">
        <f t="shared" si="35"/>
        <v>0</v>
      </c>
      <c r="BE76" s="78">
        <f t="shared" si="35"/>
        <v>0</v>
      </c>
      <c r="BF76" s="78">
        <f t="shared" si="35"/>
        <v>103</v>
      </c>
      <c r="BG76" s="78">
        <f t="shared" si="35"/>
        <v>115</v>
      </c>
      <c r="BH76" s="78">
        <f t="shared" si="35"/>
        <v>106</v>
      </c>
      <c r="BI76" s="78">
        <f t="shared" si="35"/>
        <v>113</v>
      </c>
      <c r="BJ76" s="78">
        <f t="shared" si="35"/>
        <v>114.9</v>
      </c>
      <c r="BK76" s="78">
        <f t="shared" si="35"/>
        <v>108.9</v>
      </c>
      <c r="BL76" s="78">
        <f t="shared" si="35"/>
        <v>112.2</v>
      </c>
      <c r="BM76" s="78">
        <f t="shared" si="35"/>
        <v>121.4</v>
      </c>
      <c r="BN76" s="78">
        <f t="shared" si="35"/>
        <v>118</v>
      </c>
      <c r="BO76" s="78">
        <f t="shared" si="35"/>
        <v>120</v>
      </c>
      <c r="BP76" s="78">
        <f t="shared" si="35"/>
        <v>124</v>
      </c>
      <c r="BQ76" s="78">
        <f t="shared" si="35"/>
        <v>123.3</v>
      </c>
      <c r="BR76" s="78">
        <f t="shared" si="35"/>
        <v>0</v>
      </c>
      <c r="BS76" s="78">
        <f t="shared" si="35"/>
        <v>0</v>
      </c>
      <c r="BT76" s="78">
        <f t="shared" si="35"/>
        <v>0</v>
      </c>
      <c r="BU76" s="78">
        <f t="shared" si="35"/>
        <v>0</v>
      </c>
      <c r="BV76" s="78">
        <f t="shared" si="35"/>
        <v>0</v>
      </c>
      <c r="BW76" s="78">
        <f t="shared" si="35"/>
        <v>0</v>
      </c>
    </row>
    <row r="77" spans="1:75" x14ac:dyDescent="0.25">
      <c r="A77" s="89" t="s">
        <v>185</v>
      </c>
      <c r="B77" s="102">
        <v>59.8</v>
      </c>
      <c r="C77" s="102">
        <v>59.8</v>
      </c>
      <c r="D77" s="102">
        <v>59.8</v>
      </c>
      <c r="E77" s="102">
        <v>59.7</v>
      </c>
      <c r="F77" s="102">
        <v>59.7</v>
      </c>
      <c r="G77" s="102">
        <v>59.7</v>
      </c>
      <c r="H77" s="102">
        <v>59.8</v>
      </c>
      <c r="I77" s="102">
        <v>59.8</v>
      </c>
      <c r="J77" s="102">
        <v>24.3</v>
      </c>
      <c r="K77" s="102">
        <v>23.9</v>
      </c>
      <c r="L77" s="102">
        <v>34.6</v>
      </c>
      <c r="M77" s="102">
        <v>44</v>
      </c>
      <c r="N77" s="102">
        <v>44.2</v>
      </c>
      <c r="O77" s="102">
        <v>44.1</v>
      </c>
      <c r="P77" s="102">
        <v>50</v>
      </c>
      <c r="Q77" s="102">
        <v>50.7</v>
      </c>
      <c r="R77" s="102">
        <v>58.8</v>
      </c>
      <c r="S77" s="102">
        <v>58.8</v>
      </c>
      <c r="T77" s="102">
        <v>58.8</v>
      </c>
      <c r="U77" s="102">
        <v>58.8</v>
      </c>
      <c r="V77" s="102">
        <v>59.7</v>
      </c>
      <c r="W77" s="102">
        <v>59.7</v>
      </c>
      <c r="X77" s="102">
        <v>40</v>
      </c>
      <c r="Y77" s="102">
        <v>39.5</v>
      </c>
      <c r="Z77" s="102">
        <v>58.7</v>
      </c>
      <c r="AA77" s="102">
        <v>58.7</v>
      </c>
      <c r="AB77" s="102">
        <v>58.7</v>
      </c>
      <c r="AC77" s="102">
        <v>58.7</v>
      </c>
      <c r="AD77" s="102">
        <v>58.7</v>
      </c>
      <c r="AE77" s="102">
        <v>59.1</v>
      </c>
      <c r="AF77" s="102">
        <v>59.1</v>
      </c>
      <c r="AG77" s="88">
        <v>60</v>
      </c>
      <c r="AH77" s="12">
        <f t="shared" si="8"/>
        <v>59.8</v>
      </c>
      <c r="AI77" s="11">
        <f t="shared" si="9"/>
        <v>23.9</v>
      </c>
      <c r="AK77" s="19"/>
      <c r="AZ77" s="78">
        <f t="shared" si="35"/>
        <v>146</v>
      </c>
      <c r="BA77" s="78">
        <f t="shared" si="35"/>
        <v>121</v>
      </c>
      <c r="BB77" s="78">
        <f t="shared" si="35"/>
        <v>114</v>
      </c>
      <c r="BC77" s="78">
        <f t="shared" si="35"/>
        <v>125</v>
      </c>
      <c r="BD77" s="78">
        <f t="shared" si="35"/>
        <v>150</v>
      </c>
      <c r="BE77" s="78">
        <f t="shared" si="35"/>
        <v>172</v>
      </c>
      <c r="BF77" s="78">
        <f t="shared" si="35"/>
        <v>445</v>
      </c>
      <c r="BG77" s="78">
        <f t="shared" si="35"/>
        <v>493.5</v>
      </c>
      <c r="BH77" s="78">
        <f t="shared" si="35"/>
        <v>489</v>
      </c>
      <c r="BI77" s="78">
        <f t="shared" si="35"/>
        <v>515</v>
      </c>
      <c r="BJ77" s="78">
        <f t="shared" si="35"/>
        <v>480</v>
      </c>
      <c r="BK77" s="78">
        <f t="shared" si="35"/>
        <v>522.1</v>
      </c>
      <c r="BL77" s="78">
        <f t="shared" si="35"/>
        <v>529.70000000000005</v>
      </c>
      <c r="BM77" s="78">
        <f t="shared" si="35"/>
        <v>538</v>
      </c>
      <c r="BN77" s="78">
        <f t="shared" si="35"/>
        <v>535</v>
      </c>
      <c r="BO77" s="78">
        <f t="shared" si="35"/>
        <v>509</v>
      </c>
      <c r="BP77" s="78">
        <f t="shared" si="35"/>
        <v>468</v>
      </c>
      <c r="BQ77" s="78">
        <f t="shared" si="35"/>
        <v>425</v>
      </c>
      <c r="BR77" s="78">
        <f t="shared" si="35"/>
        <v>74</v>
      </c>
      <c r="BS77" s="78">
        <f t="shared" si="35"/>
        <v>12.5</v>
      </c>
      <c r="BT77" s="78">
        <f t="shared" si="35"/>
        <v>46.9</v>
      </c>
      <c r="BU77" s="78">
        <f t="shared" si="35"/>
        <v>70</v>
      </c>
      <c r="BV77" s="78">
        <f t="shared" si="35"/>
        <v>173.9</v>
      </c>
      <c r="BW77" s="78">
        <f t="shared" si="35"/>
        <v>170</v>
      </c>
    </row>
    <row r="78" spans="1:75" x14ac:dyDescent="0.25">
      <c r="A78" s="87" t="s">
        <v>184</v>
      </c>
      <c r="B78" s="70">
        <v>28.2</v>
      </c>
      <c r="C78" s="70">
        <v>28.2</v>
      </c>
      <c r="D78" s="70">
        <v>28.2</v>
      </c>
      <c r="E78" s="70">
        <v>28.3</v>
      </c>
      <c r="F78" s="70">
        <v>28.3</v>
      </c>
      <c r="G78" s="70">
        <v>28.3</v>
      </c>
      <c r="H78" s="70">
        <v>28.2</v>
      </c>
      <c r="I78" s="70">
        <v>28.2</v>
      </c>
      <c r="J78" s="70">
        <v>10.6</v>
      </c>
      <c r="K78" s="70">
        <v>10.6</v>
      </c>
      <c r="L78" s="70">
        <v>15.3</v>
      </c>
      <c r="M78" s="70">
        <v>14.4</v>
      </c>
      <c r="N78" s="70">
        <v>18.399999999999999</v>
      </c>
      <c r="O78" s="70">
        <v>18.600000000000001</v>
      </c>
      <c r="P78" s="70">
        <v>22</v>
      </c>
      <c r="Q78" s="70">
        <v>22.7</v>
      </c>
      <c r="R78" s="70">
        <v>28.5</v>
      </c>
      <c r="S78" s="70">
        <v>28.5</v>
      </c>
      <c r="T78" s="70">
        <v>28.5</v>
      </c>
      <c r="U78" s="70">
        <v>28.5</v>
      </c>
      <c r="V78" s="70">
        <v>28.5</v>
      </c>
      <c r="W78" s="70">
        <v>28.5</v>
      </c>
      <c r="X78" s="70">
        <v>22.9</v>
      </c>
      <c r="Y78" s="70">
        <v>18.3</v>
      </c>
      <c r="Z78" s="70">
        <v>27.5</v>
      </c>
      <c r="AA78" s="70">
        <v>27.5</v>
      </c>
      <c r="AB78" s="70">
        <v>27.5</v>
      </c>
      <c r="AC78" s="70">
        <v>27.5</v>
      </c>
      <c r="AD78" s="70">
        <v>27.5</v>
      </c>
      <c r="AE78" s="70">
        <v>27.7</v>
      </c>
      <c r="AF78" s="70">
        <v>27.7</v>
      </c>
      <c r="AG78" s="86">
        <v>32</v>
      </c>
      <c r="AH78" s="12">
        <f t="shared" si="8"/>
        <v>28.5</v>
      </c>
      <c r="AI78" s="11">
        <f t="shared" si="9"/>
        <v>10.6</v>
      </c>
      <c r="AK78" s="19"/>
      <c r="AZ78" s="78">
        <f t="shared" si="35"/>
        <v>12</v>
      </c>
      <c r="BA78" s="78">
        <f t="shared" si="35"/>
        <v>11</v>
      </c>
      <c r="BB78" s="78">
        <f t="shared" si="35"/>
        <v>21</v>
      </c>
      <c r="BC78" s="78">
        <f t="shared" si="35"/>
        <v>15.6</v>
      </c>
      <c r="BD78" s="78">
        <f t="shared" si="35"/>
        <v>21.8</v>
      </c>
      <c r="BE78" s="78">
        <f t="shared" si="35"/>
        <v>23.6</v>
      </c>
      <c r="BF78" s="78">
        <f t="shared" si="35"/>
        <v>47.5</v>
      </c>
      <c r="BG78" s="78">
        <f t="shared" si="35"/>
        <v>53</v>
      </c>
      <c r="BH78" s="78">
        <f t="shared" si="35"/>
        <v>49.5</v>
      </c>
      <c r="BI78" s="78">
        <f t="shared" si="35"/>
        <v>54.5</v>
      </c>
      <c r="BJ78" s="78">
        <f t="shared" si="35"/>
        <v>55.5</v>
      </c>
      <c r="BK78" s="78">
        <f t="shared" si="35"/>
        <v>46.4</v>
      </c>
      <c r="BL78" s="78">
        <f t="shared" si="35"/>
        <v>48.4</v>
      </c>
      <c r="BM78" s="78">
        <f t="shared" si="35"/>
        <v>51.7</v>
      </c>
      <c r="BN78" s="78">
        <f t="shared" si="35"/>
        <v>48.8</v>
      </c>
      <c r="BO78" s="78">
        <f t="shared" si="35"/>
        <v>54.2</v>
      </c>
      <c r="BP78" s="78">
        <f t="shared" si="35"/>
        <v>43</v>
      </c>
      <c r="BQ78" s="78">
        <f t="shared" si="35"/>
        <v>21.5</v>
      </c>
      <c r="BR78" s="78">
        <f t="shared" si="35"/>
        <v>15</v>
      </c>
      <c r="BS78" s="78">
        <f t="shared" si="35"/>
        <v>14</v>
      </c>
      <c r="BT78" s="78">
        <f t="shared" si="35"/>
        <v>14.2</v>
      </c>
      <c r="BU78" s="78">
        <f t="shared" si="35"/>
        <v>0</v>
      </c>
      <c r="BV78" s="78">
        <f t="shared" si="35"/>
        <v>0</v>
      </c>
      <c r="BW78" s="78">
        <f t="shared" si="35"/>
        <v>13</v>
      </c>
    </row>
    <row r="79" spans="1:75" ht="15.75" thickBot="1" x14ac:dyDescent="0.3">
      <c r="A79" s="111" t="s">
        <v>183</v>
      </c>
      <c r="B79" s="110">
        <v>10.3</v>
      </c>
      <c r="C79" s="110">
        <v>10.3</v>
      </c>
      <c r="D79" s="110">
        <v>10.3</v>
      </c>
      <c r="E79" s="110">
        <v>10.3</v>
      </c>
      <c r="F79" s="110">
        <v>10.3</v>
      </c>
      <c r="G79" s="110">
        <v>10.3</v>
      </c>
      <c r="H79" s="110">
        <v>10.3</v>
      </c>
      <c r="I79" s="110">
        <v>10.3</v>
      </c>
      <c r="J79" s="110">
        <v>3.9</v>
      </c>
      <c r="K79" s="110">
        <v>3.9</v>
      </c>
      <c r="L79" s="110">
        <v>5.6</v>
      </c>
      <c r="M79" s="110">
        <v>5.3</v>
      </c>
      <c r="N79" s="110">
        <v>6.7</v>
      </c>
      <c r="O79" s="110">
        <v>6.8</v>
      </c>
      <c r="P79" s="110">
        <v>8</v>
      </c>
      <c r="Q79" s="110">
        <v>8.3000000000000007</v>
      </c>
      <c r="R79" s="110">
        <v>10.4</v>
      </c>
      <c r="S79" s="110">
        <v>10.4</v>
      </c>
      <c r="T79" s="110">
        <v>10.4</v>
      </c>
      <c r="U79" s="110">
        <v>10.4</v>
      </c>
      <c r="V79" s="110">
        <v>10.4</v>
      </c>
      <c r="W79" s="110">
        <v>10.4</v>
      </c>
      <c r="X79" s="110">
        <v>8.4</v>
      </c>
      <c r="Y79" s="110">
        <v>6.7</v>
      </c>
      <c r="Z79" s="110">
        <v>10</v>
      </c>
      <c r="AA79" s="110">
        <v>10</v>
      </c>
      <c r="AB79" s="110">
        <v>10</v>
      </c>
      <c r="AC79" s="110">
        <v>10</v>
      </c>
      <c r="AD79" s="110">
        <v>10</v>
      </c>
      <c r="AE79" s="110">
        <v>10.1</v>
      </c>
      <c r="AF79" s="110">
        <v>10.1</v>
      </c>
      <c r="AG79" s="109">
        <v>14</v>
      </c>
      <c r="AH79" s="12">
        <f t="shared" si="8"/>
        <v>10.4</v>
      </c>
      <c r="AI79" s="11">
        <f t="shared" si="9"/>
        <v>3.9</v>
      </c>
      <c r="AK79" s="19"/>
      <c r="AZ79" s="78">
        <f t="shared" si="35"/>
        <v>0</v>
      </c>
      <c r="BA79" s="78">
        <f t="shared" si="35"/>
        <v>0</v>
      </c>
      <c r="BB79" s="78">
        <f t="shared" si="35"/>
        <v>0</v>
      </c>
      <c r="BC79" s="78">
        <f t="shared" si="35"/>
        <v>0</v>
      </c>
      <c r="BD79" s="78">
        <f t="shared" si="35"/>
        <v>0</v>
      </c>
      <c r="BE79" s="78">
        <f t="shared" si="35"/>
        <v>0</v>
      </c>
      <c r="BF79" s="78">
        <f t="shared" si="35"/>
        <v>120.1</v>
      </c>
      <c r="BG79" s="78">
        <f t="shared" si="35"/>
        <v>137</v>
      </c>
      <c r="BH79" s="78">
        <f t="shared" si="35"/>
        <v>104.2</v>
      </c>
      <c r="BI79" s="78">
        <f t="shared" si="35"/>
        <v>120.3</v>
      </c>
      <c r="BJ79" s="78">
        <f t="shared" si="35"/>
        <v>134.30000000000001</v>
      </c>
      <c r="BK79" s="78">
        <f t="shared" si="35"/>
        <v>124.4</v>
      </c>
      <c r="BL79" s="78">
        <f t="shared" si="35"/>
        <v>86</v>
      </c>
      <c r="BM79" s="78">
        <f t="shared" si="35"/>
        <v>148</v>
      </c>
      <c r="BN79" s="78">
        <f t="shared" si="35"/>
        <v>129.5</v>
      </c>
      <c r="BO79" s="78">
        <f t="shared" si="35"/>
        <v>118</v>
      </c>
      <c r="BP79" s="78">
        <f t="shared" si="35"/>
        <v>128.19999999999999</v>
      </c>
      <c r="BQ79" s="78">
        <f t="shared" si="35"/>
        <v>64.5</v>
      </c>
      <c r="BR79" s="78">
        <f t="shared" si="35"/>
        <v>0</v>
      </c>
      <c r="BS79" s="78">
        <f t="shared" si="35"/>
        <v>0</v>
      </c>
      <c r="BT79" s="78">
        <f t="shared" si="35"/>
        <v>0</v>
      </c>
      <c r="BU79" s="78">
        <f t="shared" si="35"/>
        <v>0</v>
      </c>
      <c r="BV79" s="78">
        <f t="shared" si="35"/>
        <v>0</v>
      </c>
      <c r="BW79" s="78">
        <f t="shared" si="35"/>
        <v>0</v>
      </c>
    </row>
    <row r="80" spans="1:75" ht="15.75" thickBot="1" x14ac:dyDescent="0.3">
      <c r="A80" s="77" t="s">
        <v>182</v>
      </c>
      <c r="B80" s="76">
        <f t="shared" ref="B80:AE80" si="41">B77+B78+B79</f>
        <v>98.3</v>
      </c>
      <c r="C80" s="76">
        <f t="shared" si="41"/>
        <v>98.3</v>
      </c>
      <c r="D80" s="76">
        <f t="shared" si="41"/>
        <v>98.3</v>
      </c>
      <c r="E80" s="76">
        <f t="shared" si="41"/>
        <v>98.3</v>
      </c>
      <c r="F80" s="76">
        <f t="shared" ref="F80:G80" si="42">F77+F78+F79</f>
        <v>98.3</v>
      </c>
      <c r="G80" s="76">
        <f t="shared" si="42"/>
        <v>98.3</v>
      </c>
      <c r="H80" s="76">
        <f t="shared" si="41"/>
        <v>98.3</v>
      </c>
      <c r="I80" s="76">
        <f t="shared" si="41"/>
        <v>98.3</v>
      </c>
      <c r="J80" s="76">
        <f t="shared" si="41"/>
        <v>38.799999999999997</v>
      </c>
      <c r="K80" s="76">
        <f t="shared" si="41"/>
        <v>38.4</v>
      </c>
      <c r="L80" s="76">
        <f t="shared" si="41"/>
        <v>55.500000000000007</v>
      </c>
      <c r="M80" s="76">
        <f t="shared" si="41"/>
        <v>63.699999999999996</v>
      </c>
      <c r="N80" s="76">
        <f t="shared" si="41"/>
        <v>69.3</v>
      </c>
      <c r="O80" s="76">
        <f t="shared" si="41"/>
        <v>69.5</v>
      </c>
      <c r="P80" s="76">
        <f t="shared" si="41"/>
        <v>80</v>
      </c>
      <c r="Q80" s="76">
        <f t="shared" si="41"/>
        <v>81.7</v>
      </c>
      <c r="R80" s="76">
        <f t="shared" si="41"/>
        <v>97.7</v>
      </c>
      <c r="S80" s="76">
        <f t="shared" si="41"/>
        <v>97.7</v>
      </c>
      <c r="T80" s="76">
        <f t="shared" si="41"/>
        <v>97.7</v>
      </c>
      <c r="U80" s="76">
        <f t="shared" si="41"/>
        <v>97.7</v>
      </c>
      <c r="V80" s="76">
        <f t="shared" si="41"/>
        <v>98.600000000000009</v>
      </c>
      <c r="W80" s="76">
        <f t="shared" si="41"/>
        <v>98.600000000000009</v>
      </c>
      <c r="X80" s="76">
        <f t="shared" si="41"/>
        <v>71.3</v>
      </c>
      <c r="Y80" s="76">
        <f t="shared" si="41"/>
        <v>64.5</v>
      </c>
      <c r="Z80" s="76">
        <f t="shared" si="41"/>
        <v>96.2</v>
      </c>
      <c r="AA80" s="76">
        <f t="shared" si="41"/>
        <v>96.2</v>
      </c>
      <c r="AB80" s="76">
        <f t="shared" ref="AB80:AC80" si="43">AB77+AB78+AB79</f>
        <v>96.2</v>
      </c>
      <c r="AC80" s="76">
        <f t="shared" si="43"/>
        <v>96.2</v>
      </c>
      <c r="AD80" s="76">
        <f t="shared" ref="AD80" si="44">AD77+AD78+AD79</f>
        <v>96.2</v>
      </c>
      <c r="AE80" s="76">
        <f t="shared" si="41"/>
        <v>96.899999999999991</v>
      </c>
      <c r="AF80" s="76">
        <f t="shared" ref="AF80" si="45">AF77+AF78+AF79</f>
        <v>96.899999999999991</v>
      </c>
      <c r="AG80" s="93">
        <f>SUM(AG77:AG79)</f>
        <v>106</v>
      </c>
      <c r="AH80" s="12">
        <f t="shared" si="8"/>
        <v>98.600000000000009</v>
      </c>
      <c r="AI80" s="11">
        <f t="shared" si="9"/>
        <v>38.4</v>
      </c>
      <c r="AK80" s="19"/>
      <c r="AZ80" s="78">
        <f t="shared" si="35"/>
        <v>52</v>
      </c>
      <c r="BA80" s="78">
        <f t="shared" si="35"/>
        <v>50</v>
      </c>
      <c r="BB80" s="78">
        <f t="shared" si="35"/>
        <v>48.3</v>
      </c>
      <c r="BC80" s="78">
        <f t="shared" si="35"/>
        <v>45.6</v>
      </c>
      <c r="BD80" s="78">
        <f t="shared" si="35"/>
        <v>43.6</v>
      </c>
      <c r="BE80" s="78">
        <f t="shared" si="35"/>
        <v>46</v>
      </c>
      <c r="BF80" s="78">
        <f t="shared" si="35"/>
        <v>48.8</v>
      </c>
      <c r="BG80" s="78">
        <f t="shared" si="35"/>
        <v>55.2</v>
      </c>
      <c r="BH80" s="78">
        <f t="shared" si="35"/>
        <v>54</v>
      </c>
      <c r="BI80" s="78">
        <f t="shared" si="35"/>
        <v>48.1</v>
      </c>
      <c r="BJ80" s="78">
        <f t="shared" si="35"/>
        <v>56.1</v>
      </c>
      <c r="BK80" s="78">
        <f t="shared" si="35"/>
        <v>54.9</v>
      </c>
      <c r="BL80" s="78">
        <f t="shared" si="35"/>
        <v>53</v>
      </c>
      <c r="BM80" s="78">
        <f t="shared" si="35"/>
        <v>48</v>
      </c>
      <c r="BN80" s="78">
        <f t="shared" si="35"/>
        <v>59.5</v>
      </c>
      <c r="BO80" s="78">
        <f t="shared" si="35"/>
        <v>62</v>
      </c>
      <c r="BP80" s="78">
        <f t="shared" si="35"/>
        <v>49.5</v>
      </c>
      <c r="BQ80" s="78">
        <f t="shared" si="35"/>
        <v>39</v>
      </c>
      <c r="BR80" s="78">
        <f t="shared" si="35"/>
        <v>40</v>
      </c>
      <c r="BS80" s="78">
        <f t="shared" si="35"/>
        <v>39.5</v>
      </c>
      <c r="BT80" s="78">
        <f t="shared" si="35"/>
        <v>40.5</v>
      </c>
      <c r="BU80" s="78">
        <f t="shared" si="35"/>
        <v>41.1</v>
      </c>
      <c r="BV80" s="78">
        <f t="shared" si="35"/>
        <v>42.5</v>
      </c>
      <c r="BW80" s="78">
        <f t="shared" si="35"/>
        <v>52.8</v>
      </c>
    </row>
    <row r="81" spans="1:64" x14ac:dyDescent="0.25">
      <c r="A81" s="89" t="s">
        <v>157</v>
      </c>
      <c r="B81" s="102">
        <v>55.4</v>
      </c>
      <c r="C81" s="102">
        <v>53</v>
      </c>
      <c r="D81" s="102">
        <v>50</v>
      </c>
      <c r="E81" s="102">
        <v>41.2</v>
      </c>
      <c r="F81" s="102">
        <v>45.2</v>
      </c>
      <c r="G81" s="102">
        <v>47.1</v>
      </c>
      <c r="H81" s="102">
        <v>30.4</v>
      </c>
      <c r="I81" s="102">
        <v>32.54</v>
      </c>
      <c r="J81" s="102">
        <v>39</v>
      </c>
      <c r="K81" s="102">
        <v>66</v>
      </c>
      <c r="L81" s="102">
        <v>63.9</v>
      </c>
      <c r="M81" s="102">
        <v>68.2</v>
      </c>
      <c r="N81" s="102">
        <v>67</v>
      </c>
      <c r="O81" s="102">
        <v>72</v>
      </c>
      <c r="P81" s="102">
        <v>75</v>
      </c>
      <c r="Q81" s="102">
        <v>60</v>
      </c>
      <c r="R81" s="102">
        <v>64.8</v>
      </c>
      <c r="S81" s="102">
        <v>69.400000000000006</v>
      </c>
      <c r="T81" s="102">
        <v>76.099999999999994</v>
      </c>
      <c r="U81" s="102">
        <v>74.3</v>
      </c>
      <c r="V81" s="102">
        <v>67.7</v>
      </c>
      <c r="W81" s="102">
        <v>80.3</v>
      </c>
      <c r="X81" s="102">
        <v>66.7</v>
      </c>
      <c r="Y81" s="102">
        <v>60.2</v>
      </c>
      <c r="Z81" s="102">
        <v>62.6</v>
      </c>
      <c r="AA81" s="102">
        <v>56</v>
      </c>
      <c r="AB81" s="102">
        <v>17.100000000000001</v>
      </c>
      <c r="AC81" s="102">
        <v>15.9</v>
      </c>
      <c r="AD81" s="102">
        <v>15.9</v>
      </c>
      <c r="AE81" s="102">
        <v>18.5</v>
      </c>
      <c r="AF81" s="102">
        <v>17.2</v>
      </c>
      <c r="AG81" s="88"/>
      <c r="AH81" s="12">
        <f t="shared" si="8"/>
        <v>80.3</v>
      </c>
      <c r="AI81" s="11">
        <f t="shared" si="9"/>
        <v>15.9</v>
      </c>
      <c r="AK81" s="19"/>
      <c r="AY81" s="78"/>
    </row>
    <row r="82" spans="1:64" x14ac:dyDescent="0.25">
      <c r="A82" s="87" t="s">
        <v>160</v>
      </c>
      <c r="B82" s="70"/>
      <c r="C82" s="70"/>
      <c r="D82" s="70"/>
      <c r="E82" s="70"/>
      <c r="F82" s="70"/>
      <c r="G82" s="70"/>
      <c r="H82" s="70"/>
      <c r="I82" s="70"/>
      <c r="J82" s="70">
        <v>121</v>
      </c>
      <c r="K82" s="70">
        <v>103</v>
      </c>
      <c r="L82" s="70">
        <v>112</v>
      </c>
      <c r="M82" s="70">
        <v>115</v>
      </c>
      <c r="N82" s="70">
        <v>106</v>
      </c>
      <c r="O82" s="70">
        <v>113</v>
      </c>
      <c r="P82" s="70">
        <v>114.9</v>
      </c>
      <c r="Q82" s="70">
        <v>108.9</v>
      </c>
      <c r="R82" s="70">
        <v>112.2</v>
      </c>
      <c r="S82" s="70">
        <v>121.4</v>
      </c>
      <c r="T82" s="70">
        <v>118</v>
      </c>
      <c r="U82" s="70">
        <v>120</v>
      </c>
      <c r="V82" s="70">
        <v>124</v>
      </c>
      <c r="W82" s="70">
        <v>125.6</v>
      </c>
      <c r="X82" s="70">
        <v>123.3</v>
      </c>
      <c r="Y82" s="70">
        <v>0</v>
      </c>
      <c r="Z82" s="70">
        <v>0</v>
      </c>
      <c r="AA82" s="70">
        <v>0</v>
      </c>
      <c r="AB82" s="70">
        <v>0</v>
      </c>
      <c r="AC82" s="70">
        <v>0</v>
      </c>
      <c r="AD82" s="70">
        <v>0</v>
      </c>
      <c r="AE82" s="70">
        <v>0</v>
      </c>
      <c r="AF82" s="70">
        <v>0</v>
      </c>
      <c r="AG82" s="86"/>
      <c r="AH82" s="12">
        <f t="shared" ref="AH82:AH125" si="46">MAX(B82:AF82)</f>
        <v>125.6</v>
      </c>
      <c r="AI82" s="11">
        <f t="shared" ref="AI82:AI125" si="47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25">
      <c r="A83" s="87" t="s">
        <v>181</v>
      </c>
      <c r="B83" s="70">
        <v>170</v>
      </c>
      <c r="C83" s="70">
        <v>146</v>
      </c>
      <c r="D83" s="70">
        <v>121</v>
      </c>
      <c r="E83" s="70">
        <v>114</v>
      </c>
      <c r="F83" s="70">
        <v>125</v>
      </c>
      <c r="G83" s="70">
        <v>150</v>
      </c>
      <c r="H83" s="70">
        <v>150.19999999999999</v>
      </c>
      <c r="I83" s="70">
        <v>172</v>
      </c>
      <c r="J83" s="70">
        <v>361</v>
      </c>
      <c r="K83" s="70">
        <v>445</v>
      </c>
      <c r="L83" s="70">
        <v>480</v>
      </c>
      <c r="M83" s="70">
        <v>493.5</v>
      </c>
      <c r="N83" s="70">
        <v>489</v>
      </c>
      <c r="O83" s="70">
        <v>515</v>
      </c>
      <c r="P83" s="70">
        <v>480</v>
      </c>
      <c r="Q83" s="70">
        <v>522.1</v>
      </c>
      <c r="R83" s="70">
        <v>529.70000000000005</v>
      </c>
      <c r="S83" s="70">
        <v>538</v>
      </c>
      <c r="T83" s="70">
        <v>535</v>
      </c>
      <c r="U83" s="70">
        <v>509</v>
      </c>
      <c r="V83" s="70">
        <v>468</v>
      </c>
      <c r="W83" s="70">
        <v>472.6</v>
      </c>
      <c r="X83" s="70">
        <v>425</v>
      </c>
      <c r="Y83" s="70">
        <v>326.39999999999998</v>
      </c>
      <c r="Z83" s="70">
        <v>74</v>
      </c>
      <c r="AA83" s="70">
        <v>39.700000000000003</v>
      </c>
      <c r="AB83" s="70">
        <v>12.5</v>
      </c>
      <c r="AC83" s="70">
        <v>46.9</v>
      </c>
      <c r="AD83" s="70">
        <v>46.9</v>
      </c>
      <c r="AE83" s="70">
        <v>70</v>
      </c>
      <c r="AF83" s="70">
        <v>173.9</v>
      </c>
      <c r="AG83" s="96"/>
      <c r="AH83" s="12">
        <f t="shared" si="46"/>
        <v>538</v>
      </c>
      <c r="AI83" s="11">
        <f t="shared" si="47"/>
        <v>12.5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25">
      <c r="A84" s="87" t="s">
        <v>161</v>
      </c>
      <c r="B84" s="70">
        <v>13</v>
      </c>
      <c r="C84" s="70">
        <v>11.6</v>
      </c>
      <c r="D84" s="70">
        <v>11</v>
      </c>
      <c r="E84" s="85">
        <v>21</v>
      </c>
      <c r="F84" s="85">
        <v>15.6</v>
      </c>
      <c r="G84" s="85">
        <v>21.8</v>
      </c>
      <c r="H84" s="85">
        <v>21.4</v>
      </c>
      <c r="I84" s="85">
        <v>23.6</v>
      </c>
      <c r="J84" s="85">
        <v>26</v>
      </c>
      <c r="K84" s="85">
        <v>47.5</v>
      </c>
      <c r="L84" s="85">
        <v>48.1</v>
      </c>
      <c r="M84" s="85">
        <v>53</v>
      </c>
      <c r="N84" s="85">
        <v>49.5</v>
      </c>
      <c r="O84" s="85">
        <v>54.5</v>
      </c>
      <c r="P84" s="85">
        <v>55.5</v>
      </c>
      <c r="Q84" s="85">
        <v>46.4</v>
      </c>
      <c r="R84" s="85">
        <v>48.4</v>
      </c>
      <c r="S84" s="85">
        <v>51.7</v>
      </c>
      <c r="T84" s="85">
        <v>48.8</v>
      </c>
      <c r="U84" s="85">
        <v>54.2</v>
      </c>
      <c r="V84" s="85">
        <v>43</v>
      </c>
      <c r="W84" s="85">
        <v>41.9</v>
      </c>
      <c r="X84" s="85">
        <v>21.5</v>
      </c>
      <c r="Y84" s="85">
        <v>22.9</v>
      </c>
      <c r="Z84" s="85">
        <v>15</v>
      </c>
      <c r="AA84" s="85">
        <v>14.3</v>
      </c>
      <c r="AB84" s="85">
        <v>14</v>
      </c>
      <c r="AC84" s="85">
        <v>14.2</v>
      </c>
      <c r="AD84" s="85">
        <v>14.2</v>
      </c>
      <c r="AE84" s="85">
        <v>0</v>
      </c>
      <c r="AF84" s="85">
        <v>0</v>
      </c>
      <c r="AG84" s="96"/>
      <c r="AH84" s="12">
        <f t="shared" si="46"/>
        <v>55.5</v>
      </c>
      <c r="AI84" s="11">
        <f t="shared" si="47"/>
        <v>0</v>
      </c>
      <c r="AK84" s="19"/>
      <c r="AY84" s="78"/>
      <c r="BF84" s="83"/>
      <c r="BG84" s="78">
        <f t="array" ref="BG84:BL107">TRANSPOSE(AZ68:BW73)</f>
        <v>53</v>
      </c>
      <c r="BH84" s="78">
        <v>0</v>
      </c>
      <c r="BI84" s="78">
        <v>146</v>
      </c>
      <c r="BJ84" s="78">
        <v>12</v>
      </c>
      <c r="BK84" s="78">
        <v>0</v>
      </c>
      <c r="BL84" s="78">
        <v>52</v>
      </c>
    </row>
    <row r="85" spans="1:64" x14ac:dyDescent="0.25">
      <c r="A85" s="87" t="s">
        <v>180</v>
      </c>
      <c r="B85" s="102"/>
      <c r="C85" s="102"/>
      <c r="D85" s="102"/>
      <c r="E85" s="102"/>
      <c r="F85" s="102"/>
      <c r="G85" s="102"/>
      <c r="H85" s="102"/>
      <c r="I85" s="102"/>
      <c r="J85" s="102">
        <v>93</v>
      </c>
      <c r="K85" s="102">
        <v>120.1</v>
      </c>
      <c r="L85" s="102">
        <v>139.30000000000001</v>
      </c>
      <c r="M85" s="102">
        <v>137</v>
      </c>
      <c r="N85" s="102">
        <v>104.2</v>
      </c>
      <c r="O85" s="102">
        <v>120.3</v>
      </c>
      <c r="P85" s="102">
        <v>134.30000000000001</v>
      </c>
      <c r="Q85" s="102">
        <v>124.4</v>
      </c>
      <c r="R85" s="102">
        <v>86</v>
      </c>
      <c r="S85" s="102">
        <v>148</v>
      </c>
      <c r="T85" s="102">
        <v>129.5</v>
      </c>
      <c r="U85" s="102">
        <v>118</v>
      </c>
      <c r="V85" s="102">
        <v>128.19999999999999</v>
      </c>
      <c r="W85" s="102">
        <v>137.5</v>
      </c>
      <c r="X85" s="102">
        <v>64.5</v>
      </c>
      <c r="Y85" s="102">
        <v>70</v>
      </c>
      <c r="Z85" s="102">
        <v>0</v>
      </c>
      <c r="AA85" s="102">
        <v>0</v>
      </c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46"/>
        <v>148</v>
      </c>
      <c r="AI85" s="11">
        <f t="shared" si="47"/>
        <v>0</v>
      </c>
      <c r="AK85" s="19"/>
      <c r="AY85" s="78"/>
      <c r="BF85" s="83"/>
      <c r="BG85" s="78">
        <v>50</v>
      </c>
      <c r="BH85" s="78">
        <v>0</v>
      </c>
      <c r="BI85" s="78">
        <v>121</v>
      </c>
      <c r="BJ85" s="78">
        <v>11</v>
      </c>
      <c r="BK85" s="78">
        <v>0</v>
      </c>
      <c r="BL85" s="78">
        <v>50</v>
      </c>
    </row>
    <row r="86" spans="1:64" x14ac:dyDescent="0.25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46"/>
        <v>0</v>
      </c>
      <c r="AI86" s="11">
        <f t="shared" si="47"/>
        <v>0</v>
      </c>
      <c r="AK86" s="19"/>
      <c r="AY86" s="78"/>
      <c r="BF86" s="83"/>
      <c r="BG86" s="78">
        <v>41.2</v>
      </c>
      <c r="BH86" s="78">
        <v>0</v>
      </c>
      <c r="BI86" s="78">
        <v>114</v>
      </c>
      <c r="BJ86" s="78">
        <v>21</v>
      </c>
      <c r="BK86" s="78">
        <v>0</v>
      </c>
      <c r="BL86" s="78">
        <v>48.3</v>
      </c>
    </row>
    <row r="87" spans="1:64" ht="15.75" thickBot="1" x14ac:dyDescent="0.3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46"/>
        <v>0</v>
      </c>
      <c r="AI87" s="11">
        <f t="shared" si="47"/>
        <v>0</v>
      </c>
      <c r="AK87" s="19"/>
      <c r="AL87" s="108" t="s">
        <v>177</v>
      </c>
      <c r="AM87" s="108"/>
      <c r="AY87" s="78"/>
      <c r="BF87" s="78"/>
      <c r="BG87" s="78">
        <v>45.2</v>
      </c>
      <c r="BH87" s="78">
        <v>0</v>
      </c>
      <c r="BI87" s="78">
        <v>125</v>
      </c>
      <c r="BJ87" s="78">
        <v>15.6</v>
      </c>
      <c r="BK87" s="78">
        <v>0</v>
      </c>
      <c r="BL87" s="78">
        <v>45.6</v>
      </c>
    </row>
    <row r="88" spans="1:64" x14ac:dyDescent="0.25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46"/>
        <v>0</v>
      </c>
      <c r="AI88" s="11">
        <f t="shared" si="47"/>
        <v>0</v>
      </c>
      <c r="AK88" s="107"/>
      <c r="AL88" s="106"/>
      <c r="AM88" s="106"/>
      <c r="AN88" s="105"/>
      <c r="AY88" s="78"/>
      <c r="BF88" s="78"/>
      <c r="BG88" s="78">
        <v>47.1</v>
      </c>
      <c r="BH88" s="78">
        <v>0</v>
      </c>
      <c r="BI88" s="78">
        <v>150</v>
      </c>
      <c r="BJ88" s="78">
        <v>21.8</v>
      </c>
      <c r="BK88" s="78">
        <v>0</v>
      </c>
      <c r="BL88" s="78">
        <v>43.6</v>
      </c>
    </row>
    <row r="89" spans="1:64" x14ac:dyDescent="0.25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46"/>
        <v>0</v>
      </c>
      <c r="AI89" s="11">
        <f t="shared" si="47"/>
        <v>0</v>
      </c>
      <c r="AK89" s="104" t="s">
        <v>174</v>
      </c>
      <c r="AL89" s="70"/>
      <c r="AM89" s="85"/>
      <c r="AN89" s="103"/>
      <c r="AY89" s="78"/>
      <c r="BF89" s="78"/>
      <c r="BG89" s="78">
        <v>32.54</v>
      </c>
      <c r="BH89" s="78">
        <v>0</v>
      </c>
      <c r="BI89" s="78">
        <v>172</v>
      </c>
      <c r="BJ89" s="78">
        <v>23.6</v>
      </c>
      <c r="BK89" s="78">
        <v>0</v>
      </c>
      <c r="BL89" s="78">
        <v>46</v>
      </c>
    </row>
    <row r="90" spans="1:64" x14ac:dyDescent="0.25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46"/>
        <v>0</v>
      </c>
      <c r="AI90" s="11">
        <f t="shared" si="47"/>
        <v>0</v>
      </c>
      <c r="AK90" s="104" t="s">
        <v>172</v>
      </c>
      <c r="AL90" s="85"/>
      <c r="AM90" s="85"/>
      <c r="AN90" s="103"/>
      <c r="AY90" s="78"/>
      <c r="BF90" s="78"/>
      <c r="BG90" s="78">
        <v>66</v>
      </c>
      <c r="BH90" s="78">
        <v>103</v>
      </c>
      <c r="BI90" s="78">
        <v>445</v>
      </c>
      <c r="BJ90" s="78">
        <v>47.5</v>
      </c>
      <c r="BK90" s="78">
        <v>120.1</v>
      </c>
      <c r="BL90" s="78">
        <v>48.8</v>
      </c>
    </row>
    <row r="91" spans="1:64" ht="15.75" thickBot="1" x14ac:dyDescent="0.3">
      <c r="A91" s="82" t="s">
        <v>171</v>
      </c>
      <c r="B91" s="97">
        <v>52.8</v>
      </c>
      <c r="C91" s="97">
        <v>52</v>
      </c>
      <c r="D91" s="97">
        <v>50</v>
      </c>
      <c r="E91" s="97">
        <v>48.3</v>
      </c>
      <c r="F91" s="97">
        <v>45.6</v>
      </c>
      <c r="G91" s="97">
        <v>43.6</v>
      </c>
      <c r="H91" s="97">
        <v>47</v>
      </c>
      <c r="I91" s="97">
        <v>46</v>
      </c>
      <c r="J91" s="97">
        <v>49</v>
      </c>
      <c r="K91" s="97">
        <v>48.8</v>
      </c>
      <c r="L91" s="97">
        <v>55.56</v>
      </c>
      <c r="M91" s="97">
        <v>55.2</v>
      </c>
      <c r="N91" s="97">
        <v>54</v>
      </c>
      <c r="O91" s="97">
        <v>48.1</v>
      </c>
      <c r="P91" s="97">
        <v>56.1</v>
      </c>
      <c r="Q91" s="97">
        <v>54.9</v>
      </c>
      <c r="R91" s="97">
        <v>53</v>
      </c>
      <c r="S91" s="97">
        <v>48</v>
      </c>
      <c r="T91" s="97">
        <v>59.5</v>
      </c>
      <c r="U91" s="97">
        <v>62</v>
      </c>
      <c r="V91" s="97">
        <v>49.5</v>
      </c>
      <c r="W91" s="97">
        <v>42.5</v>
      </c>
      <c r="X91" s="97">
        <v>39</v>
      </c>
      <c r="Y91" s="97">
        <v>40</v>
      </c>
      <c r="Z91" s="97">
        <v>40</v>
      </c>
      <c r="AA91" s="97">
        <v>38.700000000000003</v>
      </c>
      <c r="AB91" s="97">
        <v>39.5</v>
      </c>
      <c r="AC91" s="97">
        <v>40.5</v>
      </c>
      <c r="AD91" s="97">
        <v>40.5</v>
      </c>
      <c r="AE91" s="97">
        <v>41.1</v>
      </c>
      <c r="AF91" s="97">
        <v>42.5</v>
      </c>
      <c r="AG91" s="80"/>
      <c r="AH91" s="12">
        <f t="shared" si="46"/>
        <v>62</v>
      </c>
      <c r="AI91" s="11">
        <f t="shared" si="47"/>
        <v>38.700000000000003</v>
      </c>
      <c r="AK91" s="98"/>
      <c r="AL91" s="102"/>
      <c r="AM91" s="102"/>
      <c r="AN91" s="101"/>
      <c r="AY91" s="78"/>
      <c r="BF91" s="78"/>
      <c r="BG91" s="78">
        <v>68.2</v>
      </c>
      <c r="BH91" s="78">
        <v>115</v>
      </c>
      <c r="BI91" s="78">
        <v>493.5</v>
      </c>
      <c r="BJ91" s="78">
        <v>53</v>
      </c>
      <c r="BK91" s="78">
        <v>137</v>
      </c>
      <c r="BL91" s="78">
        <v>55.2</v>
      </c>
    </row>
    <row r="92" spans="1:64" ht="15.75" thickBot="1" x14ac:dyDescent="0.3">
      <c r="A92" s="77" t="s">
        <v>170</v>
      </c>
      <c r="B92" s="76">
        <f t="shared" ref="B92:AE92" si="48">SUMIF(B81:B91,"&gt;0")</f>
        <v>291.2</v>
      </c>
      <c r="C92" s="76">
        <f t="shared" si="48"/>
        <v>262.60000000000002</v>
      </c>
      <c r="D92" s="76">
        <f t="shared" si="48"/>
        <v>232</v>
      </c>
      <c r="E92" s="76">
        <f t="shared" si="48"/>
        <v>224.5</v>
      </c>
      <c r="F92" s="76">
        <f t="shared" si="48"/>
        <v>231.39999999999998</v>
      </c>
      <c r="G92" s="76">
        <f t="shared" si="48"/>
        <v>262.5</v>
      </c>
      <c r="H92" s="76">
        <f t="shared" si="48"/>
        <v>249</v>
      </c>
      <c r="I92" s="76">
        <f t="shared" si="48"/>
        <v>274.14</v>
      </c>
      <c r="J92" s="76">
        <f t="shared" si="48"/>
        <v>689</v>
      </c>
      <c r="K92" s="76">
        <f t="shared" si="48"/>
        <v>830.4</v>
      </c>
      <c r="L92" s="76">
        <f t="shared" si="48"/>
        <v>898.8599999999999</v>
      </c>
      <c r="M92" s="76">
        <f t="shared" si="48"/>
        <v>921.90000000000009</v>
      </c>
      <c r="N92" s="76">
        <f t="shared" si="48"/>
        <v>869.7</v>
      </c>
      <c r="O92" s="76">
        <f t="shared" si="48"/>
        <v>922.9</v>
      </c>
      <c r="P92" s="76">
        <f t="shared" si="48"/>
        <v>915.80000000000007</v>
      </c>
      <c r="Q92" s="76">
        <f t="shared" si="48"/>
        <v>916.69999999999993</v>
      </c>
      <c r="R92" s="76">
        <f t="shared" si="48"/>
        <v>894.1</v>
      </c>
      <c r="S92" s="76">
        <f t="shared" si="48"/>
        <v>976.5</v>
      </c>
      <c r="T92" s="76">
        <f t="shared" si="48"/>
        <v>966.9</v>
      </c>
      <c r="U92" s="76">
        <f t="shared" si="48"/>
        <v>937.5</v>
      </c>
      <c r="V92" s="76">
        <f t="shared" si="48"/>
        <v>880.40000000000009</v>
      </c>
      <c r="W92" s="76">
        <f t="shared" si="48"/>
        <v>900.4</v>
      </c>
      <c r="X92" s="76">
        <f t="shared" si="48"/>
        <v>740</v>
      </c>
      <c r="Y92" s="76">
        <f t="shared" si="48"/>
        <v>519.5</v>
      </c>
      <c r="Z92" s="76">
        <f t="shared" si="48"/>
        <v>191.6</v>
      </c>
      <c r="AA92" s="76">
        <f t="shared" si="48"/>
        <v>148.69999999999999</v>
      </c>
      <c r="AB92" s="76">
        <f t="shared" ref="AB92:AC92" si="49">SUMIF(AB81:AB91,"&gt;0")</f>
        <v>83.1</v>
      </c>
      <c r="AC92" s="76">
        <f t="shared" si="49"/>
        <v>117.5</v>
      </c>
      <c r="AD92" s="76">
        <f t="shared" ref="AD92" si="50">SUMIF(AD81:AD91,"&gt;0")</f>
        <v>117.5</v>
      </c>
      <c r="AE92" s="76">
        <f t="shared" si="48"/>
        <v>129.6</v>
      </c>
      <c r="AF92" s="76">
        <f t="shared" ref="AF92" si="51">SUMIF(AF81:AF91,"&gt;0")</f>
        <v>233.6</v>
      </c>
      <c r="AG92" s="75">
        <f>SUM(AG81:AG91)</f>
        <v>0</v>
      </c>
      <c r="AH92" s="12">
        <f t="shared" si="46"/>
        <v>976.5</v>
      </c>
      <c r="AI92" s="11">
        <f t="shared" si="47"/>
        <v>83.1</v>
      </c>
      <c r="AK92" s="98"/>
      <c r="AL92" s="97"/>
      <c r="AM92" s="100"/>
      <c r="AN92" s="220"/>
      <c r="AY92" s="78"/>
      <c r="BF92" s="78"/>
      <c r="BG92" s="78">
        <v>67</v>
      </c>
      <c r="BH92" s="78">
        <v>106</v>
      </c>
      <c r="BI92" s="78">
        <v>489</v>
      </c>
      <c r="BJ92" s="78">
        <v>49.5</v>
      </c>
      <c r="BK92" s="78">
        <v>104.2</v>
      </c>
      <c r="BL92" s="78">
        <v>54</v>
      </c>
    </row>
    <row r="93" spans="1:64" x14ac:dyDescent="0.25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46"/>
        <v>0</v>
      </c>
      <c r="AI93" s="11">
        <f t="shared" si="47"/>
        <v>0</v>
      </c>
      <c r="AK93" s="98"/>
      <c r="AL93" s="97"/>
      <c r="AM93" s="97"/>
      <c r="AN93" s="221"/>
      <c r="BF93" s="78"/>
      <c r="BG93" s="78">
        <v>72</v>
      </c>
      <c r="BH93" s="78">
        <v>113</v>
      </c>
      <c r="BI93" s="78">
        <v>515</v>
      </c>
      <c r="BJ93" s="78">
        <v>54.5</v>
      </c>
      <c r="BK93" s="78">
        <v>120.3</v>
      </c>
      <c r="BL93" s="78">
        <v>48.1</v>
      </c>
    </row>
    <row r="94" spans="1:64" ht="15.75" thickBot="1" x14ac:dyDescent="0.3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46"/>
        <v>0</v>
      </c>
      <c r="AI94" s="11">
        <f t="shared" si="47"/>
        <v>0</v>
      </c>
      <c r="AK94" s="95"/>
      <c r="AL94" s="67"/>
      <c r="AM94" s="67"/>
      <c r="AN94" s="94"/>
      <c r="BF94" s="78"/>
      <c r="BG94" s="78">
        <v>75</v>
      </c>
      <c r="BH94" s="78">
        <v>114.9</v>
      </c>
      <c r="BI94" s="78">
        <v>480</v>
      </c>
      <c r="BJ94" s="78">
        <v>55.5</v>
      </c>
      <c r="BK94" s="78">
        <v>134.30000000000001</v>
      </c>
      <c r="BL94" s="78">
        <v>56.1</v>
      </c>
    </row>
    <row r="95" spans="1:64" ht="15.75" thickBot="1" x14ac:dyDescent="0.3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46"/>
        <v>0</v>
      </c>
      <c r="AI95" s="11">
        <f t="shared" si="47"/>
        <v>0</v>
      </c>
      <c r="BF95" s="78"/>
      <c r="BG95" s="78">
        <v>60</v>
      </c>
      <c r="BH95" s="78">
        <v>108.9</v>
      </c>
      <c r="BI95" s="78">
        <v>522.1</v>
      </c>
      <c r="BJ95" s="78">
        <v>46.4</v>
      </c>
      <c r="BK95" s="78">
        <v>124.4</v>
      </c>
      <c r="BL95" s="78">
        <v>54.9</v>
      </c>
    </row>
    <row r="96" spans="1:64" ht="15.75" thickBot="1" x14ac:dyDescent="0.3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>
        <v>0</v>
      </c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46"/>
        <v>0</v>
      </c>
      <c r="AI96" s="11">
        <f t="shared" si="47"/>
        <v>0</v>
      </c>
      <c r="BF96" s="78"/>
      <c r="BG96" s="78">
        <v>64.8</v>
      </c>
      <c r="BH96" s="78">
        <v>112.2</v>
      </c>
      <c r="BI96" s="78">
        <v>529.70000000000005</v>
      </c>
      <c r="BJ96" s="78">
        <v>48.4</v>
      </c>
      <c r="BK96" s="78">
        <v>86</v>
      </c>
      <c r="BL96" s="78">
        <v>53</v>
      </c>
    </row>
    <row r="97" spans="1:64" ht="15.75" thickBot="1" x14ac:dyDescent="0.3">
      <c r="A97" s="77" t="s">
        <v>165</v>
      </c>
      <c r="B97" s="90">
        <f t="shared" ref="B97:AG97" si="52">B58+B62+B80+B76+B92+B96</f>
        <v>1239.1399999999999</v>
      </c>
      <c r="C97" s="90">
        <f t="shared" si="52"/>
        <v>1170.54</v>
      </c>
      <c r="D97" s="90">
        <f t="shared" si="52"/>
        <v>1134.94</v>
      </c>
      <c r="E97" s="90">
        <f t="shared" si="52"/>
        <v>1118.29</v>
      </c>
      <c r="F97" s="90">
        <f t="shared" si="52"/>
        <v>1125.19</v>
      </c>
      <c r="G97" s="90">
        <f t="shared" si="52"/>
        <v>1156.29</v>
      </c>
      <c r="H97" s="90">
        <f t="shared" si="52"/>
        <v>1156.04</v>
      </c>
      <c r="I97" s="90">
        <f t="shared" si="52"/>
        <v>1200.3799999999999</v>
      </c>
      <c r="J97" s="90">
        <f t="shared" si="52"/>
        <v>1498.04</v>
      </c>
      <c r="K97" s="90">
        <f t="shared" si="52"/>
        <v>1664.7399999999998</v>
      </c>
      <c r="L97" s="90">
        <f t="shared" si="52"/>
        <v>1771.6</v>
      </c>
      <c r="M97" s="90">
        <f t="shared" si="52"/>
        <v>1785.5400000000002</v>
      </c>
      <c r="N97" s="90">
        <f t="shared" si="52"/>
        <v>1732.44</v>
      </c>
      <c r="O97" s="90">
        <f t="shared" si="52"/>
        <v>1781.44</v>
      </c>
      <c r="P97" s="90">
        <f t="shared" si="52"/>
        <v>1786.44</v>
      </c>
      <c r="Q97" s="90">
        <f t="shared" si="52"/>
        <v>1795.2399999999998</v>
      </c>
      <c r="R97" s="90">
        <f t="shared" si="52"/>
        <v>1773.64</v>
      </c>
      <c r="S97" s="90">
        <f t="shared" si="52"/>
        <v>1842.24</v>
      </c>
      <c r="T97" s="90">
        <f t="shared" si="52"/>
        <v>1843.6399999999999</v>
      </c>
      <c r="U97" s="90">
        <f t="shared" si="52"/>
        <v>1786.3400000000001</v>
      </c>
      <c r="V97" s="90">
        <f t="shared" si="52"/>
        <v>1709.54</v>
      </c>
      <c r="W97" s="90">
        <f t="shared" si="52"/>
        <v>1718.24</v>
      </c>
      <c r="X97" s="90">
        <f t="shared" si="52"/>
        <v>1529.74</v>
      </c>
      <c r="Y97" s="90">
        <f t="shared" si="52"/>
        <v>1491</v>
      </c>
      <c r="Z97" s="90">
        <f t="shared" si="52"/>
        <v>1565.6</v>
      </c>
      <c r="AA97" s="90">
        <f t="shared" si="52"/>
        <v>1549.3400000000001</v>
      </c>
      <c r="AB97" s="90">
        <f t="shared" ref="AB97:AC97" si="53">AB58+AB62+AB80+AB76+AB92+AB96</f>
        <v>1450.64</v>
      </c>
      <c r="AC97" s="90">
        <f t="shared" si="53"/>
        <v>1430.94</v>
      </c>
      <c r="AD97" s="90">
        <f t="shared" ref="AD97" si="54">AD58+AD62+AD80+AD76+AD92+AD96</f>
        <v>1488.44</v>
      </c>
      <c r="AE97" s="90">
        <f t="shared" si="52"/>
        <v>1432.5400000000002</v>
      </c>
      <c r="AF97" s="90">
        <f t="shared" ref="AF97" si="55">AF58+AF62+AF80+AF76+AF92+AF96</f>
        <v>1260.6399999999999</v>
      </c>
      <c r="AG97" s="93">
        <f t="shared" si="52"/>
        <v>2231.81</v>
      </c>
      <c r="AH97" s="12">
        <f t="shared" si="46"/>
        <v>1843.6399999999999</v>
      </c>
      <c r="AI97" s="11">
        <f t="shared" si="47"/>
        <v>1118.29</v>
      </c>
      <c r="BF97" s="78"/>
      <c r="BG97" s="78">
        <v>69.400000000000006</v>
      </c>
      <c r="BH97" s="78">
        <v>121.4</v>
      </c>
      <c r="BI97" s="78">
        <v>538</v>
      </c>
      <c r="BJ97" s="78">
        <v>51.7</v>
      </c>
      <c r="BK97" s="78">
        <v>148</v>
      </c>
      <c r="BL97" s="78">
        <v>48</v>
      </c>
    </row>
    <row r="98" spans="1:64" ht="15.75" thickBot="1" x14ac:dyDescent="0.3">
      <c r="A98" s="92" t="s">
        <v>164</v>
      </c>
      <c r="B98" s="91">
        <v>300</v>
      </c>
      <c r="C98" s="91">
        <v>300</v>
      </c>
      <c r="D98" s="91">
        <v>280</v>
      </c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>
        <v>20</v>
      </c>
      <c r="U98" s="91">
        <v>20</v>
      </c>
      <c r="V98" s="91"/>
      <c r="W98" s="91"/>
      <c r="X98" s="91"/>
      <c r="Y98" s="91">
        <v>250</v>
      </c>
      <c r="Z98" s="91">
        <v>250</v>
      </c>
      <c r="AA98" s="91">
        <v>250</v>
      </c>
      <c r="AB98" s="91">
        <v>290</v>
      </c>
      <c r="AC98" s="91">
        <v>290</v>
      </c>
      <c r="AD98" s="91">
        <v>350</v>
      </c>
      <c r="AE98" s="91">
        <v>350</v>
      </c>
      <c r="AF98" s="91">
        <v>350</v>
      </c>
      <c r="AG98" s="75"/>
      <c r="AH98" s="12">
        <f t="shared" si="46"/>
        <v>350</v>
      </c>
      <c r="AI98" s="11">
        <f t="shared" si="47"/>
        <v>20</v>
      </c>
      <c r="BF98" s="78"/>
      <c r="BG98" s="78">
        <v>76.099999999999994</v>
      </c>
      <c r="BH98" s="78">
        <v>118</v>
      </c>
      <c r="BI98" s="78">
        <v>535</v>
      </c>
      <c r="BJ98" s="78">
        <v>48.8</v>
      </c>
      <c r="BK98" s="78">
        <v>129.5</v>
      </c>
      <c r="BL98" s="78">
        <v>59.5</v>
      </c>
    </row>
    <row r="99" spans="1:64" ht="15.75" thickBot="1" x14ac:dyDescent="0.3">
      <c r="A99" s="77" t="s">
        <v>163</v>
      </c>
      <c r="B99" s="90">
        <f t="shared" ref="B99:AE99" si="56">B97+B98</f>
        <v>1539.1399999999999</v>
      </c>
      <c r="C99" s="90">
        <f t="shared" si="56"/>
        <v>1470.54</v>
      </c>
      <c r="D99" s="90">
        <f t="shared" si="56"/>
        <v>1414.94</v>
      </c>
      <c r="E99" s="90">
        <f t="shared" si="56"/>
        <v>1118.29</v>
      </c>
      <c r="F99" s="90">
        <f t="shared" si="56"/>
        <v>1125.19</v>
      </c>
      <c r="G99" s="90">
        <f t="shared" si="56"/>
        <v>1156.29</v>
      </c>
      <c r="H99" s="90">
        <f t="shared" si="56"/>
        <v>1156.04</v>
      </c>
      <c r="I99" s="90">
        <f t="shared" si="56"/>
        <v>1200.3799999999999</v>
      </c>
      <c r="J99" s="90">
        <f t="shared" si="56"/>
        <v>1498.04</v>
      </c>
      <c r="K99" s="90">
        <f t="shared" si="56"/>
        <v>1664.7399999999998</v>
      </c>
      <c r="L99" s="90">
        <f t="shared" si="56"/>
        <v>1771.6</v>
      </c>
      <c r="M99" s="90">
        <f t="shared" si="56"/>
        <v>1785.5400000000002</v>
      </c>
      <c r="N99" s="90">
        <f t="shared" si="56"/>
        <v>1732.44</v>
      </c>
      <c r="O99" s="90">
        <f t="shared" si="56"/>
        <v>1781.44</v>
      </c>
      <c r="P99" s="90">
        <f t="shared" si="56"/>
        <v>1786.44</v>
      </c>
      <c r="Q99" s="90">
        <f t="shared" si="56"/>
        <v>1795.2399999999998</v>
      </c>
      <c r="R99" s="90">
        <f t="shared" si="56"/>
        <v>1773.64</v>
      </c>
      <c r="S99" s="90">
        <f t="shared" si="56"/>
        <v>1842.24</v>
      </c>
      <c r="T99" s="90">
        <f t="shared" si="56"/>
        <v>1863.6399999999999</v>
      </c>
      <c r="U99" s="90">
        <f t="shared" si="56"/>
        <v>1806.3400000000001</v>
      </c>
      <c r="V99" s="90">
        <f t="shared" si="56"/>
        <v>1709.54</v>
      </c>
      <c r="W99" s="90">
        <f t="shared" si="56"/>
        <v>1718.24</v>
      </c>
      <c r="X99" s="90">
        <f t="shared" si="56"/>
        <v>1529.74</v>
      </c>
      <c r="Y99" s="90">
        <f t="shared" si="56"/>
        <v>1741</v>
      </c>
      <c r="Z99" s="90">
        <f t="shared" si="56"/>
        <v>1815.6</v>
      </c>
      <c r="AA99" s="90">
        <f t="shared" si="56"/>
        <v>1799.3400000000001</v>
      </c>
      <c r="AB99" s="90">
        <f t="shared" ref="AB99:AC99" si="57">AB97+AB98</f>
        <v>1740.64</v>
      </c>
      <c r="AC99" s="90">
        <f t="shared" si="57"/>
        <v>1720.94</v>
      </c>
      <c r="AD99" s="90">
        <f t="shared" ref="AD99" si="58">AD97+AD98</f>
        <v>1838.44</v>
      </c>
      <c r="AE99" s="90">
        <f t="shared" si="56"/>
        <v>1782.5400000000002</v>
      </c>
      <c r="AF99" s="90">
        <f t="shared" ref="AF99" si="59">AF97+AF98</f>
        <v>1610.6399999999999</v>
      </c>
      <c r="AG99" s="75">
        <f>AG96+AG92+AG80+AG76+AG58+AG98</f>
        <v>1693.71</v>
      </c>
      <c r="AH99" s="12">
        <f t="shared" si="46"/>
        <v>1863.6399999999999</v>
      </c>
      <c r="AI99" s="11">
        <f t="shared" si="47"/>
        <v>1118.29</v>
      </c>
      <c r="BF99" s="78"/>
      <c r="BG99" s="78">
        <v>74.3</v>
      </c>
      <c r="BH99" s="78">
        <v>120</v>
      </c>
      <c r="BI99" s="78">
        <v>509</v>
      </c>
      <c r="BJ99" s="78">
        <v>54.2</v>
      </c>
      <c r="BK99" s="78">
        <v>118</v>
      </c>
      <c r="BL99" s="78">
        <v>62</v>
      </c>
    </row>
    <row r="100" spans="1:64" ht="15.75" thickBot="1" x14ac:dyDescent="0.3">
      <c r="A100" s="77" t="s">
        <v>162</v>
      </c>
      <c r="B100" s="90">
        <f t="shared" ref="B100:AE100" si="60">B99-(B107)</f>
        <v>1539.1399999999999</v>
      </c>
      <c r="C100" s="90">
        <f t="shared" si="60"/>
        <v>1470.54</v>
      </c>
      <c r="D100" s="90">
        <f t="shared" si="60"/>
        <v>1414.94</v>
      </c>
      <c r="E100" s="90">
        <f t="shared" si="60"/>
        <v>1118.29</v>
      </c>
      <c r="F100" s="90">
        <f t="shared" si="60"/>
        <v>1125.19</v>
      </c>
      <c r="G100" s="90">
        <f t="shared" si="60"/>
        <v>1156.29</v>
      </c>
      <c r="H100" s="90">
        <f t="shared" si="60"/>
        <v>1156.04</v>
      </c>
      <c r="I100" s="90">
        <f t="shared" si="60"/>
        <v>1200.3799999999999</v>
      </c>
      <c r="J100" s="90">
        <f t="shared" si="60"/>
        <v>1498.04</v>
      </c>
      <c r="K100" s="90">
        <f t="shared" si="60"/>
        <v>1664.7399999999998</v>
      </c>
      <c r="L100" s="90">
        <f t="shared" si="60"/>
        <v>1771.6</v>
      </c>
      <c r="M100" s="90">
        <f t="shared" si="60"/>
        <v>1785.5400000000002</v>
      </c>
      <c r="N100" s="90">
        <f t="shared" si="60"/>
        <v>1732.44</v>
      </c>
      <c r="O100" s="90">
        <f t="shared" si="60"/>
        <v>1781.44</v>
      </c>
      <c r="P100" s="90">
        <f t="shared" si="60"/>
        <v>1786.44</v>
      </c>
      <c r="Q100" s="90">
        <f t="shared" si="60"/>
        <v>1795.2399999999998</v>
      </c>
      <c r="R100" s="90">
        <f t="shared" si="60"/>
        <v>1773.64</v>
      </c>
      <c r="S100" s="90">
        <f t="shared" si="60"/>
        <v>1842.24</v>
      </c>
      <c r="T100" s="90">
        <f t="shared" si="60"/>
        <v>1863.6399999999999</v>
      </c>
      <c r="U100" s="90">
        <f t="shared" si="60"/>
        <v>1806.3400000000001</v>
      </c>
      <c r="V100" s="90">
        <f t="shared" si="60"/>
        <v>1709.54</v>
      </c>
      <c r="W100" s="90">
        <f t="shared" si="60"/>
        <v>1718.24</v>
      </c>
      <c r="X100" s="90">
        <f t="shared" si="60"/>
        <v>1529.74</v>
      </c>
      <c r="Y100" s="90">
        <f t="shared" si="60"/>
        <v>1741</v>
      </c>
      <c r="Z100" s="90">
        <f t="shared" si="60"/>
        <v>1815.6</v>
      </c>
      <c r="AA100" s="90">
        <f t="shared" si="60"/>
        <v>1799.3400000000001</v>
      </c>
      <c r="AB100" s="90">
        <f t="shared" ref="AB100:AC100" si="61">AB99-(AB107)</f>
        <v>1740.64</v>
      </c>
      <c r="AC100" s="90">
        <f t="shared" si="61"/>
        <v>1720.94</v>
      </c>
      <c r="AD100" s="90">
        <f t="shared" ref="AD100" si="62">AD99-(AD107)</f>
        <v>1838.44</v>
      </c>
      <c r="AE100" s="90">
        <f t="shared" si="60"/>
        <v>1782.5400000000002</v>
      </c>
      <c r="AF100" s="90">
        <f t="shared" ref="AF100" si="63">AF99-(AF107)</f>
        <v>1609.6399999999999</v>
      </c>
      <c r="AG100" s="75"/>
      <c r="AH100" s="12">
        <f t="shared" si="46"/>
        <v>1863.6399999999999</v>
      </c>
      <c r="AI100" s="11">
        <f t="shared" si="47"/>
        <v>1118.29</v>
      </c>
      <c r="BF100" s="78"/>
      <c r="BG100" s="78">
        <v>67.7</v>
      </c>
      <c r="BH100" s="78">
        <v>124</v>
      </c>
      <c r="BI100" s="78">
        <v>468</v>
      </c>
      <c r="BJ100" s="78">
        <v>43</v>
      </c>
      <c r="BK100" s="78">
        <v>128.19999999999999</v>
      </c>
      <c r="BL100" s="78">
        <v>49.5</v>
      </c>
    </row>
    <row r="101" spans="1:64" x14ac:dyDescent="0.25">
      <c r="A101" s="89" t="s">
        <v>161</v>
      </c>
      <c r="B101" s="85">
        <f t="shared" ref="B101:AE101" si="64">IF(B84&lt;0,B84*-1,0)</f>
        <v>0</v>
      </c>
      <c r="C101" s="85">
        <f t="shared" si="64"/>
        <v>0</v>
      </c>
      <c r="D101" s="85">
        <f t="shared" si="64"/>
        <v>0</v>
      </c>
      <c r="E101" s="85">
        <f t="shared" si="64"/>
        <v>0</v>
      </c>
      <c r="F101" s="85">
        <f t="shared" si="64"/>
        <v>0</v>
      </c>
      <c r="G101" s="85">
        <f t="shared" si="64"/>
        <v>0</v>
      </c>
      <c r="H101" s="85">
        <f t="shared" si="64"/>
        <v>0</v>
      </c>
      <c r="I101" s="85">
        <f t="shared" si="64"/>
        <v>0</v>
      </c>
      <c r="J101" s="85">
        <f t="shared" si="64"/>
        <v>0</v>
      </c>
      <c r="K101" s="85">
        <f t="shared" si="64"/>
        <v>0</v>
      </c>
      <c r="L101" s="85">
        <f t="shared" si="64"/>
        <v>0</v>
      </c>
      <c r="M101" s="85">
        <f t="shared" si="64"/>
        <v>0</v>
      </c>
      <c r="N101" s="85">
        <f t="shared" si="64"/>
        <v>0</v>
      </c>
      <c r="O101" s="85">
        <f t="shared" si="64"/>
        <v>0</v>
      </c>
      <c r="P101" s="85">
        <f t="shared" si="64"/>
        <v>0</v>
      </c>
      <c r="Q101" s="85">
        <f t="shared" si="64"/>
        <v>0</v>
      </c>
      <c r="R101" s="85">
        <f t="shared" si="64"/>
        <v>0</v>
      </c>
      <c r="S101" s="85">
        <f t="shared" si="64"/>
        <v>0</v>
      </c>
      <c r="T101" s="85">
        <f t="shared" si="64"/>
        <v>0</v>
      </c>
      <c r="U101" s="85">
        <f t="shared" si="64"/>
        <v>0</v>
      </c>
      <c r="V101" s="85">
        <f t="shared" si="64"/>
        <v>0</v>
      </c>
      <c r="W101" s="85">
        <f t="shared" si="64"/>
        <v>0</v>
      </c>
      <c r="X101" s="85">
        <f t="shared" si="64"/>
        <v>0</v>
      </c>
      <c r="Y101" s="85">
        <f t="shared" si="64"/>
        <v>0</v>
      </c>
      <c r="Z101" s="85">
        <f t="shared" si="64"/>
        <v>0</v>
      </c>
      <c r="AA101" s="85">
        <f t="shared" si="64"/>
        <v>0</v>
      </c>
      <c r="AB101" s="85">
        <f t="shared" ref="AB101:AC101" si="65">IF(AB84&lt;0,AB84*-1,0)</f>
        <v>0</v>
      </c>
      <c r="AC101" s="85">
        <f t="shared" si="65"/>
        <v>0</v>
      </c>
      <c r="AD101" s="85">
        <f t="shared" ref="AD101" si="66">IF(AD84&lt;0,AD84*-1,0)</f>
        <v>0</v>
      </c>
      <c r="AE101" s="85">
        <f t="shared" si="64"/>
        <v>0</v>
      </c>
      <c r="AF101" s="85">
        <f t="shared" ref="AF101" si="67">IF(AF84&lt;0,AF84*-1,0)</f>
        <v>0</v>
      </c>
      <c r="AG101" s="88"/>
      <c r="AH101" s="12">
        <f t="shared" si="46"/>
        <v>0</v>
      </c>
      <c r="AI101" s="11">
        <f t="shared" si="47"/>
        <v>0</v>
      </c>
      <c r="BF101" s="83"/>
      <c r="BG101" s="78">
        <v>66.7</v>
      </c>
      <c r="BH101" s="78">
        <v>123.3</v>
      </c>
      <c r="BI101" s="78">
        <v>425</v>
      </c>
      <c r="BJ101" s="78">
        <v>21.5</v>
      </c>
      <c r="BK101" s="78">
        <v>64.5</v>
      </c>
      <c r="BL101" s="78">
        <v>39</v>
      </c>
    </row>
    <row r="102" spans="1:64" x14ac:dyDescent="0.25">
      <c r="A102" s="87" t="s">
        <v>160</v>
      </c>
      <c r="B102" s="85">
        <f t="shared" ref="B102:AE102" si="68">IF(B82&lt;0,B82*-1,0)</f>
        <v>0</v>
      </c>
      <c r="C102" s="85">
        <f t="shared" si="68"/>
        <v>0</v>
      </c>
      <c r="D102" s="85">
        <f t="shared" si="68"/>
        <v>0</v>
      </c>
      <c r="E102" s="85">
        <f t="shared" si="68"/>
        <v>0</v>
      </c>
      <c r="F102" s="85">
        <f t="shared" si="68"/>
        <v>0</v>
      </c>
      <c r="G102" s="85">
        <f t="shared" si="68"/>
        <v>0</v>
      </c>
      <c r="H102" s="85">
        <f t="shared" si="68"/>
        <v>0</v>
      </c>
      <c r="I102" s="85">
        <f t="shared" si="68"/>
        <v>0</v>
      </c>
      <c r="J102" s="85">
        <f t="shared" si="68"/>
        <v>0</v>
      </c>
      <c r="K102" s="85">
        <f t="shared" si="68"/>
        <v>0</v>
      </c>
      <c r="L102" s="85">
        <f t="shared" si="68"/>
        <v>0</v>
      </c>
      <c r="M102" s="85">
        <f t="shared" si="68"/>
        <v>0</v>
      </c>
      <c r="N102" s="85">
        <f t="shared" si="68"/>
        <v>0</v>
      </c>
      <c r="O102" s="85">
        <f t="shared" si="68"/>
        <v>0</v>
      </c>
      <c r="P102" s="85">
        <f t="shared" si="68"/>
        <v>0</v>
      </c>
      <c r="Q102" s="85">
        <f t="shared" si="68"/>
        <v>0</v>
      </c>
      <c r="R102" s="85">
        <f t="shared" si="68"/>
        <v>0</v>
      </c>
      <c r="S102" s="85">
        <f t="shared" si="68"/>
        <v>0</v>
      </c>
      <c r="T102" s="85">
        <f t="shared" si="68"/>
        <v>0</v>
      </c>
      <c r="U102" s="85">
        <f t="shared" si="68"/>
        <v>0</v>
      </c>
      <c r="V102" s="85">
        <f t="shared" si="68"/>
        <v>0</v>
      </c>
      <c r="W102" s="85">
        <f t="shared" si="68"/>
        <v>0</v>
      </c>
      <c r="X102" s="85">
        <f t="shared" si="68"/>
        <v>0</v>
      </c>
      <c r="Y102" s="85">
        <f t="shared" si="68"/>
        <v>0</v>
      </c>
      <c r="Z102" s="85">
        <f t="shared" si="68"/>
        <v>0</v>
      </c>
      <c r="AA102" s="85">
        <f t="shared" si="68"/>
        <v>0</v>
      </c>
      <c r="AB102" s="85">
        <f t="shared" ref="AB102:AC102" si="69">IF(AB82&lt;0,AB82*-1,0)</f>
        <v>0</v>
      </c>
      <c r="AC102" s="85">
        <f t="shared" si="69"/>
        <v>0</v>
      </c>
      <c r="AD102" s="85">
        <f t="shared" ref="AD102" si="70">IF(AD82&lt;0,AD82*-1,0)</f>
        <v>0</v>
      </c>
      <c r="AE102" s="85">
        <f t="shared" si="68"/>
        <v>0</v>
      </c>
      <c r="AF102" s="85">
        <f t="shared" ref="AF102" si="71">IF(AF82&lt;0,AF82*-1,0)</f>
        <v>0</v>
      </c>
      <c r="AG102" s="86"/>
      <c r="AH102" s="12">
        <f t="shared" si="46"/>
        <v>0</v>
      </c>
      <c r="AI102" s="11">
        <f t="shared" si="47"/>
        <v>0</v>
      </c>
      <c r="BF102" s="83"/>
      <c r="BG102" s="78">
        <v>62.6</v>
      </c>
      <c r="BH102" s="78">
        <v>0</v>
      </c>
      <c r="BI102" s="78">
        <v>74</v>
      </c>
      <c r="BJ102" s="78">
        <v>15</v>
      </c>
      <c r="BK102" s="78">
        <v>0</v>
      </c>
      <c r="BL102" s="78">
        <v>40</v>
      </c>
    </row>
    <row r="103" spans="1:64" x14ac:dyDescent="0.25">
      <c r="A103" s="82" t="s">
        <v>159</v>
      </c>
      <c r="B103" s="85">
        <f t="shared" ref="B103:AE103" si="72">IF(B85&lt;0,B85*-1,0)</f>
        <v>0</v>
      </c>
      <c r="C103" s="85">
        <f t="shared" si="72"/>
        <v>0</v>
      </c>
      <c r="D103" s="85">
        <f t="shared" si="72"/>
        <v>0</v>
      </c>
      <c r="E103" s="85">
        <f t="shared" si="72"/>
        <v>0</v>
      </c>
      <c r="F103" s="85">
        <f t="shared" si="72"/>
        <v>0</v>
      </c>
      <c r="G103" s="85">
        <f t="shared" si="72"/>
        <v>0</v>
      </c>
      <c r="H103" s="85">
        <f t="shared" si="72"/>
        <v>0</v>
      </c>
      <c r="I103" s="85">
        <f t="shared" si="72"/>
        <v>0</v>
      </c>
      <c r="J103" s="85">
        <f t="shared" si="72"/>
        <v>0</v>
      </c>
      <c r="K103" s="85">
        <f t="shared" si="72"/>
        <v>0</v>
      </c>
      <c r="L103" s="85">
        <f t="shared" si="72"/>
        <v>0</v>
      </c>
      <c r="M103" s="85">
        <f t="shared" si="72"/>
        <v>0</v>
      </c>
      <c r="N103" s="85">
        <f t="shared" si="72"/>
        <v>0</v>
      </c>
      <c r="O103" s="85">
        <f t="shared" si="72"/>
        <v>0</v>
      </c>
      <c r="P103" s="85">
        <f t="shared" si="72"/>
        <v>0</v>
      </c>
      <c r="Q103" s="85">
        <f t="shared" si="72"/>
        <v>0</v>
      </c>
      <c r="R103" s="85">
        <f t="shared" si="72"/>
        <v>0</v>
      </c>
      <c r="S103" s="85">
        <f t="shared" si="72"/>
        <v>0</v>
      </c>
      <c r="T103" s="85">
        <f t="shared" si="72"/>
        <v>0</v>
      </c>
      <c r="U103" s="85">
        <f t="shared" si="72"/>
        <v>0</v>
      </c>
      <c r="V103" s="85">
        <f t="shared" si="72"/>
        <v>0</v>
      </c>
      <c r="W103" s="85">
        <f t="shared" si="72"/>
        <v>0</v>
      </c>
      <c r="X103" s="85">
        <f t="shared" si="72"/>
        <v>0</v>
      </c>
      <c r="Y103" s="85">
        <f t="shared" si="72"/>
        <v>0</v>
      </c>
      <c r="Z103" s="85">
        <f t="shared" si="72"/>
        <v>0</v>
      </c>
      <c r="AA103" s="85">
        <f t="shared" si="72"/>
        <v>0</v>
      </c>
      <c r="AB103" s="85">
        <f t="shared" ref="AB103:AC103" si="73">IF(AB85&lt;0,AB85*-1,0)</f>
        <v>0</v>
      </c>
      <c r="AC103" s="85">
        <f t="shared" si="73"/>
        <v>0</v>
      </c>
      <c r="AD103" s="85">
        <f t="shared" ref="AD103" si="74">IF(AD85&lt;0,AD85*-1,0)</f>
        <v>0</v>
      </c>
      <c r="AE103" s="85">
        <f t="shared" si="72"/>
        <v>0</v>
      </c>
      <c r="AF103" s="85">
        <f t="shared" ref="AF103" si="75">IF(AF85&lt;0,AF85*-1,0)</f>
        <v>0</v>
      </c>
      <c r="AG103" s="84"/>
      <c r="AH103" s="12">
        <f t="shared" si="46"/>
        <v>0</v>
      </c>
      <c r="AI103" s="11">
        <f t="shared" si="47"/>
        <v>0</v>
      </c>
      <c r="BF103" s="83"/>
      <c r="BG103" s="78">
        <v>17.100000000000001</v>
      </c>
      <c r="BH103" s="78">
        <v>0</v>
      </c>
      <c r="BI103" s="78">
        <v>12.5</v>
      </c>
      <c r="BJ103" s="78">
        <v>14</v>
      </c>
      <c r="BK103" s="78">
        <v>0</v>
      </c>
      <c r="BL103" s="78">
        <v>39.5</v>
      </c>
    </row>
    <row r="104" spans="1:64" x14ac:dyDescent="0.25">
      <c r="A104" s="82" t="s">
        <v>158</v>
      </c>
      <c r="B104" s="85">
        <f t="shared" ref="B104:AE104" si="76">IF(B83&lt;0,B83*-1,0)</f>
        <v>0</v>
      </c>
      <c r="C104" s="85">
        <f t="shared" si="76"/>
        <v>0</v>
      </c>
      <c r="D104" s="85">
        <f t="shared" si="76"/>
        <v>0</v>
      </c>
      <c r="E104" s="85">
        <f t="shared" si="76"/>
        <v>0</v>
      </c>
      <c r="F104" s="85">
        <f t="shared" si="76"/>
        <v>0</v>
      </c>
      <c r="G104" s="85">
        <f t="shared" si="76"/>
        <v>0</v>
      </c>
      <c r="H104" s="85">
        <f t="shared" si="76"/>
        <v>0</v>
      </c>
      <c r="I104" s="85">
        <f t="shared" si="76"/>
        <v>0</v>
      </c>
      <c r="J104" s="85">
        <f t="shared" si="76"/>
        <v>0</v>
      </c>
      <c r="K104" s="85">
        <f t="shared" si="76"/>
        <v>0</v>
      </c>
      <c r="L104" s="85">
        <f t="shared" si="76"/>
        <v>0</v>
      </c>
      <c r="M104" s="85">
        <f t="shared" si="76"/>
        <v>0</v>
      </c>
      <c r="N104" s="85">
        <f t="shared" si="76"/>
        <v>0</v>
      </c>
      <c r="O104" s="85">
        <f t="shared" si="76"/>
        <v>0</v>
      </c>
      <c r="P104" s="85">
        <f t="shared" si="76"/>
        <v>0</v>
      </c>
      <c r="Q104" s="85">
        <f t="shared" si="76"/>
        <v>0</v>
      </c>
      <c r="R104" s="85">
        <f t="shared" si="76"/>
        <v>0</v>
      </c>
      <c r="S104" s="85">
        <f t="shared" si="76"/>
        <v>0</v>
      </c>
      <c r="T104" s="85">
        <f t="shared" si="76"/>
        <v>0</v>
      </c>
      <c r="U104" s="85">
        <f t="shared" si="76"/>
        <v>0</v>
      </c>
      <c r="V104" s="85">
        <f t="shared" si="76"/>
        <v>0</v>
      </c>
      <c r="W104" s="85">
        <f t="shared" si="76"/>
        <v>0</v>
      </c>
      <c r="X104" s="85">
        <f t="shared" si="76"/>
        <v>0</v>
      </c>
      <c r="Y104" s="85">
        <f t="shared" si="76"/>
        <v>0</v>
      </c>
      <c r="Z104" s="85">
        <f t="shared" si="76"/>
        <v>0</v>
      </c>
      <c r="AA104" s="85">
        <f t="shared" si="76"/>
        <v>0</v>
      </c>
      <c r="AB104" s="85">
        <f t="shared" ref="AB104:AC104" si="77">IF(AB83&lt;0,AB83*-1,0)</f>
        <v>0</v>
      </c>
      <c r="AC104" s="85">
        <f t="shared" si="77"/>
        <v>0</v>
      </c>
      <c r="AD104" s="85">
        <f t="shared" ref="AD104" si="78">IF(AD83&lt;0,AD83*-1,0)</f>
        <v>0</v>
      </c>
      <c r="AE104" s="85">
        <f t="shared" si="76"/>
        <v>0</v>
      </c>
      <c r="AF104" s="85">
        <f t="shared" ref="AF104" si="79">IF(AF83&lt;0,AF83*-1,0)</f>
        <v>0</v>
      </c>
      <c r="AG104" s="84"/>
      <c r="AH104" s="12">
        <f t="shared" si="46"/>
        <v>0</v>
      </c>
      <c r="AI104" s="11">
        <f t="shared" si="47"/>
        <v>0</v>
      </c>
      <c r="BF104" s="83"/>
      <c r="BG104" s="78">
        <v>15.9</v>
      </c>
      <c r="BH104" s="78">
        <v>0</v>
      </c>
      <c r="BI104" s="78">
        <v>46.9</v>
      </c>
      <c r="BJ104" s="78">
        <v>14.2</v>
      </c>
      <c r="BK104" s="78">
        <v>0</v>
      </c>
      <c r="BL104" s="78">
        <v>40.5</v>
      </c>
    </row>
    <row r="105" spans="1:64" x14ac:dyDescent="0.25">
      <c r="A105" s="82" t="s">
        <v>157</v>
      </c>
      <c r="B105" s="85">
        <f t="shared" ref="B105:AE105" si="80">IF(B81&lt;0,B81*-1,0)</f>
        <v>0</v>
      </c>
      <c r="C105" s="85">
        <f t="shared" si="80"/>
        <v>0</v>
      </c>
      <c r="D105" s="85">
        <f t="shared" si="80"/>
        <v>0</v>
      </c>
      <c r="E105" s="85">
        <f t="shared" si="80"/>
        <v>0</v>
      </c>
      <c r="F105" s="85">
        <f t="shared" si="80"/>
        <v>0</v>
      </c>
      <c r="G105" s="85">
        <f t="shared" si="80"/>
        <v>0</v>
      </c>
      <c r="H105" s="85">
        <f t="shared" si="80"/>
        <v>0</v>
      </c>
      <c r="I105" s="85">
        <f t="shared" si="80"/>
        <v>0</v>
      </c>
      <c r="J105" s="85">
        <f t="shared" si="80"/>
        <v>0</v>
      </c>
      <c r="K105" s="85">
        <f t="shared" si="80"/>
        <v>0</v>
      </c>
      <c r="L105" s="85">
        <f t="shared" si="80"/>
        <v>0</v>
      </c>
      <c r="M105" s="85">
        <f t="shared" si="80"/>
        <v>0</v>
      </c>
      <c r="N105" s="85">
        <f t="shared" si="80"/>
        <v>0</v>
      </c>
      <c r="O105" s="85">
        <f t="shared" si="80"/>
        <v>0</v>
      </c>
      <c r="P105" s="85">
        <f t="shared" si="80"/>
        <v>0</v>
      </c>
      <c r="Q105" s="85">
        <f t="shared" si="80"/>
        <v>0</v>
      </c>
      <c r="R105" s="85">
        <f t="shared" si="80"/>
        <v>0</v>
      </c>
      <c r="S105" s="85">
        <f t="shared" si="80"/>
        <v>0</v>
      </c>
      <c r="T105" s="85">
        <f t="shared" si="80"/>
        <v>0</v>
      </c>
      <c r="U105" s="85">
        <f t="shared" si="80"/>
        <v>0</v>
      </c>
      <c r="V105" s="85">
        <f t="shared" si="80"/>
        <v>0</v>
      </c>
      <c r="W105" s="85">
        <f t="shared" si="80"/>
        <v>0</v>
      </c>
      <c r="X105" s="85">
        <f t="shared" si="80"/>
        <v>0</v>
      </c>
      <c r="Y105" s="85">
        <f t="shared" si="80"/>
        <v>0</v>
      </c>
      <c r="Z105" s="85">
        <f t="shared" si="80"/>
        <v>0</v>
      </c>
      <c r="AA105" s="85">
        <f t="shared" si="80"/>
        <v>0</v>
      </c>
      <c r="AB105" s="85">
        <f t="shared" ref="AB105:AC105" si="81">IF(AB81&lt;0,AB81*-1,0)</f>
        <v>0</v>
      </c>
      <c r="AC105" s="85">
        <f t="shared" si="81"/>
        <v>0</v>
      </c>
      <c r="AD105" s="85">
        <f t="shared" ref="AD105" si="82">IF(AD81&lt;0,AD81*-1,0)</f>
        <v>0</v>
      </c>
      <c r="AE105" s="85">
        <f t="shared" si="80"/>
        <v>0</v>
      </c>
      <c r="AF105" s="85">
        <f t="shared" ref="AF105" si="83">IF(AF81&lt;0,AF81*-1,0)</f>
        <v>0</v>
      </c>
      <c r="AG105" s="84"/>
      <c r="AH105" s="12">
        <f t="shared" si="46"/>
        <v>0</v>
      </c>
      <c r="AI105" s="11">
        <f t="shared" si="47"/>
        <v>0</v>
      </c>
      <c r="BF105" s="83"/>
      <c r="BG105" s="78">
        <v>18.5</v>
      </c>
      <c r="BH105" s="78">
        <v>0</v>
      </c>
      <c r="BI105" s="78">
        <v>70</v>
      </c>
      <c r="BJ105" s="78">
        <v>0</v>
      </c>
      <c r="BK105" s="78">
        <v>0</v>
      </c>
      <c r="BL105" s="78">
        <v>41.1</v>
      </c>
    </row>
    <row r="106" spans="1:64" ht="15.75" thickBot="1" x14ac:dyDescent="0.3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1</v>
      </c>
      <c r="AG106" s="80"/>
      <c r="AH106" s="12">
        <f t="shared" si="46"/>
        <v>1</v>
      </c>
      <c r="AI106" s="11">
        <f t="shared" si="47"/>
        <v>0</v>
      </c>
      <c r="BG106" s="78">
        <v>17.2</v>
      </c>
      <c r="BH106" s="78">
        <v>0</v>
      </c>
      <c r="BI106" s="78">
        <v>173.9</v>
      </c>
      <c r="BJ106" s="78">
        <v>0</v>
      </c>
      <c r="BK106" s="78">
        <v>0</v>
      </c>
      <c r="BL106" s="78">
        <v>42.5</v>
      </c>
    </row>
    <row r="107" spans="1:64" ht="15.75" thickBot="1" x14ac:dyDescent="0.3">
      <c r="A107" s="79" t="s">
        <v>155</v>
      </c>
      <c r="B107" s="76">
        <f t="shared" ref="B107:AF107" si="84">SUM(B101:B106)</f>
        <v>0</v>
      </c>
      <c r="C107" s="76">
        <f t="shared" si="84"/>
        <v>0</v>
      </c>
      <c r="D107" s="76">
        <f t="shared" si="84"/>
        <v>0</v>
      </c>
      <c r="E107" s="76">
        <f t="shared" si="84"/>
        <v>0</v>
      </c>
      <c r="F107" s="76">
        <f t="shared" si="84"/>
        <v>0</v>
      </c>
      <c r="G107" s="76">
        <f t="shared" si="84"/>
        <v>0</v>
      </c>
      <c r="H107" s="76">
        <f t="shared" si="84"/>
        <v>0</v>
      </c>
      <c r="I107" s="76">
        <f t="shared" si="84"/>
        <v>0</v>
      </c>
      <c r="J107" s="76">
        <f t="shared" si="84"/>
        <v>0</v>
      </c>
      <c r="K107" s="76">
        <f t="shared" si="84"/>
        <v>0</v>
      </c>
      <c r="L107" s="76">
        <f t="shared" si="84"/>
        <v>0</v>
      </c>
      <c r="M107" s="76">
        <f t="shared" si="84"/>
        <v>0</v>
      </c>
      <c r="N107" s="76">
        <f t="shared" si="84"/>
        <v>0</v>
      </c>
      <c r="O107" s="76">
        <f t="shared" si="84"/>
        <v>0</v>
      </c>
      <c r="P107" s="76">
        <f t="shared" si="84"/>
        <v>0</v>
      </c>
      <c r="Q107" s="76">
        <f t="shared" si="84"/>
        <v>0</v>
      </c>
      <c r="R107" s="76">
        <f t="shared" si="84"/>
        <v>0</v>
      </c>
      <c r="S107" s="76">
        <f t="shared" si="84"/>
        <v>0</v>
      </c>
      <c r="T107" s="76">
        <f t="shared" si="84"/>
        <v>0</v>
      </c>
      <c r="U107" s="76">
        <f t="shared" si="84"/>
        <v>0</v>
      </c>
      <c r="V107" s="76">
        <f t="shared" si="84"/>
        <v>0</v>
      </c>
      <c r="W107" s="76">
        <f t="shared" si="84"/>
        <v>0</v>
      </c>
      <c r="X107" s="76">
        <f t="shared" si="84"/>
        <v>0</v>
      </c>
      <c r="Y107" s="76">
        <f t="shared" si="84"/>
        <v>0</v>
      </c>
      <c r="Z107" s="76">
        <f t="shared" si="84"/>
        <v>0</v>
      </c>
      <c r="AA107" s="76">
        <f t="shared" si="84"/>
        <v>0</v>
      </c>
      <c r="AB107" s="76">
        <f t="shared" ref="AB107:AC107" si="85">SUM(AB101:AB106)</f>
        <v>0</v>
      </c>
      <c r="AC107" s="76">
        <f t="shared" si="85"/>
        <v>0</v>
      </c>
      <c r="AD107" s="76">
        <f t="shared" ref="AD107" si="86">SUM(AD101:AD106)</f>
        <v>0</v>
      </c>
      <c r="AE107" s="76">
        <f t="shared" si="84"/>
        <v>0</v>
      </c>
      <c r="AF107" s="76">
        <f t="shared" si="84"/>
        <v>1</v>
      </c>
      <c r="AG107" s="75"/>
      <c r="AH107" s="12">
        <f t="shared" si="46"/>
        <v>1</v>
      </c>
      <c r="AI107" s="11">
        <f t="shared" si="47"/>
        <v>0</v>
      </c>
      <c r="AK107" s="19"/>
      <c r="BG107" s="78">
        <v>55.4</v>
      </c>
      <c r="BH107" s="78">
        <v>0</v>
      </c>
      <c r="BI107" s="78">
        <v>170</v>
      </c>
      <c r="BJ107" s="78">
        <v>13</v>
      </c>
      <c r="BK107" s="78">
        <v>0</v>
      </c>
      <c r="BL107" s="78">
        <v>52.8</v>
      </c>
    </row>
    <row r="108" spans="1:64" ht="15.75" thickBot="1" x14ac:dyDescent="0.3">
      <c r="A108" s="77" t="s">
        <v>154</v>
      </c>
      <c r="B108" s="76">
        <f t="shared" ref="B108:AF108" si="87">B92-B107</f>
        <v>291.2</v>
      </c>
      <c r="C108" s="76">
        <f t="shared" si="87"/>
        <v>262.60000000000002</v>
      </c>
      <c r="D108" s="76">
        <f t="shared" si="87"/>
        <v>232</v>
      </c>
      <c r="E108" s="76">
        <f t="shared" si="87"/>
        <v>224.5</v>
      </c>
      <c r="F108" s="76">
        <f t="shared" si="87"/>
        <v>231.39999999999998</v>
      </c>
      <c r="G108" s="76">
        <f t="shared" si="87"/>
        <v>262.5</v>
      </c>
      <c r="H108" s="76">
        <f t="shared" si="87"/>
        <v>249</v>
      </c>
      <c r="I108" s="76">
        <f t="shared" si="87"/>
        <v>274.14</v>
      </c>
      <c r="J108" s="76">
        <f t="shared" si="87"/>
        <v>689</v>
      </c>
      <c r="K108" s="76">
        <f t="shared" si="87"/>
        <v>830.4</v>
      </c>
      <c r="L108" s="76">
        <f t="shared" si="87"/>
        <v>898.8599999999999</v>
      </c>
      <c r="M108" s="76">
        <f t="shared" si="87"/>
        <v>921.90000000000009</v>
      </c>
      <c r="N108" s="76">
        <f t="shared" si="87"/>
        <v>869.7</v>
      </c>
      <c r="O108" s="76">
        <f t="shared" si="87"/>
        <v>922.9</v>
      </c>
      <c r="P108" s="76">
        <f t="shared" si="87"/>
        <v>915.80000000000007</v>
      </c>
      <c r="Q108" s="76">
        <f t="shared" si="87"/>
        <v>916.69999999999993</v>
      </c>
      <c r="R108" s="76">
        <f t="shared" si="87"/>
        <v>894.1</v>
      </c>
      <c r="S108" s="76">
        <f t="shared" si="87"/>
        <v>976.5</v>
      </c>
      <c r="T108" s="76">
        <f t="shared" si="87"/>
        <v>966.9</v>
      </c>
      <c r="U108" s="76">
        <f t="shared" si="87"/>
        <v>937.5</v>
      </c>
      <c r="V108" s="76">
        <f t="shared" si="87"/>
        <v>880.40000000000009</v>
      </c>
      <c r="W108" s="76">
        <f t="shared" si="87"/>
        <v>900.4</v>
      </c>
      <c r="X108" s="76">
        <f t="shared" si="87"/>
        <v>740</v>
      </c>
      <c r="Y108" s="76">
        <f t="shared" si="87"/>
        <v>519.5</v>
      </c>
      <c r="Z108" s="76">
        <f t="shared" si="87"/>
        <v>191.6</v>
      </c>
      <c r="AA108" s="76">
        <f t="shared" si="87"/>
        <v>148.69999999999999</v>
      </c>
      <c r="AB108" s="76">
        <f t="shared" ref="AB108:AC108" si="88">AB92-AB107</f>
        <v>83.1</v>
      </c>
      <c r="AC108" s="76">
        <f t="shared" si="88"/>
        <v>117.5</v>
      </c>
      <c r="AD108" s="76">
        <f t="shared" ref="AD108" si="89">AD92-AD107</f>
        <v>117.5</v>
      </c>
      <c r="AE108" s="76">
        <f t="shared" si="87"/>
        <v>129.6</v>
      </c>
      <c r="AF108" s="76">
        <f t="shared" si="87"/>
        <v>232.6</v>
      </c>
      <c r="AG108" s="75"/>
      <c r="AH108" s="12">
        <f t="shared" si="46"/>
        <v>976.5</v>
      </c>
      <c r="AI108" s="11">
        <f t="shared" si="47"/>
        <v>83.1</v>
      </c>
    </row>
    <row r="109" spans="1:64" x14ac:dyDescent="0.25">
      <c r="A109" s="25" t="s">
        <v>153</v>
      </c>
      <c r="B109" s="74">
        <v>50.058999999999997</v>
      </c>
      <c r="C109" s="74">
        <v>50.046999999999997</v>
      </c>
      <c r="D109" s="74">
        <v>50.021000000000001</v>
      </c>
      <c r="E109" s="74">
        <v>49.975000000000001</v>
      </c>
      <c r="F109" s="74">
        <v>49.972999999999999</v>
      </c>
      <c r="G109" s="74">
        <v>50.023000000000003</v>
      </c>
      <c r="H109" s="74">
        <v>49.920999999999999</v>
      </c>
      <c r="I109" s="74">
        <v>49.920999999999999</v>
      </c>
      <c r="J109" s="74">
        <v>49.920999999999999</v>
      </c>
      <c r="K109" s="74">
        <v>50.045000000000002</v>
      </c>
      <c r="L109" s="74">
        <v>50</v>
      </c>
      <c r="M109" s="74">
        <v>50.029000000000003</v>
      </c>
      <c r="N109" s="74">
        <v>49.939</v>
      </c>
      <c r="O109" s="74">
        <v>50.039000000000001</v>
      </c>
      <c r="P109" s="74">
        <v>49.973999999999997</v>
      </c>
      <c r="Q109" s="74">
        <v>50.04</v>
      </c>
      <c r="R109" s="74">
        <v>49.991999999999997</v>
      </c>
      <c r="S109" s="74">
        <v>50.040999999999997</v>
      </c>
      <c r="T109" s="74">
        <v>50.012</v>
      </c>
      <c r="U109" s="74">
        <v>49.982999999999997</v>
      </c>
      <c r="V109" s="74">
        <v>49.984999999999999</v>
      </c>
      <c r="W109" s="74">
        <v>50.023000000000003</v>
      </c>
      <c r="X109" s="74">
        <v>50.173999999999999</v>
      </c>
      <c r="Y109" s="74">
        <v>50.076300000000003</v>
      </c>
      <c r="Z109" s="74">
        <v>49.994999999999997</v>
      </c>
      <c r="AA109" s="74">
        <v>49.96</v>
      </c>
      <c r="AB109" s="74">
        <v>50.05</v>
      </c>
      <c r="AC109" s="74">
        <v>50.04</v>
      </c>
      <c r="AD109" s="74">
        <v>50.04</v>
      </c>
      <c r="AE109" s="74">
        <v>50.05</v>
      </c>
      <c r="AF109" s="74">
        <v>50.08</v>
      </c>
      <c r="AG109" s="73"/>
      <c r="AH109" s="12">
        <f t="shared" si="46"/>
        <v>50.173999999999999</v>
      </c>
      <c r="AI109" s="11">
        <f t="shared" si="47"/>
        <v>49.920999999999999</v>
      </c>
    </row>
    <row r="110" spans="1:64" x14ac:dyDescent="0.25">
      <c r="A110" s="22" t="s">
        <v>152</v>
      </c>
      <c r="B110" s="70">
        <v>131.6</v>
      </c>
      <c r="C110" s="70">
        <v>131.4</v>
      </c>
      <c r="D110" s="70">
        <v>121.3</v>
      </c>
      <c r="E110" s="70">
        <v>132</v>
      </c>
      <c r="F110" s="70">
        <v>131.6</v>
      </c>
      <c r="G110" s="70">
        <v>131.69999999999999</v>
      </c>
      <c r="H110" s="70">
        <v>131.4</v>
      </c>
      <c r="I110" s="70">
        <v>131.4</v>
      </c>
      <c r="J110" s="70">
        <v>131.4</v>
      </c>
      <c r="K110" s="70">
        <v>126.6</v>
      </c>
      <c r="L110" s="70">
        <v>125.85</v>
      </c>
      <c r="M110" s="70">
        <v>125.6</v>
      </c>
      <c r="N110" s="70">
        <v>125.5</v>
      </c>
      <c r="O110" s="70">
        <v>124.2</v>
      </c>
      <c r="P110" s="70">
        <v>125.5</v>
      </c>
      <c r="Q110" s="70">
        <v>124.3</v>
      </c>
      <c r="R110" s="70">
        <v>124.2</v>
      </c>
      <c r="S110" s="70">
        <v>124.9</v>
      </c>
      <c r="T110" s="70">
        <v>124.5</v>
      </c>
      <c r="U110" s="70">
        <v>124.5</v>
      </c>
      <c r="V110" s="70">
        <v>127.1</v>
      </c>
      <c r="W110" s="70">
        <v>127.3</v>
      </c>
      <c r="X110" s="70">
        <v>130.9</v>
      </c>
      <c r="Y110" s="70">
        <v>129.19999999999999</v>
      </c>
      <c r="Z110" s="70">
        <v>129.5</v>
      </c>
      <c r="AA110" s="70">
        <v>128.69999999999999</v>
      </c>
      <c r="AB110" s="70">
        <v>128.80000000000001</v>
      </c>
      <c r="AC110" s="70">
        <v>128.9</v>
      </c>
      <c r="AD110" s="70">
        <v>128.9</v>
      </c>
      <c r="AE110" s="70">
        <v>129</v>
      </c>
      <c r="AF110" s="70">
        <v>130.5</v>
      </c>
      <c r="AG110" s="69"/>
      <c r="AH110" s="12">
        <f t="shared" si="46"/>
        <v>132</v>
      </c>
      <c r="AI110" s="11">
        <f t="shared" si="47"/>
        <v>121.3</v>
      </c>
    </row>
    <row r="111" spans="1:64" x14ac:dyDescent="0.25">
      <c r="A111" s="22" t="s">
        <v>151</v>
      </c>
      <c r="B111" s="70">
        <v>134.19999999999999</v>
      </c>
      <c r="C111" s="70">
        <v>134.1</v>
      </c>
      <c r="D111" s="70">
        <v>134.30000000000001</v>
      </c>
      <c r="E111" s="70">
        <v>134.6</v>
      </c>
      <c r="F111" s="70">
        <v>134</v>
      </c>
      <c r="G111" s="70">
        <v>134</v>
      </c>
      <c r="H111" s="70">
        <v>133.4</v>
      </c>
      <c r="I111" s="70">
        <v>133.4</v>
      </c>
      <c r="J111" s="70">
        <v>133.4</v>
      </c>
      <c r="K111" s="70">
        <v>129.30000000000001</v>
      </c>
      <c r="L111" s="70">
        <v>128</v>
      </c>
      <c r="M111" s="70">
        <v>128.19999999999999</v>
      </c>
      <c r="N111" s="70">
        <v>128.1</v>
      </c>
      <c r="O111" s="70">
        <v>127</v>
      </c>
      <c r="P111" s="70">
        <v>127.6</v>
      </c>
      <c r="Q111" s="70">
        <v>127.1</v>
      </c>
      <c r="R111" s="70">
        <v>127.3</v>
      </c>
      <c r="S111" s="70">
        <v>127.8</v>
      </c>
      <c r="T111" s="70">
        <v>127.85</v>
      </c>
      <c r="U111" s="70">
        <v>127.7</v>
      </c>
      <c r="V111" s="70">
        <v>129.4</v>
      </c>
      <c r="W111" s="70">
        <v>130.1</v>
      </c>
      <c r="X111" s="70">
        <v>133.19999999999999</v>
      </c>
      <c r="Y111" s="70">
        <v>131.9</v>
      </c>
      <c r="Z111" s="70">
        <v>132.6</v>
      </c>
      <c r="AA111" s="70">
        <v>131.9</v>
      </c>
      <c r="AB111" s="70">
        <v>132</v>
      </c>
      <c r="AC111" s="70">
        <v>132.1</v>
      </c>
      <c r="AD111" s="70">
        <v>132.1</v>
      </c>
      <c r="AE111" s="70">
        <v>132</v>
      </c>
      <c r="AF111" s="70">
        <v>133.9</v>
      </c>
      <c r="AG111" s="69"/>
      <c r="AH111" s="12">
        <f t="shared" si="46"/>
        <v>134.6</v>
      </c>
      <c r="AI111" s="11">
        <f t="shared" si="47"/>
        <v>127</v>
      </c>
    </row>
    <row r="112" spans="1:64" x14ac:dyDescent="0.25">
      <c r="A112" s="22" t="s">
        <v>150</v>
      </c>
      <c r="B112" s="70">
        <v>131.9</v>
      </c>
      <c r="C112" s="70">
        <v>132.69999999999999</v>
      </c>
      <c r="D112" s="70">
        <v>133.30000000000001</v>
      </c>
      <c r="E112" s="70">
        <v>128.6</v>
      </c>
      <c r="F112" s="70">
        <v>130</v>
      </c>
      <c r="G112" s="70">
        <v>129.5</v>
      </c>
      <c r="H112" s="70">
        <v>128.1</v>
      </c>
      <c r="I112" s="70">
        <v>128.1</v>
      </c>
      <c r="J112" s="70">
        <v>128.1</v>
      </c>
      <c r="K112" s="70">
        <v>126.8</v>
      </c>
      <c r="L112" s="70">
        <v>125.2</v>
      </c>
      <c r="M112" s="70">
        <v>126.8</v>
      </c>
      <c r="N112" s="70">
        <v>128.69999999999999</v>
      </c>
      <c r="O112" s="70">
        <v>125.9</v>
      </c>
      <c r="P112" s="70">
        <v>126.1</v>
      </c>
      <c r="Q112" s="70">
        <v>126.7</v>
      </c>
      <c r="R112" s="70">
        <v>126.5</v>
      </c>
      <c r="S112" s="70">
        <v>123.9</v>
      </c>
      <c r="T112" s="70">
        <v>124.7</v>
      </c>
      <c r="U112" s="70">
        <v>126.3</v>
      </c>
      <c r="V112" s="70">
        <v>128.4</v>
      </c>
      <c r="W112" s="70">
        <v>128.1</v>
      </c>
      <c r="X112" s="70">
        <v>127.7</v>
      </c>
      <c r="Y112" s="70">
        <v>127.6</v>
      </c>
      <c r="Z112" s="70">
        <v>130.30000000000001</v>
      </c>
      <c r="AA112" s="70">
        <v>130.6</v>
      </c>
      <c r="AB112" s="70">
        <v>127.8</v>
      </c>
      <c r="AC112" s="70">
        <v>129</v>
      </c>
      <c r="AD112" s="70">
        <v>129</v>
      </c>
      <c r="AE112" s="70">
        <v>128</v>
      </c>
      <c r="AF112" s="70">
        <v>133.1</v>
      </c>
      <c r="AG112" s="69"/>
      <c r="AH112" s="12">
        <f t="shared" si="46"/>
        <v>133.30000000000001</v>
      </c>
      <c r="AI112" s="11">
        <f t="shared" si="47"/>
        <v>123.9</v>
      </c>
    </row>
    <row r="113" spans="1:35" x14ac:dyDescent="0.25">
      <c r="A113" s="72" t="s">
        <v>149</v>
      </c>
      <c r="B113" s="70">
        <v>131.9</v>
      </c>
      <c r="C113" s="70">
        <v>133.4</v>
      </c>
      <c r="D113" s="70">
        <v>134.19999999999999</v>
      </c>
      <c r="E113" s="70">
        <v>130.6</v>
      </c>
      <c r="F113" s="70">
        <v>131</v>
      </c>
      <c r="G113" s="70">
        <v>130.30000000000001</v>
      </c>
      <c r="H113" s="70">
        <v>128</v>
      </c>
      <c r="I113" s="70">
        <v>128</v>
      </c>
      <c r="J113" s="70">
        <v>128</v>
      </c>
      <c r="K113" s="70">
        <v>123.9</v>
      </c>
      <c r="L113" s="70">
        <v>132.1</v>
      </c>
      <c r="M113" s="70">
        <v>123</v>
      </c>
      <c r="N113" s="70">
        <v>127.9</v>
      </c>
      <c r="O113" s="70">
        <v>122.74</v>
      </c>
      <c r="P113" s="70">
        <v>123.7</v>
      </c>
      <c r="Q113" s="70">
        <v>124.9</v>
      </c>
      <c r="R113" s="70">
        <v>123.6</v>
      </c>
      <c r="S113" s="70">
        <v>122.5</v>
      </c>
      <c r="T113" s="70">
        <v>124.4</v>
      </c>
      <c r="U113" s="70">
        <v>124.9</v>
      </c>
      <c r="V113" s="70">
        <v>127.3</v>
      </c>
      <c r="W113" s="70">
        <v>126.1</v>
      </c>
      <c r="X113" s="70">
        <v>126.3</v>
      </c>
      <c r="Y113" s="70">
        <v>124.4</v>
      </c>
      <c r="Z113" s="70">
        <v>127.9</v>
      </c>
      <c r="AA113" s="70">
        <v>129.69999999999999</v>
      </c>
      <c r="AB113" s="70">
        <v>126.7</v>
      </c>
      <c r="AC113" s="70">
        <v>126.6</v>
      </c>
      <c r="AD113" s="70">
        <v>126.6</v>
      </c>
      <c r="AE113" s="70">
        <v>129</v>
      </c>
      <c r="AF113" s="70">
        <v>132.9</v>
      </c>
      <c r="AG113" s="69"/>
      <c r="AH113" s="12">
        <f t="shared" si="46"/>
        <v>134.19999999999999</v>
      </c>
      <c r="AI113" s="11">
        <f t="shared" si="47"/>
        <v>122.5</v>
      </c>
    </row>
    <row r="114" spans="1:35" x14ac:dyDescent="0.25">
      <c r="A114" s="72" t="s">
        <v>148</v>
      </c>
      <c r="B114" s="56">
        <v>135.1</v>
      </c>
      <c r="C114" s="56">
        <v>135.19999999999999</v>
      </c>
      <c r="D114" s="56">
        <v>135.5</v>
      </c>
      <c r="E114" s="56">
        <v>135.30000000000001</v>
      </c>
      <c r="F114" s="56">
        <v>135</v>
      </c>
      <c r="G114" s="56">
        <v>134.5</v>
      </c>
      <c r="H114" s="56">
        <v>133.5</v>
      </c>
      <c r="I114" s="56">
        <v>133.5</v>
      </c>
      <c r="J114" s="56">
        <v>133.5</v>
      </c>
      <c r="K114" s="56">
        <v>132.6</v>
      </c>
      <c r="L114" s="56">
        <v>133.6</v>
      </c>
      <c r="M114" s="56">
        <v>132.6</v>
      </c>
      <c r="N114" s="56">
        <v>132.69999999999999</v>
      </c>
      <c r="O114" s="56">
        <v>131.5</v>
      </c>
      <c r="P114" s="56">
        <v>130.5</v>
      </c>
      <c r="Q114" s="56">
        <v>134.6</v>
      </c>
      <c r="R114" s="56">
        <v>133.4</v>
      </c>
      <c r="S114" s="56">
        <v>133</v>
      </c>
      <c r="T114" s="56">
        <v>133.1</v>
      </c>
      <c r="U114" s="56">
        <v>131.9</v>
      </c>
      <c r="V114" s="56">
        <v>134.6</v>
      </c>
      <c r="W114" s="56">
        <v>133.69999999999999</v>
      </c>
      <c r="X114" s="56">
        <v>135.5</v>
      </c>
      <c r="Y114" s="56">
        <v>134.30000000000001</v>
      </c>
      <c r="Z114" s="56">
        <v>134.4</v>
      </c>
      <c r="AA114" s="56">
        <v>132.6</v>
      </c>
      <c r="AB114" s="56">
        <v>132.6</v>
      </c>
      <c r="AC114" s="56">
        <v>132.69999999999999</v>
      </c>
      <c r="AD114" s="56">
        <v>132.69999999999999</v>
      </c>
      <c r="AE114" s="56">
        <v>131</v>
      </c>
      <c r="AF114" s="56">
        <v>134.69999999999999</v>
      </c>
      <c r="AG114" s="71"/>
      <c r="AH114" s="12">
        <f t="shared" si="46"/>
        <v>135.5</v>
      </c>
      <c r="AI114" s="11">
        <f t="shared" si="47"/>
        <v>130.5</v>
      </c>
    </row>
    <row r="115" spans="1:35" x14ac:dyDescent="0.25">
      <c r="A115" s="22" t="s">
        <v>147</v>
      </c>
      <c r="B115" s="70">
        <v>130.5</v>
      </c>
      <c r="C115" s="70">
        <v>134.5</v>
      </c>
      <c r="D115" s="70">
        <v>133.9</v>
      </c>
      <c r="E115" s="70">
        <v>133.38999999999999</v>
      </c>
      <c r="F115" s="70">
        <v>133</v>
      </c>
      <c r="G115" s="70">
        <v>134.30000000000001</v>
      </c>
      <c r="H115" s="70">
        <v>132.19999999999999</v>
      </c>
      <c r="I115" s="70">
        <v>132.19999999999999</v>
      </c>
      <c r="J115" s="70">
        <v>132.19999999999999</v>
      </c>
      <c r="K115" s="70">
        <v>130.30000000000001</v>
      </c>
      <c r="L115" s="70">
        <v>129.30000000000001</v>
      </c>
      <c r="M115" s="70">
        <v>125.8</v>
      </c>
      <c r="N115" s="70">
        <v>129.30000000000001</v>
      </c>
      <c r="O115" s="70">
        <v>128.6</v>
      </c>
      <c r="P115" s="70">
        <v>129.1</v>
      </c>
      <c r="Q115" s="70"/>
      <c r="R115" s="70">
        <v>133.80000000000001</v>
      </c>
      <c r="S115" s="70">
        <v>127.9</v>
      </c>
      <c r="T115" s="70">
        <v>124.3</v>
      </c>
      <c r="U115" s="70">
        <v>125.1</v>
      </c>
      <c r="V115" s="70">
        <v>129.1</v>
      </c>
      <c r="W115" s="70">
        <v>127.1</v>
      </c>
      <c r="X115" s="70">
        <v>131.6</v>
      </c>
      <c r="Y115" s="70">
        <v>129.80000000000001</v>
      </c>
      <c r="Z115" s="70">
        <v>130.9</v>
      </c>
      <c r="AA115" s="70">
        <v>130.19999999999999</v>
      </c>
      <c r="AB115" s="70">
        <v>130.19999999999999</v>
      </c>
      <c r="AC115" s="70">
        <v>133.6</v>
      </c>
      <c r="AD115" s="70">
        <v>133.6</v>
      </c>
      <c r="AE115" s="70">
        <v>133.1</v>
      </c>
      <c r="AF115" s="70">
        <v>133.80000000000001</v>
      </c>
      <c r="AG115" s="69"/>
      <c r="AH115" s="12">
        <f t="shared" si="46"/>
        <v>134.5</v>
      </c>
      <c r="AI115" s="11">
        <f t="shared" si="47"/>
        <v>124.3</v>
      </c>
    </row>
    <row r="116" spans="1:35" ht="15.75" thickBot="1" x14ac:dyDescent="0.3">
      <c r="A116" s="22" t="s">
        <v>146</v>
      </c>
      <c r="B116" s="67">
        <v>66.900000000000006</v>
      </c>
      <c r="C116" s="67">
        <v>67</v>
      </c>
      <c r="D116" s="67">
        <v>67.099999999999994</v>
      </c>
      <c r="E116" s="67">
        <v>67.2</v>
      </c>
      <c r="F116" s="67">
        <v>67.099999999999994</v>
      </c>
      <c r="G116" s="67">
        <v>67</v>
      </c>
      <c r="H116" s="67">
        <v>67</v>
      </c>
      <c r="I116" s="67">
        <v>67</v>
      </c>
      <c r="J116" s="67">
        <v>67</v>
      </c>
      <c r="K116" s="67">
        <v>64.8</v>
      </c>
      <c r="L116" s="67">
        <v>64.099999999999994</v>
      </c>
      <c r="M116" s="67">
        <v>64</v>
      </c>
      <c r="N116" s="67">
        <v>64</v>
      </c>
      <c r="O116" s="67">
        <v>63.5</v>
      </c>
      <c r="P116" s="67">
        <v>63.5</v>
      </c>
      <c r="Q116" s="67">
        <v>63.3</v>
      </c>
      <c r="R116" s="67">
        <v>63.2</v>
      </c>
      <c r="S116" s="67">
        <v>63.3</v>
      </c>
      <c r="T116" s="67">
        <v>63.3</v>
      </c>
      <c r="U116" s="67">
        <v>63.4</v>
      </c>
      <c r="V116" s="67">
        <v>64.2</v>
      </c>
      <c r="W116" s="67">
        <v>64.7</v>
      </c>
      <c r="X116" s="67">
        <v>66.2</v>
      </c>
      <c r="Y116" s="67">
        <v>65.599999999999994</v>
      </c>
      <c r="Z116" s="67">
        <v>66.400000000000006</v>
      </c>
      <c r="AA116" s="67">
        <v>66.2</v>
      </c>
      <c r="AB116" s="67">
        <v>66.2</v>
      </c>
      <c r="AC116" s="67">
        <v>66.2</v>
      </c>
      <c r="AD116" s="67">
        <v>66.5</v>
      </c>
      <c r="AE116" s="67">
        <v>66.8</v>
      </c>
      <c r="AF116" s="67">
        <v>67.099999999999994</v>
      </c>
      <c r="AG116" s="66"/>
      <c r="AH116" s="12">
        <f t="shared" si="46"/>
        <v>67.2</v>
      </c>
      <c r="AI116" s="11">
        <f t="shared" si="47"/>
        <v>63.2</v>
      </c>
    </row>
    <row r="117" spans="1:35" ht="15.75" thickBot="1" x14ac:dyDescent="0.3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46"/>
        <v>0</v>
      </c>
      <c r="AI117" s="11">
        <f t="shared" si="47"/>
        <v>0</v>
      </c>
    </row>
    <row r="118" spans="1:35" ht="15.75" thickBot="1" x14ac:dyDescent="0.3">
      <c r="A118" s="65" t="s">
        <v>144</v>
      </c>
      <c r="B118" s="64">
        <f t="shared" ref="B118:O118" si="90">SUM(B22,B28,B31:B32,B66,B68:B69,B71,B73,B119:B123,B155,B161,B167,B176,B178,B190,B197,B200:B201,B208,B210,B212,B216:B218,B220:B222,B227,B233:B234,B236:B238,B246,B251)</f>
        <v>143.54</v>
      </c>
      <c r="C118" s="64">
        <f t="shared" si="90"/>
        <v>128.04</v>
      </c>
      <c r="D118" s="64">
        <f t="shared" si="90"/>
        <v>120.94</v>
      </c>
      <c r="E118" s="64">
        <f t="shared" si="90"/>
        <v>92.340000000000018</v>
      </c>
      <c r="F118" s="64">
        <f t="shared" si="90"/>
        <v>86.140000000000015</v>
      </c>
      <c r="G118" s="64">
        <f t="shared" si="90"/>
        <v>123.64000000000001</v>
      </c>
      <c r="H118" s="64">
        <f t="shared" si="90"/>
        <v>147.44</v>
      </c>
      <c r="I118" s="64">
        <f t="shared" si="90"/>
        <v>177.99999999999997</v>
      </c>
      <c r="J118" s="64">
        <f t="shared" si="90"/>
        <v>228.64</v>
      </c>
      <c r="K118" s="64">
        <f t="shared" si="90"/>
        <v>280.73999999999995</v>
      </c>
      <c r="L118" s="64">
        <f t="shared" si="90"/>
        <v>296.14000000000004</v>
      </c>
      <c r="M118" s="64">
        <f t="shared" si="90"/>
        <v>317.54000000000002</v>
      </c>
      <c r="N118" s="64">
        <f t="shared" si="90"/>
        <v>313.08999999999997</v>
      </c>
      <c r="O118" s="64">
        <f t="shared" si="90"/>
        <v>320.44</v>
      </c>
      <c r="P118" s="64">
        <v>42</v>
      </c>
      <c r="Q118" s="64">
        <f t="shared" ref="Q118:X118" si="91">SUM(Q22,Q28,Q31:Q32,Q66,Q68:Q69,Q71,Q73,Q119:Q123,Q155,Q161,Q167,Q176,Q178,Q190,Q197,Q200:Q201,Q208,Q210,Q212,Q216:Q218,Q220:Q222,Q227,Q233:Q234,Q236:Q238,Q246,Q251)</f>
        <v>317.44</v>
      </c>
      <c r="R118" s="64">
        <f t="shared" si="91"/>
        <v>308.54000000000002</v>
      </c>
      <c r="S118" s="64">
        <f t="shared" si="91"/>
        <v>316.94</v>
      </c>
      <c r="T118" s="64">
        <f t="shared" si="91"/>
        <v>309.54000000000002</v>
      </c>
      <c r="U118" s="64">
        <f t="shared" si="91"/>
        <v>308.04000000000002</v>
      </c>
      <c r="V118" s="64">
        <f t="shared" si="91"/>
        <v>306.23999999999995</v>
      </c>
      <c r="W118" s="64">
        <f t="shared" si="91"/>
        <v>304.83999999999997</v>
      </c>
      <c r="X118" s="64">
        <f t="shared" si="91"/>
        <v>312.83999999999997</v>
      </c>
      <c r="Y118" s="64">
        <f>SUM(Y20,Y26,Y37:Y38,Y66,Y68:Y69,Y71,Y73,Y119:Y123,Y148,Y154,Y160,Y169,Y171,Y183,Y190,Y193:Y194,Y201,Y203,Y205,Y209:Y211,Y213:Y215,Y220,Y226:Y227,Y229:Y231,Y239,Y244)</f>
        <v>336.9</v>
      </c>
      <c r="Z118" s="64">
        <f>SUM(Z20,Z26,Z37:Z38,Z66,Z68:Z69,Z71,Z73,Z119:Z123,Z148,Z154,Z160,Z169,Z171,Z183,Z190,Z193:Z194,Z201,Z203,Z205,Z209:Z211,Z213:Z215,Z220,Z226:Z227,Z229:Z231,Z239,Z244)</f>
        <v>361.7</v>
      </c>
      <c r="AA118" s="64">
        <f t="shared" ref="AA118:AF118" si="92">SUM(AA22,AA28,AA31:AA32,AA66,AA68:AA69,AA71,AA73,AA119:AA123,AA155,AA161,AA167,AA176,AA178,AA190,AA197,AA200:AA201,AA208,AA210,AA212,AA216:AA218,AA220:AA222,AA227,AA233:AA234,AA236:AA238,AA246,AA251)</f>
        <v>361.84</v>
      </c>
      <c r="AB118" s="64">
        <f t="shared" ref="AB118:AC118" si="93">SUM(AB22,AB28,AB31:AB32,AB66,AB68:AB69,AB71,AB73,AB119:AB123,AB155,AB161,AB167,AB176,AB178,AB190,AB197,AB200:AB201,AB208,AB210,AB212,AB216:AB218,AB220:AB222,AB227,AB233:AB234,AB236:AB238,AB246,AB251)</f>
        <v>320.83999999999997</v>
      </c>
      <c r="AC118" s="64">
        <f t="shared" si="93"/>
        <v>312.33999999999997</v>
      </c>
      <c r="AD118" s="64">
        <f t="shared" si="92"/>
        <v>118.74</v>
      </c>
      <c r="AE118" s="64">
        <f t="shared" si="92"/>
        <v>173.23999999999998</v>
      </c>
      <c r="AF118" s="64">
        <f t="shared" si="92"/>
        <v>173.84000000000003</v>
      </c>
      <c r="AG118" s="63"/>
      <c r="AH118" s="12">
        <f t="shared" si="46"/>
        <v>361.84</v>
      </c>
      <c r="AI118" s="11">
        <f t="shared" si="47"/>
        <v>42</v>
      </c>
    </row>
    <row r="119" spans="1:35" x14ac:dyDescent="0.25">
      <c r="A119" s="59" t="s">
        <v>143</v>
      </c>
      <c r="B119" s="62">
        <v>13.4</v>
      </c>
      <c r="C119" s="62">
        <v>13</v>
      </c>
      <c r="D119" s="62">
        <v>14</v>
      </c>
      <c r="E119" s="62">
        <v>8.9</v>
      </c>
      <c r="F119" s="62">
        <v>6.5</v>
      </c>
      <c r="G119" s="62">
        <v>6</v>
      </c>
      <c r="H119" s="62">
        <v>6.6</v>
      </c>
      <c r="I119" s="62">
        <v>10.36</v>
      </c>
      <c r="J119" s="62">
        <v>12.5</v>
      </c>
      <c r="K119" s="62">
        <v>14.6</v>
      </c>
      <c r="L119" s="62">
        <v>17.3</v>
      </c>
      <c r="M119" s="62">
        <v>14.2</v>
      </c>
      <c r="N119" s="62">
        <v>15.5</v>
      </c>
      <c r="O119" s="62">
        <v>16</v>
      </c>
      <c r="P119" s="62">
        <v>13.2</v>
      </c>
      <c r="Q119" s="62">
        <v>10.1</v>
      </c>
      <c r="R119" s="62">
        <v>6.4</v>
      </c>
      <c r="S119" s="62">
        <v>3</v>
      </c>
      <c r="T119" s="62">
        <v>4.5</v>
      </c>
      <c r="U119" s="62">
        <v>1.3</v>
      </c>
      <c r="V119" s="62">
        <v>6.4</v>
      </c>
      <c r="W119" s="62">
        <v>3.4</v>
      </c>
      <c r="X119" s="62">
        <v>6.2</v>
      </c>
      <c r="Y119" s="62">
        <v>7.6</v>
      </c>
      <c r="Z119" s="62">
        <v>39.299999999999997</v>
      </c>
      <c r="AA119" s="62">
        <v>50.2</v>
      </c>
      <c r="AB119" s="62">
        <v>49.7</v>
      </c>
      <c r="AC119" s="62">
        <v>52.3</v>
      </c>
      <c r="AD119" s="62"/>
      <c r="AE119" s="62">
        <v>25.5</v>
      </c>
      <c r="AF119" s="62">
        <v>23.1</v>
      </c>
      <c r="AG119" s="55">
        <v>75</v>
      </c>
      <c r="AH119" s="12">
        <f t="shared" si="46"/>
        <v>52.3</v>
      </c>
      <c r="AI119" s="11">
        <f t="shared" si="47"/>
        <v>1.3</v>
      </c>
    </row>
    <row r="120" spans="1:35" x14ac:dyDescent="0.25">
      <c r="A120" s="57" t="s">
        <v>142</v>
      </c>
      <c r="B120" s="61">
        <v>28.2</v>
      </c>
      <c r="C120" s="61">
        <v>28.4</v>
      </c>
      <c r="D120" s="61">
        <v>30</v>
      </c>
      <c r="E120" s="61">
        <v>21.1</v>
      </c>
      <c r="F120" s="61">
        <v>16.899999999999999</v>
      </c>
      <c r="G120" s="61">
        <v>16.3</v>
      </c>
      <c r="H120" s="61">
        <v>16.7</v>
      </c>
      <c r="I120" s="61">
        <v>18.2</v>
      </c>
      <c r="J120" s="61">
        <v>17</v>
      </c>
      <c r="K120" s="61">
        <v>17.100000000000001</v>
      </c>
      <c r="L120" s="61">
        <v>19.8</v>
      </c>
      <c r="M120" s="61">
        <v>15.3</v>
      </c>
      <c r="N120" s="61">
        <v>16.899999999999999</v>
      </c>
      <c r="O120" s="61">
        <v>16.100000000000001</v>
      </c>
      <c r="P120" s="61">
        <v>15</v>
      </c>
      <c r="Q120" s="61">
        <v>8.9</v>
      </c>
      <c r="R120" s="61">
        <v>3.3</v>
      </c>
      <c r="S120" s="61">
        <v>0</v>
      </c>
      <c r="T120" s="61">
        <v>2.2000000000000002</v>
      </c>
      <c r="U120" s="61">
        <v>-4</v>
      </c>
      <c r="V120" s="61">
        <v>4.0999999999999996</v>
      </c>
      <c r="W120" s="61">
        <v>1.8</v>
      </c>
      <c r="X120" s="61">
        <v>12.5</v>
      </c>
      <c r="Y120" s="61">
        <v>14.1</v>
      </c>
      <c r="Z120" s="61">
        <v>62</v>
      </c>
      <c r="AA120" s="61">
        <v>76.599999999999994</v>
      </c>
      <c r="AB120" s="61">
        <v>77.5</v>
      </c>
      <c r="AC120" s="61">
        <v>80.8</v>
      </c>
      <c r="AD120" s="61"/>
      <c r="AE120" s="61">
        <v>44.1</v>
      </c>
      <c r="AF120" s="61">
        <v>41.6</v>
      </c>
      <c r="AG120" s="55">
        <v>240</v>
      </c>
      <c r="AH120" s="12">
        <f t="shared" si="46"/>
        <v>80.8</v>
      </c>
      <c r="AI120" s="11">
        <f t="shared" si="47"/>
        <v>-4</v>
      </c>
    </row>
    <row r="121" spans="1:35" x14ac:dyDescent="0.25">
      <c r="A121" s="57" t="s">
        <v>141</v>
      </c>
      <c r="B121" s="61">
        <v>-50</v>
      </c>
      <c r="C121" s="61">
        <v>-58</v>
      </c>
      <c r="D121" s="61">
        <v>-60</v>
      </c>
      <c r="E121" s="61">
        <v>-96.1</v>
      </c>
      <c r="F121" s="61">
        <v>-90</v>
      </c>
      <c r="G121" s="61">
        <v>-80.5</v>
      </c>
      <c r="H121" s="61">
        <v>-71.5</v>
      </c>
      <c r="I121" s="61">
        <v>-50.6</v>
      </c>
      <c r="J121" s="61">
        <v>-25.6</v>
      </c>
      <c r="K121" s="61">
        <v>-11.3</v>
      </c>
      <c r="L121" s="61">
        <v>-8.5</v>
      </c>
      <c r="M121" s="61">
        <v>14.8</v>
      </c>
      <c r="N121" s="61">
        <v>16.399999999999999</v>
      </c>
      <c r="O121" s="61">
        <v>21</v>
      </c>
      <c r="P121" s="61">
        <v>25</v>
      </c>
      <c r="Q121" s="61">
        <v>26</v>
      </c>
      <c r="R121" s="61">
        <v>28</v>
      </c>
      <c r="S121" s="61">
        <v>37</v>
      </c>
      <c r="T121" s="61">
        <v>33</v>
      </c>
      <c r="U121" s="61">
        <v>43</v>
      </c>
      <c r="V121" s="61">
        <v>40</v>
      </c>
      <c r="W121" s="61">
        <v>37</v>
      </c>
      <c r="X121" s="61">
        <v>32</v>
      </c>
      <c r="Y121" s="61">
        <v>25</v>
      </c>
      <c r="Z121" s="61">
        <v>-55</v>
      </c>
      <c r="AA121" s="61">
        <v>-80</v>
      </c>
      <c r="AB121" s="61">
        <v>-96</v>
      </c>
      <c r="AC121" s="61">
        <v>-99.8</v>
      </c>
      <c r="AD121" s="61"/>
      <c r="AE121" s="61">
        <f>-37.1-48.4</f>
        <v>-85.5</v>
      </c>
      <c r="AF121" s="61">
        <f>-33.3-41.4</f>
        <v>-74.699999999999989</v>
      </c>
      <c r="AG121" s="55">
        <v>240</v>
      </c>
      <c r="AH121" s="12">
        <f t="shared" si="46"/>
        <v>43</v>
      </c>
      <c r="AI121" s="11">
        <f t="shared" si="47"/>
        <v>-99.8</v>
      </c>
    </row>
    <row r="122" spans="1:35" ht="15.75" thickBot="1" x14ac:dyDescent="0.3">
      <c r="A122" s="57" t="s">
        <v>140</v>
      </c>
      <c r="B122" s="61">
        <v>29</v>
      </c>
      <c r="C122" s="61">
        <v>27.7</v>
      </c>
      <c r="D122" s="61">
        <v>27</v>
      </c>
      <c r="E122" s="61">
        <v>26.4</v>
      </c>
      <c r="F122" s="61">
        <v>21.5</v>
      </c>
      <c r="G122" s="61">
        <v>29.8</v>
      </c>
      <c r="H122" s="61">
        <v>32.299999999999997</v>
      </c>
      <c r="I122" s="61">
        <v>25.6</v>
      </c>
      <c r="J122" s="61">
        <v>18.600000000000001</v>
      </c>
      <c r="K122" s="61">
        <v>15.3</v>
      </c>
      <c r="L122" s="61">
        <v>19.5</v>
      </c>
      <c r="M122" s="61">
        <v>19.3</v>
      </c>
      <c r="N122" s="61">
        <v>15.35</v>
      </c>
      <c r="O122" s="61">
        <v>17.600000000000001</v>
      </c>
      <c r="P122" s="61">
        <v>28.7</v>
      </c>
      <c r="Q122" s="61">
        <v>18.7</v>
      </c>
      <c r="R122" s="61">
        <v>20</v>
      </c>
      <c r="S122" s="61">
        <v>22.1</v>
      </c>
      <c r="T122" s="61">
        <v>21</v>
      </c>
      <c r="U122" s="61">
        <v>21</v>
      </c>
      <c r="V122" s="61">
        <v>27</v>
      </c>
      <c r="W122" s="61">
        <v>35.299999999999997</v>
      </c>
      <c r="X122" s="61">
        <v>35</v>
      </c>
      <c r="Y122" s="61">
        <v>33.299999999999997</v>
      </c>
      <c r="Z122" s="61">
        <v>31</v>
      </c>
      <c r="AA122" s="61">
        <v>28</v>
      </c>
      <c r="AB122" s="61">
        <v>24.4</v>
      </c>
      <c r="AC122" s="61">
        <v>24.7</v>
      </c>
      <c r="AD122" s="61"/>
      <c r="AE122" s="61">
        <v>24.1</v>
      </c>
      <c r="AF122" s="61">
        <v>15.9</v>
      </c>
      <c r="AG122" s="55">
        <v>60</v>
      </c>
      <c r="AH122" s="12">
        <f t="shared" si="46"/>
        <v>35.299999999999997</v>
      </c>
      <c r="AI122" s="11">
        <f t="shared" si="47"/>
        <v>15.3</v>
      </c>
    </row>
    <row r="123" spans="1:35" x14ac:dyDescent="0.25">
      <c r="A123" s="59" t="s">
        <v>139</v>
      </c>
      <c r="B123" s="58">
        <v>24</v>
      </c>
      <c r="C123" s="58">
        <v>18</v>
      </c>
      <c r="D123" s="58">
        <v>11</v>
      </c>
      <c r="E123" s="58">
        <v>12.8</v>
      </c>
      <c r="F123" s="58">
        <v>12</v>
      </c>
      <c r="G123" s="58">
        <v>32.799999999999997</v>
      </c>
      <c r="H123" s="58">
        <v>44.5</v>
      </c>
      <c r="I123" s="58">
        <v>55.6</v>
      </c>
      <c r="J123" s="58">
        <v>85</v>
      </c>
      <c r="K123" s="58">
        <v>123.5</v>
      </c>
      <c r="L123" s="58">
        <v>127.5</v>
      </c>
      <c r="M123" s="58">
        <v>129.5</v>
      </c>
      <c r="N123" s="58">
        <v>123.5</v>
      </c>
      <c r="O123" s="58">
        <v>123.4</v>
      </c>
      <c r="P123" s="58">
        <v>112.5</v>
      </c>
      <c r="Q123" s="58">
        <v>127</v>
      </c>
      <c r="R123" s="58">
        <v>125.2</v>
      </c>
      <c r="S123" s="58">
        <v>134.9</v>
      </c>
      <c r="T123" s="58">
        <v>131.30000000000001</v>
      </c>
      <c r="U123" s="58">
        <v>136</v>
      </c>
      <c r="V123" s="58">
        <v>124.4</v>
      </c>
      <c r="W123" s="58">
        <v>122.6</v>
      </c>
      <c r="X123" s="58">
        <v>118.8</v>
      </c>
      <c r="Y123" s="58">
        <v>138</v>
      </c>
      <c r="Z123" s="58">
        <v>168</v>
      </c>
      <c r="AA123" s="58">
        <v>168.3</v>
      </c>
      <c r="AB123" s="58">
        <v>148.30000000000001</v>
      </c>
      <c r="AC123" s="58">
        <v>137.4</v>
      </c>
      <c r="AD123" s="58"/>
      <c r="AE123" s="58">
        <v>55.5</v>
      </c>
      <c r="AF123" s="58">
        <v>47.2</v>
      </c>
      <c r="AG123" s="60">
        <v>120</v>
      </c>
      <c r="AH123" s="12">
        <f t="shared" si="46"/>
        <v>168.3</v>
      </c>
      <c r="AI123" s="11">
        <f t="shared" si="47"/>
        <v>11</v>
      </c>
    </row>
    <row r="124" spans="1:35" x14ac:dyDescent="0.25">
      <c r="A124" s="57" t="s">
        <v>138</v>
      </c>
      <c r="B124" s="58">
        <v>26</v>
      </c>
      <c r="C124" s="58">
        <v>22</v>
      </c>
      <c r="D124" s="58">
        <v>19</v>
      </c>
      <c r="E124" s="58">
        <v>20.399999999999999</v>
      </c>
      <c r="F124" s="58">
        <v>25</v>
      </c>
      <c r="G124" s="58">
        <v>30</v>
      </c>
      <c r="H124" s="58">
        <v>35.799999999999997</v>
      </c>
      <c r="I124" s="58">
        <v>35.799999999999997</v>
      </c>
      <c r="J124" s="58">
        <v>35.799999999999997</v>
      </c>
      <c r="K124" s="58">
        <v>75.8</v>
      </c>
      <c r="L124" s="58">
        <v>77.3</v>
      </c>
      <c r="M124" s="58">
        <v>77.400000000000006</v>
      </c>
      <c r="N124" s="58">
        <v>74.900000000000006</v>
      </c>
      <c r="O124" s="58">
        <v>76.900000000000006</v>
      </c>
      <c r="P124" s="58">
        <v>70.2</v>
      </c>
      <c r="Q124" s="58"/>
      <c r="R124" s="58"/>
      <c r="S124" s="58">
        <v>71.099999999999994</v>
      </c>
      <c r="T124" s="58">
        <v>71.099999999999994</v>
      </c>
      <c r="U124" s="58">
        <v>76</v>
      </c>
      <c r="V124" s="58">
        <v>74.8</v>
      </c>
      <c r="W124" s="58">
        <v>74.900000000000006</v>
      </c>
      <c r="X124" s="58">
        <v>73.3</v>
      </c>
      <c r="Y124" s="58">
        <v>82</v>
      </c>
      <c r="Z124" s="58">
        <v>102</v>
      </c>
      <c r="AA124" s="58">
        <v>102</v>
      </c>
      <c r="AB124" s="58">
        <v>82.5</v>
      </c>
      <c r="AC124" s="58">
        <v>78.5</v>
      </c>
      <c r="AD124" s="58"/>
      <c r="AE124" s="58">
        <v>45.1</v>
      </c>
      <c r="AF124" s="58">
        <v>41.1</v>
      </c>
      <c r="AG124" s="60"/>
      <c r="AH124" s="12">
        <f t="shared" si="46"/>
        <v>102</v>
      </c>
      <c r="AI124" s="11">
        <f t="shared" si="47"/>
        <v>19</v>
      </c>
    </row>
    <row r="125" spans="1:35" x14ac:dyDescent="0.25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/>
      <c r="AE125" s="58">
        <v>0</v>
      </c>
      <c r="AF125" s="58">
        <v>0</v>
      </c>
      <c r="AG125" s="60"/>
      <c r="AH125" s="12">
        <f t="shared" si="46"/>
        <v>0</v>
      </c>
      <c r="AI125" s="11">
        <f t="shared" si="47"/>
        <v>0</v>
      </c>
    </row>
    <row r="126" spans="1:35" ht="15.75" thickBot="1" x14ac:dyDescent="0.3">
      <c r="A126" s="57" t="s">
        <v>136</v>
      </c>
      <c r="B126" s="58">
        <v>16</v>
      </c>
      <c r="C126" s="58">
        <v>16.5</v>
      </c>
      <c r="D126" s="58">
        <v>-63</v>
      </c>
      <c r="E126" s="58">
        <v>12.3</v>
      </c>
      <c r="F126" s="58">
        <v>21</v>
      </c>
      <c r="G126" s="58">
        <v>23.3</v>
      </c>
      <c r="H126" s="58">
        <v>24.5</v>
      </c>
      <c r="I126" s="58">
        <v>24.5</v>
      </c>
      <c r="J126" s="58">
        <v>24.5</v>
      </c>
      <c r="K126" s="58">
        <v>90.6</v>
      </c>
      <c r="L126" s="58">
        <v>87.3</v>
      </c>
      <c r="M126" s="58">
        <v>97.8</v>
      </c>
      <c r="N126" s="58">
        <v>90.6</v>
      </c>
      <c r="O126" s="58">
        <v>102</v>
      </c>
      <c r="P126" s="58">
        <v>97</v>
      </c>
      <c r="Q126" s="58">
        <v>102</v>
      </c>
      <c r="R126" s="58">
        <v>96</v>
      </c>
      <c r="S126" s="58">
        <v>105</v>
      </c>
      <c r="T126" s="58">
        <v>105.7</v>
      </c>
      <c r="U126" s="58">
        <v>103</v>
      </c>
      <c r="V126" s="58">
        <v>85.7</v>
      </c>
      <c r="W126" s="58">
        <v>93</v>
      </c>
      <c r="X126" s="58">
        <v>85.4</v>
      </c>
      <c r="Y126" s="58">
        <v>86.6</v>
      </c>
      <c r="Z126" s="58">
        <v>29.4</v>
      </c>
      <c r="AA126" s="58">
        <v>21</v>
      </c>
      <c r="AB126" s="58">
        <v>8.9</v>
      </c>
      <c r="AC126" s="58">
        <v>7.6</v>
      </c>
      <c r="AD126" s="58"/>
      <c r="AE126" s="58">
        <v>3.5</v>
      </c>
      <c r="AF126" s="58">
        <v>11.9</v>
      </c>
      <c r="AG126" s="55"/>
      <c r="AH126" s="12">
        <f>MAX(B126:AF126)</f>
        <v>105.7</v>
      </c>
      <c r="AI126" s="11">
        <f>MIN(B126:AF126)</f>
        <v>-63</v>
      </c>
    </row>
    <row r="127" spans="1:35" x14ac:dyDescent="0.25">
      <c r="A127" s="59" t="s">
        <v>135</v>
      </c>
      <c r="B127" s="58">
        <v>-59</v>
      </c>
      <c r="C127" s="58">
        <v>-63</v>
      </c>
      <c r="D127" s="58">
        <v>-63</v>
      </c>
      <c r="E127" s="58">
        <v>-63.8</v>
      </c>
      <c r="F127" s="58">
        <v>-55.6</v>
      </c>
      <c r="G127" s="58">
        <v>-51.2</v>
      </c>
      <c r="H127" s="58">
        <v>-46</v>
      </c>
      <c r="I127" s="58">
        <v>-46</v>
      </c>
      <c r="J127" s="58">
        <v>-46</v>
      </c>
      <c r="K127" s="58">
        <v>39.700000000000003</v>
      </c>
      <c r="L127" s="58">
        <v>42.5</v>
      </c>
      <c r="M127" s="58">
        <v>46.7</v>
      </c>
      <c r="N127" s="58">
        <v>41.7</v>
      </c>
      <c r="O127" s="58">
        <v>42.1</v>
      </c>
      <c r="P127" s="58">
        <v>35</v>
      </c>
      <c r="Q127" s="58">
        <v>42.3</v>
      </c>
      <c r="R127" s="58">
        <v>41.3</v>
      </c>
      <c r="S127" s="58">
        <v>48</v>
      </c>
      <c r="T127" s="58">
        <v>44</v>
      </c>
      <c r="U127" s="58">
        <v>47</v>
      </c>
      <c r="V127" s="58">
        <v>41.6</v>
      </c>
      <c r="W127" s="58">
        <v>41.2</v>
      </c>
      <c r="X127" s="58">
        <v>24</v>
      </c>
      <c r="Y127" s="58">
        <v>-78</v>
      </c>
      <c r="Z127" s="58">
        <v>-154</v>
      </c>
      <c r="AA127" s="58">
        <v>-155</v>
      </c>
      <c r="AB127" s="58">
        <v>-141.5</v>
      </c>
      <c r="AC127" s="58">
        <v>-132.69999999999999</v>
      </c>
      <c r="AD127" s="58"/>
      <c r="AE127" s="58">
        <v>-101</v>
      </c>
      <c r="AF127" s="58">
        <v>-86.4</v>
      </c>
      <c r="AG127" s="55"/>
      <c r="AH127" s="12">
        <f>MAX(B127:AF127)</f>
        <v>48</v>
      </c>
      <c r="AI127" s="11">
        <f>MIN(B127:AF127)</f>
        <v>-155</v>
      </c>
    </row>
    <row r="128" spans="1:35" x14ac:dyDescent="0.25">
      <c r="A128" s="57" t="s">
        <v>134</v>
      </c>
      <c r="B128" s="56">
        <v>-55</v>
      </c>
      <c r="C128" s="56">
        <v>-46</v>
      </c>
      <c r="D128" s="56">
        <v>-44</v>
      </c>
      <c r="E128" s="56">
        <v>-34.9</v>
      </c>
      <c r="F128" s="56">
        <v>-42.9</v>
      </c>
      <c r="G128" s="56">
        <v>-42.7</v>
      </c>
      <c r="H128" s="56">
        <v>-47.9</v>
      </c>
      <c r="I128" s="56">
        <v>-47.9</v>
      </c>
      <c r="J128" s="56">
        <v>-47.9</v>
      </c>
      <c r="K128" s="56">
        <v>-67.8</v>
      </c>
      <c r="L128" s="56">
        <v>-66</v>
      </c>
      <c r="M128" s="56">
        <v>-64.3</v>
      </c>
      <c r="N128" s="56">
        <v>-51.8</v>
      </c>
      <c r="O128" s="56">
        <v>-61.3</v>
      </c>
      <c r="P128" s="56">
        <v>-59.6</v>
      </c>
      <c r="Q128" s="56">
        <v>-60</v>
      </c>
      <c r="R128" s="56">
        <v>-59.3</v>
      </c>
      <c r="S128" s="56">
        <v>-61.2</v>
      </c>
      <c r="T128" s="56">
        <v>-58</v>
      </c>
      <c r="U128" s="56">
        <v>-61</v>
      </c>
      <c r="V128" s="56">
        <v>-65</v>
      </c>
      <c r="W128" s="56"/>
      <c r="X128" s="56"/>
      <c r="Y128" s="56"/>
      <c r="Z128" s="56"/>
      <c r="AA128" s="56">
        <v>-67</v>
      </c>
      <c r="AB128" s="56"/>
      <c r="AC128" s="56"/>
      <c r="AD128" s="56"/>
      <c r="AE128" s="56">
        <v>-55.8</v>
      </c>
      <c r="AF128" s="56">
        <v>-49.6</v>
      </c>
      <c r="AG128" s="55"/>
      <c r="AH128" s="12">
        <f>MAX(B128:AF128)</f>
        <v>-34.9</v>
      </c>
      <c r="AI128" s="11">
        <f>MIN(B128:AF128)</f>
        <v>-67.8</v>
      </c>
    </row>
    <row r="129" spans="1:37" x14ac:dyDescent="0.25">
      <c r="A129" s="57" t="s">
        <v>133</v>
      </c>
      <c r="B129" s="56">
        <v>91</v>
      </c>
      <c r="C129" s="56">
        <v>81</v>
      </c>
      <c r="D129" s="56">
        <v>77</v>
      </c>
      <c r="E129" s="56">
        <v>71.099999999999994</v>
      </c>
      <c r="F129" s="56">
        <v>53</v>
      </c>
      <c r="G129" s="56">
        <v>42.6</v>
      </c>
      <c r="H129" s="56">
        <v>71.900000000000006</v>
      </c>
      <c r="I129" s="56">
        <v>71.900000000000006</v>
      </c>
      <c r="J129" s="56">
        <v>71.900000000000006</v>
      </c>
      <c r="K129" s="56">
        <v>65</v>
      </c>
      <c r="L129" s="56">
        <v>77.099999999999994</v>
      </c>
      <c r="M129" s="56">
        <v>88.4</v>
      </c>
      <c r="N129" s="56">
        <v>94.6</v>
      </c>
      <c r="O129" s="56">
        <v>94.7</v>
      </c>
      <c r="P129" s="56">
        <v>91</v>
      </c>
      <c r="Q129" s="56">
        <v>94.2</v>
      </c>
      <c r="R129" s="56">
        <v>95.5</v>
      </c>
      <c r="S129" s="56">
        <v>87.2</v>
      </c>
      <c r="T129" s="56">
        <v>97</v>
      </c>
      <c r="U129" s="56">
        <v>81</v>
      </c>
      <c r="V129" s="56">
        <v>75</v>
      </c>
      <c r="W129" s="56">
        <v>69.5</v>
      </c>
      <c r="X129" s="56">
        <v>41</v>
      </c>
      <c r="Y129" s="56">
        <v>108</v>
      </c>
      <c r="Z129" s="56">
        <v>112</v>
      </c>
      <c r="AA129" s="56">
        <v>114</v>
      </c>
      <c r="AB129" s="56">
        <v>109.3</v>
      </c>
      <c r="AC129" s="56">
        <v>110.4</v>
      </c>
      <c r="AD129" s="56"/>
      <c r="AE129" s="56">
        <v>101.2</v>
      </c>
      <c r="AF129" s="56">
        <v>90.3</v>
      </c>
      <c r="AG129" s="55"/>
      <c r="AH129" s="12">
        <f>MAX(B129:AF129)</f>
        <v>114</v>
      </c>
      <c r="AI129" s="11">
        <f>MIN(B129:AF129)</f>
        <v>41</v>
      </c>
    </row>
    <row r="130" spans="1:37" ht="15.75" thickBot="1" x14ac:dyDescent="0.3">
      <c r="A130" s="57" t="s">
        <v>132</v>
      </c>
      <c r="B130" s="56">
        <v>101</v>
      </c>
      <c r="C130" s="56">
        <v>89</v>
      </c>
      <c r="D130" s="56">
        <v>85</v>
      </c>
      <c r="E130" s="56">
        <v>80.900000000000006</v>
      </c>
      <c r="F130" s="56">
        <v>82.5</v>
      </c>
      <c r="G130" s="56">
        <v>81.7</v>
      </c>
      <c r="H130" s="56">
        <v>81.900000000000006</v>
      </c>
      <c r="I130" s="56">
        <v>81.900000000000006</v>
      </c>
      <c r="J130" s="56">
        <v>81.900000000000006</v>
      </c>
      <c r="K130" s="56">
        <v>62.8</v>
      </c>
      <c r="L130" s="56">
        <v>77.2</v>
      </c>
      <c r="M130" s="56">
        <v>81.8</v>
      </c>
      <c r="N130" s="56">
        <v>86.2</v>
      </c>
      <c r="O130" s="56">
        <v>85.6</v>
      </c>
      <c r="P130" s="56">
        <v>85.7</v>
      </c>
      <c r="Q130" s="56">
        <v>93.7</v>
      </c>
      <c r="R130" s="56">
        <v>89.9</v>
      </c>
      <c r="S130" s="56">
        <v>87</v>
      </c>
      <c r="T130" s="56">
        <v>93</v>
      </c>
      <c r="U130" s="56">
        <v>82</v>
      </c>
      <c r="V130" s="56">
        <v>76</v>
      </c>
      <c r="W130" s="56">
        <v>70</v>
      </c>
      <c r="X130" s="56">
        <v>61</v>
      </c>
      <c r="Y130" s="56">
        <v>110</v>
      </c>
      <c r="Z130" s="56">
        <v>122</v>
      </c>
      <c r="AA130" s="56">
        <v>123</v>
      </c>
      <c r="AB130" s="56">
        <v>118</v>
      </c>
      <c r="AC130" s="56">
        <v>119</v>
      </c>
      <c r="AD130" s="56"/>
      <c r="AE130" s="56">
        <v>109.9</v>
      </c>
      <c r="AF130" s="56">
        <v>99.7</v>
      </c>
      <c r="AG130" s="55"/>
      <c r="AH130" s="12">
        <f>MAX(B130:AF130)</f>
        <v>123</v>
      </c>
      <c r="AI130" s="11">
        <f>MIN(B130:AF130)</f>
        <v>61</v>
      </c>
    </row>
    <row r="131" spans="1:37" x14ac:dyDescent="0.25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25">
      <c r="A132" s="47" t="s">
        <v>130</v>
      </c>
      <c r="B132" s="51">
        <v>1982.61</v>
      </c>
      <c r="C132" s="51">
        <v>1982.6</v>
      </c>
      <c r="D132" s="51">
        <v>1982.6</v>
      </c>
      <c r="E132" s="51">
        <v>1982.61</v>
      </c>
      <c r="F132" s="51">
        <v>1982.62</v>
      </c>
      <c r="G132" s="51">
        <v>1982.61</v>
      </c>
      <c r="H132" s="51"/>
      <c r="I132" s="51">
        <v>1982.6</v>
      </c>
      <c r="J132" s="51"/>
      <c r="K132" s="51">
        <v>1982.88</v>
      </c>
      <c r="L132" s="51"/>
      <c r="M132" s="51">
        <v>1983.22</v>
      </c>
      <c r="N132" s="51">
        <v>1983.55</v>
      </c>
      <c r="O132" s="51">
        <v>1983.85</v>
      </c>
      <c r="P132" s="51">
        <v>1984.1</v>
      </c>
      <c r="Q132" s="51">
        <v>1984.38</v>
      </c>
      <c r="R132" s="51">
        <v>1984.62</v>
      </c>
      <c r="S132" s="51">
        <v>1984.89</v>
      </c>
      <c r="T132" s="51">
        <v>1985.05</v>
      </c>
      <c r="U132" s="51">
        <v>1985.35</v>
      </c>
      <c r="V132" s="51">
        <v>1985.6</v>
      </c>
      <c r="W132" s="51"/>
      <c r="X132" s="51">
        <v>1985.83</v>
      </c>
      <c r="Y132" s="51"/>
      <c r="Z132" s="51">
        <v>1985.61</v>
      </c>
      <c r="AA132" s="51"/>
      <c r="AB132" s="51">
        <v>1984.62</v>
      </c>
      <c r="AC132" s="51"/>
      <c r="AD132" s="51">
        <v>1983.86</v>
      </c>
      <c r="AE132" s="51">
        <v>1983.26</v>
      </c>
      <c r="AF132" s="50">
        <v>1982.94</v>
      </c>
      <c r="AG132" s="44"/>
      <c r="AH132" s="12"/>
      <c r="AI132" s="11"/>
    </row>
    <row r="133" spans="1:37" x14ac:dyDescent="0.25">
      <c r="A133" s="47" t="s">
        <v>129</v>
      </c>
      <c r="B133" s="49">
        <v>518.66</v>
      </c>
      <c r="C133" s="49">
        <v>518.64</v>
      </c>
      <c r="D133" s="49">
        <v>518.66999999999996</v>
      </c>
      <c r="E133" s="49">
        <v>518.78</v>
      </c>
      <c r="F133" s="49">
        <v>519.04</v>
      </c>
      <c r="G133" s="49">
        <v>519.28</v>
      </c>
      <c r="H133" s="49"/>
      <c r="I133" s="49">
        <v>519.48</v>
      </c>
      <c r="J133" s="49"/>
      <c r="K133" s="49">
        <v>519.66</v>
      </c>
      <c r="L133" s="49"/>
      <c r="M133" s="49">
        <v>519.65</v>
      </c>
      <c r="N133" s="49">
        <v>519.61</v>
      </c>
      <c r="O133" s="49">
        <v>519.65</v>
      </c>
      <c r="P133" s="49">
        <v>519.71</v>
      </c>
      <c r="Q133" s="49">
        <v>519.78</v>
      </c>
      <c r="R133" s="49">
        <v>519.84</v>
      </c>
      <c r="S133" s="49">
        <v>519.9</v>
      </c>
      <c r="T133" s="49">
        <v>519.91999999999996</v>
      </c>
      <c r="U133" s="49">
        <v>519.9</v>
      </c>
      <c r="V133" s="49">
        <v>519.96</v>
      </c>
      <c r="W133" s="49"/>
      <c r="X133" s="49">
        <v>520</v>
      </c>
      <c r="Y133" s="49"/>
      <c r="Z133" s="49">
        <v>520.02</v>
      </c>
      <c r="AA133" s="49"/>
      <c r="AB133" s="49">
        <v>519.82000000000005</v>
      </c>
      <c r="AC133" s="49"/>
      <c r="AD133" s="49">
        <v>519.61</v>
      </c>
      <c r="AE133" s="49">
        <v>519.47</v>
      </c>
      <c r="AF133" s="48">
        <v>519.4</v>
      </c>
      <c r="AG133" s="44"/>
      <c r="AH133" s="12"/>
      <c r="AI133" s="11"/>
    </row>
    <row r="134" spans="1:37" x14ac:dyDescent="0.25">
      <c r="A134" s="47" t="s">
        <v>128</v>
      </c>
      <c r="B134" s="49">
        <v>622.13</v>
      </c>
      <c r="C134" s="49">
        <v>622.16</v>
      </c>
      <c r="D134" s="49">
        <v>622.25</v>
      </c>
      <c r="E134" s="49">
        <v>622.52</v>
      </c>
      <c r="F134" s="49">
        <v>622.69000000000005</v>
      </c>
      <c r="G134" s="49">
        <v>622.99</v>
      </c>
      <c r="H134" s="49"/>
      <c r="I134" s="49">
        <v>623.16</v>
      </c>
      <c r="J134" s="49"/>
      <c r="K134" s="49">
        <v>622.99</v>
      </c>
      <c r="L134" s="49"/>
      <c r="M134" s="49">
        <v>622.59</v>
      </c>
      <c r="N134" s="49">
        <v>622.46</v>
      </c>
      <c r="O134" s="49">
        <v>622.37</v>
      </c>
      <c r="P134" s="49">
        <v>622.11</v>
      </c>
      <c r="Q134" s="49">
        <v>621.74</v>
      </c>
      <c r="R134" s="49">
        <v>621.78</v>
      </c>
      <c r="S134" s="49">
        <v>621.9</v>
      </c>
      <c r="T134" s="49">
        <v>622</v>
      </c>
      <c r="U134" s="49">
        <v>622.12</v>
      </c>
      <c r="V134" s="49">
        <v>622.35</v>
      </c>
      <c r="W134" s="49"/>
      <c r="X134" s="49">
        <v>622.84</v>
      </c>
      <c r="Y134" s="49">
        <v>623.01</v>
      </c>
      <c r="Z134" s="49">
        <v>622.96</v>
      </c>
      <c r="AA134" s="49"/>
      <c r="AB134" s="49">
        <v>622.55999999999995</v>
      </c>
      <c r="AC134" s="49"/>
      <c r="AD134" s="49">
        <v>621.91</v>
      </c>
      <c r="AE134" s="49">
        <v>622.09</v>
      </c>
      <c r="AF134" s="48">
        <v>622.5</v>
      </c>
      <c r="AG134" s="44"/>
      <c r="AH134" s="12"/>
      <c r="AI134" s="11"/>
    </row>
    <row r="135" spans="1:37" x14ac:dyDescent="0.25">
      <c r="A135" s="47" t="s">
        <v>127</v>
      </c>
      <c r="B135" s="49"/>
      <c r="C135" s="49">
        <v>334.82</v>
      </c>
      <c r="D135" s="49">
        <v>335.31</v>
      </c>
      <c r="E135" s="49">
        <v>335.65</v>
      </c>
      <c r="F135" s="49">
        <v>335.81</v>
      </c>
      <c r="G135" s="49">
        <v>335.97</v>
      </c>
      <c r="H135" s="49"/>
      <c r="I135" s="49">
        <v>336.1</v>
      </c>
      <c r="J135" s="49"/>
      <c r="K135" s="49">
        <v>336.08</v>
      </c>
      <c r="L135" s="49"/>
      <c r="M135" s="49">
        <v>335.98</v>
      </c>
      <c r="N135" s="49">
        <v>335.58</v>
      </c>
      <c r="O135" s="49">
        <v>335.68</v>
      </c>
      <c r="P135" s="49">
        <v>335.5</v>
      </c>
      <c r="Q135" s="49">
        <v>335.45</v>
      </c>
      <c r="R135" s="49">
        <v>335.53</v>
      </c>
      <c r="S135" s="49">
        <v>335.65</v>
      </c>
      <c r="T135" s="49">
        <v>335.67</v>
      </c>
      <c r="U135" s="49">
        <v>335.68</v>
      </c>
      <c r="V135" s="49">
        <v>335.74</v>
      </c>
      <c r="W135" s="49"/>
      <c r="X135" s="49">
        <v>335.83</v>
      </c>
      <c r="Y135" s="49"/>
      <c r="Z135" s="49">
        <v>335.88</v>
      </c>
      <c r="AA135" s="49"/>
      <c r="AB135" s="49">
        <v>335.61</v>
      </c>
      <c r="AC135" s="49"/>
      <c r="AD135" s="49">
        <v>335.14</v>
      </c>
      <c r="AE135" s="49">
        <v>334.83</v>
      </c>
      <c r="AF135" s="48">
        <v>334.58</v>
      </c>
      <c r="AG135" s="44"/>
      <c r="AH135" s="12"/>
      <c r="AI135" s="11"/>
    </row>
    <row r="136" spans="1:37" x14ac:dyDescent="0.25">
      <c r="A136" s="47" t="s">
        <v>126</v>
      </c>
      <c r="B136" s="49">
        <v>883.7</v>
      </c>
      <c r="C136" s="49">
        <v>884.7</v>
      </c>
      <c r="D136" s="49">
        <v>885.6</v>
      </c>
      <c r="E136" s="49">
        <v>886.4</v>
      </c>
      <c r="F136" s="49">
        <v>887.1</v>
      </c>
      <c r="G136" s="49">
        <v>887.7</v>
      </c>
      <c r="H136" s="49"/>
      <c r="I136" s="49">
        <v>887.9</v>
      </c>
      <c r="J136" s="49"/>
      <c r="K136" s="49">
        <v>887.8</v>
      </c>
      <c r="L136" s="49"/>
      <c r="M136" s="49">
        <v>887.7</v>
      </c>
      <c r="N136" s="49">
        <v>887.7</v>
      </c>
      <c r="O136" s="49">
        <v>887.6</v>
      </c>
      <c r="P136" s="49">
        <v>887.4</v>
      </c>
      <c r="Q136" s="49">
        <v>887</v>
      </c>
      <c r="R136" s="49">
        <v>886.3</v>
      </c>
      <c r="S136" s="49">
        <v>885.6</v>
      </c>
      <c r="T136" s="49">
        <v>884.5</v>
      </c>
      <c r="U136" s="49">
        <v>883.6</v>
      </c>
      <c r="V136" s="49">
        <v>882.8</v>
      </c>
      <c r="W136" s="49"/>
      <c r="X136" s="49">
        <v>882.8</v>
      </c>
      <c r="Y136" s="49"/>
      <c r="Z136" s="49">
        <v>882.7</v>
      </c>
      <c r="AA136" s="49"/>
      <c r="AB136" s="49">
        <v>882.7</v>
      </c>
      <c r="AC136" s="49"/>
      <c r="AD136" s="49">
        <v>882.6</v>
      </c>
      <c r="AE136" s="49">
        <v>883.1</v>
      </c>
      <c r="AF136" s="48">
        <v>884.4</v>
      </c>
      <c r="AG136" s="44"/>
      <c r="AH136" s="12"/>
      <c r="AI136" s="11"/>
    </row>
    <row r="137" spans="1:37" ht="15.75" thickBot="1" x14ac:dyDescent="0.3">
      <c r="A137" s="47" t="s">
        <v>125</v>
      </c>
      <c r="B137" s="46">
        <v>1503.66</v>
      </c>
      <c r="C137" s="46">
        <v>1503.63</v>
      </c>
      <c r="D137" s="46">
        <v>1503.59</v>
      </c>
      <c r="E137" s="46">
        <v>1503.55</v>
      </c>
      <c r="F137" s="46">
        <v>1503.52</v>
      </c>
      <c r="G137" s="46">
        <v>1503.48</v>
      </c>
      <c r="H137" s="46"/>
      <c r="I137" s="46">
        <v>1503.44</v>
      </c>
      <c r="J137" s="46"/>
      <c r="K137" s="46">
        <v>1503.42</v>
      </c>
      <c r="L137" s="46"/>
      <c r="M137" s="46">
        <v>1503.41</v>
      </c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.75" thickBot="1" x14ac:dyDescent="0.3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25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25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25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25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25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25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25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25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25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25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25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25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25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25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25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25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25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25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25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25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25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25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25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25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25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25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25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25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25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25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25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25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25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25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25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25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25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25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25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25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25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25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25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25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25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25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25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25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25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25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25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25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25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25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25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25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25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25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25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25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25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25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25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25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25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25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25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25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25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25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25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25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25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25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25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25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25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25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25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25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25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25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25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25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25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25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25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25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25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25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25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25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25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25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25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25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25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25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25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25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25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25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25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25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.75" thickBot="1" x14ac:dyDescent="0.3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.75" thickBot="1" x14ac:dyDescent="0.3">
      <c r="A244" s="31" t="s">
        <v>17</v>
      </c>
      <c r="B244" s="30">
        <f t="shared" ref="B244:AG244" si="94">SUM(B139:B243)</f>
        <v>0</v>
      </c>
      <c r="C244" s="14">
        <f t="shared" si="94"/>
        <v>0</v>
      </c>
      <c r="D244" s="14">
        <f t="shared" si="94"/>
        <v>0</v>
      </c>
      <c r="E244" s="14">
        <f t="shared" si="94"/>
        <v>0</v>
      </c>
      <c r="F244" s="14">
        <f t="shared" si="94"/>
        <v>0</v>
      </c>
      <c r="G244" s="14">
        <f t="shared" si="94"/>
        <v>0</v>
      </c>
      <c r="H244" s="14">
        <f t="shared" si="94"/>
        <v>0</v>
      </c>
      <c r="I244" s="14">
        <f t="shared" si="94"/>
        <v>0</v>
      </c>
      <c r="J244" s="14">
        <f t="shared" si="94"/>
        <v>0</v>
      </c>
      <c r="K244" s="14">
        <f t="shared" si="94"/>
        <v>0</v>
      </c>
      <c r="L244" s="14">
        <f t="shared" si="94"/>
        <v>0</v>
      </c>
      <c r="M244" s="14">
        <f t="shared" si="94"/>
        <v>0</v>
      </c>
      <c r="N244" s="14">
        <f t="shared" si="94"/>
        <v>0</v>
      </c>
      <c r="O244" s="14">
        <f t="shared" si="94"/>
        <v>0</v>
      </c>
      <c r="P244" s="14">
        <f t="shared" si="94"/>
        <v>0</v>
      </c>
      <c r="Q244" s="14">
        <f t="shared" si="94"/>
        <v>0</v>
      </c>
      <c r="R244" s="14">
        <f t="shared" si="94"/>
        <v>0</v>
      </c>
      <c r="S244" s="14">
        <f t="shared" si="94"/>
        <v>0</v>
      </c>
      <c r="T244" s="14">
        <f t="shared" si="94"/>
        <v>0</v>
      </c>
      <c r="U244" s="14">
        <f t="shared" si="94"/>
        <v>0</v>
      </c>
      <c r="V244" s="14">
        <f t="shared" si="94"/>
        <v>0</v>
      </c>
      <c r="W244" s="14">
        <f t="shared" si="94"/>
        <v>0</v>
      </c>
      <c r="X244" s="14">
        <f t="shared" si="94"/>
        <v>0</v>
      </c>
      <c r="Y244" s="14">
        <f t="shared" si="94"/>
        <v>0</v>
      </c>
      <c r="Z244" s="14">
        <f t="shared" si="94"/>
        <v>0</v>
      </c>
      <c r="AA244" s="14">
        <f t="shared" si="94"/>
        <v>0</v>
      </c>
      <c r="AB244" s="14">
        <f t="shared" si="94"/>
        <v>0</v>
      </c>
      <c r="AC244" s="14">
        <f t="shared" si="94"/>
        <v>0</v>
      </c>
      <c r="AD244" s="14">
        <f t="shared" si="94"/>
        <v>0</v>
      </c>
      <c r="AE244" s="14">
        <f t="shared" si="94"/>
        <v>0</v>
      </c>
      <c r="AF244" s="29">
        <f t="shared" si="94"/>
        <v>0</v>
      </c>
      <c r="AG244" s="28">
        <f t="shared" si="94"/>
        <v>412.72299999999984</v>
      </c>
      <c r="AH244" s="12"/>
      <c r="AI244" s="11"/>
      <c r="AK244" s="19"/>
    </row>
    <row r="245" spans="1:37" ht="15.75" thickBot="1" x14ac:dyDescent="0.3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25">
      <c r="A246" s="25" t="s">
        <v>16</v>
      </c>
      <c r="B246" s="24">
        <f t="shared" ref="B246:B251" si="95">AF246</f>
        <v>0.3</v>
      </c>
      <c r="C246" s="24">
        <v>0.3</v>
      </c>
      <c r="D246" s="24">
        <f t="shared" ref="D246:AF251" si="96">C246</f>
        <v>0.3</v>
      </c>
      <c r="E246" s="24">
        <f t="shared" si="96"/>
        <v>0.3</v>
      </c>
      <c r="F246" s="24">
        <f t="shared" si="96"/>
        <v>0.3</v>
      </c>
      <c r="G246" s="24">
        <f t="shared" si="96"/>
        <v>0.3</v>
      </c>
      <c r="H246" s="24">
        <f t="shared" si="96"/>
        <v>0.3</v>
      </c>
      <c r="I246" s="24">
        <f t="shared" si="96"/>
        <v>0.3</v>
      </c>
      <c r="J246" s="24">
        <f t="shared" si="96"/>
        <v>0.3</v>
      </c>
      <c r="K246" s="24">
        <f t="shared" si="96"/>
        <v>0.3</v>
      </c>
      <c r="L246" s="24">
        <f t="shared" si="96"/>
        <v>0.3</v>
      </c>
      <c r="M246" s="24">
        <f t="shared" si="96"/>
        <v>0.3</v>
      </c>
      <c r="N246" s="24">
        <f t="shared" si="96"/>
        <v>0.3</v>
      </c>
      <c r="O246" s="24">
        <f t="shared" si="96"/>
        <v>0.3</v>
      </c>
      <c r="P246" s="24">
        <f t="shared" si="96"/>
        <v>0.3</v>
      </c>
      <c r="Q246" s="24">
        <f t="shared" si="96"/>
        <v>0.3</v>
      </c>
      <c r="R246" s="24">
        <f t="shared" si="96"/>
        <v>0.3</v>
      </c>
      <c r="S246" s="24">
        <f t="shared" si="96"/>
        <v>0.3</v>
      </c>
      <c r="T246" s="24">
        <f t="shared" si="96"/>
        <v>0.3</v>
      </c>
      <c r="U246" s="24">
        <f t="shared" si="96"/>
        <v>0.3</v>
      </c>
      <c r="V246" s="24">
        <f t="shared" si="96"/>
        <v>0.3</v>
      </c>
      <c r="W246" s="24">
        <f t="shared" si="96"/>
        <v>0.3</v>
      </c>
      <c r="X246" s="24">
        <f t="shared" si="96"/>
        <v>0.3</v>
      </c>
      <c r="Y246" s="24">
        <f t="shared" si="96"/>
        <v>0.3</v>
      </c>
      <c r="Z246" s="24">
        <f t="shared" si="96"/>
        <v>0.3</v>
      </c>
      <c r="AA246" s="24">
        <f t="shared" si="96"/>
        <v>0.3</v>
      </c>
      <c r="AB246" s="24">
        <f t="shared" si="96"/>
        <v>0.3</v>
      </c>
      <c r="AC246" s="24">
        <f t="shared" si="96"/>
        <v>0.3</v>
      </c>
      <c r="AD246" s="24">
        <f t="shared" si="96"/>
        <v>0.3</v>
      </c>
      <c r="AE246" s="24">
        <f t="shared" si="96"/>
        <v>0.3</v>
      </c>
      <c r="AF246" s="24">
        <f t="shared" si="96"/>
        <v>0.3</v>
      </c>
      <c r="AG246" s="23">
        <v>2.4</v>
      </c>
      <c r="AH246" s="12"/>
      <c r="AI246" s="11"/>
      <c r="AK246" s="19"/>
    </row>
    <row r="247" spans="1:37" x14ac:dyDescent="0.25">
      <c r="A247" s="22" t="s">
        <v>15</v>
      </c>
      <c r="B247" s="21">
        <f t="shared" si="95"/>
        <v>0.4</v>
      </c>
      <c r="C247" s="21">
        <v>0.4</v>
      </c>
      <c r="D247" s="21">
        <f t="shared" si="96"/>
        <v>0.4</v>
      </c>
      <c r="E247" s="21">
        <f t="shared" si="96"/>
        <v>0.4</v>
      </c>
      <c r="F247" s="21">
        <f t="shared" si="96"/>
        <v>0.4</v>
      </c>
      <c r="G247" s="21">
        <f t="shared" si="96"/>
        <v>0.4</v>
      </c>
      <c r="H247" s="21">
        <f t="shared" si="96"/>
        <v>0.4</v>
      </c>
      <c r="I247" s="21">
        <f t="shared" si="96"/>
        <v>0.4</v>
      </c>
      <c r="J247" s="21">
        <f t="shared" si="96"/>
        <v>0.4</v>
      </c>
      <c r="K247" s="21">
        <f t="shared" si="96"/>
        <v>0.4</v>
      </c>
      <c r="L247" s="21">
        <f t="shared" si="96"/>
        <v>0.4</v>
      </c>
      <c r="M247" s="21">
        <f t="shared" si="96"/>
        <v>0.4</v>
      </c>
      <c r="N247" s="21">
        <f t="shared" si="96"/>
        <v>0.4</v>
      </c>
      <c r="O247" s="21">
        <f t="shared" si="96"/>
        <v>0.4</v>
      </c>
      <c r="P247" s="21">
        <f t="shared" si="96"/>
        <v>0.4</v>
      </c>
      <c r="Q247" s="21">
        <f t="shared" si="96"/>
        <v>0.4</v>
      </c>
      <c r="R247" s="21">
        <f t="shared" si="96"/>
        <v>0.4</v>
      </c>
      <c r="S247" s="21">
        <f t="shared" si="96"/>
        <v>0.4</v>
      </c>
      <c r="T247" s="21">
        <f t="shared" si="96"/>
        <v>0.4</v>
      </c>
      <c r="U247" s="21">
        <f t="shared" si="96"/>
        <v>0.4</v>
      </c>
      <c r="V247" s="21">
        <f t="shared" si="96"/>
        <v>0.4</v>
      </c>
      <c r="W247" s="21">
        <f t="shared" si="96"/>
        <v>0.4</v>
      </c>
      <c r="X247" s="21">
        <f t="shared" si="96"/>
        <v>0.4</v>
      </c>
      <c r="Y247" s="21">
        <f t="shared" si="96"/>
        <v>0.4</v>
      </c>
      <c r="Z247" s="21">
        <f t="shared" si="96"/>
        <v>0.4</v>
      </c>
      <c r="AA247" s="21">
        <f t="shared" si="96"/>
        <v>0.4</v>
      </c>
      <c r="AB247" s="21">
        <f t="shared" si="96"/>
        <v>0.4</v>
      </c>
      <c r="AC247" s="21">
        <f t="shared" si="96"/>
        <v>0.4</v>
      </c>
      <c r="AD247" s="21">
        <f t="shared" si="96"/>
        <v>0.4</v>
      </c>
      <c r="AE247" s="21">
        <f t="shared" si="96"/>
        <v>0.4</v>
      </c>
      <c r="AF247" s="21">
        <f t="shared" si="96"/>
        <v>0.4</v>
      </c>
      <c r="AG247" s="20">
        <v>2</v>
      </c>
      <c r="AH247" s="12"/>
      <c r="AI247" s="11"/>
      <c r="AK247" s="19"/>
    </row>
    <row r="248" spans="1:37" x14ac:dyDescent="0.25">
      <c r="A248" s="22" t="s">
        <v>14</v>
      </c>
      <c r="B248" s="21">
        <f t="shared" si="95"/>
        <v>1.5</v>
      </c>
      <c r="C248" s="21">
        <v>1.5</v>
      </c>
      <c r="D248" s="21">
        <f t="shared" si="96"/>
        <v>1.5</v>
      </c>
      <c r="E248" s="21">
        <f t="shared" si="96"/>
        <v>1.5</v>
      </c>
      <c r="F248" s="21">
        <f t="shared" si="96"/>
        <v>1.5</v>
      </c>
      <c r="G248" s="21">
        <f t="shared" si="96"/>
        <v>1.5</v>
      </c>
      <c r="H248" s="21">
        <f t="shared" si="96"/>
        <v>1.5</v>
      </c>
      <c r="I248" s="21">
        <f t="shared" si="96"/>
        <v>1.5</v>
      </c>
      <c r="J248" s="21">
        <f t="shared" si="96"/>
        <v>1.5</v>
      </c>
      <c r="K248" s="21">
        <f t="shared" si="96"/>
        <v>1.5</v>
      </c>
      <c r="L248" s="21">
        <f t="shared" si="96"/>
        <v>1.5</v>
      </c>
      <c r="M248" s="21">
        <f t="shared" si="96"/>
        <v>1.5</v>
      </c>
      <c r="N248" s="21">
        <f t="shared" si="96"/>
        <v>1.5</v>
      </c>
      <c r="O248" s="21">
        <f t="shared" si="96"/>
        <v>1.5</v>
      </c>
      <c r="P248" s="21">
        <f t="shared" si="96"/>
        <v>1.5</v>
      </c>
      <c r="Q248" s="21">
        <f t="shared" si="96"/>
        <v>1.5</v>
      </c>
      <c r="R248" s="21">
        <f t="shared" si="96"/>
        <v>1.5</v>
      </c>
      <c r="S248" s="21">
        <f t="shared" si="96"/>
        <v>1.5</v>
      </c>
      <c r="T248" s="21">
        <f t="shared" si="96"/>
        <v>1.5</v>
      </c>
      <c r="U248" s="21">
        <f t="shared" si="96"/>
        <v>1.5</v>
      </c>
      <c r="V248" s="21">
        <f t="shared" si="96"/>
        <v>1.5</v>
      </c>
      <c r="W248" s="21">
        <f t="shared" si="96"/>
        <v>1.5</v>
      </c>
      <c r="X248" s="21">
        <f t="shared" si="96"/>
        <v>1.5</v>
      </c>
      <c r="Y248" s="21">
        <f t="shared" si="96"/>
        <v>1.5</v>
      </c>
      <c r="Z248" s="21">
        <f t="shared" si="96"/>
        <v>1.5</v>
      </c>
      <c r="AA248" s="21">
        <f t="shared" si="96"/>
        <v>1.5</v>
      </c>
      <c r="AB248" s="21">
        <f t="shared" si="96"/>
        <v>1.5</v>
      </c>
      <c r="AC248" s="21">
        <f t="shared" si="96"/>
        <v>1.5</v>
      </c>
      <c r="AD248" s="21">
        <f t="shared" si="96"/>
        <v>1.5</v>
      </c>
      <c r="AE248" s="21">
        <f t="shared" si="96"/>
        <v>1.5</v>
      </c>
      <c r="AF248" s="21">
        <f t="shared" si="96"/>
        <v>1.5</v>
      </c>
      <c r="AG248" s="20">
        <v>1.5</v>
      </c>
      <c r="AH248" s="12"/>
      <c r="AI248" s="11"/>
      <c r="AK248" s="19"/>
    </row>
    <row r="249" spans="1:37" x14ac:dyDescent="0.25">
      <c r="A249" s="22" t="s">
        <v>13</v>
      </c>
      <c r="B249" s="21">
        <f t="shared" si="95"/>
        <v>0.3</v>
      </c>
      <c r="C249" s="21">
        <v>0.3</v>
      </c>
      <c r="D249" s="21">
        <f t="shared" si="96"/>
        <v>0.3</v>
      </c>
      <c r="E249" s="21">
        <f t="shared" si="96"/>
        <v>0.3</v>
      </c>
      <c r="F249" s="21">
        <f t="shared" si="96"/>
        <v>0.3</v>
      </c>
      <c r="G249" s="21">
        <f t="shared" si="96"/>
        <v>0.3</v>
      </c>
      <c r="H249" s="21">
        <f t="shared" si="96"/>
        <v>0.3</v>
      </c>
      <c r="I249" s="21">
        <f t="shared" si="96"/>
        <v>0.3</v>
      </c>
      <c r="J249" s="21">
        <f t="shared" si="96"/>
        <v>0.3</v>
      </c>
      <c r="K249" s="21">
        <f t="shared" si="96"/>
        <v>0.3</v>
      </c>
      <c r="L249" s="21">
        <f t="shared" si="96"/>
        <v>0.3</v>
      </c>
      <c r="M249" s="21">
        <f t="shared" si="96"/>
        <v>0.3</v>
      </c>
      <c r="N249" s="21">
        <f t="shared" si="96"/>
        <v>0.3</v>
      </c>
      <c r="O249" s="21">
        <f t="shared" si="96"/>
        <v>0.3</v>
      </c>
      <c r="P249" s="21">
        <f t="shared" si="96"/>
        <v>0.3</v>
      </c>
      <c r="Q249" s="21">
        <f t="shared" si="96"/>
        <v>0.3</v>
      </c>
      <c r="R249" s="21">
        <f t="shared" si="96"/>
        <v>0.3</v>
      </c>
      <c r="S249" s="21">
        <f t="shared" si="96"/>
        <v>0.3</v>
      </c>
      <c r="T249" s="21">
        <f t="shared" si="96"/>
        <v>0.3</v>
      </c>
      <c r="U249" s="21">
        <f t="shared" si="96"/>
        <v>0.3</v>
      </c>
      <c r="V249" s="21">
        <f t="shared" si="96"/>
        <v>0.3</v>
      </c>
      <c r="W249" s="21">
        <f t="shared" si="96"/>
        <v>0.3</v>
      </c>
      <c r="X249" s="21">
        <f t="shared" si="96"/>
        <v>0.3</v>
      </c>
      <c r="Y249" s="21">
        <f t="shared" si="96"/>
        <v>0.3</v>
      </c>
      <c r="Z249" s="21">
        <f t="shared" si="96"/>
        <v>0.3</v>
      </c>
      <c r="AA249" s="21">
        <f t="shared" si="96"/>
        <v>0.3</v>
      </c>
      <c r="AB249" s="21">
        <f t="shared" si="96"/>
        <v>0.3</v>
      </c>
      <c r="AC249" s="21">
        <f t="shared" si="96"/>
        <v>0.3</v>
      </c>
      <c r="AD249" s="21">
        <f t="shared" si="96"/>
        <v>0.3</v>
      </c>
      <c r="AE249" s="21">
        <f t="shared" si="96"/>
        <v>0.3</v>
      </c>
      <c r="AF249" s="21">
        <f t="shared" si="96"/>
        <v>0.3</v>
      </c>
      <c r="AG249" s="20">
        <v>1</v>
      </c>
      <c r="AH249" s="12"/>
      <c r="AI249" s="11"/>
      <c r="AK249" s="19"/>
    </row>
    <row r="250" spans="1:37" x14ac:dyDescent="0.25">
      <c r="A250" s="22" t="s">
        <v>12</v>
      </c>
      <c r="B250" s="21">
        <f t="shared" si="95"/>
        <v>0.4</v>
      </c>
      <c r="C250" s="21">
        <v>0.4</v>
      </c>
      <c r="D250" s="21">
        <f t="shared" si="96"/>
        <v>0.4</v>
      </c>
      <c r="E250" s="21">
        <f t="shared" si="96"/>
        <v>0.4</v>
      </c>
      <c r="F250" s="21">
        <f t="shared" si="96"/>
        <v>0.4</v>
      </c>
      <c r="G250" s="21">
        <f t="shared" si="96"/>
        <v>0.4</v>
      </c>
      <c r="H250" s="21">
        <f t="shared" si="96"/>
        <v>0.4</v>
      </c>
      <c r="I250" s="21">
        <f t="shared" si="96"/>
        <v>0.4</v>
      </c>
      <c r="J250" s="21">
        <f t="shared" si="96"/>
        <v>0.4</v>
      </c>
      <c r="K250" s="21">
        <f t="shared" si="96"/>
        <v>0.4</v>
      </c>
      <c r="L250" s="21">
        <f t="shared" si="96"/>
        <v>0.4</v>
      </c>
      <c r="M250" s="21">
        <f t="shared" si="96"/>
        <v>0.4</v>
      </c>
      <c r="N250" s="21">
        <f t="shared" si="96"/>
        <v>0.4</v>
      </c>
      <c r="O250" s="21">
        <f t="shared" si="96"/>
        <v>0.4</v>
      </c>
      <c r="P250" s="21">
        <f t="shared" si="96"/>
        <v>0.4</v>
      </c>
      <c r="Q250" s="21">
        <f t="shared" si="96"/>
        <v>0.4</v>
      </c>
      <c r="R250" s="21">
        <f t="shared" si="96"/>
        <v>0.4</v>
      </c>
      <c r="S250" s="21">
        <f t="shared" si="96"/>
        <v>0.4</v>
      </c>
      <c r="T250" s="21">
        <f t="shared" si="96"/>
        <v>0.4</v>
      </c>
      <c r="U250" s="21">
        <f t="shared" si="96"/>
        <v>0.4</v>
      </c>
      <c r="V250" s="21">
        <f t="shared" si="96"/>
        <v>0.4</v>
      </c>
      <c r="W250" s="21">
        <f t="shared" si="96"/>
        <v>0.4</v>
      </c>
      <c r="X250" s="21">
        <f t="shared" si="96"/>
        <v>0.4</v>
      </c>
      <c r="Y250" s="21">
        <f t="shared" si="96"/>
        <v>0.4</v>
      </c>
      <c r="Z250" s="21">
        <f t="shared" si="96"/>
        <v>0.4</v>
      </c>
      <c r="AA250" s="21">
        <f t="shared" si="96"/>
        <v>0.4</v>
      </c>
      <c r="AB250" s="21">
        <f t="shared" si="96"/>
        <v>0.4</v>
      </c>
      <c r="AC250" s="21">
        <f t="shared" si="96"/>
        <v>0.4</v>
      </c>
      <c r="AD250" s="21">
        <f t="shared" si="96"/>
        <v>0.4</v>
      </c>
      <c r="AE250" s="21">
        <f t="shared" si="96"/>
        <v>0.4</v>
      </c>
      <c r="AF250" s="21">
        <f t="shared" si="96"/>
        <v>0.4</v>
      </c>
      <c r="AG250" s="20">
        <v>1</v>
      </c>
      <c r="AH250" s="12"/>
      <c r="AI250" s="11"/>
      <c r="AK250" s="19"/>
    </row>
    <row r="251" spans="1:37" ht="15.75" thickBot="1" x14ac:dyDescent="0.3">
      <c r="A251" s="18" t="s">
        <v>11</v>
      </c>
      <c r="B251" s="17">
        <f t="shared" si="95"/>
        <v>0.64</v>
      </c>
      <c r="C251" s="17">
        <v>0.64</v>
      </c>
      <c r="D251" s="17">
        <f t="shared" si="96"/>
        <v>0.64</v>
      </c>
      <c r="E251" s="17">
        <f t="shared" si="96"/>
        <v>0.64</v>
      </c>
      <c r="F251" s="17">
        <f t="shared" si="96"/>
        <v>0.64</v>
      </c>
      <c r="G251" s="17">
        <f t="shared" si="96"/>
        <v>0.64</v>
      </c>
      <c r="H251" s="17">
        <f t="shared" si="96"/>
        <v>0.64</v>
      </c>
      <c r="I251" s="17">
        <f t="shared" si="96"/>
        <v>0.64</v>
      </c>
      <c r="J251" s="17">
        <f t="shared" si="96"/>
        <v>0.64</v>
      </c>
      <c r="K251" s="17">
        <f t="shared" si="96"/>
        <v>0.64</v>
      </c>
      <c r="L251" s="17">
        <f t="shared" si="96"/>
        <v>0.64</v>
      </c>
      <c r="M251" s="17">
        <f t="shared" si="96"/>
        <v>0.64</v>
      </c>
      <c r="N251" s="17">
        <f t="shared" si="96"/>
        <v>0.64</v>
      </c>
      <c r="O251" s="17">
        <f t="shared" si="96"/>
        <v>0.64</v>
      </c>
      <c r="P251" s="17">
        <f t="shared" si="96"/>
        <v>0.64</v>
      </c>
      <c r="Q251" s="17">
        <f t="shared" si="96"/>
        <v>0.64</v>
      </c>
      <c r="R251" s="17">
        <f t="shared" si="96"/>
        <v>0.64</v>
      </c>
      <c r="S251" s="17">
        <f t="shared" si="96"/>
        <v>0.64</v>
      </c>
      <c r="T251" s="17">
        <f t="shared" si="96"/>
        <v>0.64</v>
      </c>
      <c r="U251" s="17">
        <f t="shared" si="96"/>
        <v>0.64</v>
      </c>
      <c r="V251" s="17">
        <f t="shared" si="96"/>
        <v>0.64</v>
      </c>
      <c r="W251" s="17">
        <f t="shared" si="96"/>
        <v>0.64</v>
      </c>
      <c r="X251" s="17">
        <f t="shared" si="96"/>
        <v>0.64</v>
      </c>
      <c r="Y251" s="17">
        <f t="shared" si="96"/>
        <v>0.64</v>
      </c>
      <c r="Z251" s="17">
        <f t="shared" si="96"/>
        <v>0.64</v>
      </c>
      <c r="AA251" s="17">
        <f t="shared" si="96"/>
        <v>0.64</v>
      </c>
      <c r="AB251" s="17">
        <f t="shared" si="96"/>
        <v>0.64</v>
      </c>
      <c r="AC251" s="17">
        <f t="shared" si="96"/>
        <v>0.64</v>
      </c>
      <c r="AD251" s="17">
        <f t="shared" si="96"/>
        <v>0.64</v>
      </c>
      <c r="AE251" s="17">
        <f t="shared" si="96"/>
        <v>0.64</v>
      </c>
      <c r="AF251" s="17">
        <f t="shared" si="96"/>
        <v>0.64</v>
      </c>
      <c r="AG251" s="16">
        <v>0.66</v>
      </c>
      <c r="AH251" s="12"/>
      <c r="AI251" s="11"/>
    </row>
    <row r="252" spans="1:37" ht="15.75" thickBot="1" x14ac:dyDescent="0.3">
      <c r="A252" s="15" t="s">
        <v>10</v>
      </c>
      <c r="B252" s="14">
        <f t="shared" ref="B252:AG252" si="97">SUM(B246:B251)</f>
        <v>3.54</v>
      </c>
      <c r="C252" s="14">
        <f t="shared" si="97"/>
        <v>3.54</v>
      </c>
      <c r="D252" s="14">
        <f t="shared" si="97"/>
        <v>3.54</v>
      </c>
      <c r="E252" s="14">
        <f t="shared" si="97"/>
        <v>3.54</v>
      </c>
      <c r="F252" s="14">
        <f t="shared" si="97"/>
        <v>3.54</v>
      </c>
      <c r="G252" s="14">
        <f t="shared" si="97"/>
        <v>3.54</v>
      </c>
      <c r="H252" s="14">
        <f t="shared" si="97"/>
        <v>3.54</v>
      </c>
      <c r="I252" s="14">
        <f t="shared" si="97"/>
        <v>3.54</v>
      </c>
      <c r="J252" s="14">
        <f t="shared" si="97"/>
        <v>3.54</v>
      </c>
      <c r="K252" s="14">
        <f t="shared" si="97"/>
        <v>3.54</v>
      </c>
      <c r="L252" s="14">
        <f t="shared" si="97"/>
        <v>3.54</v>
      </c>
      <c r="M252" s="14">
        <f t="shared" si="97"/>
        <v>3.54</v>
      </c>
      <c r="N252" s="14">
        <f t="shared" si="97"/>
        <v>3.54</v>
      </c>
      <c r="O252" s="14">
        <f t="shared" si="97"/>
        <v>3.54</v>
      </c>
      <c r="P252" s="14">
        <f t="shared" si="97"/>
        <v>3.54</v>
      </c>
      <c r="Q252" s="14">
        <f t="shared" si="97"/>
        <v>3.54</v>
      </c>
      <c r="R252" s="14">
        <f t="shared" si="97"/>
        <v>3.54</v>
      </c>
      <c r="S252" s="14">
        <f t="shared" si="97"/>
        <v>3.54</v>
      </c>
      <c r="T252" s="14">
        <f t="shared" si="97"/>
        <v>3.54</v>
      </c>
      <c r="U252" s="14">
        <f t="shared" si="97"/>
        <v>3.54</v>
      </c>
      <c r="V252" s="14">
        <f t="shared" si="97"/>
        <v>3.54</v>
      </c>
      <c r="W252" s="14">
        <f t="shared" si="97"/>
        <v>3.54</v>
      </c>
      <c r="X252" s="14">
        <f t="shared" si="97"/>
        <v>3.54</v>
      </c>
      <c r="Y252" s="14">
        <f t="shared" si="97"/>
        <v>3.54</v>
      </c>
      <c r="Z252" s="14">
        <f t="shared" si="97"/>
        <v>3.54</v>
      </c>
      <c r="AA252" s="14">
        <f t="shared" si="97"/>
        <v>3.54</v>
      </c>
      <c r="AB252" s="14">
        <f t="shared" si="97"/>
        <v>3.54</v>
      </c>
      <c r="AC252" s="14">
        <f t="shared" si="97"/>
        <v>3.54</v>
      </c>
      <c r="AD252" s="14">
        <f t="shared" si="97"/>
        <v>3.54</v>
      </c>
      <c r="AE252" s="14">
        <f t="shared" si="97"/>
        <v>3.54</v>
      </c>
      <c r="AF252" s="14">
        <f t="shared" si="97"/>
        <v>3.54</v>
      </c>
      <c r="AG252" s="13">
        <f t="shared" si="97"/>
        <v>8.56</v>
      </c>
      <c r="AH252" s="12"/>
      <c r="AI252" s="11"/>
    </row>
    <row r="253" spans="1:37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25">
      <c r="A256" s="9" t="s">
        <v>9</v>
      </c>
      <c r="B256" s="8">
        <f>MAX(G99:N99)</f>
        <v>1785.5400000000002</v>
      </c>
      <c r="C256" s="7">
        <f>INDEX(G9:N9,1,MATCH(MAX(G99:N99),G99:N99,0))</f>
        <v>0.33333333333333331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25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2080/10/21)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25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25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25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25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25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25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25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25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25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25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25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25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25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25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1570" priority="89">
      <formula>$AH11=0</formula>
    </cfRule>
  </conditionalFormatting>
  <conditionalFormatting sqref="A132:A253">
    <cfRule type="expression" dxfId="1569" priority="90">
      <formula>$AH132=0</formula>
    </cfRule>
  </conditionalFormatting>
  <conditionalFormatting sqref="B8">
    <cfRule type="expression" dxfId="1568" priority="146">
      <formula>C$9&lt;8/24</formula>
    </cfRule>
    <cfRule type="expression" dxfId="1567" priority="145">
      <formula>AND(C$9&gt;=8/24,C$9&lt;14/24)</formula>
    </cfRule>
    <cfRule type="expression" dxfId="1566" priority="144">
      <formula>AND(C$9&gt;=14/24,C$9&lt;20/24)</formula>
    </cfRule>
    <cfRule type="expression" dxfId="1565" priority="147">
      <formula>C$9&gt;=20/24</formula>
    </cfRule>
  </conditionalFormatting>
  <conditionalFormatting sqref="B11:E57 F12:K57 L13:Y57 F11:G11 B58:Z58 AA58:AA61 AB58:AF80 B59:AA80 AG62 AG80">
    <cfRule type="expression" dxfId="1564" priority="40">
      <formula>B11&gt;$AG11</formula>
    </cfRule>
  </conditionalFormatting>
  <conditionalFormatting sqref="B53:Y57">
    <cfRule type="expression" dxfId="1563" priority="53">
      <formula>B$9&lt;8/24</formula>
    </cfRule>
  </conditionalFormatting>
  <conditionalFormatting sqref="B9:AF10 F11:G11 B11:E52 F12:K52 L13:Y52 E59:G61 B59:D68 C63:D74 B69:AF74 B77:AF99 B101:AF117 B119:AF137 B244:AF244 B246:B252">
    <cfRule type="expression" dxfId="1562" priority="42">
      <formula>AND(B$9&gt;=14/24,B$9&lt;20/24)</formula>
    </cfRule>
    <cfRule type="expression" dxfId="1561" priority="43">
      <formula>AND(B$9&gt;=8/24,B$9&lt;14/24)</formula>
    </cfRule>
    <cfRule type="expression" dxfId="1560" priority="44">
      <formula>B$9&lt;8/24</formula>
    </cfRule>
  </conditionalFormatting>
  <conditionalFormatting sqref="D246:AF252">
    <cfRule type="expression" dxfId="1559" priority="129">
      <formula>D$9&gt;=20/24</formula>
    </cfRule>
    <cfRule type="expression" dxfId="1558" priority="131">
      <formula>AND(D$9&gt;=8/24,D$9&lt;14/24)</formula>
    </cfRule>
    <cfRule type="expression" dxfId="1557" priority="132">
      <formula>D$9&lt;8/24</formula>
    </cfRule>
    <cfRule type="expression" dxfId="1556" priority="130">
      <formula>AND(D$9&gt;=14/24,D$9&lt;20/24)</formula>
    </cfRule>
  </conditionalFormatting>
  <conditionalFormatting sqref="E63:K68">
    <cfRule type="expression" dxfId="1555" priority="50">
      <formula>AND(E$9&gt;=14/24,E$9&lt;20/24)</formula>
    </cfRule>
    <cfRule type="expression" dxfId="1554" priority="51">
      <formula>AND(E$9&gt;=8/24,E$9&lt;14/24)</formula>
    </cfRule>
    <cfRule type="expression" dxfId="1553" priority="52">
      <formula>E$9&lt;8/24</formula>
    </cfRule>
    <cfRule type="expression" dxfId="1552" priority="49">
      <formula>E$9&gt;=20/24</formula>
    </cfRule>
  </conditionalFormatting>
  <conditionalFormatting sqref="E11:R11 S11:Y12 Z11:AF52 L12:R12">
    <cfRule type="expression" dxfId="1551" priority="58">
      <formula>E11&gt;$AG11</formula>
    </cfRule>
    <cfRule type="expression" dxfId="1550" priority="59">
      <formula>E$9&gt;=20/24</formula>
    </cfRule>
    <cfRule type="expression" dxfId="1549" priority="60">
      <formula>AND(E$9&gt;=14/24,E$9&lt;20/24)</formula>
    </cfRule>
    <cfRule type="expression" dxfId="1548" priority="61">
      <formula>AND(E$9&gt;=8/24,E$9&lt;14/24)</formula>
    </cfRule>
    <cfRule type="expression" dxfId="1547" priority="62">
      <formula>E$9&lt;8/24</formula>
    </cfRule>
  </conditionalFormatting>
  <conditionalFormatting sqref="E59:AF62">
    <cfRule type="expression" dxfId="1546" priority="67">
      <formula>E$9&gt;=20/24</formula>
    </cfRule>
    <cfRule type="expression" dxfId="1545" priority="68">
      <formula>AND(E$9&gt;=14/24,E$9&lt;20/24)</formula>
    </cfRule>
    <cfRule type="expression" dxfId="1544" priority="69">
      <formula>AND(E$9&gt;=8/24,E$9&lt;14/24)</formula>
    </cfRule>
    <cfRule type="expression" dxfId="1543" priority="70">
      <formula>E$9&lt;8/24</formula>
    </cfRule>
  </conditionalFormatting>
  <conditionalFormatting sqref="F11:G11 B11:E52 F12:K52 L13:Y52 E59:G61 B59:D68 C63:D74 B69:AF74 B77:AF99 B9:AF10 B101:AF117 B119:AF137 B244:AF244 B246:B252">
    <cfRule type="expression" dxfId="1542" priority="41">
      <formula>B$9&gt;=20/24</formula>
    </cfRule>
  </conditionalFormatting>
  <conditionalFormatting sqref="H63:L65">
    <cfRule type="expression" dxfId="1541" priority="81">
      <formula>H$9&gt;=20/24</formula>
    </cfRule>
    <cfRule type="expression" dxfId="1540" priority="82">
      <formula>AND(H$9&gt;=14/24,H$9&lt;20/24)</formula>
    </cfRule>
    <cfRule type="expression" dxfId="1539" priority="83">
      <formula>AND(H$9&gt;=8/24,H$9&lt;14/24)</formula>
    </cfRule>
    <cfRule type="expression" dxfId="1538" priority="84">
      <formula>H$9&lt;8/24</formula>
    </cfRule>
  </conditionalFormatting>
  <conditionalFormatting sqref="L68:Y68">
    <cfRule type="expression" dxfId="1537" priority="79">
      <formula>AND(L$9&gt;=8/24,L$9&lt;14/24)</formula>
    </cfRule>
    <cfRule type="expression" dxfId="1536" priority="80">
      <formula>L$9&lt;8/24</formula>
    </cfRule>
    <cfRule type="expression" dxfId="1535" priority="77">
      <formula>L$9&gt;=20/24</formula>
    </cfRule>
    <cfRule type="expression" dxfId="1534" priority="78">
      <formula>AND(L$9&gt;=14/24,L$9&lt;20/24)</formula>
    </cfRule>
  </conditionalFormatting>
  <conditionalFormatting sqref="M8 S8 AB8">
    <cfRule type="expression" dxfId="1533" priority="138">
      <formula>N$9&lt;8/24</formula>
    </cfRule>
    <cfRule type="expression" dxfId="1532" priority="137">
      <formula>AND(N$9&gt;=8/24,N$9&lt;14/24)</formula>
    </cfRule>
    <cfRule type="expression" dxfId="1531" priority="136">
      <formula>AND(N$9&gt;=14/24,N$9&lt;20/24)</formula>
    </cfRule>
  </conditionalFormatting>
  <conditionalFormatting sqref="M63:Y67">
    <cfRule type="expression" dxfId="1530" priority="85">
      <formula>M$9&gt;=20/24</formula>
    </cfRule>
    <cfRule type="expression" dxfId="1529" priority="86">
      <formula>AND(M$9&gt;=14/24,M$9&lt;20/24)</formula>
    </cfRule>
    <cfRule type="expression" dxfId="1528" priority="87">
      <formula>AND(M$9&gt;=8/24,M$9&lt;14/24)</formula>
    </cfRule>
    <cfRule type="expression" dxfId="1527" priority="88">
      <formula>M$9&lt;8/24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O56:R56 S56:Y57 M57:R57">
    <cfRule type="expression" dxfId="1526" priority="46">
      <formula>M$9&gt;=20/24</formula>
    </cfRule>
    <cfRule type="expression" dxfId="1525" priority="47">
      <formula>AND(M$9&gt;=14/24,M$9&lt;20/24)</formula>
    </cfRule>
    <cfRule type="expression" dxfId="1524" priority="48">
      <formula>AND(M$9&gt;=8/24,M$9&lt;14/24)</formula>
    </cfRule>
  </conditionalFormatting>
  <conditionalFormatting sqref="S8 AB8 M8">
    <cfRule type="expression" dxfId="1523" priority="135">
      <formula>N$9&gt;=20/24</formula>
    </cfRule>
  </conditionalFormatting>
  <conditionalFormatting sqref="S8">
    <cfRule type="expression" dxfId="1522" priority="122">
      <formula>U$9&gt;=20/24</formula>
    </cfRule>
    <cfRule type="expression" dxfId="1521" priority="123">
      <formula>AND(U$9&gt;=14/24,U$9&lt;20/24)</formula>
    </cfRule>
    <cfRule type="expression" dxfId="1520" priority="124">
      <formula>AND(U$9&gt;=8/24,U$9&lt;14/24)</formula>
    </cfRule>
    <cfRule type="expression" dxfId="1519" priority="125">
      <formula>U$9&lt;8/24</formula>
    </cfRule>
  </conditionalFormatting>
  <conditionalFormatting sqref="T63:AF68">
    <cfRule type="expression" dxfId="1518" priority="74">
      <formula>T$9&lt;8/24</formula>
    </cfRule>
    <cfRule type="expression" dxfId="1517" priority="73">
      <formula>AND(T$9&gt;=8/24,T$9&lt;14/24)</formula>
    </cfRule>
    <cfRule type="expression" dxfId="1516" priority="72">
      <formula>AND(T$9&gt;=14/24,T$9&lt;20/24)</formula>
    </cfRule>
    <cfRule type="expression" dxfId="1515" priority="71">
      <formula>T$9&gt;=20/24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Z53:AF54 O53:Y55 M53:N56 B53:L57">
    <cfRule type="expression" dxfId="1514" priority="37">
      <formula>B$9&gt;=20/24</formula>
    </cfRule>
    <cfRule type="expression" dxfId="1513" priority="38">
      <formula>AND(B$9&gt;=14/24,B$9&lt;20/24)</formula>
    </cfRule>
    <cfRule type="expression" dxfId="1512" priority="39">
      <formula>AND(B$9&gt;=8/24,B$9&lt;14/24)</formula>
    </cfRule>
  </conditionalFormatting>
  <conditionalFormatting sqref="Z53:AF55">
    <cfRule type="expression" dxfId="1511" priority="76">
      <formula>Z53&gt;$AG53</formula>
    </cfRule>
  </conditionalFormatting>
  <conditionalFormatting sqref="Z53:AF57">
    <cfRule type="expression" dxfId="1510" priority="75">
      <formula>Z$9&lt;8/24</formula>
    </cfRule>
  </conditionalFormatting>
  <conditionalFormatting sqref="Z55:AF57">
    <cfRule type="expression" dxfId="1509" priority="65">
      <formula>AND(Z$9&gt;=14/24,Z$9&lt;20/24)</formula>
    </cfRule>
    <cfRule type="expression" dxfId="1508" priority="66">
      <formula>AND(Z$9&gt;=8/24,Z$9&lt;14/24)</formula>
    </cfRule>
    <cfRule type="expression" dxfId="1507" priority="64">
      <formula>Z$9&gt;=20/24</formula>
    </cfRule>
  </conditionalFormatting>
  <conditionalFormatting sqref="Z56:AF57">
    <cfRule type="expression" dxfId="1506" priority="63">
      <formula>Z56&gt;$AG56</formula>
    </cfRule>
  </conditionalFormatting>
  <conditionalFormatting sqref="AB8">
    <cfRule type="expression" dxfId="1505" priority="120">
      <formula>AND(AD$9&gt;=8/24,AD$9&lt;14/24)</formula>
    </cfRule>
    <cfRule type="expression" dxfId="1504" priority="119">
      <formula>AND(AD$9&gt;=14/24,AD$9&lt;20/24)</formula>
    </cfRule>
    <cfRule type="expression" dxfId="1503" priority="118">
      <formula>AD$9&gt;=20/24</formula>
    </cfRule>
    <cfRule type="expression" dxfId="1502" priority="121">
      <formula>AD$9&lt;8/24</formula>
    </cfRule>
  </conditionalFormatting>
  <conditionalFormatting sqref="AG58">
    <cfRule type="expression" dxfId="1501" priority="113">
      <formula>AG58&gt;$AG58</formula>
    </cfRule>
  </conditionalFormatting>
  <conditionalFormatting sqref="AG62">
    <cfRule type="expression" dxfId="1500" priority="99">
      <formula>AG$9&lt;8/24</formula>
    </cfRule>
    <cfRule type="expression" dxfId="1499" priority="98">
      <formula>AND(AG$9&gt;=8/24,AG$9&lt;14/24)</formula>
    </cfRule>
    <cfRule type="expression" dxfId="1498" priority="97">
      <formula>AND(AG$9&gt;=14/24,AG$9&lt;20/24)</formula>
    </cfRule>
    <cfRule type="expression" dxfId="1497" priority="96">
      <formula>AG$9&gt;=20/24</formula>
    </cfRule>
  </conditionalFormatting>
  <conditionalFormatting sqref="AG75:AG76">
    <cfRule type="expression" dxfId="1496" priority="91">
      <formula>AG75&gt;$AG75</formula>
    </cfRule>
  </conditionalFormatting>
  <conditionalFormatting sqref="AG80">
    <cfRule type="expression" dxfId="1495" priority="95">
      <formula>AG$9&lt;8/24</formula>
    </cfRule>
    <cfRule type="expression" dxfId="1494" priority="92">
      <formula>AG$9&gt;=20/24</formula>
    </cfRule>
    <cfRule type="expression" dxfId="1493" priority="93">
      <formula>AND(AG$9&gt;=14/24,AG$9&lt;20/24)</formula>
    </cfRule>
    <cfRule type="expression" dxfId="1492" priority="94">
      <formula>AND(AG$9&gt;=8/24,AG$9&lt;14/24)</formula>
    </cfRule>
  </conditionalFormatting>
  <conditionalFormatting sqref="AG97">
    <cfRule type="expression" dxfId="1491" priority="117">
      <formula>AG$9&lt;8/24</formula>
    </cfRule>
    <cfRule type="expression" dxfId="1490" priority="114">
      <formula>AG$9&gt;=20/24</formula>
    </cfRule>
    <cfRule type="expression" dxfId="1489" priority="115">
      <formula>AND(AG$9&gt;=14/24,AG$9&lt;20/24)</formula>
    </cfRule>
    <cfRule type="expression" dxfId="1488" priority="116">
      <formula>AND(AG$9&gt;=8/24,AG$9&lt;14/24)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487" priority="142">
      <formula>AJ$9&lt;8/24</formula>
    </cfRule>
    <cfRule type="expression" dxfId="1486" priority="141">
      <formula>AND(AJ$9&gt;=8/24,AJ$9&lt;14/24)</formula>
    </cfRule>
    <cfRule type="expression" dxfId="1485" priority="139">
      <formula>AJ$9&gt;=20/24</formula>
    </cfRule>
    <cfRule type="expression" dxfId="1484" priority="140">
      <formula>AND(AJ$9&gt;=14/24,AJ$9&lt;20/24)</formula>
    </cfRule>
  </conditionalFormatting>
  <conditionalFormatting sqref="AL88:AN88 AL94:AN94">
    <cfRule type="expression" dxfId="1483" priority="108">
      <formula>AND(AL$9&gt;=8/24,AL$9&lt;14/24)</formula>
    </cfRule>
    <cfRule type="expression" dxfId="1482" priority="109">
      <formula>AL$9&lt;8/24</formula>
    </cfRule>
    <cfRule type="expression" dxfId="1481" priority="106">
      <formula>AL$9&gt;=20/24</formula>
    </cfRule>
    <cfRule type="expression" dxfId="1480" priority="107">
      <formula>AND(AL$9&gt;=14/24,AL$9&lt;20/24)</formula>
    </cfRule>
  </conditionalFormatting>
  <conditionalFormatting sqref="AM15:AM21 AN16:AR21">
    <cfRule type="expression" dxfId="1479" priority="13">
      <formula>AX$9&gt;=20/24</formula>
    </cfRule>
    <cfRule type="expression" dxfId="1478" priority="14">
      <formula>AND(AX$9&gt;=14/24,AX$9&lt;20/24)</formula>
    </cfRule>
    <cfRule type="expression" dxfId="1477" priority="16">
      <formula>AX$9&lt;8/24</formula>
    </cfRule>
    <cfRule type="expression" dxfId="1476" priority="15">
      <formula>AND(AX$9&gt;=8/24,AX$9&lt;14/24)</formula>
    </cfRule>
  </conditionalFormatting>
  <conditionalFormatting sqref="AN89:AN92">
    <cfRule type="expression" dxfId="1475" priority="102">
      <formula>AN$9&gt;=20/24</formula>
    </cfRule>
    <cfRule type="expression" dxfId="1474" priority="105">
      <formula>AN$9&lt;8/24</formula>
    </cfRule>
    <cfRule type="expression" dxfId="1473" priority="104">
      <formula>AND(AN$9&gt;=8/24,AN$9&lt;14/24)</formula>
    </cfRule>
    <cfRule type="expression" dxfId="1472" priority="103">
      <formula>AND(AN$9&gt;=14/24,AN$9&lt;20/24)</formula>
    </cfRule>
  </conditionalFormatting>
  <conditionalFormatting sqref="AN15:AR15">
    <cfRule type="expression" dxfId="1471" priority="2">
      <formula>AND(U$9&gt;=14/24,U$9&lt;20/24)</formula>
    </cfRule>
    <cfRule type="expression" dxfId="1470" priority="3">
      <formula>AND(U$9&gt;=8/24,U$9&lt;14/24)</formula>
    </cfRule>
    <cfRule type="expression" dxfId="1469" priority="4">
      <formula>U$9&lt;8/24</formula>
    </cfRule>
    <cfRule type="expression" dxfId="1468" priority="1">
      <formula>U$9&gt;=20/24</formula>
    </cfRule>
  </conditionalFormatting>
  <conditionalFormatting sqref="AS15">
    <cfRule type="expression" dxfId="1467" priority="10">
      <formula>AND(AA$9&gt;=14/24,AA$9&lt;20/24)</formula>
    </cfRule>
    <cfRule type="expression" dxfId="1466" priority="9">
      <formula>AA$9&gt;=20/24</formula>
    </cfRule>
    <cfRule type="expression" dxfId="1465" priority="11">
      <formula>AND(AA$9&gt;=8/24,AA$9&lt;14/24)</formula>
    </cfRule>
    <cfRule type="expression" dxfId="1464" priority="12">
      <formula>AA$9&lt;8/24</formula>
    </cfRule>
  </conditionalFormatting>
  <conditionalFormatting sqref="AS16:AS21">
    <cfRule type="expression" dxfId="1463" priority="17">
      <formula>BE$9&gt;=20/24</formula>
    </cfRule>
    <cfRule type="expression" dxfId="1462" priority="20">
      <formula>BE$9&lt;8/24</formula>
    </cfRule>
    <cfRule type="expression" dxfId="1461" priority="18">
      <formula>AND(BE$9&gt;=14/24,BE$9&lt;20/24)</formula>
    </cfRule>
    <cfRule type="expression" dxfId="1460" priority="19">
      <formula>AND(BE$9&gt;=8/24,BE$9&lt;14/24)</formula>
    </cfRule>
  </conditionalFormatting>
  <conditionalFormatting sqref="AT15 AX15:BJ15">
    <cfRule type="expression" dxfId="1459" priority="22">
      <formula>AND(AC$9&gt;=14/24,AC$9&lt;20/24)</formula>
    </cfRule>
    <cfRule type="expression" dxfId="1458" priority="21">
      <formula>AC$9&gt;=20/24</formula>
    </cfRule>
    <cfRule type="expression" dxfId="1457" priority="24">
      <formula>AC$9&lt;8/24</formula>
    </cfRule>
    <cfRule type="expression" dxfId="1456" priority="23">
      <formula>AND(AC$9&gt;=8/24,AC$9&lt;14/24)</formula>
    </cfRule>
  </conditionalFormatting>
  <conditionalFormatting sqref="AT16:AT21">
    <cfRule type="expression" dxfId="1455" priority="28">
      <formula>BG$9&lt;8/24</formula>
    </cfRule>
    <cfRule type="expression" dxfId="1454" priority="25">
      <formula>BG$9&gt;=20/24</formula>
    </cfRule>
    <cfRule type="expression" dxfId="1453" priority="26">
      <formula>AND(BG$9&gt;=14/24,BG$9&lt;20/24)</formula>
    </cfRule>
    <cfRule type="expression" dxfId="1452" priority="27">
      <formula>AND(BG$9&gt;=8/24,BG$9&lt;14/24)</formula>
    </cfRule>
  </conditionalFormatting>
  <conditionalFormatting sqref="AU15:AV15">
    <cfRule type="expression" dxfId="1451" priority="32">
      <formula>AE$9&lt;8/24</formula>
    </cfRule>
    <cfRule type="expression" dxfId="1450" priority="31">
      <formula>AND(AE$9&gt;=8/24,AE$9&lt;14/24)</formula>
    </cfRule>
    <cfRule type="expression" dxfId="1449" priority="30">
      <formula>AND(AE$9&gt;=14/24,AE$9&lt;20/24)</formula>
    </cfRule>
    <cfRule type="expression" dxfId="1448" priority="29">
      <formula>AE$9&gt;=20/24</formula>
    </cfRule>
  </conditionalFormatting>
  <conditionalFormatting sqref="AU16:BJ21">
    <cfRule type="expression" dxfId="1447" priority="36">
      <formula>BI$9&lt;8/24</formula>
    </cfRule>
    <cfRule type="expression" dxfId="1446" priority="35">
      <formula>AND(BI$9&gt;=8/24,BI$9&lt;14/24)</formula>
    </cfRule>
    <cfRule type="expression" dxfId="1445" priority="33">
      <formula>BI$9&gt;=20/24</formula>
    </cfRule>
    <cfRule type="expression" dxfId="1444" priority="34">
      <formula>AND(BI$9&gt;=14/24,BI$9&lt;20/24)</formula>
    </cfRule>
  </conditionalFormatting>
  <conditionalFormatting sqref="AW15">
    <cfRule type="expression" dxfId="1443" priority="5">
      <formula>B$9&gt;=20/24</formula>
    </cfRule>
    <cfRule type="expression" dxfId="1442" priority="6">
      <formula>AND(B$9&gt;=14/24,B$9&lt;20/24)</formula>
    </cfRule>
    <cfRule type="expression" dxfId="1441" priority="7">
      <formula>AND(B$9&gt;=8/24,B$9&lt;14/24)</formula>
    </cfRule>
    <cfRule type="expression" dxfId="1440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01BB4-B6E2-4B5D-ADA3-361B5309DB4B}">
  <dimension ref="A1:CJ294"/>
  <sheetViews>
    <sheetView zoomScale="106" workbookViewId="0">
      <pane xSplit="1" ySplit="10" topLeftCell="B79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97" sqref="A97:AF10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20.25" hidden="1" x14ac:dyDescent="0.2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9.5" hidden="1" thickBot="1" x14ac:dyDescent="0.3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3">
      <c r="A4" s="162" t="s">
        <v>273</v>
      </c>
      <c r="B4" s="205" t="str">
        <f ca="1">"2080/"&amp;"10/"&amp;INT(MID(CELL("filename",D6),FIND("]",CELL("filename",D6))+1,200))</f>
        <v>2080/10/22</v>
      </c>
      <c r="C4" s="205"/>
      <c r="D4" s="205"/>
      <c r="E4" s="206" t="str">
        <f ca="1">"2080/"&amp;"10/"&amp;INT(MID(CELL("filename",G6),FIND("]",CELL("filename",G6))+1,200))</f>
        <v>2080/10/22</v>
      </c>
      <c r="F4" s="206"/>
      <c r="G4" s="206"/>
      <c r="H4" s="206" t="str">
        <f ca="1">TEXT(E4,"dddd")</f>
        <v>Tuesday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3">
      <c r="A5" s="158"/>
      <c r="B5" s="161">
        <f t="shared" ref="B5:AE5" si="0">C92</f>
        <v>92.9</v>
      </c>
      <c r="C5" s="161">
        <f t="shared" si="0"/>
        <v>114.60000000000001</v>
      </c>
      <c r="D5" s="161">
        <f t="shared" si="0"/>
        <v>87.4</v>
      </c>
      <c r="E5" s="161">
        <f t="shared" si="0"/>
        <v>107.19999999999999</v>
      </c>
      <c r="F5" s="161">
        <f t="shared" si="0"/>
        <v>112.5</v>
      </c>
      <c r="G5" s="161">
        <f t="shared" si="0"/>
        <v>118.8</v>
      </c>
      <c r="H5" s="161">
        <f t="shared" si="0"/>
        <v>101.5</v>
      </c>
      <c r="I5" s="161">
        <f t="shared" si="0"/>
        <v>563.99999999999989</v>
      </c>
      <c r="J5" s="161">
        <f t="shared" si="0"/>
        <v>776.2</v>
      </c>
      <c r="K5" s="161">
        <f t="shared" si="0"/>
        <v>803</v>
      </c>
      <c r="L5" s="161">
        <f t="shared" si="0"/>
        <v>789.90000000000009</v>
      </c>
      <c r="M5" s="161">
        <f t="shared" si="0"/>
        <v>773.69999999999993</v>
      </c>
      <c r="N5" s="161">
        <f t="shared" si="0"/>
        <v>772.90000000000009</v>
      </c>
      <c r="O5" s="161">
        <f t="shared" si="0"/>
        <v>760.90000000000009</v>
      </c>
      <c r="P5" s="161">
        <f t="shared" si="0"/>
        <v>797.79999999999984</v>
      </c>
      <c r="Q5" s="161">
        <f t="shared" si="0"/>
        <v>795.7</v>
      </c>
      <c r="R5" s="161">
        <f t="shared" si="0"/>
        <v>812.2</v>
      </c>
      <c r="S5" s="161">
        <f t="shared" si="0"/>
        <v>798.30000000000007</v>
      </c>
      <c r="T5" s="161">
        <f t="shared" si="0"/>
        <v>769.2</v>
      </c>
      <c r="U5" s="161">
        <f t="shared" si="0"/>
        <v>702.09999999999991</v>
      </c>
      <c r="V5" s="161">
        <f t="shared" si="0"/>
        <v>706.5</v>
      </c>
      <c r="W5" s="161">
        <f t="shared" si="0"/>
        <v>636</v>
      </c>
      <c r="X5" s="161">
        <f t="shared" si="0"/>
        <v>80</v>
      </c>
      <c r="Y5" s="161">
        <f t="shared" si="0"/>
        <v>166.6</v>
      </c>
      <c r="Z5" s="161">
        <f t="shared" si="0"/>
        <v>73.900000000000006</v>
      </c>
      <c r="AA5" s="161">
        <f t="shared" si="0"/>
        <v>121.19999999999999</v>
      </c>
      <c r="AB5" s="161">
        <f t="shared" si="0"/>
        <v>107.10000000000001</v>
      </c>
      <c r="AC5" s="161">
        <f t="shared" si="0"/>
        <v>113.39999999999999</v>
      </c>
      <c r="AD5" s="161">
        <f t="shared" si="0"/>
        <v>125.8</v>
      </c>
      <c r="AE5" s="161">
        <f t="shared" si="0"/>
        <v>93.800000000000011</v>
      </c>
      <c r="AF5" s="161">
        <f>B92</f>
        <v>185.8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3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1639MW at 9:00hr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5" thickBot="1" x14ac:dyDescent="0.3">
      <c r="A7" s="151" t="str">
        <f>"Base Load="&amp;ROUND(MIN($B$7:$AF$7),0)</f>
        <v>Base Load=1463</v>
      </c>
      <c r="B7" s="150">
        <f t="shared" ref="B7:AF7" si="1">B100</f>
        <v>1549.64</v>
      </c>
      <c r="C7" s="150">
        <f t="shared" si="1"/>
        <v>1495.44</v>
      </c>
      <c r="D7" s="150">
        <f t="shared" si="1"/>
        <v>1477.0399999999997</v>
      </c>
      <c r="E7" s="150">
        <f t="shared" si="1"/>
        <v>1463.44</v>
      </c>
      <c r="F7" s="150">
        <f t="shared" si="1"/>
        <v>1471.2399999999998</v>
      </c>
      <c r="G7" s="150">
        <f t="shared" si="1"/>
        <v>1488.54</v>
      </c>
      <c r="H7" s="150">
        <f t="shared" si="1"/>
        <v>1475.6399999999999</v>
      </c>
      <c r="I7" s="150">
        <f t="shared" si="1"/>
        <v>1559.34</v>
      </c>
      <c r="J7" s="150">
        <f t="shared" si="1"/>
        <v>1464.1899999999996</v>
      </c>
      <c r="K7" s="150">
        <f t="shared" si="1"/>
        <v>1598.7399999999998</v>
      </c>
      <c r="L7" s="150">
        <f t="shared" si="1"/>
        <v>1597.04</v>
      </c>
      <c r="M7" s="150">
        <f t="shared" si="1"/>
        <v>1622.1399999999999</v>
      </c>
      <c r="N7" s="150">
        <f t="shared" si="1"/>
        <v>1639.2399999999998</v>
      </c>
      <c r="O7" s="150">
        <f t="shared" si="1"/>
        <v>1595.6399999999999</v>
      </c>
      <c r="P7" s="150">
        <f t="shared" si="1"/>
        <v>1565.34</v>
      </c>
      <c r="Q7" s="150">
        <f t="shared" si="1"/>
        <v>1612.7399999999998</v>
      </c>
      <c r="R7" s="150">
        <f t="shared" si="1"/>
        <v>1614.1399999999999</v>
      </c>
      <c r="S7" s="150">
        <f t="shared" si="1"/>
        <v>1655.6399999999999</v>
      </c>
      <c r="T7" s="150">
        <f t="shared" si="1"/>
        <v>1633.7400000000002</v>
      </c>
      <c r="U7" s="150">
        <f t="shared" si="1"/>
        <v>1606.34</v>
      </c>
      <c r="V7" s="150">
        <f t="shared" si="1"/>
        <v>1543.34</v>
      </c>
      <c r="W7" s="150">
        <f t="shared" si="1"/>
        <v>1540.34</v>
      </c>
      <c r="X7" s="150">
        <f t="shared" si="1"/>
        <v>1492.94</v>
      </c>
      <c r="Y7" s="150">
        <f t="shared" si="1"/>
        <v>1707.7999999999997</v>
      </c>
      <c r="Z7" s="150">
        <f t="shared" si="1"/>
        <v>1888.0999999999997</v>
      </c>
      <c r="AA7" s="150">
        <f t="shared" si="1"/>
        <v>1860.04</v>
      </c>
      <c r="AB7" s="150">
        <f t="shared" si="1"/>
        <v>1827.34</v>
      </c>
      <c r="AC7" s="150">
        <f t="shared" si="1"/>
        <v>1808.2399999999998</v>
      </c>
      <c r="AD7" s="150">
        <f t="shared" si="1"/>
        <v>1730.04</v>
      </c>
      <c r="AE7" s="150">
        <f t="shared" si="1"/>
        <v>1650.34</v>
      </c>
      <c r="AF7" s="150">
        <f t="shared" si="1"/>
        <v>1554.84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7.25" thickTop="1" thickBot="1" x14ac:dyDescent="0.3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1888.1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2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1888.1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.75" thickBot="1" x14ac:dyDescent="0.3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25">
      <c r="A11" s="89" t="s">
        <v>264</v>
      </c>
      <c r="B11" s="102">
        <v>20</v>
      </c>
      <c r="C11" s="102">
        <v>17.399999999999999</v>
      </c>
      <c r="D11" s="102">
        <v>19</v>
      </c>
      <c r="E11" s="102">
        <v>19</v>
      </c>
      <c r="F11" s="102">
        <v>19</v>
      </c>
      <c r="G11" s="102">
        <v>19</v>
      </c>
      <c r="H11" s="102">
        <v>19</v>
      </c>
      <c r="I11" s="102">
        <v>19</v>
      </c>
      <c r="J11" s="102">
        <v>19</v>
      </c>
      <c r="K11" s="102">
        <v>19</v>
      </c>
      <c r="L11" s="102">
        <v>19</v>
      </c>
      <c r="M11" s="102">
        <v>19</v>
      </c>
      <c r="N11" s="102">
        <v>18.600000000000001</v>
      </c>
      <c r="O11" s="102">
        <v>16.899999999999999</v>
      </c>
      <c r="P11" s="102">
        <v>17.600000000000001</v>
      </c>
      <c r="Q11" s="102">
        <v>17.600000000000001</v>
      </c>
      <c r="R11" s="102">
        <v>17.600000000000001</v>
      </c>
      <c r="S11" s="102">
        <v>17.600000000000001</v>
      </c>
      <c r="T11" s="102">
        <v>17.600000000000001</v>
      </c>
      <c r="U11" s="102">
        <v>17.600000000000001</v>
      </c>
      <c r="V11" s="102">
        <v>17.600000000000001</v>
      </c>
      <c r="W11" s="102">
        <v>17.600000000000001</v>
      </c>
      <c r="X11" s="102">
        <v>17.600000000000001</v>
      </c>
      <c r="Y11" s="102">
        <v>17.600000000000001</v>
      </c>
      <c r="Z11" s="102">
        <v>17.600000000000001</v>
      </c>
      <c r="AA11" s="102">
        <v>17.600000000000001</v>
      </c>
      <c r="AB11" s="102">
        <v>20</v>
      </c>
      <c r="AC11" s="102">
        <v>20</v>
      </c>
      <c r="AD11" s="102">
        <v>20</v>
      </c>
      <c r="AE11" s="102">
        <v>20</v>
      </c>
      <c r="AF11" s="102">
        <v>20.7</v>
      </c>
      <c r="AG11" s="140">
        <v>86</v>
      </c>
      <c r="AH11" s="12">
        <f t="shared" ref="AH11:AH16" si="2">MAX(B11:AF11)</f>
        <v>20.7</v>
      </c>
      <c r="AI11" s="11">
        <f t="shared" ref="AI11:AI16" si="3">MIN(B11:AF11)</f>
        <v>16.899999999999999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25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>
        <v>11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>
        <v>11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22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25">
      <c r="A13" s="89" t="s">
        <v>262</v>
      </c>
      <c r="B13" s="102">
        <v>25.9</v>
      </c>
      <c r="C13" s="102">
        <v>24</v>
      </c>
      <c r="D13" s="102">
        <v>24</v>
      </c>
      <c r="E13" s="102">
        <v>24</v>
      </c>
      <c r="F13" s="102">
        <v>24</v>
      </c>
      <c r="G13" s="102">
        <v>24</v>
      </c>
      <c r="H13" s="102">
        <v>24</v>
      </c>
      <c r="I13" s="102">
        <v>24</v>
      </c>
      <c r="J13" s="102">
        <v>24</v>
      </c>
      <c r="K13" s="102">
        <v>24</v>
      </c>
      <c r="L13" s="102">
        <v>24</v>
      </c>
      <c r="M13" s="102">
        <v>24</v>
      </c>
      <c r="N13" s="102">
        <v>24</v>
      </c>
      <c r="O13" s="102">
        <v>24</v>
      </c>
      <c r="P13" s="102">
        <v>24</v>
      </c>
      <c r="Q13" s="102">
        <v>24</v>
      </c>
      <c r="R13" s="102">
        <v>24</v>
      </c>
      <c r="S13" s="102">
        <v>24</v>
      </c>
      <c r="T13" s="102">
        <v>24</v>
      </c>
      <c r="U13" s="102">
        <v>24</v>
      </c>
      <c r="V13" s="102">
        <v>24</v>
      </c>
      <c r="W13" s="102">
        <v>24</v>
      </c>
      <c r="X13" s="102">
        <v>24</v>
      </c>
      <c r="Y13" s="102">
        <v>24</v>
      </c>
      <c r="Z13" s="102">
        <v>24</v>
      </c>
      <c r="AA13" s="102">
        <v>24</v>
      </c>
      <c r="AB13" s="102">
        <v>24</v>
      </c>
      <c r="AC13" s="102">
        <v>24</v>
      </c>
      <c r="AD13" s="102">
        <v>24</v>
      </c>
      <c r="AE13" s="102">
        <v>24</v>
      </c>
      <c r="AF13" s="102">
        <v>24</v>
      </c>
      <c r="AG13" s="130">
        <v>54</v>
      </c>
      <c r="AH13" s="12">
        <f t="shared" si="2"/>
        <v>25.9</v>
      </c>
      <c r="AI13" s="11">
        <f t="shared" si="3"/>
        <v>24</v>
      </c>
      <c r="AK13" s="19"/>
      <c r="AL13" s="6" t="str">
        <f ca="1">"Daily Load Curve(Excluding of Export) of Nepal ("&amp;A4&amp;" "&amp;B4&amp;")"</f>
        <v>Daily Load Curve(Excluding of Export) of Nepal (Nepali Date: 2080/10/22)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.75" thickBot="1" x14ac:dyDescent="0.3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.75" thickTop="1" x14ac:dyDescent="0.25">
      <c r="A15" s="89" t="s">
        <v>260</v>
      </c>
      <c r="B15" s="123">
        <v>50.4</v>
      </c>
      <c r="C15" s="123">
        <v>50.4</v>
      </c>
      <c r="D15" s="123">
        <v>50.5</v>
      </c>
      <c r="E15" s="123">
        <v>50.5</v>
      </c>
      <c r="F15" s="123">
        <v>50.5</v>
      </c>
      <c r="G15" s="123">
        <v>50.5</v>
      </c>
      <c r="H15" s="123">
        <v>50.5</v>
      </c>
      <c r="I15" s="123">
        <v>50.5</v>
      </c>
      <c r="J15" s="123">
        <v>50.5</v>
      </c>
      <c r="K15" s="123">
        <v>50.5</v>
      </c>
      <c r="L15" s="123">
        <v>50.5</v>
      </c>
      <c r="M15" s="123">
        <v>50.5</v>
      </c>
      <c r="N15" s="123">
        <v>50.5</v>
      </c>
      <c r="O15" s="123">
        <v>50.5</v>
      </c>
      <c r="P15" s="102">
        <v>50.3</v>
      </c>
      <c r="Q15" s="102">
        <v>50.3</v>
      </c>
      <c r="R15" s="102">
        <v>50.3</v>
      </c>
      <c r="S15" s="102">
        <v>50.3</v>
      </c>
      <c r="T15" s="102">
        <v>50.3</v>
      </c>
      <c r="U15" s="102">
        <v>50.3</v>
      </c>
      <c r="V15" s="102">
        <v>50.3</v>
      </c>
      <c r="W15" s="102">
        <v>50.3</v>
      </c>
      <c r="X15" s="102">
        <v>50.3</v>
      </c>
      <c r="Y15" s="102">
        <v>50.3</v>
      </c>
      <c r="Z15" s="123">
        <v>50.3</v>
      </c>
      <c r="AA15" s="123">
        <v>50.3</v>
      </c>
      <c r="AB15" s="123">
        <v>50.3</v>
      </c>
      <c r="AC15" s="123">
        <v>50.3</v>
      </c>
      <c r="AD15" s="123">
        <v>50.3</v>
      </c>
      <c r="AE15" s="123">
        <v>50.3</v>
      </c>
      <c r="AF15" s="123">
        <v>50.3</v>
      </c>
      <c r="AG15" s="130">
        <v>50</v>
      </c>
      <c r="AH15" s="12">
        <f t="shared" si="2"/>
        <v>50.5</v>
      </c>
      <c r="AI15" s="11">
        <f t="shared" si="3"/>
        <v>50.3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25">
      <c r="A16" s="89" t="s">
        <v>258</v>
      </c>
      <c r="B16" s="102">
        <v>15</v>
      </c>
      <c r="C16" s="102">
        <v>15</v>
      </c>
      <c r="D16" s="102">
        <v>15</v>
      </c>
      <c r="E16" s="102">
        <v>15</v>
      </c>
      <c r="F16" s="102">
        <v>15</v>
      </c>
      <c r="G16" s="102">
        <v>15</v>
      </c>
      <c r="H16" s="102">
        <v>15</v>
      </c>
      <c r="I16" s="102">
        <v>15</v>
      </c>
      <c r="J16" s="102">
        <v>15</v>
      </c>
      <c r="K16" s="102">
        <v>15</v>
      </c>
      <c r="L16" s="102">
        <v>15</v>
      </c>
      <c r="M16" s="102">
        <v>15</v>
      </c>
      <c r="N16" s="102">
        <v>15</v>
      </c>
      <c r="O16" s="102">
        <v>15</v>
      </c>
      <c r="P16" s="102">
        <v>15.1</v>
      </c>
      <c r="Q16" s="102">
        <v>15.1</v>
      </c>
      <c r="R16" s="102">
        <v>15.1</v>
      </c>
      <c r="S16" s="102">
        <v>15.1</v>
      </c>
      <c r="T16" s="102">
        <v>15.1</v>
      </c>
      <c r="U16" s="102">
        <v>15.1</v>
      </c>
      <c r="V16" s="102">
        <v>15.1</v>
      </c>
      <c r="W16" s="102">
        <v>15.1</v>
      </c>
      <c r="X16" s="102">
        <v>15.1</v>
      </c>
      <c r="Y16" s="102">
        <v>15.1</v>
      </c>
      <c r="Z16" s="102">
        <v>15.1</v>
      </c>
      <c r="AA16" s="102">
        <v>15.1</v>
      </c>
      <c r="AB16" s="102">
        <v>15.1</v>
      </c>
      <c r="AC16" s="102">
        <v>15.1</v>
      </c>
      <c r="AD16" s="102">
        <v>15.1</v>
      </c>
      <c r="AE16" s="102">
        <v>15.1</v>
      </c>
      <c r="AF16" s="102">
        <v>15.1</v>
      </c>
      <c r="AG16" s="130">
        <v>45</v>
      </c>
      <c r="AH16" s="12">
        <f t="shared" si="2"/>
        <v>15.1</v>
      </c>
      <c r="AI16" s="11">
        <f t="shared" si="3"/>
        <v>15</v>
      </c>
      <c r="AK16" s="19"/>
      <c r="AL16" s="135" t="s">
        <v>7</v>
      </c>
      <c r="AM16" s="134">
        <f t="shared" ref="AM16:AR16" si="4">B58</f>
        <v>551.00000000000011</v>
      </c>
      <c r="AN16" s="134">
        <f t="shared" si="4"/>
        <v>540.70000000000005</v>
      </c>
      <c r="AO16" s="134">
        <f t="shared" si="4"/>
        <v>540.39999999999986</v>
      </c>
      <c r="AP16" s="134">
        <f t="shared" si="4"/>
        <v>540.39999999999986</v>
      </c>
      <c r="AQ16" s="134">
        <f t="shared" si="4"/>
        <v>540.39999999999986</v>
      </c>
      <c r="AR16" s="134">
        <f t="shared" si="4"/>
        <v>540.39999999999986</v>
      </c>
      <c r="AS16" s="134">
        <f>I58</f>
        <v>540.39999999999986</v>
      </c>
      <c r="AT16" s="134">
        <f>K58</f>
        <v>540.39999999999986</v>
      </c>
      <c r="AU16" s="134">
        <f t="shared" ref="AU16:BD16" si="5">M58</f>
        <v>540.39999999999986</v>
      </c>
      <c r="AV16" s="134">
        <f t="shared" si="5"/>
        <v>539.99999999999989</v>
      </c>
      <c r="AW16" s="134">
        <f t="shared" si="5"/>
        <v>530.59999999999991</v>
      </c>
      <c r="AX16" s="134">
        <f t="shared" si="5"/>
        <v>529.69999999999993</v>
      </c>
      <c r="AY16" s="134">
        <f t="shared" si="5"/>
        <v>529.69999999999993</v>
      </c>
      <c r="AZ16" s="134">
        <f t="shared" si="5"/>
        <v>529.69999999999993</v>
      </c>
      <c r="BA16" s="134">
        <f t="shared" si="5"/>
        <v>529.69999999999993</v>
      </c>
      <c r="BB16" s="134">
        <f t="shared" si="5"/>
        <v>529.69999999999993</v>
      </c>
      <c r="BC16" s="134">
        <f t="shared" si="5"/>
        <v>529.69999999999993</v>
      </c>
      <c r="BD16" s="134">
        <f t="shared" si="5"/>
        <v>529.69999999999993</v>
      </c>
      <c r="BE16" s="133">
        <f>X58</f>
        <v>529.69999999999993</v>
      </c>
      <c r="BF16" s="133">
        <f>Z58</f>
        <v>529.69999999999993</v>
      </c>
      <c r="BG16" s="133">
        <f>AB58</f>
        <v>532.09999999999991</v>
      </c>
      <c r="BH16" s="133">
        <f>AD58</f>
        <v>532.09999999999991</v>
      </c>
      <c r="BI16" s="133">
        <f>AE58</f>
        <v>532.09999999999991</v>
      </c>
      <c r="BJ16" s="133">
        <f>AF58</f>
        <v>532.79999999999995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25">
      <c r="A17" s="89" t="s">
        <v>257</v>
      </c>
      <c r="B17" s="102">
        <v>16</v>
      </c>
      <c r="C17" s="102">
        <v>16</v>
      </c>
      <c r="D17" s="102">
        <v>16</v>
      </c>
      <c r="E17" s="102">
        <v>16</v>
      </c>
      <c r="F17" s="102">
        <v>16</v>
      </c>
      <c r="G17" s="102">
        <v>16</v>
      </c>
      <c r="H17" s="102">
        <v>16</v>
      </c>
      <c r="I17" s="102">
        <v>16</v>
      </c>
      <c r="J17" s="102">
        <v>16</v>
      </c>
      <c r="K17" s="102">
        <v>16</v>
      </c>
      <c r="L17" s="102">
        <v>16</v>
      </c>
      <c r="M17" s="102">
        <v>16</v>
      </c>
      <c r="N17" s="102">
        <v>16</v>
      </c>
      <c r="O17" s="102">
        <v>16</v>
      </c>
      <c r="P17" s="102">
        <v>16</v>
      </c>
      <c r="Q17" s="102">
        <v>16</v>
      </c>
      <c r="R17" s="102">
        <v>16</v>
      </c>
      <c r="S17" s="102">
        <v>16</v>
      </c>
      <c r="T17" s="102">
        <v>16</v>
      </c>
      <c r="U17" s="102">
        <v>16</v>
      </c>
      <c r="V17" s="102">
        <v>16</v>
      </c>
      <c r="W17" s="102">
        <v>16</v>
      </c>
      <c r="X17" s="102">
        <v>16</v>
      </c>
      <c r="Y17" s="102">
        <v>16</v>
      </c>
      <c r="Z17" s="102">
        <v>16</v>
      </c>
      <c r="AA17" s="102">
        <v>16</v>
      </c>
      <c r="AB17" s="102">
        <v>16</v>
      </c>
      <c r="AC17" s="102">
        <v>16</v>
      </c>
      <c r="AD17" s="102">
        <v>16</v>
      </c>
      <c r="AE17" s="102">
        <v>16</v>
      </c>
      <c r="AF17" s="102">
        <v>16</v>
      </c>
      <c r="AG17" s="130">
        <v>44</v>
      </c>
      <c r="AH17" s="12">
        <f>MAX(B17:AG17)</f>
        <v>44</v>
      </c>
      <c r="AI17" s="11">
        <f>MIN(B17:AG17)</f>
        <v>16</v>
      </c>
      <c r="AK17" s="19"/>
      <c r="AL17" s="135" t="s">
        <v>256</v>
      </c>
      <c r="AM17" s="134">
        <f t="shared" ref="AM17:AR17" si="6">B62</f>
        <v>152.30000000000001</v>
      </c>
      <c r="AN17" s="134">
        <f t="shared" si="6"/>
        <v>190.6</v>
      </c>
      <c r="AO17" s="134">
        <f t="shared" si="6"/>
        <v>162.30000000000001</v>
      </c>
      <c r="AP17" s="134">
        <f t="shared" si="6"/>
        <v>152.19999999999999</v>
      </c>
      <c r="AQ17" s="134">
        <f t="shared" si="6"/>
        <v>140.19999999999999</v>
      </c>
      <c r="AR17" s="134">
        <f t="shared" si="6"/>
        <v>152.19999999999999</v>
      </c>
      <c r="AS17" s="134">
        <f>I62</f>
        <v>252.2</v>
      </c>
      <c r="AT17" s="134">
        <f>K62</f>
        <v>40.599999999999994</v>
      </c>
      <c r="AU17" s="134">
        <f t="shared" ref="AU17:BD17" si="7">M62</f>
        <v>41</v>
      </c>
      <c r="AV17" s="134">
        <f t="shared" si="7"/>
        <v>40.900000000000006</v>
      </c>
      <c r="AW17" s="134">
        <f t="shared" si="7"/>
        <v>40.900000000000006</v>
      </c>
      <c r="AX17" s="134">
        <f t="shared" si="7"/>
        <v>40.900000000000006</v>
      </c>
      <c r="AY17" s="134">
        <f t="shared" si="7"/>
        <v>37.4</v>
      </c>
      <c r="AZ17" s="134">
        <f t="shared" si="7"/>
        <v>37.4</v>
      </c>
      <c r="BA17" s="134">
        <f t="shared" si="7"/>
        <v>39.599999999999994</v>
      </c>
      <c r="BB17" s="134">
        <f t="shared" si="7"/>
        <v>39.599999999999994</v>
      </c>
      <c r="BC17" s="134">
        <f t="shared" si="7"/>
        <v>39.599999999999994</v>
      </c>
      <c r="BD17" s="134">
        <f t="shared" si="7"/>
        <v>39.599999999999994</v>
      </c>
      <c r="BE17" s="133">
        <f>X62</f>
        <v>69.900000000000006</v>
      </c>
      <c r="BF17" s="133">
        <f>Z62</f>
        <v>497</v>
      </c>
      <c r="BG17" s="133">
        <f>AB62</f>
        <v>472.70000000000005</v>
      </c>
      <c r="BH17" s="133">
        <f>AD62</f>
        <v>331.80000000000007</v>
      </c>
      <c r="BI17" s="133">
        <f>AE62</f>
        <v>286.70000000000005</v>
      </c>
      <c r="BJ17" s="133">
        <f>AF62</f>
        <v>269.7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25">
      <c r="A18" s="89" t="s">
        <v>255</v>
      </c>
      <c r="B18" s="102">
        <v>17</v>
      </c>
      <c r="C18" s="102">
        <v>15</v>
      </c>
      <c r="D18" s="102">
        <v>14</v>
      </c>
      <c r="E18" s="102">
        <v>14</v>
      </c>
      <c r="F18" s="102">
        <v>14</v>
      </c>
      <c r="G18" s="102">
        <v>14</v>
      </c>
      <c r="H18" s="102">
        <v>14</v>
      </c>
      <c r="I18" s="102">
        <v>14</v>
      </c>
      <c r="J18" s="102">
        <v>14</v>
      </c>
      <c r="K18" s="102">
        <v>14</v>
      </c>
      <c r="L18" s="102">
        <v>14</v>
      </c>
      <c r="M18" s="102">
        <v>14</v>
      </c>
      <c r="N18" s="102">
        <v>14</v>
      </c>
      <c r="O18" s="102">
        <v>14</v>
      </c>
      <c r="P18" s="102">
        <v>14</v>
      </c>
      <c r="Q18" s="102">
        <v>14</v>
      </c>
      <c r="R18" s="102">
        <v>14</v>
      </c>
      <c r="S18" s="102">
        <v>14</v>
      </c>
      <c r="T18" s="102">
        <v>14</v>
      </c>
      <c r="U18" s="102">
        <v>14</v>
      </c>
      <c r="V18" s="102">
        <v>14</v>
      </c>
      <c r="W18" s="102">
        <v>14</v>
      </c>
      <c r="X18" s="102">
        <v>14</v>
      </c>
      <c r="Y18" s="102">
        <v>14</v>
      </c>
      <c r="Z18" s="102">
        <v>14</v>
      </c>
      <c r="AA18" s="102">
        <v>14</v>
      </c>
      <c r="AB18" s="102">
        <v>14</v>
      </c>
      <c r="AC18" s="102">
        <v>14</v>
      </c>
      <c r="AD18" s="102">
        <v>14</v>
      </c>
      <c r="AE18" s="102">
        <v>14</v>
      </c>
      <c r="AF18" s="102">
        <v>14</v>
      </c>
      <c r="AG18" s="130">
        <v>42</v>
      </c>
      <c r="AH18" s="12">
        <f t="shared" ref="AH18:AH81" si="8">MAX(B18:AF18)</f>
        <v>17</v>
      </c>
      <c r="AI18" s="11">
        <f t="shared" ref="AI18:AI81" si="9">MIN(B18:AF18)</f>
        <v>14</v>
      </c>
      <c r="AK18" s="19"/>
      <c r="AL18" s="135" t="s">
        <v>254</v>
      </c>
      <c r="AM18" s="134">
        <f t="shared" ref="AM18:AR18" si="10">B76</f>
        <v>213.64</v>
      </c>
      <c r="AN18" s="134">
        <f t="shared" si="10"/>
        <v>224.33999999999995</v>
      </c>
      <c r="AO18" s="134">
        <f t="shared" si="10"/>
        <v>211.34</v>
      </c>
      <c r="AP18" s="134">
        <f t="shared" si="10"/>
        <v>235.04</v>
      </c>
      <c r="AQ18" s="134">
        <f t="shared" si="10"/>
        <v>235.04</v>
      </c>
      <c r="AR18" s="134">
        <f t="shared" si="10"/>
        <v>235.04</v>
      </c>
      <c r="AS18" s="134">
        <f>I76</f>
        <v>235.84</v>
      </c>
      <c r="AT18" s="134">
        <f>K76</f>
        <v>221.04</v>
      </c>
      <c r="AU18" s="134">
        <f t="shared" ref="AU18:BD18" si="11">M76</f>
        <v>230.34</v>
      </c>
      <c r="AV18" s="134">
        <f t="shared" si="11"/>
        <v>278.94000000000005</v>
      </c>
      <c r="AW18" s="134">
        <f t="shared" si="11"/>
        <v>251.23999999999998</v>
      </c>
      <c r="AX18" s="134">
        <f t="shared" si="11"/>
        <v>233.83999999999997</v>
      </c>
      <c r="AY18" s="134">
        <f t="shared" si="11"/>
        <v>247.84000000000003</v>
      </c>
      <c r="AZ18" s="134">
        <f t="shared" si="11"/>
        <v>251.34</v>
      </c>
      <c r="BA18" s="134">
        <f t="shared" si="11"/>
        <v>274.14</v>
      </c>
      <c r="BB18" s="134">
        <f t="shared" si="11"/>
        <v>266.14000000000004</v>
      </c>
      <c r="BC18" s="134">
        <f t="shared" si="11"/>
        <v>267.83999999999997</v>
      </c>
      <c r="BD18" s="134">
        <f t="shared" si="11"/>
        <v>271.94000000000005</v>
      </c>
      <c r="BE18" s="133">
        <f>X76</f>
        <v>257.34000000000003</v>
      </c>
      <c r="BF18" s="133">
        <f>Z76</f>
        <v>407.29999999999995</v>
      </c>
      <c r="BG18" s="133">
        <f>AB76</f>
        <v>406.84</v>
      </c>
      <c r="BH18" s="133">
        <f>AD76</f>
        <v>404.64</v>
      </c>
      <c r="BI18" s="133">
        <f>AE76</f>
        <v>360.14</v>
      </c>
      <c r="BJ18" s="133">
        <f>AF76</f>
        <v>311.33999999999997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25">
      <c r="A19" s="89" t="s">
        <v>253</v>
      </c>
      <c r="B19" s="102">
        <v>33.799999999999997</v>
      </c>
      <c r="C19" s="102">
        <v>33.4</v>
      </c>
      <c r="D19" s="102">
        <v>30.8</v>
      </c>
      <c r="E19" s="102">
        <v>30.8</v>
      </c>
      <c r="F19" s="102">
        <v>30.8</v>
      </c>
      <c r="G19" s="102">
        <v>30.8</v>
      </c>
      <c r="H19" s="102">
        <v>30.8</v>
      </c>
      <c r="I19" s="102">
        <v>30.8</v>
      </c>
      <c r="J19" s="102">
        <v>30.8</v>
      </c>
      <c r="K19" s="102">
        <v>30.8</v>
      </c>
      <c r="L19" s="102">
        <v>30.8</v>
      </c>
      <c r="M19" s="102">
        <v>30.8</v>
      </c>
      <c r="N19" s="102">
        <v>30.8</v>
      </c>
      <c r="O19" s="102">
        <v>30.8</v>
      </c>
      <c r="P19" s="102">
        <v>30.8</v>
      </c>
      <c r="Q19" s="102">
        <v>30.8</v>
      </c>
      <c r="R19" s="102">
        <v>30.8</v>
      </c>
      <c r="S19" s="102">
        <v>30.8</v>
      </c>
      <c r="T19" s="102">
        <v>30.8</v>
      </c>
      <c r="U19" s="102">
        <v>30.8</v>
      </c>
      <c r="V19" s="102">
        <v>30.8</v>
      </c>
      <c r="W19" s="102">
        <v>30.8</v>
      </c>
      <c r="X19" s="102">
        <v>30.8</v>
      </c>
      <c r="Y19" s="102">
        <v>30.8</v>
      </c>
      <c r="Z19" s="102">
        <v>30.8</v>
      </c>
      <c r="AA19" s="102">
        <v>30.8</v>
      </c>
      <c r="AB19" s="102">
        <v>30.8</v>
      </c>
      <c r="AC19" s="102">
        <v>30.8</v>
      </c>
      <c r="AD19" s="102">
        <v>30.8</v>
      </c>
      <c r="AE19" s="102">
        <v>30.8</v>
      </c>
      <c r="AF19" s="102">
        <v>30.8</v>
      </c>
      <c r="AG19" s="130">
        <v>38.46</v>
      </c>
      <c r="AH19" s="12">
        <f t="shared" si="8"/>
        <v>33.799999999999997</v>
      </c>
      <c r="AI19" s="11">
        <f t="shared" si="9"/>
        <v>30.8</v>
      </c>
      <c r="AK19" s="19"/>
      <c r="AL19" s="135" t="s">
        <v>252</v>
      </c>
      <c r="AM19" s="134">
        <f t="shared" ref="AM19:AR19" si="12">B92</f>
        <v>185.8</v>
      </c>
      <c r="AN19" s="134">
        <f t="shared" si="12"/>
        <v>92.9</v>
      </c>
      <c r="AO19" s="134">
        <f t="shared" si="12"/>
        <v>114.60000000000001</v>
      </c>
      <c r="AP19" s="134">
        <f t="shared" si="12"/>
        <v>87.4</v>
      </c>
      <c r="AQ19" s="134">
        <f t="shared" si="12"/>
        <v>107.19999999999999</v>
      </c>
      <c r="AR19" s="134">
        <f t="shared" si="12"/>
        <v>112.5</v>
      </c>
      <c r="AS19" s="134">
        <f>I92</f>
        <v>101.5</v>
      </c>
      <c r="AT19" s="134">
        <f>K92</f>
        <v>776.2</v>
      </c>
      <c r="AU19" s="134">
        <f t="shared" ref="AU19:BD19" si="13">M92</f>
        <v>789.90000000000009</v>
      </c>
      <c r="AV19" s="134">
        <f t="shared" si="13"/>
        <v>773.69999999999993</v>
      </c>
      <c r="AW19" s="134">
        <f t="shared" si="13"/>
        <v>772.90000000000009</v>
      </c>
      <c r="AX19" s="134">
        <f t="shared" si="13"/>
        <v>760.90000000000009</v>
      </c>
      <c r="AY19" s="134">
        <f t="shared" si="13"/>
        <v>797.79999999999984</v>
      </c>
      <c r="AZ19" s="134">
        <f t="shared" si="13"/>
        <v>795.7</v>
      </c>
      <c r="BA19" s="134">
        <f t="shared" si="13"/>
        <v>812.2</v>
      </c>
      <c r="BB19" s="134">
        <f t="shared" si="13"/>
        <v>798.30000000000007</v>
      </c>
      <c r="BC19" s="134">
        <f t="shared" si="13"/>
        <v>769.2</v>
      </c>
      <c r="BD19" s="134">
        <f t="shared" si="13"/>
        <v>702.09999999999991</v>
      </c>
      <c r="BE19" s="133">
        <f>X92</f>
        <v>636</v>
      </c>
      <c r="BF19" s="133">
        <f>Z92</f>
        <v>166.6</v>
      </c>
      <c r="BG19" s="133">
        <f>AB92</f>
        <v>121.19999999999999</v>
      </c>
      <c r="BH19" s="133">
        <f>AD92</f>
        <v>113.39999999999999</v>
      </c>
      <c r="BI19" s="133">
        <f>AE92</f>
        <v>125.8</v>
      </c>
      <c r="BJ19" s="133">
        <f>AF92</f>
        <v>93.800000000000011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25">
      <c r="A20" s="89" t="s">
        <v>251</v>
      </c>
      <c r="B20" s="102">
        <v>14</v>
      </c>
      <c r="C20" s="102">
        <v>14</v>
      </c>
      <c r="D20" s="102">
        <v>14</v>
      </c>
      <c r="E20" s="102">
        <v>14</v>
      </c>
      <c r="F20" s="102">
        <v>14</v>
      </c>
      <c r="G20" s="102">
        <v>14</v>
      </c>
      <c r="H20" s="102">
        <v>14</v>
      </c>
      <c r="I20" s="102">
        <v>14</v>
      </c>
      <c r="J20" s="102">
        <v>14</v>
      </c>
      <c r="K20" s="102">
        <v>14</v>
      </c>
      <c r="L20" s="102">
        <v>14</v>
      </c>
      <c r="M20" s="102">
        <v>14</v>
      </c>
      <c r="N20" s="102">
        <v>14</v>
      </c>
      <c r="O20" s="102">
        <v>14</v>
      </c>
      <c r="P20" s="102">
        <v>14</v>
      </c>
      <c r="Q20" s="102">
        <v>14</v>
      </c>
      <c r="R20" s="102">
        <v>14</v>
      </c>
      <c r="S20" s="102">
        <v>14</v>
      </c>
      <c r="T20" s="102">
        <v>14</v>
      </c>
      <c r="U20" s="102">
        <v>14</v>
      </c>
      <c r="V20" s="102">
        <v>14</v>
      </c>
      <c r="W20" s="102">
        <v>14</v>
      </c>
      <c r="X20" s="102">
        <v>14</v>
      </c>
      <c r="Y20" s="102">
        <v>14</v>
      </c>
      <c r="Z20" s="102">
        <v>14</v>
      </c>
      <c r="AA20" s="102">
        <v>14</v>
      </c>
      <c r="AB20" s="102">
        <v>14</v>
      </c>
      <c r="AC20" s="102">
        <v>14</v>
      </c>
      <c r="AD20" s="102">
        <v>14</v>
      </c>
      <c r="AE20" s="102">
        <v>14</v>
      </c>
      <c r="AF20" s="102">
        <v>14</v>
      </c>
      <c r="AG20" s="130">
        <v>38.46</v>
      </c>
      <c r="AH20" s="12">
        <f t="shared" si="8"/>
        <v>14</v>
      </c>
      <c r="AI20" s="11">
        <f t="shared" si="9"/>
        <v>14</v>
      </c>
      <c r="AK20" s="19"/>
      <c r="AL20" s="135" t="s">
        <v>250</v>
      </c>
      <c r="AM20" s="134">
        <f t="shared" ref="AM20:AR20" si="14">B80</f>
        <v>96.899999999999991</v>
      </c>
      <c r="AN20" s="134">
        <f t="shared" si="14"/>
        <v>96.899999999999991</v>
      </c>
      <c r="AO20" s="134">
        <f t="shared" si="14"/>
        <v>98.399999999999991</v>
      </c>
      <c r="AP20" s="134">
        <f t="shared" si="14"/>
        <v>98.399999999999991</v>
      </c>
      <c r="AQ20" s="134">
        <f t="shared" si="14"/>
        <v>98.399999999999991</v>
      </c>
      <c r="AR20" s="134">
        <f t="shared" si="14"/>
        <v>98.399999999999991</v>
      </c>
      <c r="AS20" s="134">
        <f>I80</f>
        <v>98.399999999999991</v>
      </c>
      <c r="AT20" s="134">
        <f>K80</f>
        <v>20.5</v>
      </c>
      <c r="AU20" s="134">
        <f t="shared" ref="AU20:BD20" si="15">M80</f>
        <v>20.5</v>
      </c>
      <c r="AV20" s="134">
        <f t="shared" si="15"/>
        <v>5.7</v>
      </c>
      <c r="AW20" s="134">
        <f t="shared" si="15"/>
        <v>0</v>
      </c>
      <c r="AX20" s="134">
        <f t="shared" si="15"/>
        <v>0</v>
      </c>
      <c r="AY20" s="134">
        <f t="shared" si="15"/>
        <v>0</v>
      </c>
      <c r="AZ20" s="134">
        <f t="shared" si="15"/>
        <v>0</v>
      </c>
      <c r="BA20" s="134">
        <f t="shared" si="15"/>
        <v>0</v>
      </c>
      <c r="BB20" s="134">
        <f t="shared" si="15"/>
        <v>0</v>
      </c>
      <c r="BC20" s="134">
        <f t="shared" si="15"/>
        <v>0</v>
      </c>
      <c r="BD20" s="134">
        <f t="shared" si="15"/>
        <v>0</v>
      </c>
      <c r="BE20" s="133">
        <f>X80</f>
        <v>0</v>
      </c>
      <c r="BF20" s="133">
        <f>Z80</f>
        <v>37.5</v>
      </c>
      <c r="BG20" s="133">
        <f>AB80</f>
        <v>44.5</v>
      </c>
      <c r="BH20" s="133">
        <f>AD80</f>
        <v>98.1</v>
      </c>
      <c r="BI20" s="133">
        <f>AE80</f>
        <v>95.6</v>
      </c>
      <c r="BJ20" s="133">
        <f>AF80</f>
        <v>97.2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25">
      <c r="A21" s="89" t="s">
        <v>249</v>
      </c>
      <c r="B21" s="102">
        <v>0</v>
      </c>
      <c r="C21" s="102">
        <v>0</v>
      </c>
      <c r="D21" s="102">
        <v>0</v>
      </c>
      <c r="E21" s="102">
        <v>0</v>
      </c>
      <c r="F21" s="102">
        <v>0</v>
      </c>
      <c r="G21" s="102">
        <v>0</v>
      </c>
      <c r="H21" s="102">
        <v>0</v>
      </c>
      <c r="I21" s="102">
        <v>0</v>
      </c>
      <c r="J21" s="102">
        <v>0</v>
      </c>
      <c r="K21" s="102">
        <v>0</v>
      </c>
      <c r="L21" s="102">
        <v>0</v>
      </c>
      <c r="M21" s="102">
        <v>0</v>
      </c>
      <c r="N21" s="102">
        <v>0</v>
      </c>
      <c r="O21" s="102">
        <v>0</v>
      </c>
      <c r="P21" s="102">
        <v>0</v>
      </c>
      <c r="Q21" s="102">
        <v>0</v>
      </c>
      <c r="R21" s="102">
        <v>0</v>
      </c>
      <c r="S21" s="102">
        <v>0</v>
      </c>
      <c r="T21" s="102">
        <v>0</v>
      </c>
      <c r="U21" s="102">
        <v>0</v>
      </c>
      <c r="V21" s="102">
        <v>0</v>
      </c>
      <c r="W21" s="102">
        <v>0</v>
      </c>
      <c r="X21" s="102">
        <v>0</v>
      </c>
      <c r="Y21" s="102">
        <v>0</v>
      </c>
      <c r="Z21" s="102">
        <v>0</v>
      </c>
      <c r="AA21" s="102">
        <v>0</v>
      </c>
      <c r="AB21" s="102">
        <v>0</v>
      </c>
      <c r="AC21" s="102">
        <v>0</v>
      </c>
      <c r="AD21" s="102">
        <v>0</v>
      </c>
      <c r="AE21" s="102">
        <v>0</v>
      </c>
      <c r="AF21" s="102">
        <v>0</v>
      </c>
      <c r="AG21" s="130">
        <v>36</v>
      </c>
      <c r="AH21" s="12">
        <f t="shared" si="8"/>
        <v>0</v>
      </c>
      <c r="AI21" s="11">
        <f t="shared" si="9"/>
        <v>0</v>
      </c>
      <c r="AK21" s="19"/>
      <c r="AL21" s="135" t="s">
        <v>248</v>
      </c>
      <c r="AM21" s="134">
        <f t="shared" ref="AM21:AR21" si="16">B98</f>
        <v>350</v>
      </c>
      <c r="AN21" s="134">
        <f t="shared" si="16"/>
        <v>350</v>
      </c>
      <c r="AO21" s="134">
        <f t="shared" si="16"/>
        <v>350</v>
      </c>
      <c r="AP21" s="134">
        <f t="shared" si="16"/>
        <v>350</v>
      </c>
      <c r="AQ21" s="134">
        <f t="shared" si="16"/>
        <v>350</v>
      </c>
      <c r="AR21" s="134">
        <f t="shared" si="16"/>
        <v>350</v>
      </c>
      <c r="AS21" s="134">
        <f>I98</f>
        <v>331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250</v>
      </c>
      <c r="BG21" s="133">
        <f>AB98</f>
        <v>250</v>
      </c>
      <c r="BH21" s="133">
        <f>AD98</f>
        <v>250</v>
      </c>
      <c r="BI21" s="133">
        <f>AE98</f>
        <v>250</v>
      </c>
      <c r="BJ21" s="133">
        <f>AF98</f>
        <v>250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25">
      <c r="A22" s="89" t="s">
        <v>247</v>
      </c>
      <c r="B22" s="102">
        <v>15.3</v>
      </c>
      <c r="C22" s="102">
        <v>13</v>
      </c>
      <c r="D22" s="102">
        <v>13.2</v>
      </c>
      <c r="E22" s="102">
        <v>13.2</v>
      </c>
      <c r="F22" s="102">
        <v>13.2</v>
      </c>
      <c r="G22" s="102">
        <v>13.2</v>
      </c>
      <c r="H22" s="102">
        <v>13.2</v>
      </c>
      <c r="I22" s="102">
        <v>13.2</v>
      </c>
      <c r="J22" s="102">
        <v>13.2</v>
      </c>
      <c r="K22" s="102">
        <v>13.2</v>
      </c>
      <c r="L22" s="102">
        <v>13.2</v>
      </c>
      <c r="M22" s="102">
        <v>13.2</v>
      </c>
      <c r="N22" s="102">
        <v>13.2</v>
      </c>
      <c r="O22" s="102">
        <v>10</v>
      </c>
      <c r="P22" s="102">
        <v>8.5</v>
      </c>
      <c r="Q22" s="102">
        <v>8.5</v>
      </c>
      <c r="R22" s="102">
        <v>8.5</v>
      </c>
      <c r="S22" s="102">
        <v>8.5</v>
      </c>
      <c r="T22" s="102">
        <v>8.5</v>
      </c>
      <c r="U22" s="102">
        <v>8.5</v>
      </c>
      <c r="V22" s="102">
        <v>8.5</v>
      </c>
      <c r="W22" s="102">
        <v>8.5</v>
      </c>
      <c r="X22" s="102">
        <v>8.5</v>
      </c>
      <c r="Y22" s="102">
        <v>8.5</v>
      </c>
      <c r="Z22" s="102">
        <v>8.5</v>
      </c>
      <c r="AA22" s="102">
        <v>8.5</v>
      </c>
      <c r="AB22" s="102">
        <v>8.5</v>
      </c>
      <c r="AC22" s="102">
        <v>8.5</v>
      </c>
      <c r="AD22" s="102">
        <v>8.5</v>
      </c>
      <c r="AE22" s="102">
        <v>8.5</v>
      </c>
      <c r="AF22" s="102">
        <v>8.5</v>
      </c>
      <c r="AG22" s="88">
        <v>30</v>
      </c>
      <c r="AH22" s="12">
        <f t="shared" si="8"/>
        <v>15.3</v>
      </c>
      <c r="AI22" s="11">
        <f t="shared" si="9"/>
        <v>8.5</v>
      </c>
      <c r="AK22" s="19"/>
      <c r="AL22" s="132" t="s">
        <v>246</v>
      </c>
      <c r="AM22" s="131">
        <f t="shared" ref="AM22:BJ22" si="18">SUM(AM16:AM21)</f>
        <v>1549.6400000000003</v>
      </c>
      <c r="AN22" s="131">
        <f t="shared" si="18"/>
        <v>1495.44</v>
      </c>
      <c r="AO22" s="131">
        <f t="shared" si="18"/>
        <v>1477.04</v>
      </c>
      <c r="AP22" s="131">
        <f t="shared" si="18"/>
        <v>1463.4399999999998</v>
      </c>
      <c r="AQ22" s="131">
        <f t="shared" si="18"/>
        <v>1471.24</v>
      </c>
      <c r="AR22" s="131">
        <f t="shared" si="18"/>
        <v>1488.54</v>
      </c>
      <c r="AS22" s="131">
        <f t="shared" si="18"/>
        <v>1559.34</v>
      </c>
      <c r="AT22" s="131">
        <f t="shared" si="18"/>
        <v>1598.7399999999998</v>
      </c>
      <c r="AU22" s="131">
        <f t="shared" si="18"/>
        <v>1622.1399999999999</v>
      </c>
      <c r="AV22" s="131">
        <f t="shared" si="18"/>
        <v>1639.24</v>
      </c>
      <c r="AW22" s="131">
        <f t="shared" si="18"/>
        <v>1595.6399999999999</v>
      </c>
      <c r="AX22" s="131">
        <f t="shared" si="18"/>
        <v>1565.34</v>
      </c>
      <c r="AY22" s="131">
        <f t="shared" si="18"/>
        <v>1612.7399999999998</v>
      </c>
      <c r="AZ22" s="131">
        <f t="shared" si="18"/>
        <v>1614.1399999999999</v>
      </c>
      <c r="BA22" s="131">
        <f t="shared" si="18"/>
        <v>1655.6399999999999</v>
      </c>
      <c r="BB22" s="131">
        <f t="shared" si="18"/>
        <v>1633.7400000000002</v>
      </c>
      <c r="BC22" s="131">
        <f t="shared" si="18"/>
        <v>1606.34</v>
      </c>
      <c r="BD22" s="131">
        <f t="shared" si="18"/>
        <v>1543.34</v>
      </c>
      <c r="BE22" s="131">
        <f t="shared" si="18"/>
        <v>1492.94</v>
      </c>
      <c r="BF22" s="131">
        <f t="shared" si="18"/>
        <v>1888.0999999999997</v>
      </c>
      <c r="BG22" s="131">
        <f t="shared" si="18"/>
        <v>1827.34</v>
      </c>
      <c r="BH22" s="131">
        <f t="shared" si="18"/>
        <v>1730.04</v>
      </c>
      <c r="BI22" s="131">
        <f t="shared" si="18"/>
        <v>1650.34</v>
      </c>
      <c r="BJ22" s="131">
        <f t="shared" si="18"/>
        <v>1554.84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25">
      <c r="A23" s="89" t="s">
        <v>245</v>
      </c>
      <c r="B23" s="102">
        <v>5.6</v>
      </c>
      <c r="C23" s="102">
        <v>5.6</v>
      </c>
      <c r="D23" s="102">
        <v>5.6</v>
      </c>
      <c r="E23" s="102">
        <v>5.6</v>
      </c>
      <c r="F23" s="102">
        <v>5.6</v>
      </c>
      <c r="G23" s="102">
        <v>5.6</v>
      </c>
      <c r="H23" s="102">
        <v>5.6</v>
      </c>
      <c r="I23" s="102">
        <v>5.6</v>
      </c>
      <c r="J23" s="102">
        <v>5.6</v>
      </c>
      <c r="K23" s="102">
        <v>5.6</v>
      </c>
      <c r="L23" s="102">
        <v>5.6</v>
      </c>
      <c r="M23" s="102">
        <v>5.6</v>
      </c>
      <c r="N23" s="102">
        <v>5.6</v>
      </c>
      <c r="O23" s="102">
        <v>5.6</v>
      </c>
      <c r="P23" s="102">
        <v>5.6</v>
      </c>
      <c r="Q23" s="102">
        <v>5.6</v>
      </c>
      <c r="R23" s="102">
        <v>5.6</v>
      </c>
      <c r="S23" s="102">
        <v>5.6</v>
      </c>
      <c r="T23" s="102">
        <v>5.6</v>
      </c>
      <c r="U23" s="102">
        <v>5.6</v>
      </c>
      <c r="V23" s="102">
        <v>5.6</v>
      </c>
      <c r="W23" s="102">
        <v>5.6</v>
      </c>
      <c r="X23" s="102">
        <v>5.6</v>
      </c>
      <c r="Y23" s="102">
        <v>5.6</v>
      </c>
      <c r="Z23" s="102">
        <v>5.6</v>
      </c>
      <c r="AA23" s="102">
        <v>5.6</v>
      </c>
      <c r="AB23" s="102">
        <v>5.6</v>
      </c>
      <c r="AC23" s="102">
        <v>5.6</v>
      </c>
      <c r="AD23" s="102">
        <v>5.6</v>
      </c>
      <c r="AE23" s="102">
        <v>5.6</v>
      </c>
      <c r="AF23" s="102">
        <v>5.6</v>
      </c>
      <c r="AG23" s="130">
        <v>24.2</v>
      </c>
      <c r="AH23" s="12">
        <f t="shared" si="8"/>
        <v>5.6</v>
      </c>
      <c r="AI23" s="11">
        <f t="shared" si="9"/>
        <v>5.6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25">
      <c r="A24" s="89" t="s">
        <v>244</v>
      </c>
      <c r="B24" s="102">
        <v>5.6</v>
      </c>
      <c r="C24" s="102">
        <v>5.6</v>
      </c>
      <c r="D24" s="102">
        <v>6</v>
      </c>
      <c r="E24" s="102">
        <v>6</v>
      </c>
      <c r="F24" s="102">
        <v>6</v>
      </c>
      <c r="G24" s="102">
        <v>6</v>
      </c>
      <c r="H24" s="102">
        <v>6</v>
      </c>
      <c r="I24" s="102">
        <v>6</v>
      </c>
      <c r="J24" s="102">
        <v>6</v>
      </c>
      <c r="K24" s="102">
        <v>6</v>
      </c>
      <c r="L24" s="102">
        <v>6</v>
      </c>
      <c r="M24" s="102">
        <v>6</v>
      </c>
      <c r="N24" s="102">
        <v>6</v>
      </c>
      <c r="O24" s="102">
        <v>6</v>
      </c>
      <c r="P24" s="102">
        <v>6</v>
      </c>
      <c r="Q24" s="102">
        <v>6</v>
      </c>
      <c r="R24" s="102">
        <v>6</v>
      </c>
      <c r="S24" s="102">
        <v>6</v>
      </c>
      <c r="T24" s="102">
        <v>6</v>
      </c>
      <c r="U24" s="102">
        <v>6</v>
      </c>
      <c r="V24" s="102">
        <v>6</v>
      </c>
      <c r="W24" s="102">
        <v>6</v>
      </c>
      <c r="X24" s="102">
        <v>6</v>
      </c>
      <c r="Y24" s="102">
        <v>6</v>
      </c>
      <c r="Z24" s="102">
        <v>6</v>
      </c>
      <c r="AA24" s="102">
        <v>6</v>
      </c>
      <c r="AB24" s="102">
        <v>6</v>
      </c>
      <c r="AC24" s="102">
        <v>6</v>
      </c>
      <c r="AD24" s="102">
        <v>6</v>
      </c>
      <c r="AE24" s="102">
        <v>6</v>
      </c>
      <c r="AF24" s="102">
        <v>6</v>
      </c>
      <c r="AG24" s="130">
        <v>28</v>
      </c>
      <c r="AH24" s="12">
        <f t="shared" si="8"/>
        <v>6</v>
      </c>
      <c r="AI24" s="11">
        <f t="shared" si="9"/>
        <v>5.6</v>
      </c>
      <c r="AK24" s="19"/>
      <c r="AL24" s="132" t="s">
        <v>243</v>
      </c>
      <c r="AM24" s="131">
        <f t="shared" ref="AM24:BJ24" si="21">AM22+AM23</f>
        <v>1549.6400000000003</v>
      </c>
      <c r="AN24" s="131">
        <f t="shared" si="21"/>
        <v>1495.44</v>
      </c>
      <c r="AO24" s="131">
        <f t="shared" si="21"/>
        <v>1477.04</v>
      </c>
      <c r="AP24" s="131">
        <f t="shared" si="21"/>
        <v>1463.4399999999998</v>
      </c>
      <c r="AQ24" s="131">
        <f t="shared" si="21"/>
        <v>1471.24</v>
      </c>
      <c r="AR24" s="131">
        <f t="shared" si="21"/>
        <v>1488.54</v>
      </c>
      <c r="AS24" s="131">
        <f t="shared" si="21"/>
        <v>1559.34</v>
      </c>
      <c r="AT24" s="131">
        <f t="shared" si="21"/>
        <v>1598.7399999999998</v>
      </c>
      <c r="AU24" s="131">
        <f t="shared" si="21"/>
        <v>1622.1399999999999</v>
      </c>
      <c r="AV24" s="131">
        <f t="shared" si="21"/>
        <v>1639.24</v>
      </c>
      <c r="AW24" s="131">
        <f t="shared" si="21"/>
        <v>1595.6399999999999</v>
      </c>
      <c r="AX24" s="131">
        <f t="shared" si="21"/>
        <v>1565.34</v>
      </c>
      <c r="AY24" s="131">
        <f t="shared" si="21"/>
        <v>1612.7399999999998</v>
      </c>
      <c r="AZ24" s="131">
        <f t="shared" si="21"/>
        <v>1614.1399999999999</v>
      </c>
      <c r="BA24" s="131">
        <f t="shared" si="21"/>
        <v>1655.6399999999999</v>
      </c>
      <c r="BB24" s="131">
        <f t="shared" si="21"/>
        <v>1633.7400000000002</v>
      </c>
      <c r="BC24" s="131">
        <f t="shared" si="21"/>
        <v>1606.34</v>
      </c>
      <c r="BD24" s="131">
        <f t="shared" si="21"/>
        <v>1543.34</v>
      </c>
      <c r="BE24" s="131">
        <f t="shared" si="21"/>
        <v>1492.94</v>
      </c>
      <c r="BF24" s="131">
        <f t="shared" si="21"/>
        <v>1888.0999999999997</v>
      </c>
      <c r="BG24" s="131">
        <f t="shared" si="21"/>
        <v>1827.34</v>
      </c>
      <c r="BH24" s="131">
        <f t="shared" si="21"/>
        <v>1730.04</v>
      </c>
      <c r="BI24" s="131">
        <f t="shared" si="21"/>
        <v>1650.34</v>
      </c>
      <c r="BJ24" s="131">
        <f t="shared" si="21"/>
        <v>1554.84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25">
      <c r="A25" s="89" t="s">
        <v>242</v>
      </c>
      <c r="B25" s="102">
        <v>9</v>
      </c>
      <c r="C25" s="102">
        <v>9</v>
      </c>
      <c r="D25" s="102">
        <v>10.7</v>
      </c>
      <c r="E25" s="102">
        <v>10.7</v>
      </c>
      <c r="F25" s="102">
        <v>10.7</v>
      </c>
      <c r="G25" s="102">
        <v>10.7</v>
      </c>
      <c r="H25" s="102">
        <v>10.7</v>
      </c>
      <c r="I25" s="102">
        <v>10.7</v>
      </c>
      <c r="J25" s="102">
        <v>10.7</v>
      </c>
      <c r="K25" s="102">
        <v>10.7</v>
      </c>
      <c r="L25" s="102">
        <v>10.7</v>
      </c>
      <c r="M25" s="102">
        <v>10.7</v>
      </c>
      <c r="N25" s="102">
        <v>10.7</v>
      </c>
      <c r="O25" s="102">
        <v>10.7</v>
      </c>
      <c r="P25" s="102">
        <v>10.7</v>
      </c>
      <c r="Q25" s="102">
        <v>10.7</v>
      </c>
      <c r="R25" s="102">
        <v>10.7</v>
      </c>
      <c r="S25" s="102">
        <v>10.7</v>
      </c>
      <c r="T25" s="102">
        <v>10.7</v>
      </c>
      <c r="U25" s="102">
        <v>10.7</v>
      </c>
      <c r="V25" s="102">
        <v>10.7</v>
      </c>
      <c r="W25" s="102">
        <v>10.7</v>
      </c>
      <c r="X25" s="102">
        <v>10.7</v>
      </c>
      <c r="Y25" s="102">
        <v>10.7</v>
      </c>
      <c r="Z25" s="102">
        <v>10.7</v>
      </c>
      <c r="AA25" s="102">
        <v>10.7</v>
      </c>
      <c r="AB25" s="102">
        <v>10.7</v>
      </c>
      <c r="AC25" s="102">
        <v>10.7</v>
      </c>
      <c r="AD25" s="102">
        <v>10.7</v>
      </c>
      <c r="AE25" s="102">
        <v>10.7</v>
      </c>
      <c r="AF25" s="102">
        <v>10.7</v>
      </c>
      <c r="AG25" s="88">
        <v>30</v>
      </c>
      <c r="AH25" s="12">
        <f t="shared" si="8"/>
        <v>10.7</v>
      </c>
      <c r="AI25" s="11">
        <f t="shared" si="9"/>
        <v>9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25">
      <c r="A26" s="89" t="s">
        <v>241</v>
      </c>
      <c r="B26" s="102">
        <v>16.600000000000001</v>
      </c>
      <c r="C26" s="102">
        <v>14.9</v>
      </c>
      <c r="D26" s="102">
        <v>14.9</v>
      </c>
      <c r="E26" s="102">
        <v>14.9</v>
      </c>
      <c r="F26" s="102">
        <v>14.9</v>
      </c>
      <c r="G26" s="102">
        <v>14.9</v>
      </c>
      <c r="H26" s="102">
        <v>14.9</v>
      </c>
      <c r="I26" s="102">
        <v>14.9</v>
      </c>
      <c r="J26" s="102">
        <v>14.9</v>
      </c>
      <c r="K26" s="102">
        <v>14.9</v>
      </c>
      <c r="L26" s="102">
        <v>14.9</v>
      </c>
      <c r="M26" s="102">
        <v>14.9</v>
      </c>
      <c r="N26" s="102">
        <v>14.9</v>
      </c>
      <c r="O26" s="102">
        <v>14.9</v>
      </c>
      <c r="P26" s="102">
        <v>14.9</v>
      </c>
      <c r="Q26" s="102">
        <v>14.9</v>
      </c>
      <c r="R26" s="102">
        <v>14.9</v>
      </c>
      <c r="S26" s="102">
        <v>14.9</v>
      </c>
      <c r="T26" s="102">
        <v>14.9</v>
      </c>
      <c r="U26" s="102">
        <v>14.9</v>
      </c>
      <c r="V26" s="102">
        <v>14.9</v>
      </c>
      <c r="W26" s="102">
        <v>14.9</v>
      </c>
      <c r="X26" s="102">
        <v>14.9</v>
      </c>
      <c r="Y26" s="102">
        <v>14.9</v>
      </c>
      <c r="Z26" s="102">
        <v>14.9</v>
      </c>
      <c r="AA26" s="102">
        <v>14.9</v>
      </c>
      <c r="AB26" s="102">
        <v>14.9</v>
      </c>
      <c r="AC26" s="102">
        <v>14.9</v>
      </c>
      <c r="AD26" s="102">
        <v>14.9</v>
      </c>
      <c r="AE26" s="102">
        <v>14.9</v>
      </c>
      <c r="AF26" s="102">
        <v>14.9</v>
      </c>
      <c r="AG26" s="130">
        <v>25</v>
      </c>
      <c r="AH26" s="12">
        <f t="shared" si="8"/>
        <v>16.600000000000001</v>
      </c>
      <c r="AI26" s="11">
        <f t="shared" si="9"/>
        <v>14.9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25">
      <c r="A27" s="89" t="s">
        <v>240</v>
      </c>
      <c r="B27" s="102">
        <v>8</v>
      </c>
      <c r="C27" s="102">
        <v>8</v>
      </c>
      <c r="D27" s="102">
        <v>8</v>
      </c>
      <c r="E27" s="102">
        <v>8</v>
      </c>
      <c r="F27" s="102">
        <v>8</v>
      </c>
      <c r="G27" s="102">
        <v>8</v>
      </c>
      <c r="H27" s="102">
        <v>8</v>
      </c>
      <c r="I27" s="102">
        <v>8</v>
      </c>
      <c r="J27" s="102">
        <v>8</v>
      </c>
      <c r="K27" s="102">
        <v>8</v>
      </c>
      <c r="L27" s="102">
        <v>8</v>
      </c>
      <c r="M27" s="102">
        <v>8</v>
      </c>
      <c r="N27" s="102">
        <v>8</v>
      </c>
      <c r="O27" s="102">
        <v>8</v>
      </c>
      <c r="P27" s="102">
        <v>8</v>
      </c>
      <c r="Q27" s="102">
        <v>8</v>
      </c>
      <c r="R27" s="102">
        <v>8</v>
      </c>
      <c r="S27" s="102">
        <v>8</v>
      </c>
      <c r="T27" s="102">
        <v>8</v>
      </c>
      <c r="U27" s="102">
        <v>8</v>
      </c>
      <c r="V27" s="102">
        <v>8</v>
      </c>
      <c r="W27" s="102">
        <v>8</v>
      </c>
      <c r="X27" s="102">
        <v>8</v>
      </c>
      <c r="Y27" s="102">
        <v>8</v>
      </c>
      <c r="Z27" s="102">
        <v>8</v>
      </c>
      <c r="AA27" s="102">
        <v>8</v>
      </c>
      <c r="AB27" s="102">
        <v>8</v>
      </c>
      <c r="AC27" s="102">
        <v>8</v>
      </c>
      <c r="AD27" s="102">
        <v>8</v>
      </c>
      <c r="AE27" s="102">
        <v>8</v>
      </c>
      <c r="AF27" s="102">
        <v>8</v>
      </c>
      <c r="AG27" s="130">
        <v>25</v>
      </c>
      <c r="AH27" s="12">
        <f t="shared" si="8"/>
        <v>8</v>
      </c>
      <c r="AI27" s="11">
        <f t="shared" si="9"/>
        <v>8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25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25">
      <c r="A29" s="89" t="s">
        <v>238</v>
      </c>
      <c r="B29" s="102">
        <v>13.1</v>
      </c>
      <c r="C29" s="102">
        <v>14.3</v>
      </c>
      <c r="D29" s="102">
        <v>13.4</v>
      </c>
      <c r="E29" s="102">
        <v>13.4</v>
      </c>
      <c r="F29" s="102">
        <v>13.4</v>
      </c>
      <c r="G29" s="102">
        <v>13.4</v>
      </c>
      <c r="H29" s="102">
        <v>13.4</v>
      </c>
      <c r="I29" s="102">
        <v>13.4</v>
      </c>
      <c r="J29" s="102">
        <v>13.4</v>
      </c>
      <c r="K29" s="102">
        <v>13.4</v>
      </c>
      <c r="L29" s="102">
        <v>13.4</v>
      </c>
      <c r="M29" s="102">
        <v>13.4</v>
      </c>
      <c r="N29" s="102">
        <v>13.4</v>
      </c>
      <c r="O29" s="102">
        <v>13.4</v>
      </c>
      <c r="P29" s="102">
        <v>13.4</v>
      </c>
      <c r="Q29" s="102">
        <v>13.4</v>
      </c>
      <c r="R29" s="102">
        <v>13.4</v>
      </c>
      <c r="S29" s="102">
        <v>13.4</v>
      </c>
      <c r="T29" s="102">
        <v>13.4</v>
      </c>
      <c r="U29" s="102">
        <v>13.4</v>
      </c>
      <c r="V29" s="102">
        <v>13.4</v>
      </c>
      <c r="W29" s="102">
        <v>13.4</v>
      </c>
      <c r="X29" s="102">
        <v>13.4</v>
      </c>
      <c r="Y29" s="102">
        <v>13.4</v>
      </c>
      <c r="Z29" s="102">
        <v>13.4</v>
      </c>
      <c r="AA29" s="102">
        <v>13.4</v>
      </c>
      <c r="AB29" s="102">
        <v>13.4</v>
      </c>
      <c r="AC29" s="102">
        <v>13.4</v>
      </c>
      <c r="AD29" s="102">
        <v>13.4</v>
      </c>
      <c r="AE29" s="102">
        <v>13.4</v>
      </c>
      <c r="AF29" s="102">
        <v>13.4</v>
      </c>
      <c r="AG29" s="130">
        <v>25</v>
      </c>
      <c r="AH29" s="12">
        <f t="shared" si="8"/>
        <v>14.3</v>
      </c>
      <c r="AI29" s="11">
        <f t="shared" si="9"/>
        <v>13.1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25">
      <c r="A30" s="89" t="s">
        <v>237</v>
      </c>
      <c r="B30" s="102">
        <v>4.8</v>
      </c>
      <c r="C30" s="102">
        <v>4.5999999999999996</v>
      </c>
      <c r="D30" s="102">
        <v>4.4000000000000004</v>
      </c>
      <c r="E30" s="102">
        <v>4.4000000000000004</v>
      </c>
      <c r="F30" s="102">
        <v>4.4000000000000004</v>
      </c>
      <c r="G30" s="102">
        <v>4.4000000000000004</v>
      </c>
      <c r="H30" s="102">
        <v>4.4000000000000004</v>
      </c>
      <c r="I30" s="102">
        <v>4.4000000000000004</v>
      </c>
      <c r="J30" s="102">
        <v>4.4000000000000004</v>
      </c>
      <c r="K30" s="102">
        <v>4.4000000000000004</v>
      </c>
      <c r="L30" s="102">
        <v>4.4000000000000004</v>
      </c>
      <c r="M30" s="102">
        <v>4.4000000000000004</v>
      </c>
      <c r="N30" s="102">
        <v>4.4000000000000004</v>
      </c>
      <c r="O30" s="102">
        <v>4.4000000000000004</v>
      </c>
      <c r="P30" s="102">
        <v>4.4000000000000004</v>
      </c>
      <c r="Q30" s="102">
        <v>4.4000000000000004</v>
      </c>
      <c r="R30" s="102">
        <v>4.4000000000000004</v>
      </c>
      <c r="S30" s="102">
        <v>4.4000000000000004</v>
      </c>
      <c r="T30" s="102">
        <v>4.4000000000000004</v>
      </c>
      <c r="U30" s="102">
        <v>4.4000000000000004</v>
      </c>
      <c r="V30" s="102">
        <v>4.4000000000000004</v>
      </c>
      <c r="W30" s="102">
        <v>4.4000000000000004</v>
      </c>
      <c r="X30" s="102">
        <v>4.4000000000000004</v>
      </c>
      <c r="Y30" s="102">
        <v>4.4000000000000004</v>
      </c>
      <c r="Z30" s="102">
        <v>4.4000000000000004</v>
      </c>
      <c r="AA30" s="102">
        <v>4.4000000000000004</v>
      </c>
      <c r="AB30" s="102">
        <v>4.4000000000000004</v>
      </c>
      <c r="AC30" s="102">
        <v>4.4000000000000004</v>
      </c>
      <c r="AD30" s="102">
        <v>4.4000000000000004</v>
      </c>
      <c r="AE30" s="102">
        <v>4.4000000000000004</v>
      </c>
      <c r="AF30" s="102">
        <v>4.4000000000000004</v>
      </c>
      <c r="AG30" s="130">
        <v>23.5</v>
      </c>
      <c r="AH30" s="12">
        <f t="shared" si="8"/>
        <v>4.8</v>
      </c>
      <c r="AI30" s="11">
        <f t="shared" si="9"/>
        <v>4.4000000000000004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25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25">
      <c r="A32" s="89" t="s">
        <v>235</v>
      </c>
      <c r="B32" s="102">
        <v>3</v>
      </c>
      <c r="C32" s="102">
        <v>3</v>
      </c>
      <c r="D32" s="102">
        <v>3</v>
      </c>
      <c r="E32" s="102">
        <v>3</v>
      </c>
      <c r="F32" s="102">
        <v>3</v>
      </c>
      <c r="G32" s="102">
        <v>3</v>
      </c>
      <c r="H32" s="102">
        <v>3</v>
      </c>
      <c r="I32" s="102">
        <v>3</v>
      </c>
      <c r="J32" s="102">
        <v>3</v>
      </c>
      <c r="K32" s="102">
        <v>3</v>
      </c>
      <c r="L32" s="102">
        <v>3</v>
      </c>
      <c r="M32" s="102">
        <v>3</v>
      </c>
      <c r="N32" s="102">
        <v>3</v>
      </c>
      <c r="O32" s="102">
        <v>3</v>
      </c>
      <c r="P32" s="102">
        <v>3</v>
      </c>
      <c r="Q32" s="102">
        <v>3</v>
      </c>
      <c r="R32" s="102">
        <v>3</v>
      </c>
      <c r="S32" s="102">
        <v>3</v>
      </c>
      <c r="T32" s="102">
        <v>3</v>
      </c>
      <c r="U32" s="102">
        <v>3</v>
      </c>
      <c r="V32" s="102">
        <v>3</v>
      </c>
      <c r="W32" s="102">
        <v>3</v>
      </c>
      <c r="X32" s="102">
        <v>3</v>
      </c>
      <c r="Y32" s="102">
        <v>3</v>
      </c>
      <c r="Z32" s="102">
        <v>3</v>
      </c>
      <c r="AA32" s="102">
        <v>3</v>
      </c>
      <c r="AB32" s="102">
        <v>3</v>
      </c>
      <c r="AC32" s="102">
        <v>3</v>
      </c>
      <c r="AD32" s="102">
        <v>3</v>
      </c>
      <c r="AE32" s="102">
        <v>3</v>
      </c>
      <c r="AF32" s="102">
        <v>3</v>
      </c>
      <c r="AG32" s="130">
        <v>22.1</v>
      </c>
      <c r="AH32" s="12">
        <f t="shared" si="8"/>
        <v>3</v>
      </c>
      <c r="AI32" s="11">
        <f t="shared" si="9"/>
        <v>3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25">
      <c r="A33" s="89" t="s">
        <v>234</v>
      </c>
      <c r="B33" s="102">
        <v>3.9</v>
      </c>
      <c r="C33" s="102">
        <v>3.9</v>
      </c>
      <c r="D33" s="102">
        <v>3.9</v>
      </c>
      <c r="E33" s="102">
        <v>3.9</v>
      </c>
      <c r="F33" s="102">
        <v>3.9</v>
      </c>
      <c r="G33" s="102">
        <v>3.9</v>
      </c>
      <c r="H33" s="102">
        <v>3.9</v>
      </c>
      <c r="I33" s="102">
        <v>3.9</v>
      </c>
      <c r="J33" s="102">
        <v>3.9</v>
      </c>
      <c r="K33" s="102">
        <v>3.9</v>
      </c>
      <c r="L33" s="102">
        <v>3.9</v>
      </c>
      <c r="M33" s="102">
        <v>3.9</v>
      </c>
      <c r="N33" s="102">
        <v>3.9</v>
      </c>
      <c r="O33" s="102">
        <v>3.9</v>
      </c>
      <c r="P33" s="102">
        <v>3.9</v>
      </c>
      <c r="Q33" s="102">
        <v>3.9</v>
      </c>
      <c r="R33" s="102">
        <v>3.9</v>
      </c>
      <c r="S33" s="102">
        <v>3.9</v>
      </c>
      <c r="T33" s="102">
        <v>3.9</v>
      </c>
      <c r="U33" s="102">
        <v>3.9</v>
      </c>
      <c r="V33" s="102">
        <v>3.9</v>
      </c>
      <c r="W33" s="102">
        <v>3.9</v>
      </c>
      <c r="X33" s="102">
        <v>3.9</v>
      </c>
      <c r="Y33" s="102">
        <v>3.9</v>
      </c>
      <c r="Z33" s="102">
        <v>3.9</v>
      </c>
      <c r="AA33" s="102">
        <v>3.9</v>
      </c>
      <c r="AB33" s="102">
        <v>3.9</v>
      </c>
      <c r="AC33" s="102">
        <v>3.9</v>
      </c>
      <c r="AD33" s="102">
        <v>3.9</v>
      </c>
      <c r="AE33" s="102">
        <v>3.9</v>
      </c>
      <c r="AF33" s="102">
        <v>3.9</v>
      </c>
      <c r="AG33" s="130">
        <v>22</v>
      </c>
      <c r="AH33" s="12">
        <f t="shared" si="8"/>
        <v>3.9</v>
      </c>
      <c r="AI33" s="11">
        <f t="shared" si="9"/>
        <v>3.9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25">
      <c r="A34" s="89" t="s">
        <v>233</v>
      </c>
      <c r="B34" s="102">
        <v>7.6</v>
      </c>
      <c r="C34" s="102">
        <v>7.2</v>
      </c>
      <c r="D34" s="102">
        <v>6.5</v>
      </c>
      <c r="E34" s="102">
        <v>6.5</v>
      </c>
      <c r="F34" s="102">
        <v>6.5</v>
      </c>
      <c r="G34" s="102">
        <v>6.5</v>
      </c>
      <c r="H34" s="102">
        <v>6.5</v>
      </c>
      <c r="I34" s="102">
        <v>6.5</v>
      </c>
      <c r="J34" s="102">
        <v>6.5</v>
      </c>
      <c r="K34" s="102">
        <v>6.5</v>
      </c>
      <c r="L34" s="102">
        <v>6.5</v>
      </c>
      <c r="M34" s="102">
        <v>6.5</v>
      </c>
      <c r="N34" s="102">
        <v>6.5</v>
      </c>
      <c r="O34" s="102">
        <v>6.5</v>
      </c>
      <c r="P34" s="102">
        <v>6.5</v>
      </c>
      <c r="Q34" s="102">
        <v>6.5</v>
      </c>
      <c r="R34" s="102">
        <v>6.5</v>
      </c>
      <c r="S34" s="102">
        <v>6.5</v>
      </c>
      <c r="T34" s="102">
        <v>6.5</v>
      </c>
      <c r="U34" s="102">
        <v>6.5</v>
      </c>
      <c r="V34" s="102">
        <v>6.5</v>
      </c>
      <c r="W34" s="102">
        <v>6.5</v>
      </c>
      <c r="X34" s="102">
        <v>6.5</v>
      </c>
      <c r="Y34" s="102">
        <v>6.5</v>
      </c>
      <c r="Z34" s="102">
        <v>6.5</v>
      </c>
      <c r="AA34" s="102">
        <v>6.5</v>
      </c>
      <c r="AB34" s="102">
        <v>6.5</v>
      </c>
      <c r="AC34" s="102">
        <v>6.5</v>
      </c>
      <c r="AD34" s="102">
        <v>6.5</v>
      </c>
      <c r="AE34" s="102">
        <v>6.5</v>
      </c>
      <c r="AF34" s="102">
        <v>6.5</v>
      </c>
      <c r="AG34" s="130">
        <v>22</v>
      </c>
      <c r="AH34" s="12">
        <f t="shared" si="8"/>
        <v>7.6</v>
      </c>
      <c r="AI34" s="11">
        <f t="shared" si="9"/>
        <v>6.5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25">
      <c r="A35" s="89" t="s">
        <v>232</v>
      </c>
      <c r="B35" s="102">
        <v>15.1</v>
      </c>
      <c r="C35" s="102">
        <v>15.1</v>
      </c>
      <c r="D35" s="102">
        <v>16.2</v>
      </c>
      <c r="E35" s="102">
        <v>16.2</v>
      </c>
      <c r="F35" s="102">
        <v>16.2</v>
      </c>
      <c r="G35" s="102">
        <v>16.2</v>
      </c>
      <c r="H35" s="102">
        <v>16.2</v>
      </c>
      <c r="I35" s="102">
        <v>16.2</v>
      </c>
      <c r="J35" s="102">
        <v>16.2</v>
      </c>
      <c r="K35" s="102">
        <v>16.2</v>
      </c>
      <c r="L35" s="102">
        <v>16.2</v>
      </c>
      <c r="M35" s="102">
        <v>16.2</v>
      </c>
      <c r="N35" s="102">
        <v>16.2</v>
      </c>
      <c r="O35" s="102">
        <v>16.2</v>
      </c>
      <c r="P35" s="102">
        <v>16.2</v>
      </c>
      <c r="Q35" s="102">
        <v>16.2</v>
      </c>
      <c r="R35" s="102">
        <v>16.2</v>
      </c>
      <c r="S35" s="102">
        <v>16.2</v>
      </c>
      <c r="T35" s="102">
        <v>16.2</v>
      </c>
      <c r="U35" s="102">
        <v>16.2</v>
      </c>
      <c r="V35" s="102">
        <v>16.2</v>
      </c>
      <c r="W35" s="102">
        <v>16.2</v>
      </c>
      <c r="X35" s="102">
        <v>16.2</v>
      </c>
      <c r="Y35" s="102">
        <v>16.2</v>
      </c>
      <c r="Z35" s="102">
        <v>16.2</v>
      </c>
      <c r="AA35" s="102">
        <v>16.2</v>
      </c>
      <c r="AB35" s="102">
        <v>16.2</v>
      </c>
      <c r="AC35" s="102">
        <v>16.2</v>
      </c>
      <c r="AD35" s="102">
        <v>16.2</v>
      </c>
      <c r="AE35" s="102">
        <v>16.2</v>
      </c>
      <c r="AF35" s="102">
        <v>16.2</v>
      </c>
      <c r="AG35" s="130">
        <v>20</v>
      </c>
      <c r="AH35" s="12">
        <f t="shared" si="8"/>
        <v>16.2</v>
      </c>
      <c r="AI35" s="11">
        <f t="shared" si="9"/>
        <v>15.1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25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25">
      <c r="A37" s="89" t="s">
        <v>230</v>
      </c>
      <c r="B37" s="102">
        <v>5.8</v>
      </c>
      <c r="C37" s="102">
        <v>5.8</v>
      </c>
      <c r="D37" s="102">
        <v>5.8</v>
      </c>
      <c r="E37" s="102">
        <v>5.8</v>
      </c>
      <c r="F37" s="102">
        <v>5.8</v>
      </c>
      <c r="G37" s="102">
        <v>5.8</v>
      </c>
      <c r="H37" s="102">
        <v>5.8</v>
      </c>
      <c r="I37" s="102">
        <v>5.8</v>
      </c>
      <c r="J37" s="102">
        <v>5.8</v>
      </c>
      <c r="K37" s="102">
        <v>5.8</v>
      </c>
      <c r="L37" s="102">
        <v>5.8</v>
      </c>
      <c r="M37" s="102">
        <v>5.8</v>
      </c>
      <c r="N37" s="102">
        <v>5.8</v>
      </c>
      <c r="O37" s="102">
        <v>5.8</v>
      </c>
      <c r="P37" s="102">
        <v>5.8</v>
      </c>
      <c r="Q37" s="102">
        <v>5.8</v>
      </c>
      <c r="R37" s="102">
        <v>5.8</v>
      </c>
      <c r="S37" s="102">
        <v>5.8</v>
      </c>
      <c r="T37" s="102">
        <v>5.8</v>
      </c>
      <c r="U37" s="102">
        <v>5.8</v>
      </c>
      <c r="V37" s="102">
        <v>5.8</v>
      </c>
      <c r="W37" s="102">
        <v>5.8</v>
      </c>
      <c r="X37" s="102">
        <v>5.8</v>
      </c>
      <c r="Y37" s="102">
        <v>5.8</v>
      </c>
      <c r="Z37" s="102">
        <v>5.8</v>
      </c>
      <c r="AA37" s="102">
        <v>5.8</v>
      </c>
      <c r="AB37" s="102">
        <v>5.8</v>
      </c>
      <c r="AC37" s="102">
        <v>5.8</v>
      </c>
      <c r="AD37" s="102">
        <v>5.8</v>
      </c>
      <c r="AE37" s="102">
        <v>5.8</v>
      </c>
      <c r="AF37" s="102">
        <v>5.8</v>
      </c>
      <c r="AG37" s="130">
        <v>18</v>
      </c>
      <c r="AH37" s="12">
        <f t="shared" si="8"/>
        <v>5.8</v>
      </c>
      <c r="AI37" s="11">
        <f t="shared" si="9"/>
        <v>5.8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25">
      <c r="A38" s="89" t="s">
        <v>229</v>
      </c>
      <c r="B38" s="102">
        <v>5.0999999999999996</v>
      </c>
      <c r="C38" s="102">
        <v>5.0999999999999996</v>
      </c>
      <c r="D38" s="102">
        <v>5.0999999999999996</v>
      </c>
      <c r="E38" s="102">
        <v>5.0999999999999996</v>
      </c>
      <c r="F38" s="102">
        <v>5.0999999999999996</v>
      </c>
      <c r="G38" s="102">
        <v>5.0999999999999996</v>
      </c>
      <c r="H38" s="102">
        <v>5.0999999999999996</v>
      </c>
      <c r="I38" s="102">
        <v>5.0999999999999996</v>
      </c>
      <c r="J38" s="102">
        <v>5.0999999999999996</v>
      </c>
      <c r="K38" s="102">
        <v>5.0999999999999996</v>
      </c>
      <c r="L38" s="102">
        <v>5.0999999999999996</v>
      </c>
      <c r="M38" s="102">
        <v>5.0999999999999996</v>
      </c>
      <c r="N38" s="102">
        <v>5.0999999999999996</v>
      </c>
      <c r="O38" s="102">
        <v>5.0999999999999996</v>
      </c>
      <c r="P38" s="102">
        <v>5.0999999999999996</v>
      </c>
      <c r="Q38" s="102">
        <v>5.0999999999999996</v>
      </c>
      <c r="R38" s="102">
        <v>5.0999999999999996</v>
      </c>
      <c r="S38" s="102">
        <v>5.0999999999999996</v>
      </c>
      <c r="T38" s="102">
        <v>5.0999999999999996</v>
      </c>
      <c r="U38" s="102">
        <v>5.0999999999999996</v>
      </c>
      <c r="V38" s="102">
        <v>5.0999999999999996</v>
      </c>
      <c r="W38" s="102">
        <v>5.0999999999999996</v>
      </c>
      <c r="X38" s="102">
        <v>5.0999999999999996</v>
      </c>
      <c r="Y38" s="102">
        <v>5.0999999999999996</v>
      </c>
      <c r="Z38" s="102">
        <v>5.0999999999999996</v>
      </c>
      <c r="AA38" s="102">
        <v>5.0999999999999996</v>
      </c>
      <c r="AB38" s="102">
        <v>5.0999999999999996</v>
      </c>
      <c r="AC38" s="102">
        <v>5.0999999999999996</v>
      </c>
      <c r="AD38" s="102">
        <v>5.0999999999999996</v>
      </c>
      <c r="AE38" s="102">
        <v>5.0999999999999996</v>
      </c>
      <c r="AF38" s="102">
        <v>5.0999999999999996</v>
      </c>
      <c r="AG38" s="130">
        <v>14.9</v>
      </c>
      <c r="AH38" s="12">
        <f t="shared" si="8"/>
        <v>5.0999999999999996</v>
      </c>
      <c r="AI38" s="11">
        <f t="shared" si="9"/>
        <v>5.0999999999999996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25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25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25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25">
      <c r="A42" s="89" t="s">
        <v>225</v>
      </c>
      <c r="B42" s="102">
        <v>5.2</v>
      </c>
      <c r="C42" s="102">
        <v>5.2</v>
      </c>
      <c r="D42" s="102">
        <v>5.2</v>
      </c>
      <c r="E42" s="102">
        <v>5.2</v>
      </c>
      <c r="F42" s="102">
        <v>5.2</v>
      </c>
      <c r="G42" s="102">
        <v>5.2</v>
      </c>
      <c r="H42" s="102">
        <v>5.2</v>
      </c>
      <c r="I42" s="102">
        <v>5.2</v>
      </c>
      <c r="J42" s="102">
        <v>5.2</v>
      </c>
      <c r="K42" s="102">
        <v>5.2</v>
      </c>
      <c r="L42" s="102">
        <v>5.2</v>
      </c>
      <c r="M42" s="102">
        <v>5.2</v>
      </c>
      <c r="N42" s="102">
        <v>5.2</v>
      </c>
      <c r="O42" s="102">
        <v>5.2</v>
      </c>
      <c r="P42" s="102">
        <v>5.2</v>
      </c>
      <c r="Q42" s="102">
        <v>5.2</v>
      </c>
      <c r="R42" s="102">
        <v>5.2</v>
      </c>
      <c r="S42" s="102">
        <v>5.2</v>
      </c>
      <c r="T42" s="102">
        <v>5.2</v>
      </c>
      <c r="U42" s="102">
        <v>5.2</v>
      </c>
      <c r="V42" s="102">
        <v>5.2</v>
      </c>
      <c r="W42" s="102">
        <v>5.2</v>
      </c>
      <c r="X42" s="102">
        <v>5.2</v>
      </c>
      <c r="Y42" s="102">
        <v>5.2</v>
      </c>
      <c r="Z42" s="102">
        <v>5.2</v>
      </c>
      <c r="AA42" s="102">
        <v>5.2</v>
      </c>
      <c r="AB42" s="102">
        <v>5.2</v>
      </c>
      <c r="AC42" s="102">
        <v>5.2</v>
      </c>
      <c r="AD42" s="102">
        <v>5.2</v>
      </c>
      <c r="AE42" s="102">
        <v>5.2</v>
      </c>
      <c r="AF42" s="102">
        <v>5.2</v>
      </c>
      <c r="AG42" s="130">
        <v>13.6</v>
      </c>
      <c r="AH42" s="12">
        <f t="shared" si="8"/>
        <v>5.2</v>
      </c>
      <c r="AI42" s="11">
        <f t="shared" si="9"/>
        <v>5.2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25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25">
      <c r="A44" s="89" t="s">
        <v>223</v>
      </c>
      <c r="B44" s="102">
        <v>4.5</v>
      </c>
      <c r="C44" s="102">
        <v>4.5</v>
      </c>
      <c r="D44" s="102">
        <v>4.5</v>
      </c>
      <c r="E44" s="102">
        <v>4.5</v>
      </c>
      <c r="F44" s="102">
        <v>4.5</v>
      </c>
      <c r="G44" s="102">
        <v>4.5</v>
      </c>
      <c r="H44" s="102">
        <v>4.5</v>
      </c>
      <c r="I44" s="102">
        <v>4.5</v>
      </c>
      <c r="J44" s="102">
        <v>4.5</v>
      </c>
      <c r="K44" s="102">
        <v>4.5</v>
      </c>
      <c r="L44" s="102">
        <v>4.5</v>
      </c>
      <c r="M44" s="102">
        <v>4.5</v>
      </c>
      <c r="N44" s="102">
        <v>4.5</v>
      </c>
      <c r="O44" s="102">
        <v>0</v>
      </c>
      <c r="P44" s="102">
        <v>0</v>
      </c>
      <c r="Q44" s="102">
        <v>0</v>
      </c>
      <c r="R44" s="102">
        <v>0</v>
      </c>
      <c r="S44" s="102">
        <v>0</v>
      </c>
      <c r="T44" s="102">
        <v>0</v>
      </c>
      <c r="U44" s="102">
        <v>0</v>
      </c>
      <c r="V44" s="102">
        <v>0</v>
      </c>
      <c r="W44" s="102">
        <v>0</v>
      </c>
      <c r="X44" s="102">
        <v>0</v>
      </c>
      <c r="Y44" s="102">
        <v>0</v>
      </c>
      <c r="Z44" s="102">
        <v>0</v>
      </c>
      <c r="AA44" s="102">
        <v>0</v>
      </c>
      <c r="AB44" s="102">
        <v>0</v>
      </c>
      <c r="AC44" s="102">
        <v>0</v>
      </c>
      <c r="AD44" s="102">
        <v>0</v>
      </c>
      <c r="AE44" s="102">
        <v>0</v>
      </c>
      <c r="AF44" s="102">
        <v>0</v>
      </c>
      <c r="AG44" s="130">
        <v>12</v>
      </c>
      <c r="AH44" s="12">
        <f t="shared" si="8"/>
        <v>4.5</v>
      </c>
      <c r="AI44" s="11">
        <f t="shared" si="9"/>
        <v>0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25">
      <c r="A45" s="89" t="s">
        <v>222</v>
      </c>
      <c r="B45" s="102">
        <v>3.5</v>
      </c>
      <c r="C45" s="102">
        <v>3.5</v>
      </c>
      <c r="D45" s="102">
        <v>3.5</v>
      </c>
      <c r="E45" s="102">
        <v>3.5</v>
      </c>
      <c r="F45" s="102">
        <v>3.5</v>
      </c>
      <c r="G45" s="102">
        <v>3.5</v>
      </c>
      <c r="H45" s="102">
        <v>3.5</v>
      </c>
      <c r="I45" s="102">
        <v>3.5</v>
      </c>
      <c r="J45" s="102">
        <v>3.5</v>
      </c>
      <c r="K45" s="102">
        <v>3.5</v>
      </c>
      <c r="L45" s="102">
        <v>3.5</v>
      </c>
      <c r="M45" s="102">
        <v>3.5</v>
      </c>
      <c r="N45" s="102">
        <v>3.5</v>
      </c>
      <c r="O45" s="102">
        <v>3.5</v>
      </c>
      <c r="P45" s="102">
        <v>3.5</v>
      </c>
      <c r="Q45" s="102">
        <v>3.5</v>
      </c>
      <c r="R45" s="102">
        <v>3.5</v>
      </c>
      <c r="S45" s="102">
        <v>3.5</v>
      </c>
      <c r="T45" s="102">
        <v>3.5</v>
      </c>
      <c r="U45" s="102">
        <v>3.5</v>
      </c>
      <c r="V45" s="102">
        <v>3.5</v>
      </c>
      <c r="W45" s="102">
        <v>3.5</v>
      </c>
      <c r="X45" s="102">
        <v>3.5</v>
      </c>
      <c r="Y45" s="102">
        <v>3.5</v>
      </c>
      <c r="Z45" s="102">
        <v>3.5</v>
      </c>
      <c r="AA45" s="102">
        <v>3.5</v>
      </c>
      <c r="AB45" s="102">
        <v>3.5</v>
      </c>
      <c r="AC45" s="102">
        <v>3.5</v>
      </c>
      <c r="AD45" s="102">
        <v>3.5</v>
      </c>
      <c r="AE45" s="102">
        <v>3.5</v>
      </c>
      <c r="AF45" s="102">
        <v>3.5</v>
      </c>
      <c r="AG45" s="130">
        <v>12</v>
      </c>
      <c r="AH45" s="12">
        <f t="shared" si="8"/>
        <v>3.5</v>
      </c>
      <c r="AI45" s="11">
        <f t="shared" si="9"/>
        <v>3.5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25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25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25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25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25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25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25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25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25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25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25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.75" thickBot="1" x14ac:dyDescent="0.3">
      <c r="A57" s="124" t="s">
        <v>210</v>
      </c>
      <c r="B57" s="122">
        <f>8.1+12.4</f>
        <v>20.5</v>
      </c>
      <c r="C57" s="122">
        <f>6.3+7.3</f>
        <v>13.6</v>
      </c>
      <c r="D57" s="122">
        <f t="shared" ref="D57:J57" si="22">7.7+11.5</f>
        <v>19.2</v>
      </c>
      <c r="E57" s="122">
        <f t="shared" si="22"/>
        <v>19.2</v>
      </c>
      <c r="F57" s="122">
        <f t="shared" si="22"/>
        <v>19.2</v>
      </c>
      <c r="G57" s="122">
        <f t="shared" si="22"/>
        <v>19.2</v>
      </c>
      <c r="H57" s="122">
        <f t="shared" si="22"/>
        <v>19.2</v>
      </c>
      <c r="I57" s="122">
        <f t="shared" si="22"/>
        <v>19.2</v>
      </c>
      <c r="J57" s="122">
        <f t="shared" si="22"/>
        <v>19.2</v>
      </c>
      <c r="K57" s="122">
        <v>24.3</v>
      </c>
      <c r="L57" s="122">
        <v>24.3</v>
      </c>
      <c r="M57" s="122">
        <v>24.3</v>
      </c>
      <c r="N57" s="123">
        <f>13+8.5</f>
        <v>21.5</v>
      </c>
      <c r="O57" s="123">
        <f>12.3+8.2</f>
        <v>20.5</v>
      </c>
      <c r="P57" s="123">
        <f>13.6+8.4</f>
        <v>22</v>
      </c>
      <c r="Q57" s="123">
        <f>13.6+8.4</f>
        <v>22</v>
      </c>
      <c r="R57" s="123">
        <f>12.9+8.9</f>
        <v>21.8</v>
      </c>
      <c r="S57" s="123">
        <v>20.3</v>
      </c>
      <c r="T57" s="123">
        <v>20.3</v>
      </c>
      <c r="U57" s="123">
        <v>20.3</v>
      </c>
      <c r="V57" s="123">
        <v>23</v>
      </c>
      <c r="W57" s="123">
        <v>16.600000000000001</v>
      </c>
      <c r="X57" s="123">
        <v>15.2</v>
      </c>
      <c r="Y57" s="123">
        <v>15.2</v>
      </c>
      <c r="Z57" s="122">
        <v>15.2</v>
      </c>
      <c r="AA57" s="122">
        <v>16.2</v>
      </c>
      <c r="AB57" s="122">
        <f>8.9+6.3</f>
        <v>15.2</v>
      </c>
      <c r="AC57" s="122">
        <f>9.9+6.3</f>
        <v>16.2</v>
      </c>
      <c r="AD57" s="122">
        <f>10.8+7.1</f>
        <v>17.899999999999999</v>
      </c>
      <c r="AE57" s="122">
        <f>20.9</f>
        <v>20.9</v>
      </c>
      <c r="AF57" s="122">
        <f>20.6</f>
        <v>20.6</v>
      </c>
      <c r="AG57" s="86">
        <v>240</v>
      </c>
      <c r="AH57" s="12">
        <f t="shared" si="8"/>
        <v>24.3</v>
      </c>
      <c r="AI57" s="11">
        <f t="shared" si="9"/>
        <v>13.6</v>
      </c>
      <c r="AK57" s="19"/>
    </row>
    <row r="58" spans="1:88" ht="15.75" thickBot="1" x14ac:dyDescent="0.3">
      <c r="A58" s="121" t="s">
        <v>209</v>
      </c>
      <c r="B58" s="76">
        <f t="shared" ref="B58:C58" si="23">SUM(B11:B56)</f>
        <v>551.00000000000011</v>
      </c>
      <c r="C58" s="76">
        <f t="shared" si="23"/>
        <v>540.70000000000005</v>
      </c>
      <c r="D58" s="76">
        <f t="shared" ref="D58:E58" si="24">SUM(D11:D56)</f>
        <v>540.39999999999986</v>
      </c>
      <c r="E58" s="76">
        <f t="shared" si="24"/>
        <v>540.39999999999986</v>
      </c>
      <c r="F58" s="76">
        <f t="shared" ref="F58:G58" si="25">SUM(F11:F56)</f>
        <v>540.39999999999986</v>
      </c>
      <c r="G58" s="76">
        <f t="shared" si="25"/>
        <v>540.39999999999986</v>
      </c>
      <c r="H58" s="76">
        <f t="shared" ref="H58:I58" si="26">SUM(H11:H56)</f>
        <v>540.39999999999986</v>
      </c>
      <c r="I58" s="76">
        <f t="shared" si="26"/>
        <v>540.39999999999986</v>
      </c>
      <c r="J58" s="76">
        <f t="shared" ref="J58:K58" si="27">SUM(J11:J56)</f>
        <v>540.39999999999986</v>
      </c>
      <c r="K58" s="76">
        <f t="shared" si="27"/>
        <v>540.39999999999986</v>
      </c>
      <c r="L58" s="76">
        <f t="shared" ref="L58" si="28">SUM(L11:L56)</f>
        <v>540.39999999999986</v>
      </c>
      <c r="M58" s="76">
        <f t="shared" ref="M58:AF58" si="29">SUM(M11:M56)</f>
        <v>540.39999999999986</v>
      </c>
      <c r="N58" s="76">
        <f t="shared" si="29"/>
        <v>539.99999999999989</v>
      </c>
      <c r="O58" s="76">
        <f t="shared" si="29"/>
        <v>530.59999999999991</v>
      </c>
      <c r="P58" s="76">
        <f t="shared" si="29"/>
        <v>529.69999999999993</v>
      </c>
      <c r="Q58" s="76">
        <f t="shared" si="29"/>
        <v>529.69999999999993</v>
      </c>
      <c r="R58" s="76">
        <f t="shared" si="29"/>
        <v>529.69999999999993</v>
      </c>
      <c r="S58" s="76">
        <f t="shared" si="29"/>
        <v>529.69999999999993</v>
      </c>
      <c r="T58" s="76">
        <f t="shared" si="29"/>
        <v>529.69999999999993</v>
      </c>
      <c r="U58" s="76">
        <f t="shared" si="29"/>
        <v>529.69999999999993</v>
      </c>
      <c r="V58" s="76">
        <f t="shared" si="29"/>
        <v>529.69999999999993</v>
      </c>
      <c r="W58" s="76">
        <f t="shared" si="29"/>
        <v>529.69999999999993</v>
      </c>
      <c r="X58" s="76">
        <f t="shared" si="29"/>
        <v>529.69999999999993</v>
      </c>
      <c r="Y58" s="76">
        <f t="shared" si="29"/>
        <v>529.69999999999993</v>
      </c>
      <c r="Z58" s="76">
        <v>529.69999999999993</v>
      </c>
      <c r="AA58" s="76">
        <f t="shared" si="29"/>
        <v>529.69999999999993</v>
      </c>
      <c r="AB58" s="76">
        <f t="shared" si="29"/>
        <v>532.09999999999991</v>
      </c>
      <c r="AC58" s="76">
        <f t="shared" si="29"/>
        <v>532.09999999999991</v>
      </c>
      <c r="AD58" s="76">
        <f t="shared" si="29"/>
        <v>532.09999999999991</v>
      </c>
      <c r="AE58" s="76">
        <f t="shared" si="29"/>
        <v>532.09999999999991</v>
      </c>
      <c r="AF58" s="76">
        <f t="shared" si="29"/>
        <v>532.79999999999995</v>
      </c>
      <c r="AG58" s="93">
        <f>SUM(AG14:AG56)</f>
        <v>1042.4000000000001</v>
      </c>
      <c r="AH58" s="12">
        <f t="shared" si="8"/>
        <v>551.00000000000011</v>
      </c>
      <c r="AI58" s="11">
        <f t="shared" si="9"/>
        <v>529.69999999999993</v>
      </c>
      <c r="AK58" s="19"/>
    </row>
    <row r="59" spans="1:88" x14ac:dyDescent="0.25">
      <c r="A59" s="120" t="s">
        <v>208</v>
      </c>
      <c r="B59" s="102">
        <v>111.7</v>
      </c>
      <c r="C59" s="102">
        <v>150</v>
      </c>
      <c r="D59" s="102">
        <v>121.7</v>
      </c>
      <c r="E59" s="102">
        <v>111.6</v>
      </c>
      <c r="F59" s="102">
        <v>99.6</v>
      </c>
      <c r="G59" s="102">
        <v>111.6</v>
      </c>
      <c r="H59" s="102">
        <v>111.6</v>
      </c>
      <c r="I59" s="102">
        <v>211.6</v>
      </c>
      <c r="J59" s="102">
        <v>0</v>
      </c>
      <c r="K59" s="102">
        <v>0</v>
      </c>
      <c r="L59" s="102">
        <v>0</v>
      </c>
      <c r="M59" s="102">
        <v>0</v>
      </c>
      <c r="N59" s="119">
        <v>0</v>
      </c>
      <c r="O59" s="119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19">
        <v>0</v>
      </c>
      <c r="X59" s="119">
        <v>30.3</v>
      </c>
      <c r="Y59" s="119">
        <v>456</v>
      </c>
      <c r="Z59" s="102">
        <v>456</v>
      </c>
      <c r="AA59" s="102">
        <v>456</v>
      </c>
      <c r="AB59" s="102">
        <v>433</v>
      </c>
      <c r="AC59" s="102">
        <v>381.6</v>
      </c>
      <c r="AD59" s="102">
        <v>292.10000000000002</v>
      </c>
      <c r="AE59" s="102">
        <v>247</v>
      </c>
      <c r="AF59" s="102">
        <v>230</v>
      </c>
      <c r="AG59" s="88">
        <v>456</v>
      </c>
      <c r="AH59" s="12">
        <f t="shared" si="8"/>
        <v>456</v>
      </c>
      <c r="AI59" s="11">
        <f t="shared" si="9"/>
        <v>0</v>
      </c>
      <c r="AK59" s="19"/>
    </row>
    <row r="60" spans="1:88" x14ac:dyDescent="0.25">
      <c r="A60" s="118" t="s">
        <v>207</v>
      </c>
      <c r="B60" s="70">
        <v>18.2</v>
      </c>
      <c r="C60" s="70">
        <v>18.2</v>
      </c>
      <c r="D60" s="70">
        <v>18.2</v>
      </c>
      <c r="E60" s="70">
        <v>18.2</v>
      </c>
      <c r="F60" s="70">
        <v>18.2</v>
      </c>
      <c r="G60" s="70">
        <v>18.2</v>
      </c>
      <c r="H60" s="70">
        <v>18.2</v>
      </c>
      <c r="I60" s="70">
        <v>18.2</v>
      </c>
      <c r="J60" s="70">
        <v>18.2</v>
      </c>
      <c r="K60" s="70">
        <v>18.2</v>
      </c>
      <c r="L60" s="70">
        <v>18.2</v>
      </c>
      <c r="M60" s="70">
        <v>18.600000000000001</v>
      </c>
      <c r="N60" s="70">
        <v>18.600000000000001</v>
      </c>
      <c r="O60" s="70">
        <v>18.600000000000001</v>
      </c>
      <c r="P60" s="70">
        <v>18.600000000000001</v>
      </c>
      <c r="Q60" s="70">
        <v>17.2</v>
      </c>
      <c r="R60" s="70">
        <v>17.2</v>
      </c>
      <c r="S60" s="70">
        <v>17.2</v>
      </c>
      <c r="T60" s="70">
        <v>17.2</v>
      </c>
      <c r="U60" s="70">
        <v>17.2</v>
      </c>
      <c r="V60" s="70">
        <v>17.2</v>
      </c>
      <c r="W60" s="70">
        <v>17.2</v>
      </c>
      <c r="X60" s="70">
        <v>17.2</v>
      </c>
      <c r="Y60" s="70">
        <v>18.600000000000001</v>
      </c>
      <c r="Z60" s="70">
        <v>18.600000000000001</v>
      </c>
      <c r="AA60" s="70">
        <v>18.600000000000001</v>
      </c>
      <c r="AB60" s="70">
        <v>18.600000000000001</v>
      </c>
      <c r="AC60" s="70">
        <v>18.600000000000001</v>
      </c>
      <c r="AD60" s="70">
        <v>18.600000000000001</v>
      </c>
      <c r="AE60" s="70">
        <v>18.600000000000001</v>
      </c>
      <c r="AF60" s="70">
        <v>18.600000000000001</v>
      </c>
      <c r="AG60" s="86">
        <v>60</v>
      </c>
      <c r="AH60" s="12">
        <f t="shared" si="8"/>
        <v>18.600000000000001</v>
      </c>
      <c r="AI60" s="11">
        <f t="shared" si="9"/>
        <v>17.2</v>
      </c>
      <c r="AK60" s="19"/>
    </row>
    <row r="61" spans="1:88" ht="15.75" thickBot="1" x14ac:dyDescent="0.3">
      <c r="A61" s="117" t="s">
        <v>206</v>
      </c>
      <c r="B61" s="110">
        <v>22.4</v>
      </c>
      <c r="C61" s="110">
        <v>22.4</v>
      </c>
      <c r="D61" s="110">
        <v>22.4</v>
      </c>
      <c r="E61" s="110">
        <v>22.4</v>
      </c>
      <c r="F61" s="110">
        <v>22.4</v>
      </c>
      <c r="G61" s="110">
        <v>22.4</v>
      </c>
      <c r="H61" s="110">
        <v>22.4</v>
      </c>
      <c r="I61" s="110">
        <v>22.4</v>
      </c>
      <c r="J61" s="110">
        <v>22.4</v>
      </c>
      <c r="K61" s="110">
        <v>22.4</v>
      </c>
      <c r="L61" s="110">
        <v>22.4</v>
      </c>
      <c r="M61" s="110">
        <v>22.4</v>
      </c>
      <c r="N61" s="110">
        <v>22.3</v>
      </c>
      <c r="O61" s="110">
        <v>22.3</v>
      </c>
      <c r="P61" s="110">
        <v>22.3</v>
      </c>
      <c r="Q61" s="110">
        <v>20.2</v>
      </c>
      <c r="R61" s="110">
        <v>20.2</v>
      </c>
      <c r="S61" s="110">
        <v>22.4</v>
      </c>
      <c r="T61" s="110">
        <v>22.4</v>
      </c>
      <c r="U61" s="110">
        <v>22.4</v>
      </c>
      <c r="V61" s="110">
        <v>22.4</v>
      </c>
      <c r="W61" s="110">
        <v>22.4</v>
      </c>
      <c r="X61" s="110">
        <v>22.4</v>
      </c>
      <c r="Y61" s="110">
        <v>22.4</v>
      </c>
      <c r="Z61" s="110">
        <v>22.4</v>
      </c>
      <c r="AA61" s="110">
        <v>22.4</v>
      </c>
      <c r="AB61" s="110">
        <v>21.1</v>
      </c>
      <c r="AC61" s="110">
        <v>21.1</v>
      </c>
      <c r="AD61" s="110">
        <v>21.1</v>
      </c>
      <c r="AE61" s="110">
        <v>21.1</v>
      </c>
      <c r="AF61" s="110">
        <v>21.1</v>
      </c>
      <c r="AG61" s="109">
        <v>22.1</v>
      </c>
      <c r="AH61" s="12">
        <f t="shared" si="8"/>
        <v>22.4</v>
      </c>
      <c r="AI61" s="11">
        <f t="shared" si="9"/>
        <v>20.2</v>
      </c>
      <c r="AK61" s="19"/>
    </row>
    <row r="62" spans="1:88" ht="15.75" thickBot="1" x14ac:dyDescent="0.3">
      <c r="A62" s="116" t="s">
        <v>205</v>
      </c>
      <c r="B62" s="76">
        <f t="shared" ref="B62:C62" si="30">SUM(B59:B61)</f>
        <v>152.30000000000001</v>
      </c>
      <c r="C62" s="76">
        <f t="shared" si="30"/>
        <v>190.6</v>
      </c>
      <c r="D62" s="76">
        <f t="shared" ref="D62:E62" si="31">SUM(D59:D61)</f>
        <v>162.30000000000001</v>
      </c>
      <c r="E62" s="76">
        <f t="shared" si="31"/>
        <v>152.19999999999999</v>
      </c>
      <c r="F62" s="76">
        <f t="shared" ref="F62:G62" si="32">SUM(F59:F61)</f>
        <v>140.19999999999999</v>
      </c>
      <c r="G62" s="76">
        <f t="shared" si="32"/>
        <v>152.19999999999999</v>
      </c>
      <c r="H62" s="76">
        <f t="shared" ref="H62:I62" si="33">SUM(H59:H61)</f>
        <v>152.19999999999999</v>
      </c>
      <c r="I62" s="76">
        <f t="shared" si="33"/>
        <v>252.2</v>
      </c>
      <c r="J62" s="76">
        <f t="shared" ref="J62:K62" si="34">SUM(J59:J61)</f>
        <v>40.599999999999994</v>
      </c>
      <c r="K62" s="76">
        <f t="shared" si="34"/>
        <v>40.599999999999994</v>
      </c>
      <c r="L62" s="76">
        <f t="shared" ref="L62" si="35">SUM(L59:L61)</f>
        <v>40.599999999999994</v>
      </c>
      <c r="M62" s="76">
        <f t="shared" ref="M62:AG62" si="36">SUM(M59:M61)</f>
        <v>41</v>
      </c>
      <c r="N62" s="76">
        <f t="shared" si="36"/>
        <v>40.900000000000006</v>
      </c>
      <c r="O62" s="76">
        <f t="shared" si="36"/>
        <v>40.900000000000006</v>
      </c>
      <c r="P62" s="76">
        <f t="shared" si="36"/>
        <v>40.900000000000006</v>
      </c>
      <c r="Q62" s="76">
        <f t="shared" si="36"/>
        <v>37.4</v>
      </c>
      <c r="R62" s="76">
        <f t="shared" si="36"/>
        <v>37.4</v>
      </c>
      <c r="S62" s="76">
        <f t="shared" si="36"/>
        <v>39.599999999999994</v>
      </c>
      <c r="T62" s="76">
        <f t="shared" si="36"/>
        <v>39.599999999999994</v>
      </c>
      <c r="U62" s="76">
        <f t="shared" si="36"/>
        <v>39.599999999999994</v>
      </c>
      <c r="V62" s="76">
        <f t="shared" si="36"/>
        <v>39.599999999999994</v>
      </c>
      <c r="W62" s="76">
        <f t="shared" si="36"/>
        <v>39.599999999999994</v>
      </c>
      <c r="X62" s="76">
        <f t="shared" si="36"/>
        <v>69.900000000000006</v>
      </c>
      <c r="Y62" s="76">
        <f t="shared" si="36"/>
        <v>497</v>
      </c>
      <c r="Z62" s="76">
        <v>497</v>
      </c>
      <c r="AA62" s="76">
        <f t="shared" si="36"/>
        <v>497</v>
      </c>
      <c r="AB62" s="76">
        <f t="shared" si="36"/>
        <v>472.70000000000005</v>
      </c>
      <c r="AC62" s="76">
        <f t="shared" si="36"/>
        <v>421.30000000000007</v>
      </c>
      <c r="AD62" s="76">
        <f t="shared" si="36"/>
        <v>331.80000000000007</v>
      </c>
      <c r="AE62" s="76">
        <f t="shared" si="36"/>
        <v>286.70000000000005</v>
      </c>
      <c r="AF62" s="76">
        <f t="shared" si="36"/>
        <v>269.7</v>
      </c>
      <c r="AG62" s="93">
        <f t="shared" si="36"/>
        <v>538.1</v>
      </c>
      <c r="AH62" s="12">
        <f t="shared" si="8"/>
        <v>497</v>
      </c>
      <c r="AI62" s="11">
        <f t="shared" si="9"/>
        <v>37.4</v>
      </c>
      <c r="AK62" s="19"/>
    </row>
    <row r="63" spans="1:88" x14ac:dyDescent="0.25">
      <c r="A63" s="89" t="s">
        <v>204</v>
      </c>
      <c r="B63" s="102">
        <v>30.6</v>
      </c>
      <c r="C63" s="102">
        <v>30.5</v>
      </c>
      <c r="D63" s="102">
        <v>30.5</v>
      </c>
      <c r="E63" s="102">
        <v>30.5</v>
      </c>
      <c r="F63" s="102">
        <v>30.5</v>
      </c>
      <c r="G63" s="102">
        <v>30.5</v>
      </c>
      <c r="H63" s="102">
        <v>30.5</v>
      </c>
      <c r="I63" s="102">
        <v>30.5</v>
      </c>
      <c r="J63" s="102">
        <v>45.4</v>
      </c>
      <c r="K63" s="102">
        <v>30.3</v>
      </c>
      <c r="L63" s="102">
        <v>30.3</v>
      </c>
      <c r="M63" s="102">
        <v>53.3</v>
      </c>
      <c r="N63" s="102">
        <v>91</v>
      </c>
      <c r="O63" s="102">
        <v>60.7</v>
      </c>
      <c r="P63" s="102">
        <v>71.099999999999994</v>
      </c>
      <c r="Q63" s="102">
        <v>81.599999999999994</v>
      </c>
      <c r="R63" s="102">
        <v>81.5</v>
      </c>
      <c r="S63" s="102">
        <v>97</v>
      </c>
      <c r="T63" s="102">
        <v>97</v>
      </c>
      <c r="U63" s="102">
        <v>97</v>
      </c>
      <c r="V63" s="102">
        <v>85</v>
      </c>
      <c r="W63" s="102">
        <v>71.3</v>
      </c>
      <c r="X63" s="102">
        <v>60.9</v>
      </c>
      <c r="Y63" s="102">
        <v>144.30000000000001</v>
      </c>
      <c r="Z63" s="102">
        <v>144.30000000000001</v>
      </c>
      <c r="AA63" s="102">
        <v>144.30000000000001</v>
      </c>
      <c r="AB63" s="102">
        <v>144.1</v>
      </c>
      <c r="AC63" s="102">
        <v>144.5</v>
      </c>
      <c r="AD63" s="102">
        <v>143.9</v>
      </c>
      <c r="AE63" s="102">
        <v>130</v>
      </c>
      <c r="AF63" s="102">
        <v>92</v>
      </c>
      <c r="AG63" s="88">
        <v>144</v>
      </c>
      <c r="AH63" s="12">
        <f t="shared" si="8"/>
        <v>144.5</v>
      </c>
      <c r="AI63" s="11">
        <f t="shared" si="9"/>
        <v>30.3</v>
      </c>
      <c r="AK63" s="19"/>
    </row>
    <row r="64" spans="1:88" x14ac:dyDescent="0.25">
      <c r="A64" s="87" t="s">
        <v>203</v>
      </c>
      <c r="B64" s="102">
        <v>24.5</v>
      </c>
      <c r="C64" s="102">
        <v>35.1</v>
      </c>
      <c r="D64" s="102">
        <v>34.1</v>
      </c>
      <c r="E64" s="102">
        <v>34.1</v>
      </c>
      <c r="F64" s="102">
        <v>34.1</v>
      </c>
      <c r="G64" s="102">
        <v>34.1</v>
      </c>
      <c r="H64" s="102">
        <v>49.5</v>
      </c>
      <c r="I64" s="102">
        <v>49.5</v>
      </c>
      <c r="J64" s="102">
        <v>49.5</v>
      </c>
      <c r="K64" s="102">
        <v>64.5</v>
      </c>
      <c r="L64" s="102">
        <v>35</v>
      </c>
      <c r="M64" s="70">
        <v>54.8</v>
      </c>
      <c r="N64" s="70">
        <v>48</v>
      </c>
      <c r="O64" s="70">
        <v>49.3</v>
      </c>
      <c r="P64" s="70">
        <v>50.8</v>
      </c>
      <c r="Q64" s="70">
        <v>59.2</v>
      </c>
      <c r="R64" s="70">
        <v>63.5</v>
      </c>
      <c r="S64" s="70">
        <v>63.5</v>
      </c>
      <c r="T64" s="70">
        <v>63.5</v>
      </c>
      <c r="U64" s="70">
        <v>63.5</v>
      </c>
      <c r="V64" s="70">
        <v>36</v>
      </c>
      <c r="W64" s="70">
        <v>27.1</v>
      </c>
      <c r="X64" s="70">
        <v>25.9</v>
      </c>
      <c r="Y64" s="70">
        <v>68.099999999999994</v>
      </c>
      <c r="Z64" s="102">
        <v>70</v>
      </c>
      <c r="AA64" s="102">
        <v>70</v>
      </c>
      <c r="AB64" s="102">
        <v>71.5</v>
      </c>
      <c r="AC64" s="102">
        <v>70.7</v>
      </c>
      <c r="AD64" s="102">
        <v>69.5</v>
      </c>
      <c r="AE64" s="102">
        <v>50</v>
      </c>
      <c r="AF64" s="102">
        <v>50</v>
      </c>
      <c r="AG64" s="86">
        <v>70</v>
      </c>
      <c r="AH64" s="12">
        <f t="shared" si="8"/>
        <v>71.5</v>
      </c>
      <c r="AI64" s="11">
        <f t="shared" si="9"/>
        <v>24.5</v>
      </c>
      <c r="AK64" s="19"/>
    </row>
    <row r="65" spans="1:75" x14ac:dyDescent="0.25">
      <c r="A65" s="87" t="s">
        <v>202</v>
      </c>
      <c r="B65" s="102">
        <v>50.9</v>
      </c>
      <c r="C65" s="102">
        <v>50.8</v>
      </c>
      <c r="D65" s="102">
        <v>37</v>
      </c>
      <c r="E65" s="102">
        <v>37</v>
      </c>
      <c r="F65" s="102">
        <v>37</v>
      </c>
      <c r="G65" s="102">
        <v>37</v>
      </c>
      <c r="H65" s="102">
        <v>22.4</v>
      </c>
      <c r="I65" s="102">
        <v>22.4</v>
      </c>
      <c r="J65" s="102">
        <v>0</v>
      </c>
      <c r="K65" s="102">
        <v>0</v>
      </c>
      <c r="L65" s="102">
        <v>0</v>
      </c>
      <c r="M65" s="70">
        <v>0</v>
      </c>
      <c r="N65" s="70">
        <v>17</v>
      </c>
      <c r="O65" s="70">
        <v>16.8</v>
      </c>
      <c r="P65" s="70">
        <v>0</v>
      </c>
      <c r="Q65" s="70">
        <v>0</v>
      </c>
      <c r="R65" s="70">
        <v>0</v>
      </c>
      <c r="S65" s="70">
        <v>0</v>
      </c>
      <c r="T65" s="70">
        <v>0</v>
      </c>
      <c r="U65" s="70">
        <v>0</v>
      </c>
      <c r="V65" s="70">
        <v>47</v>
      </c>
      <c r="W65" s="70">
        <v>69.2</v>
      </c>
      <c r="X65" s="70">
        <v>69.2</v>
      </c>
      <c r="Y65" s="70">
        <v>69.2</v>
      </c>
      <c r="Z65" s="102">
        <v>70</v>
      </c>
      <c r="AA65" s="102">
        <v>70</v>
      </c>
      <c r="AB65" s="102">
        <v>69</v>
      </c>
      <c r="AC65" s="102">
        <v>69</v>
      </c>
      <c r="AD65" s="102">
        <v>68.900000000000006</v>
      </c>
      <c r="AE65" s="102">
        <v>68.8</v>
      </c>
      <c r="AF65" s="102">
        <v>61</v>
      </c>
      <c r="AG65" s="86">
        <v>69</v>
      </c>
      <c r="AH65" s="12">
        <f t="shared" si="8"/>
        <v>70</v>
      </c>
      <c r="AI65" s="11">
        <f t="shared" si="9"/>
        <v>0</v>
      </c>
      <c r="AK65" s="19"/>
    </row>
    <row r="66" spans="1:75" x14ac:dyDescent="0.25">
      <c r="A66" s="87" t="s">
        <v>201</v>
      </c>
      <c r="B66" s="102">
        <v>60.7</v>
      </c>
      <c r="C66" s="102">
        <v>60.4</v>
      </c>
      <c r="D66" s="102">
        <v>60.7</v>
      </c>
      <c r="E66" s="102">
        <v>60.7</v>
      </c>
      <c r="F66" s="102">
        <v>60.7</v>
      </c>
      <c r="G66" s="102">
        <v>60.7</v>
      </c>
      <c r="H66" s="102">
        <v>60.7</v>
      </c>
      <c r="I66" s="102">
        <v>60.7</v>
      </c>
      <c r="J66" s="102">
        <v>60.7</v>
      </c>
      <c r="K66" s="102">
        <v>60.7</v>
      </c>
      <c r="L66" s="102">
        <v>60.7</v>
      </c>
      <c r="M66" s="70">
        <v>60.4</v>
      </c>
      <c r="N66" s="70">
        <v>60.4</v>
      </c>
      <c r="O66" s="70">
        <v>60.4</v>
      </c>
      <c r="P66" s="70">
        <v>60.4</v>
      </c>
      <c r="Q66" s="70">
        <v>60.4</v>
      </c>
      <c r="R66" s="70">
        <v>60.4</v>
      </c>
      <c r="S66" s="70">
        <v>60.4</v>
      </c>
      <c r="T66" s="70">
        <v>60.4</v>
      </c>
      <c r="U66" s="70">
        <v>60.4</v>
      </c>
      <c r="V66" s="70">
        <v>60.4</v>
      </c>
      <c r="W66" s="70">
        <v>60.4</v>
      </c>
      <c r="X66" s="70">
        <v>60.4</v>
      </c>
      <c r="Y66" s="70">
        <v>60.4</v>
      </c>
      <c r="Z66" s="102">
        <v>60.4</v>
      </c>
      <c r="AA66" s="102">
        <v>60.4</v>
      </c>
      <c r="AB66" s="102">
        <v>60.4</v>
      </c>
      <c r="AC66" s="102">
        <v>60.4</v>
      </c>
      <c r="AD66" s="102">
        <v>60.4</v>
      </c>
      <c r="AE66" s="102">
        <v>60.4</v>
      </c>
      <c r="AF66" s="102">
        <v>60.4</v>
      </c>
      <c r="AG66" s="86">
        <v>60</v>
      </c>
      <c r="AH66" s="12">
        <f t="shared" si="8"/>
        <v>60.7</v>
      </c>
      <c r="AI66" s="11">
        <f t="shared" si="9"/>
        <v>60.4</v>
      </c>
      <c r="AK66" s="19"/>
    </row>
    <row r="67" spans="1:75" x14ac:dyDescent="0.25">
      <c r="A67" s="87" t="s">
        <v>200</v>
      </c>
      <c r="B67" s="102">
        <v>0</v>
      </c>
      <c r="C67" s="102">
        <v>0</v>
      </c>
      <c r="D67" s="102">
        <v>0</v>
      </c>
      <c r="E67" s="102">
        <v>23.7</v>
      </c>
      <c r="F67" s="102">
        <v>23.7</v>
      </c>
      <c r="G67" s="102">
        <v>23.7</v>
      </c>
      <c r="H67" s="102">
        <v>23.7</v>
      </c>
      <c r="I67" s="102">
        <v>23.7</v>
      </c>
      <c r="J67" s="102">
        <v>14.7</v>
      </c>
      <c r="K67" s="102">
        <v>14.7</v>
      </c>
      <c r="L67" s="102">
        <v>14.7</v>
      </c>
      <c r="M67" s="70">
        <v>14.8</v>
      </c>
      <c r="N67" s="70">
        <v>10</v>
      </c>
      <c r="O67" s="70">
        <v>10.1</v>
      </c>
      <c r="P67" s="70">
        <v>10</v>
      </c>
      <c r="Q67" s="70">
        <v>13.3</v>
      </c>
      <c r="R67" s="70">
        <v>14.9</v>
      </c>
      <c r="S67" s="70">
        <v>23.2</v>
      </c>
      <c r="T67" s="70">
        <v>20</v>
      </c>
      <c r="U67" s="70">
        <v>23.7</v>
      </c>
      <c r="V67" s="70">
        <v>23.7</v>
      </c>
      <c r="W67" s="70">
        <v>14.6</v>
      </c>
      <c r="X67" s="70">
        <v>10.199999999999999</v>
      </c>
      <c r="Y67" s="70">
        <v>20</v>
      </c>
      <c r="Z67" s="102">
        <v>23.5</v>
      </c>
      <c r="AA67" s="102">
        <v>27.3</v>
      </c>
      <c r="AB67" s="102">
        <v>22.7</v>
      </c>
      <c r="AC67" s="102">
        <v>22.7</v>
      </c>
      <c r="AD67" s="102">
        <v>22.9</v>
      </c>
      <c r="AE67" s="102">
        <v>13</v>
      </c>
      <c r="AF67" s="102">
        <v>10</v>
      </c>
      <c r="AG67" s="86">
        <v>30</v>
      </c>
      <c r="AH67" s="12">
        <f t="shared" si="8"/>
        <v>27.3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25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1.45</v>
      </c>
      <c r="K68" s="102">
        <v>1.8</v>
      </c>
      <c r="L68" s="102">
        <v>2.2000000000000002</v>
      </c>
      <c r="M68" s="70">
        <v>2.1</v>
      </c>
      <c r="N68" s="70">
        <v>7.6</v>
      </c>
      <c r="O68" s="70">
        <v>9</v>
      </c>
      <c r="P68" s="70">
        <v>9</v>
      </c>
      <c r="Q68" s="70">
        <v>11.8</v>
      </c>
      <c r="R68" s="70">
        <v>9.5</v>
      </c>
      <c r="S68" s="70">
        <v>8.5</v>
      </c>
      <c r="T68" s="70">
        <v>3.7</v>
      </c>
      <c r="U68" s="70">
        <v>1.7</v>
      </c>
      <c r="V68" s="70">
        <v>1.2</v>
      </c>
      <c r="W68" s="70">
        <v>0.5</v>
      </c>
      <c r="X68" s="70">
        <v>0</v>
      </c>
      <c r="Y68" s="70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11.8</v>
      </c>
      <c r="AI68" s="11">
        <f t="shared" si="9"/>
        <v>0</v>
      </c>
      <c r="AK68" s="19"/>
      <c r="AY68" s="1" t="s">
        <v>198</v>
      </c>
      <c r="AZ68" s="78">
        <f>ROUND(C81,0)</f>
        <v>16</v>
      </c>
      <c r="BA68" s="83">
        <f t="shared" ref="BA68:BD72" si="37">D81</f>
        <v>18.899999999999999</v>
      </c>
      <c r="BB68" s="83">
        <f t="shared" si="37"/>
        <v>18.600000000000001</v>
      </c>
      <c r="BC68" s="83">
        <f t="shared" si="37"/>
        <v>12.8</v>
      </c>
      <c r="BD68" s="83">
        <f t="shared" si="37"/>
        <v>13.9</v>
      </c>
      <c r="BE68" s="78">
        <f>I81</f>
        <v>18.100000000000001</v>
      </c>
      <c r="BF68" s="78">
        <f>K81</f>
        <v>35.299999999999997</v>
      </c>
      <c r="BG68" s="78">
        <f t="shared" ref="BG68:BP72" si="38">M81</f>
        <v>47</v>
      </c>
      <c r="BH68" s="78">
        <f t="shared" si="38"/>
        <v>54</v>
      </c>
      <c r="BI68" s="78">
        <f t="shared" si="38"/>
        <v>65</v>
      </c>
      <c r="BJ68" s="78">
        <f t="shared" si="38"/>
        <v>62</v>
      </c>
      <c r="BK68" s="78">
        <f t="shared" si="38"/>
        <v>63.8</v>
      </c>
      <c r="BL68" s="78">
        <f t="shared" si="38"/>
        <v>68.7</v>
      </c>
      <c r="BM68" s="78">
        <f t="shared" si="38"/>
        <v>69.400000000000006</v>
      </c>
      <c r="BN68" s="78">
        <f t="shared" si="38"/>
        <v>64.900000000000006</v>
      </c>
      <c r="BO68" s="78">
        <f t="shared" si="38"/>
        <v>69.3</v>
      </c>
      <c r="BP68" s="78">
        <f t="shared" si="38"/>
        <v>54.3</v>
      </c>
      <c r="BQ68" s="78">
        <f>X81</f>
        <v>60.6</v>
      </c>
      <c r="BR68" s="78">
        <f>Z81</f>
        <v>12</v>
      </c>
      <c r="BS68" s="83">
        <f>AB81</f>
        <v>23.1</v>
      </c>
      <c r="BT68" s="83">
        <f t="shared" ref="BT68:BV72" si="39">AD81</f>
        <v>22.3</v>
      </c>
      <c r="BU68" s="83">
        <f t="shared" si="39"/>
        <v>29.2</v>
      </c>
      <c r="BV68" s="83">
        <f t="shared" si="39"/>
        <v>25.2</v>
      </c>
      <c r="BW68" s="83">
        <f>B81</f>
        <v>16</v>
      </c>
    </row>
    <row r="69" spans="1:75" x14ac:dyDescent="0.25">
      <c r="A69" s="87" t="s">
        <v>197</v>
      </c>
      <c r="B69" s="70">
        <v>14.9</v>
      </c>
      <c r="C69" s="70">
        <v>15.7</v>
      </c>
      <c r="D69" s="70">
        <v>16.5</v>
      </c>
      <c r="E69" s="70">
        <v>16.5</v>
      </c>
      <c r="F69" s="70">
        <v>16.5</v>
      </c>
      <c r="G69" s="70">
        <v>16.5</v>
      </c>
      <c r="H69" s="70">
        <v>16.5</v>
      </c>
      <c r="I69" s="70">
        <v>16.5</v>
      </c>
      <c r="J69" s="70">
        <v>16.5</v>
      </c>
      <c r="K69" s="70">
        <v>16.5</v>
      </c>
      <c r="L69" s="70">
        <v>16.5</v>
      </c>
      <c r="M69" s="70">
        <v>15.6</v>
      </c>
      <c r="N69" s="70">
        <v>15.6</v>
      </c>
      <c r="O69" s="70">
        <v>15.6</v>
      </c>
      <c r="P69" s="70">
        <v>3.2</v>
      </c>
      <c r="Q69" s="70">
        <v>3.2</v>
      </c>
      <c r="R69" s="70">
        <v>3.2</v>
      </c>
      <c r="S69" s="70">
        <v>3.2</v>
      </c>
      <c r="T69" s="70">
        <v>3.2</v>
      </c>
      <c r="U69" s="70">
        <v>3.2</v>
      </c>
      <c r="V69" s="70">
        <v>3.2</v>
      </c>
      <c r="W69" s="70">
        <v>6</v>
      </c>
      <c r="X69" s="70">
        <v>11.6</v>
      </c>
      <c r="Y69" s="70">
        <v>15.4</v>
      </c>
      <c r="Z69" s="70">
        <v>15.4</v>
      </c>
      <c r="AA69" s="70">
        <v>15.4</v>
      </c>
      <c r="AB69" s="70">
        <v>15.4</v>
      </c>
      <c r="AC69" s="70">
        <v>15.4</v>
      </c>
      <c r="AD69" s="70">
        <v>14.8</v>
      </c>
      <c r="AE69" s="70">
        <v>13.7</v>
      </c>
      <c r="AF69" s="70">
        <v>13.7</v>
      </c>
      <c r="AG69" s="86">
        <v>24</v>
      </c>
      <c r="AH69" s="12">
        <f t="shared" si="8"/>
        <v>16.5</v>
      </c>
      <c r="AI69" s="11">
        <f t="shared" si="9"/>
        <v>3.2</v>
      </c>
      <c r="AK69" s="19"/>
      <c r="AY69" s="1" t="s">
        <v>196</v>
      </c>
      <c r="AZ69" s="78">
        <f>ROUND(C82,0)</f>
        <v>0</v>
      </c>
      <c r="BA69" s="83">
        <f t="shared" si="37"/>
        <v>0</v>
      </c>
      <c r="BB69" s="83">
        <f t="shared" si="37"/>
        <v>0</v>
      </c>
      <c r="BC69" s="83">
        <f t="shared" si="37"/>
        <v>0</v>
      </c>
      <c r="BD69" s="83">
        <f t="shared" si="37"/>
        <v>0</v>
      </c>
      <c r="BE69" s="78">
        <f>I82</f>
        <v>0</v>
      </c>
      <c r="BF69" s="78">
        <f>K82</f>
        <v>95.5</v>
      </c>
      <c r="BG69" s="78">
        <f t="shared" si="38"/>
        <v>97.5</v>
      </c>
      <c r="BH69" s="78">
        <f t="shared" si="38"/>
        <v>110</v>
      </c>
      <c r="BI69" s="78">
        <f t="shared" si="38"/>
        <v>114.2</v>
      </c>
      <c r="BJ69" s="78">
        <f t="shared" si="38"/>
        <v>91</v>
      </c>
      <c r="BK69" s="78">
        <f t="shared" si="38"/>
        <v>91.1</v>
      </c>
      <c r="BL69" s="78">
        <f t="shared" si="38"/>
        <v>83.2</v>
      </c>
      <c r="BM69" s="78">
        <f t="shared" si="38"/>
        <v>93.1</v>
      </c>
      <c r="BN69" s="78">
        <f t="shared" si="38"/>
        <v>90</v>
      </c>
      <c r="BO69" s="78">
        <f t="shared" si="38"/>
        <v>91.8</v>
      </c>
      <c r="BP69" s="78">
        <f t="shared" si="38"/>
        <v>102</v>
      </c>
      <c r="BQ69" s="78">
        <f>X82</f>
        <v>115</v>
      </c>
      <c r="BR69" s="78">
        <f>Z82</f>
        <v>0</v>
      </c>
      <c r="BS69" s="83">
        <f>AB82</f>
        <v>0</v>
      </c>
      <c r="BT69" s="83">
        <f t="shared" si="39"/>
        <v>0</v>
      </c>
      <c r="BU69" s="83">
        <f t="shared" si="39"/>
        <v>0</v>
      </c>
      <c r="BV69" s="83">
        <f t="shared" si="39"/>
        <v>0</v>
      </c>
      <c r="BW69" s="83">
        <f>B82</f>
        <v>0</v>
      </c>
    </row>
    <row r="70" spans="1:75" x14ac:dyDescent="0.25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31</v>
      </c>
      <c r="BA70" s="83">
        <f t="shared" si="37"/>
        <v>50</v>
      </c>
      <c r="BB70" s="83">
        <f t="shared" si="37"/>
        <v>20.7</v>
      </c>
      <c r="BC70" s="83">
        <f t="shared" si="37"/>
        <v>46.5</v>
      </c>
      <c r="BD70" s="83">
        <f t="shared" si="37"/>
        <v>52.4</v>
      </c>
      <c r="BE70" s="78">
        <f>I83</f>
        <v>39.5</v>
      </c>
      <c r="BF70" s="78">
        <f>K83</f>
        <v>418.8</v>
      </c>
      <c r="BG70" s="78">
        <f t="shared" si="38"/>
        <v>412</v>
      </c>
      <c r="BH70" s="78">
        <f t="shared" si="38"/>
        <v>390</v>
      </c>
      <c r="BI70" s="78">
        <f t="shared" si="38"/>
        <v>415</v>
      </c>
      <c r="BJ70" s="78">
        <f t="shared" si="38"/>
        <v>430.6</v>
      </c>
      <c r="BK70" s="78">
        <f t="shared" si="38"/>
        <v>451.7</v>
      </c>
      <c r="BL70" s="78">
        <f t="shared" si="38"/>
        <v>450.3</v>
      </c>
      <c r="BM70" s="78">
        <f t="shared" si="38"/>
        <v>456</v>
      </c>
      <c r="BN70" s="78">
        <f t="shared" si="38"/>
        <v>461</v>
      </c>
      <c r="BO70" s="78">
        <f t="shared" si="38"/>
        <v>419</v>
      </c>
      <c r="BP70" s="78">
        <f t="shared" si="38"/>
        <v>382</v>
      </c>
      <c r="BQ70" s="78">
        <f>X83</f>
        <v>334</v>
      </c>
      <c r="BR70" s="78">
        <f>Z83</f>
        <v>111</v>
      </c>
      <c r="BS70" s="83">
        <f>AB83</f>
        <v>55</v>
      </c>
      <c r="BT70" s="83">
        <f t="shared" si="39"/>
        <v>46.3</v>
      </c>
      <c r="BU70" s="83">
        <f t="shared" si="39"/>
        <v>50.8</v>
      </c>
      <c r="BV70" s="83">
        <f t="shared" si="39"/>
        <v>20</v>
      </c>
      <c r="BW70" s="83">
        <f>B83</f>
        <v>122</v>
      </c>
    </row>
    <row r="71" spans="1:75" s="115" customFormat="1" x14ac:dyDescent="0.25">
      <c r="A71" s="87" t="s">
        <v>193</v>
      </c>
      <c r="B71" s="70">
        <v>13</v>
      </c>
      <c r="C71" s="70">
        <v>12.2</v>
      </c>
      <c r="D71" s="70">
        <v>12.3</v>
      </c>
      <c r="E71" s="70">
        <v>12.3</v>
      </c>
      <c r="F71" s="70">
        <v>12.3</v>
      </c>
      <c r="G71" s="70">
        <v>12.3</v>
      </c>
      <c r="H71" s="70">
        <v>12.3</v>
      </c>
      <c r="I71" s="70">
        <v>12.3</v>
      </c>
      <c r="J71" s="70">
        <v>12.3</v>
      </c>
      <c r="K71" s="70">
        <v>12.3</v>
      </c>
      <c r="L71" s="70">
        <v>12.3</v>
      </c>
      <c r="M71" s="70">
        <v>12.5</v>
      </c>
      <c r="N71" s="70">
        <v>12.5</v>
      </c>
      <c r="O71" s="70">
        <v>12.5</v>
      </c>
      <c r="P71" s="70">
        <v>12.5</v>
      </c>
      <c r="Q71" s="70">
        <v>3.3</v>
      </c>
      <c r="R71" s="70">
        <v>3.3</v>
      </c>
      <c r="S71" s="70">
        <v>3.3</v>
      </c>
      <c r="T71" s="70">
        <v>3.3</v>
      </c>
      <c r="U71" s="70">
        <v>3.3</v>
      </c>
      <c r="V71" s="70">
        <v>1.1000000000000001</v>
      </c>
      <c r="W71" s="70">
        <v>1.1000000000000001</v>
      </c>
      <c r="X71" s="70">
        <v>4.8</v>
      </c>
      <c r="Y71" s="70">
        <v>9.4</v>
      </c>
      <c r="Z71" s="70">
        <v>9.4</v>
      </c>
      <c r="AA71" s="70">
        <v>9.4</v>
      </c>
      <c r="AB71" s="70">
        <v>9.4</v>
      </c>
      <c r="AC71" s="70">
        <v>9.4</v>
      </c>
      <c r="AD71" s="70">
        <v>9.4</v>
      </c>
      <c r="AE71" s="70">
        <v>9.4</v>
      </c>
      <c r="AF71" s="70">
        <v>9.4</v>
      </c>
      <c r="AG71" s="86">
        <v>14.1</v>
      </c>
      <c r="AH71" s="12">
        <f t="shared" si="8"/>
        <v>13</v>
      </c>
      <c r="AI71" s="11">
        <f t="shared" si="9"/>
        <v>1.1000000000000001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37"/>
        <v>0</v>
      </c>
      <c r="BB71" s="83">
        <f t="shared" si="37"/>
        <v>0</v>
      </c>
      <c r="BC71" s="83">
        <f t="shared" si="37"/>
        <v>0</v>
      </c>
      <c r="BD71" s="83">
        <f t="shared" si="37"/>
        <v>0</v>
      </c>
      <c r="BE71" s="78">
        <f>I84</f>
        <v>0</v>
      </c>
      <c r="BF71" s="78">
        <f>K84</f>
        <v>47.7</v>
      </c>
      <c r="BG71" s="78">
        <f t="shared" si="38"/>
        <v>48.2</v>
      </c>
      <c r="BH71" s="78">
        <f t="shared" si="38"/>
        <v>47.3</v>
      </c>
      <c r="BI71" s="78">
        <f t="shared" si="38"/>
        <v>7</v>
      </c>
      <c r="BJ71" s="78">
        <f t="shared" si="38"/>
        <v>6.5</v>
      </c>
      <c r="BK71" s="78">
        <f t="shared" si="38"/>
        <v>6.3</v>
      </c>
      <c r="BL71" s="78">
        <f t="shared" si="38"/>
        <v>6.4</v>
      </c>
      <c r="BM71" s="78">
        <f t="shared" si="38"/>
        <v>7.7</v>
      </c>
      <c r="BN71" s="78">
        <f t="shared" si="38"/>
        <v>7.2</v>
      </c>
      <c r="BO71" s="78">
        <f t="shared" si="38"/>
        <v>10</v>
      </c>
      <c r="BP71" s="78">
        <f t="shared" si="38"/>
        <v>11.3</v>
      </c>
      <c r="BQ71" s="78">
        <f>X84</f>
        <v>9</v>
      </c>
      <c r="BR71" s="78">
        <f>Z84</f>
        <v>0</v>
      </c>
      <c r="BS71" s="83">
        <f>AB84</f>
        <v>0</v>
      </c>
      <c r="BT71" s="83">
        <f t="shared" si="39"/>
        <v>0</v>
      </c>
      <c r="BU71" s="83">
        <f t="shared" si="39"/>
        <v>0</v>
      </c>
      <c r="BV71" s="83">
        <f t="shared" si="39"/>
        <v>0</v>
      </c>
      <c r="BW71" s="83">
        <f>B84</f>
        <v>0</v>
      </c>
    </row>
    <row r="72" spans="1:75" x14ac:dyDescent="0.25">
      <c r="A72" s="111" t="s">
        <v>191</v>
      </c>
      <c r="B72" s="70">
        <v>9.5</v>
      </c>
      <c r="C72" s="70">
        <v>10.1</v>
      </c>
      <c r="D72" s="70">
        <v>10.7</v>
      </c>
      <c r="E72" s="70">
        <v>10.7</v>
      </c>
      <c r="F72" s="70">
        <v>10.7</v>
      </c>
      <c r="G72" s="70">
        <v>10.7</v>
      </c>
      <c r="H72" s="70">
        <v>10.7</v>
      </c>
      <c r="I72" s="70">
        <v>10.7</v>
      </c>
      <c r="J72" s="70">
        <v>10.7</v>
      </c>
      <c r="K72" s="70">
        <v>10.7</v>
      </c>
      <c r="L72" s="70">
        <v>10.7</v>
      </c>
      <c r="M72" s="70">
        <v>9.3000000000000007</v>
      </c>
      <c r="N72" s="70">
        <v>9.3000000000000007</v>
      </c>
      <c r="O72" s="70">
        <v>9.3000000000000007</v>
      </c>
      <c r="P72" s="70">
        <v>9.3000000000000007</v>
      </c>
      <c r="Q72" s="70">
        <v>7.5</v>
      </c>
      <c r="R72" s="70">
        <v>7.5</v>
      </c>
      <c r="S72" s="70">
        <v>7.5</v>
      </c>
      <c r="T72" s="70">
        <v>7.5</v>
      </c>
      <c r="U72" s="70">
        <v>7.5</v>
      </c>
      <c r="V72" s="70">
        <v>6.8</v>
      </c>
      <c r="W72" s="70">
        <v>6.8</v>
      </c>
      <c r="X72" s="70">
        <v>6.8</v>
      </c>
      <c r="Y72" s="70">
        <v>6.8</v>
      </c>
      <c r="Z72" s="70">
        <v>6.8</v>
      </c>
      <c r="AA72" s="70">
        <v>6.8</v>
      </c>
      <c r="AB72" s="70">
        <v>6.8</v>
      </c>
      <c r="AC72" s="70">
        <v>6.8</v>
      </c>
      <c r="AD72" s="70">
        <v>7.3</v>
      </c>
      <c r="AE72" s="70">
        <v>7.3</v>
      </c>
      <c r="AF72" s="70">
        <v>7.3</v>
      </c>
      <c r="AG72" s="86">
        <v>14</v>
      </c>
      <c r="AH72" s="12">
        <f t="shared" si="8"/>
        <v>10.7</v>
      </c>
      <c r="AI72" s="11">
        <f t="shared" si="9"/>
        <v>6.8</v>
      </c>
      <c r="AK72" s="19"/>
      <c r="AY72" s="1" t="s">
        <v>190</v>
      </c>
      <c r="AZ72" s="78">
        <f>ROUND(C85,0)</f>
        <v>0</v>
      </c>
      <c r="BA72" s="83">
        <f t="shared" si="37"/>
        <v>0</v>
      </c>
      <c r="BB72" s="83">
        <f t="shared" si="37"/>
        <v>0</v>
      </c>
      <c r="BC72" s="83">
        <f t="shared" si="37"/>
        <v>0</v>
      </c>
      <c r="BD72" s="83">
        <f t="shared" si="37"/>
        <v>0</v>
      </c>
      <c r="BE72" s="78">
        <f>I85</f>
        <v>0</v>
      </c>
      <c r="BF72" s="78">
        <f>K85</f>
        <v>126.5</v>
      </c>
      <c r="BG72" s="78">
        <f t="shared" si="38"/>
        <v>129.19999999999999</v>
      </c>
      <c r="BH72" s="78">
        <f t="shared" si="38"/>
        <v>120.9</v>
      </c>
      <c r="BI72" s="78">
        <f t="shared" si="38"/>
        <v>125</v>
      </c>
      <c r="BJ72" s="78">
        <f t="shared" si="38"/>
        <v>127.1</v>
      </c>
      <c r="BK72" s="78">
        <f t="shared" si="38"/>
        <v>135</v>
      </c>
      <c r="BL72" s="78">
        <f t="shared" si="38"/>
        <v>135</v>
      </c>
      <c r="BM72" s="78">
        <f t="shared" si="38"/>
        <v>134</v>
      </c>
      <c r="BN72" s="78">
        <f t="shared" si="38"/>
        <v>121.7</v>
      </c>
      <c r="BO72" s="78">
        <f t="shared" si="38"/>
        <v>125.9</v>
      </c>
      <c r="BP72" s="78">
        <f t="shared" si="38"/>
        <v>100.5</v>
      </c>
      <c r="BQ72" s="78">
        <f>X85</f>
        <v>75</v>
      </c>
      <c r="BR72" s="78">
        <f>Z85</f>
        <v>0</v>
      </c>
      <c r="BS72" s="83">
        <f>AB85</f>
        <v>0</v>
      </c>
      <c r="BT72" s="83">
        <f t="shared" si="39"/>
        <v>0</v>
      </c>
      <c r="BU72" s="83">
        <f t="shared" si="39"/>
        <v>0</v>
      </c>
      <c r="BV72" s="83">
        <f t="shared" si="39"/>
        <v>0</v>
      </c>
      <c r="BW72" s="83">
        <f>B85</f>
        <v>0</v>
      </c>
    </row>
    <row r="73" spans="1:75" x14ac:dyDescent="0.25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2</v>
      </c>
      <c r="N73" s="70">
        <v>2</v>
      </c>
      <c r="O73" s="70">
        <v>2</v>
      </c>
      <c r="P73" s="70">
        <v>2</v>
      </c>
      <c r="Q73" s="70">
        <v>2</v>
      </c>
      <c r="R73" s="70">
        <v>2</v>
      </c>
      <c r="S73" s="70">
        <v>2</v>
      </c>
      <c r="T73" s="70">
        <v>2</v>
      </c>
      <c r="U73" s="70">
        <v>2</v>
      </c>
      <c r="V73" s="70">
        <v>2</v>
      </c>
      <c r="W73" s="70">
        <v>2</v>
      </c>
      <c r="X73" s="70">
        <v>2</v>
      </c>
      <c r="Y73" s="70">
        <v>2</v>
      </c>
      <c r="Z73" s="70">
        <v>2</v>
      </c>
      <c r="AA73" s="70">
        <v>2</v>
      </c>
      <c r="AB73" s="70">
        <v>2</v>
      </c>
      <c r="AC73" s="70">
        <v>2</v>
      </c>
      <c r="AD73" s="70">
        <v>2</v>
      </c>
      <c r="AE73" s="70">
        <v>2</v>
      </c>
      <c r="AF73" s="70">
        <v>2</v>
      </c>
      <c r="AG73" s="86">
        <v>10.050000000000001</v>
      </c>
      <c r="AH73" s="12">
        <f t="shared" si="8"/>
        <v>4</v>
      </c>
      <c r="AI73" s="11">
        <f t="shared" si="9"/>
        <v>2</v>
      </c>
      <c r="AK73" s="19"/>
      <c r="AY73" s="1" t="s">
        <v>188</v>
      </c>
      <c r="AZ73" s="78">
        <f>ROUND(C91,0)</f>
        <v>46</v>
      </c>
      <c r="BA73" s="78">
        <f>D91</f>
        <v>45.7</v>
      </c>
      <c r="BB73" s="78">
        <f>E91</f>
        <v>48.1</v>
      </c>
      <c r="BC73" s="78">
        <f>F91</f>
        <v>47.9</v>
      </c>
      <c r="BD73" s="78">
        <f>G91</f>
        <v>46.2</v>
      </c>
      <c r="BE73" s="78">
        <f>I91</f>
        <v>43.9</v>
      </c>
      <c r="BF73" s="78">
        <f>K91</f>
        <v>52.4</v>
      </c>
      <c r="BG73" s="78">
        <f t="shared" ref="BG73:BP73" si="40">M91</f>
        <v>56</v>
      </c>
      <c r="BH73" s="78">
        <f t="shared" si="40"/>
        <v>51.5</v>
      </c>
      <c r="BI73" s="78">
        <f t="shared" si="40"/>
        <v>46.7</v>
      </c>
      <c r="BJ73" s="78">
        <f t="shared" si="40"/>
        <v>43.7</v>
      </c>
      <c r="BK73" s="78">
        <f t="shared" si="40"/>
        <v>49.9</v>
      </c>
      <c r="BL73" s="78">
        <f t="shared" si="40"/>
        <v>52.1</v>
      </c>
      <c r="BM73" s="78">
        <f t="shared" si="40"/>
        <v>52</v>
      </c>
      <c r="BN73" s="78">
        <f t="shared" si="40"/>
        <v>53.5</v>
      </c>
      <c r="BO73" s="78">
        <f t="shared" si="40"/>
        <v>53.2</v>
      </c>
      <c r="BP73" s="78">
        <f t="shared" si="40"/>
        <v>52</v>
      </c>
      <c r="BQ73" s="78">
        <f>X91</f>
        <v>42.4</v>
      </c>
      <c r="BR73" s="78">
        <f>Z91</f>
        <v>43.6</v>
      </c>
      <c r="BS73" s="78">
        <f>AB91</f>
        <v>43.1</v>
      </c>
      <c r="BT73" s="78">
        <f>AD91</f>
        <v>44.8</v>
      </c>
      <c r="BU73" s="78">
        <f>AE91</f>
        <v>45.8</v>
      </c>
      <c r="BV73" s="78">
        <f>AF91</f>
        <v>48.6</v>
      </c>
      <c r="BW73" s="78">
        <f>B91</f>
        <v>47.8</v>
      </c>
    </row>
    <row r="74" spans="1:75" x14ac:dyDescent="0.25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.75" thickBot="1" x14ac:dyDescent="0.3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3.5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</v>
      </c>
      <c r="AK75" s="19"/>
      <c r="AZ75" s="78">
        <f t="shared" ref="AZ75:BW80" si="41">VALUE(AZ68)</f>
        <v>16</v>
      </c>
      <c r="BA75" s="78">
        <f t="shared" si="41"/>
        <v>18.899999999999999</v>
      </c>
      <c r="BB75" s="78">
        <f t="shared" si="41"/>
        <v>18.600000000000001</v>
      </c>
      <c r="BC75" s="78">
        <f t="shared" si="41"/>
        <v>12.8</v>
      </c>
      <c r="BD75" s="78">
        <f t="shared" si="41"/>
        <v>13.9</v>
      </c>
      <c r="BE75" s="78">
        <f t="shared" si="41"/>
        <v>18.100000000000001</v>
      </c>
      <c r="BF75" s="78">
        <f t="shared" si="41"/>
        <v>35.299999999999997</v>
      </c>
      <c r="BG75" s="78">
        <f t="shared" si="41"/>
        <v>47</v>
      </c>
      <c r="BH75" s="78">
        <f t="shared" si="41"/>
        <v>54</v>
      </c>
      <c r="BI75" s="78">
        <f t="shared" si="41"/>
        <v>65</v>
      </c>
      <c r="BJ75" s="78">
        <f t="shared" si="41"/>
        <v>62</v>
      </c>
      <c r="BK75" s="78">
        <f t="shared" si="41"/>
        <v>63.8</v>
      </c>
      <c r="BL75" s="78">
        <f t="shared" si="41"/>
        <v>68.7</v>
      </c>
      <c r="BM75" s="78">
        <f t="shared" si="41"/>
        <v>69.400000000000006</v>
      </c>
      <c r="BN75" s="78">
        <f t="shared" si="41"/>
        <v>64.900000000000006</v>
      </c>
      <c r="BO75" s="78">
        <f t="shared" si="41"/>
        <v>69.3</v>
      </c>
      <c r="BP75" s="78">
        <f t="shared" si="41"/>
        <v>54.3</v>
      </c>
      <c r="BQ75" s="78">
        <f t="shared" si="41"/>
        <v>60.6</v>
      </c>
      <c r="BR75" s="78">
        <f t="shared" si="41"/>
        <v>12</v>
      </c>
      <c r="BS75" s="78">
        <f t="shared" si="41"/>
        <v>23.1</v>
      </c>
      <c r="BT75" s="78">
        <f t="shared" si="41"/>
        <v>22.3</v>
      </c>
      <c r="BU75" s="78">
        <f t="shared" si="41"/>
        <v>29.2</v>
      </c>
      <c r="BV75" s="78">
        <f t="shared" si="41"/>
        <v>25.2</v>
      </c>
      <c r="BW75" s="78">
        <f t="shared" si="41"/>
        <v>16</v>
      </c>
    </row>
    <row r="76" spans="1:75" ht="15.75" thickBot="1" x14ac:dyDescent="0.3">
      <c r="A76" s="77" t="s">
        <v>186</v>
      </c>
      <c r="B76" s="76">
        <f t="shared" ref="B76:C76" si="42">SUM(B63:B75)</f>
        <v>213.64</v>
      </c>
      <c r="C76" s="76">
        <f t="shared" si="42"/>
        <v>224.33999999999995</v>
      </c>
      <c r="D76" s="76">
        <f t="shared" ref="D76:E76" si="43">SUM(D63:D75)</f>
        <v>211.34</v>
      </c>
      <c r="E76" s="76">
        <f t="shared" si="43"/>
        <v>235.04</v>
      </c>
      <c r="F76" s="76">
        <f t="shared" ref="F76:G76" si="44">SUM(F63:F75)</f>
        <v>235.04</v>
      </c>
      <c r="G76" s="76">
        <f t="shared" si="44"/>
        <v>235.04</v>
      </c>
      <c r="H76" s="76">
        <f t="shared" ref="H76:I76" si="45">SUM(H63:H75)</f>
        <v>235.84</v>
      </c>
      <c r="I76" s="76">
        <f t="shared" si="45"/>
        <v>235.84</v>
      </c>
      <c r="J76" s="76">
        <f t="shared" ref="J76:K76" si="46">SUM(J63:J75)</f>
        <v>220.79</v>
      </c>
      <c r="K76" s="76">
        <f t="shared" si="46"/>
        <v>221.04</v>
      </c>
      <c r="L76" s="76">
        <f t="shared" ref="L76" si="47">SUM(L63:L75)</f>
        <v>191.93999999999997</v>
      </c>
      <c r="M76" s="76">
        <f t="shared" ref="M76:AG76" si="48">SUM(M63:M75)</f>
        <v>230.34</v>
      </c>
      <c r="N76" s="76">
        <f t="shared" si="48"/>
        <v>278.94000000000005</v>
      </c>
      <c r="O76" s="76">
        <f t="shared" si="48"/>
        <v>251.23999999999998</v>
      </c>
      <c r="P76" s="76">
        <f t="shared" si="48"/>
        <v>233.83999999999997</v>
      </c>
      <c r="Q76" s="76">
        <f t="shared" si="48"/>
        <v>247.84000000000003</v>
      </c>
      <c r="R76" s="76">
        <f t="shared" si="48"/>
        <v>251.34</v>
      </c>
      <c r="S76" s="76">
        <f t="shared" si="48"/>
        <v>274.14</v>
      </c>
      <c r="T76" s="76">
        <f t="shared" si="48"/>
        <v>266.14000000000004</v>
      </c>
      <c r="U76" s="76">
        <f t="shared" si="48"/>
        <v>267.83999999999997</v>
      </c>
      <c r="V76" s="76">
        <f t="shared" si="48"/>
        <v>271.94000000000005</v>
      </c>
      <c r="W76" s="76">
        <f t="shared" si="48"/>
        <v>264.54000000000002</v>
      </c>
      <c r="X76" s="76">
        <f t="shared" si="48"/>
        <v>257.34000000000003</v>
      </c>
      <c r="Y76" s="76">
        <f t="shared" si="48"/>
        <v>401.09999999999997</v>
      </c>
      <c r="Z76" s="76">
        <v>407.29999999999995</v>
      </c>
      <c r="AA76" s="76">
        <f t="shared" si="48"/>
        <v>411.14</v>
      </c>
      <c r="AB76" s="76">
        <f t="shared" si="48"/>
        <v>406.84</v>
      </c>
      <c r="AC76" s="76">
        <f t="shared" si="48"/>
        <v>406.43999999999994</v>
      </c>
      <c r="AD76" s="76">
        <f t="shared" si="48"/>
        <v>404.64</v>
      </c>
      <c r="AE76" s="76">
        <f t="shared" si="48"/>
        <v>360.14</v>
      </c>
      <c r="AF76" s="76">
        <f t="shared" si="48"/>
        <v>311.33999999999997</v>
      </c>
      <c r="AG76" s="93">
        <f t="shared" si="48"/>
        <v>489.91</v>
      </c>
      <c r="AH76" s="12">
        <f t="shared" si="8"/>
        <v>411.14</v>
      </c>
      <c r="AI76" s="11">
        <f t="shared" si="9"/>
        <v>191.93999999999997</v>
      </c>
      <c r="AK76" s="19"/>
      <c r="AZ76" s="78">
        <f t="shared" si="41"/>
        <v>0</v>
      </c>
      <c r="BA76" s="78">
        <f t="shared" si="41"/>
        <v>0</v>
      </c>
      <c r="BB76" s="78">
        <f t="shared" si="41"/>
        <v>0</v>
      </c>
      <c r="BC76" s="78">
        <f t="shared" si="41"/>
        <v>0</v>
      </c>
      <c r="BD76" s="78">
        <f t="shared" si="41"/>
        <v>0</v>
      </c>
      <c r="BE76" s="78">
        <f t="shared" si="41"/>
        <v>0</v>
      </c>
      <c r="BF76" s="78">
        <f t="shared" si="41"/>
        <v>95.5</v>
      </c>
      <c r="BG76" s="78">
        <f t="shared" si="41"/>
        <v>97.5</v>
      </c>
      <c r="BH76" s="78">
        <f t="shared" si="41"/>
        <v>110</v>
      </c>
      <c r="BI76" s="78">
        <f t="shared" si="41"/>
        <v>114.2</v>
      </c>
      <c r="BJ76" s="78">
        <f t="shared" si="41"/>
        <v>91</v>
      </c>
      <c r="BK76" s="78">
        <f t="shared" si="41"/>
        <v>91.1</v>
      </c>
      <c r="BL76" s="78">
        <f t="shared" si="41"/>
        <v>83.2</v>
      </c>
      <c r="BM76" s="78">
        <f t="shared" si="41"/>
        <v>93.1</v>
      </c>
      <c r="BN76" s="78">
        <f t="shared" si="41"/>
        <v>90</v>
      </c>
      <c r="BO76" s="78">
        <f t="shared" si="41"/>
        <v>91.8</v>
      </c>
      <c r="BP76" s="78">
        <f t="shared" si="41"/>
        <v>102</v>
      </c>
      <c r="BQ76" s="78">
        <f t="shared" si="41"/>
        <v>115</v>
      </c>
      <c r="BR76" s="78">
        <f t="shared" si="41"/>
        <v>0</v>
      </c>
      <c r="BS76" s="78">
        <f t="shared" si="41"/>
        <v>0</v>
      </c>
      <c r="BT76" s="78">
        <f t="shared" si="41"/>
        <v>0</v>
      </c>
      <c r="BU76" s="78">
        <f t="shared" si="41"/>
        <v>0</v>
      </c>
      <c r="BV76" s="78">
        <f t="shared" si="41"/>
        <v>0</v>
      </c>
      <c r="BW76" s="78">
        <f t="shared" si="41"/>
        <v>0</v>
      </c>
    </row>
    <row r="77" spans="1:75" x14ac:dyDescent="0.25">
      <c r="A77" s="89" t="s">
        <v>185</v>
      </c>
      <c r="B77" s="102">
        <v>59.1</v>
      </c>
      <c r="C77" s="102">
        <v>59.1</v>
      </c>
      <c r="D77" s="102">
        <v>59.9</v>
      </c>
      <c r="E77" s="102">
        <v>59.9</v>
      </c>
      <c r="F77" s="102">
        <v>59.9</v>
      </c>
      <c r="G77" s="102">
        <v>59.9</v>
      </c>
      <c r="H77" s="102">
        <v>59.9</v>
      </c>
      <c r="I77" s="102">
        <v>59.9</v>
      </c>
      <c r="J77" s="102">
        <v>59.9</v>
      </c>
      <c r="K77" s="102">
        <v>10.1</v>
      </c>
      <c r="L77" s="102">
        <v>13.9</v>
      </c>
      <c r="M77" s="102">
        <v>14</v>
      </c>
      <c r="N77" s="102">
        <v>0</v>
      </c>
      <c r="O77" s="102">
        <v>0</v>
      </c>
      <c r="P77" s="102">
        <v>0</v>
      </c>
      <c r="Q77" s="102">
        <v>0</v>
      </c>
      <c r="R77" s="102">
        <v>0</v>
      </c>
      <c r="S77" s="102">
        <v>0</v>
      </c>
      <c r="T77" s="102">
        <v>0</v>
      </c>
      <c r="U77" s="102">
        <v>0</v>
      </c>
      <c r="V77" s="102">
        <v>0</v>
      </c>
      <c r="W77" s="102">
        <v>0</v>
      </c>
      <c r="X77" s="102">
        <v>0</v>
      </c>
      <c r="Y77" s="102">
        <v>0</v>
      </c>
      <c r="Z77" s="102">
        <v>30</v>
      </c>
      <c r="AA77" s="102">
        <v>60</v>
      </c>
      <c r="AB77" s="102">
        <v>28</v>
      </c>
      <c r="AC77" s="102">
        <v>58.8</v>
      </c>
      <c r="AD77" s="102">
        <v>58.9</v>
      </c>
      <c r="AE77" s="102">
        <v>58.8</v>
      </c>
      <c r="AF77" s="102">
        <v>58.9</v>
      </c>
      <c r="AG77" s="88">
        <v>60</v>
      </c>
      <c r="AH77" s="12">
        <f t="shared" si="8"/>
        <v>60</v>
      </c>
      <c r="AI77" s="11">
        <f t="shared" si="9"/>
        <v>0</v>
      </c>
      <c r="AK77" s="19"/>
      <c r="AZ77" s="78">
        <f t="shared" si="41"/>
        <v>31</v>
      </c>
      <c r="BA77" s="78">
        <f t="shared" si="41"/>
        <v>50</v>
      </c>
      <c r="BB77" s="78">
        <f t="shared" si="41"/>
        <v>20.7</v>
      </c>
      <c r="BC77" s="78">
        <f t="shared" si="41"/>
        <v>46.5</v>
      </c>
      <c r="BD77" s="78">
        <f t="shared" si="41"/>
        <v>52.4</v>
      </c>
      <c r="BE77" s="78">
        <f t="shared" si="41"/>
        <v>39.5</v>
      </c>
      <c r="BF77" s="78">
        <f t="shared" si="41"/>
        <v>418.8</v>
      </c>
      <c r="BG77" s="78">
        <f t="shared" si="41"/>
        <v>412</v>
      </c>
      <c r="BH77" s="78">
        <f t="shared" si="41"/>
        <v>390</v>
      </c>
      <c r="BI77" s="78">
        <f t="shared" si="41"/>
        <v>415</v>
      </c>
      <c r="BJ77" s="78">
        <f t="shared" si="41"/>
        <v>430.6</v>
      </c>
      <c r="BK77" s="78">
        <f t="shared" si="41"/>
        <v>451.7</v>
      </c>
      <c r="BL77" s="78">
        <f t="shared" si="41"/>
        <v>450.3</v>
      </c>
      <c r="BM77" s="78">
        <f t="shared" si="41"/>
        <v>456</v>
      </c>
      <c r="BN77" s="78">
        <f t="shared" si="41"/>
        <v>461</v>
      </c>
      <c r="BO77" s="78">
        <f t="shared" si="41"/>
        <v>419</v>
      </c>
      <c r="BP77" s="78">
        <f t="shared" si="41"/>
        <v>382</v>
      </c>
      <c r="BQ77" s="78">
        <f t="shared" si="41"/>
        <v>334</v>
      </c>
      <c r="BR77" s="78">
        <f t="shared" si="41"/>
        <v>111</v>
      </c>
      <c r="BS77" s="78">
        <f t="shared" si="41"/>
        <v>55</v>
      </c>
      <c r="BT77" s="78">
        <f t="shared" si="41"/>
        <v>46.3</v>
      </c>
      <c r="BU77" s="78">
        <f t="shared" si="41"/>
        <v>50.8</v>
      </c>
      <c r="BV77" s="78">
        <f t="shared" si="41"/>
        <v>20</v>
      </c>
      <c r="BW77" s="78">
        <f t="shared" si="41"/>
        <v>122</v>
      </c>
    </row>
    <row r="78" spans="1:75" x14ac:dyDescent="0.25">
      <c r="A78" s="87" t="s">
        <v>184</v>
      </c>
      <c r="B78" s="70">
        <v>27.7</v>
      </c>
      <c r="C78" s="70">
        <v>27.7</v>
      </c>
      <c r="D78" s="70">
        <v>28.2</v>
      </c>
      <c r="E78" s="70">
        <v>28.2</v>
      </c>
      <c r="F78" s="70">
        <v>28.2</v>
      </c>
      <c r="G78" s="70">
        <v>28.2</v>
      </c>
      <c r="H78" s="70">
        <v>28.2</v>
      </c>
      <c r="I78" s="70">
        <v>28.2</v>
      </c>
      <c r="J78" s="70">
        <v>28.2</v>
      </c>
      <c r="K78" s="70">
        <v>5.6</v>
      </c>
      <c r="L78" s="70">
        <v>5.3</v>
      </c>
      <c r="M78" s="70">
        <v>4.8</v>
      </c>
      <c r="N78" s="70">
        <v>4</v>
      </c>
      <c r="O78" s="70">
        <v>0</v>
      </c>
      <c r="P78" s="70">
        <v>0</v>
      </c>
      <c r="Q78" s="70">
        <v>0</v>
      </c>
      <c r="R78" s="70">
        <v>0</v>
      </c>
      <c r="S78" s="70">
        <v>0</v>
      </c>
      <c r="T78" s="70">
        <v>0</v>
      </c>
      <c r="U78" s="70">
        <v>0</v>
      </c>
      <c r="V78" s="70">
        <v>0</v>
      </c>
      <c r="W78" s="70">
        <v>0</v>
      </c>
      <c r="X78" s="70">
        <v>0</v>
      </c>
      <c r="Y78" s="70">
        <v>0</v>
      </c>
      <c r="Z78" s="70">
        <v>5.5</v>
      </c>
      <c r="AA78" s="70">
        <v>28.1</v>
      </c>
      <c r="AB78" s="70">
        <v>12.1</v>
      </c>
      <c r="AC78" s="70">
        <v>23.8</v>
      </c>
      <c r="AD78" s="70">
        <v>28.7</v>
      </c>
      <c r="AE78" s="70">
        <v>27</v>
      </c>
      <c r="AF78" s="70">
        <v>28</v>
      </c>
      <c r="AG78" s="86">
        <v>32</v>
      </c>
      <c r="AH78" s="12">
        <f t="shared" si="8"/>
        <v>28.7</v>
      </c>
      <c r="AI78" s="11">
        <f t="shared" si="9"/>
        <v>0</v>
      </c>
      <c r="AK78" s="19"/>
      <c r="AZ78" s="78">
        <f t="shared" si="41"/>
        <v>0</v>
      </c>
      <c r="BA78" s="78">
        <f t="shared" si="41"/>
        <v>0</v>
      </c>
      <c r="BB78" s="78">
        <f t="shared" si="41"/>
        <v>0</v>
      </c>
      <c r="BC78" s="78">
        <f t="shared" si="41"/>
        <v>0</v>
      </c>
      <c r="BD78" s="78">
        <f t="shared" si="41"/>
        <v>0</v>
      </c>
      <c r="BE78" s="78">
        <f t="shared" si="41"/>
        <v>0</v>
      </c>
      <c r="BF78" s="78">
        <f t="shared" si="41"/>
        <v>47.7</v>
      </c>
      <c r="BG78" s="78">
        <f t="shared" si="41"/>
        <v>48.2</v>
      </c>
      <c r="BH78" s="78">
        <f t="shared" si="41"/>
        <v>47.3</v>
      </c>
      <c r="BI78" s="78">
        <f t="shared" si="41"/>
        <v>7</v>
      </c>
      <c r="BJ78" s="78">
        <f t="shared" si="41"/>
        <v>6.5</v>
      </c>
      <c r="BK78" s="78">
        <f t="shared" si="41"/>
        <v>6.3</v>
      </c>
      <c r="BL78" s="78">
        <f t="shared" si="41"/>
        <v>6.4</v>
      </c>
      <c r="BM78" s="78">
        <f t="shared" si="41"/>
        <v>7.7</v>
      </c>
      <c r="BN78" s="78">
        <f t="shared" si="41"/>
        <v>7.2</v>
      </c>
      <c r="BO78" s="78">
        <f t="shared" si="41"/>
        <v>10</v>
      </c>
      <c r="BP78" s="78">
        <f t="shared" si="41"/>
        <v>11.3</v>
      </c>
      <c r="BQ78" s="78">
        <f t="shared" si="41"/>
        <v>9</v>
      </c>
      <c r="BR78" s="78">
        <f t="shared" si="41"/>
        <v>0</v>
      </c>
      <c r="BS78" s="78">
        <f t="shared" si="41"/>
        <v>0</v>
      </c>
      <c r="BT78" s="78">
        <f t="shared" si="41"/>
        <v>0</v>
      </c>
      <c r="BU78" s="78">
        <f t="shared" si="41"/>
        <v>0</v>
      </c>
      <c r="BV78" s="78">
        <f t="shared" si="41"/>
        <v>0</v>
      </c>
      <c r="BW78" s="78">
        <f t="shared" si="41"/>
        <v>0</v>
      </c>
    </row>
    <row r="79" spans="1:75" ht="15.75" thickBot="1" x14ac:dyDescent="0.3">
      <c r="A79" s="111" t="s">
        <v>183</v>
      </c>
      <c r="B79" s="110">
        <v>10.1</v>
      </c>
      <c r="C79" s="110">
        <v>10.1</v>
      </c>
      <c r="D79" s="110">
        <v>10.3</v>
      </c>
      <c r="E79" s="110">
        <v>10.3</v>
      </c>
      <c r="F79" s="110">
        <v>10.3</v>
      </c>
      <c r="G79" s="110">
        <v>10.3</v>
      </c>
      <c r="H79" s="110">
        <v>10.3</v>
      </c>
      <c r="I79" s="110">
        <v>10.3</v>
      </c>
      <c r="J79" s="110">
        <v>10.3</v>
      </c>
      <c r="K79" s="110">
        <v>4.8</v>
      </c>
      <c r="L79" s="110">
        <v>1.9</v>
      </c>
      <c r="M79" s="110">
        <v>1.7</v>
      </c>
      <c r="N79" s="110">
        <v>1.7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Z79" s="110">
        <v>2</v>
      </c>
      <c r="AA79" s="110">
        <v>10.199999999999999</v>
      </c>
      <c r="AB79" s="110">
        <v>4.4000000000000004</v>
      </c>
      <c r="AC79" s="110">
        <v>8.6999999999999993</v>
      </c>
      <c r="AD79" s="110">
        <v>10.5</v>
      </c>
      <c r="AE79" s="110">
        <v>9.8000000000000007</v>
      </c>
      <c r="AF79" s="110">
        <v>10.3</v>
      </c>
      <c r="AG79" s="109">
        <v>14</v>
      </c>
      <c r="AH79" s="12">
        <f t="shared" si="8"/>
        <v>10.5</v>
      </c>
      <c r="AI79" s="11">
        <f t="shared" si="9"/>
        <v>0</v>
      </c>
      <c r="AK79" s="19"/>
      <c r="AZ79" s="78">
        <f t="shared" si="41"/>
        <v>0</v>
      </c>
      <c r="BA79" s="78">
        <f t="shared" si="41"/>
        <v>0</v>
      </c>
      <c r="BB79" s="78">
        <f t="shared" si="41"/>
        <v>0</v>
      </c>
      <c r="BC79" s="78">
        <f t="shared" si="41"/>
        <v>0</v>
      </c>
      <c r="BD79" s="78">
        <f t="shared" si="41"/>
        <v>0</v>
      </c>
      <c r="BE79" s="78">
        <f t="shared" si="41"/>
        <v>0</v>
      </c>
      <c r="BF79" s="78">
        <f t="shared" si="41"/>
        <v>126.5</v>
      </c>
      <c r="BG79" s="78">
        <f t="shared" si="41"/>
        <v>129.19999999999999</v>
      </c>
      <c r="BH79" s="78">
        <f t="shared" si="41"/>
        <v>120.9</v>
      </c>
      <c r="BI79" s="78">
        <f t="shared" si="41"/>
        <v>125</v>
      </c>
      <c r="BJ79" s="78">
        <f t="shared" si="41"/>
        <v>127.1</v>
      </c>
      <c r="BK79" s="78">
        <f t="shared" si="41"/>
        <v>135</v>
      </c>
      <c r="BL79" s="78">
        <f t="shared" si="41"/>
        <v>135</v>
      </c>
      <c r="BM79" s="78">
        <f t="shared" si="41"/>
        <v>134</v>
      </c>
      <c r="BN79" s="78">
        <f t="shared" si="41"/>
        <v>121.7</v>
      </c>
      <c r="BO79" s="78">
        <f t="shared" si="41"/>
        <v>125.9</v>
      </c>
      <c r="BP79" s="78">
        <f t="shared" si="41"/>
        <v>100.5</v>
      </c>
      <c r="BQ79" s="78">
        <f t="shared" si="41"/>
        <v>75</v>
      </c>
      <c r="BR79" s="78">
        <f t="shared" si="41"/>
        <v>0</v>
      </c>
      <c r="BS79" s="78">
        <f t="shared" si="41"/>
        <v>0</v>
      </c>
      <c r="BT79" s="78">
        <f t="shared" si="41"/>
        <v>0</v>
      </c>
      <c r="BU79" s="78">
        <f t="shared" si="41"/>
        <v>0</v>
      </c>
      <c r="BV79" s="78">
        <f t="shared" si="41"/>
        <v>0</v>
      </c>
      <c r="BW79" s="78">
        <f t="shared" si="41"/>
        <v>0</v>
      </c>
    </row>
    <row r="80" spans="1:75" ht="15.75" thickBot="1" x14ac:dyDescent="0.3">
      <c r="A80" s="77" t="s">
        <v>182</v>
      </c>
      <c r="B80" s="76">
        <f t="shared" ref="B80:C80" si="49">B77+B78+B79</f>
        <v>96.899999999999991</v>
      </c>
      <c r="C80" s="76">
        <f t="shared" si="49"/>
        <v>96.899999999999991</v>
      </c>
      <c r="D80" s="76">
        <f t="shared" ref="D80:AF80" si="50">D77+D78+D79</f>
        <v>98.399999999999991</v>
      </c>
      <c r="E80" s="76">
        <f t="shared" ref="E80:F80" si="51">E77+E78+E79</f>
        <v>98.399999999999991</v>
      </c>
      <c r="F80" s="76">
        <f t="shared" si="51"/>
        <v>98.399999999999991</v>
      </c>
      <c r="G80" s="76">
        <f t="shared" ref="G80:H80" si="52">G77+G78+G79</f>
        <v>98.399999999999991</v>
      </c>
      <c r="H80" s="76">
        <f t="shared" si="52"/>
        <v>98.399999999999991</v>
      </c>
      <c r="I80" s="76">
        <f t="shared" ref="I80:J80" si="53">I77+I78+I79</f>
        <v>98.399999999999991</v>
      </c>
      <c r="J80" s="76">
        <f t="shared" si="53"/>
        <v>98.399999999999991</v>
      </c>
      <c r="K80" s="76">
        <f t="shared" ref="K80:L80" si="54">K77+K78+K79</f>
        <v>20.5</v>
      </c>
      <c r="L80" s="76">
        <f t="shared" si="54"/>
        <v>21.099999999999998</v>
      </c>
      <c r="M80" s="76">
        <f t="shared" si="50"/>
        <v>20.5</v>
      </c>
      <c r="N80" s="76">
        <f t="shared" si="50"/>
        <v>5.7</v>
      </c>
      <c r="O80" s="76">
        <f t="shared" si="50"/>
        <v>0</v>
      </c>
      <c r="P80" s="76">
        <f t="shared" si="50"/>
        <v>0</v>
      </c>
      <c r="Q80" s="76">
        <f t="shared" si="50"/>
        <v>0</v>
      </c>
      <c r="R80" s="76">
        <f t="shared" si="50"/>
        <v>0</v>
      </c>
      <c r="S80" s="76">
        <f t="shared" si="50"/>
        <v>0</v>
      </c>
      <c r="T80" s="76">
        <f t="shared" si="50"/>
        <v>0</v>
      </c>
      <c r="U80" s="76">
        <f t="shared" si="50"/>
        <v>0</v>
      </c>
      <c r="V80" s="76">
        <f t="shared" si="50"/>
        <v>0</v>
      </c>
      <c r="W80" s="76">
        <f t="shared" si="50"/>
        <v>0</v>
      </c>
      <c r="X80" s="76">
        <f t="shared" si="50"/>
        <v>0</v>
      </c>
      <c r="Y80" s="76">
        <f t="shared" si="50"/>
        <v>0</v>
      </c>
      <c r="Z80" s="76">
        <v>37.5</v>
      </c>
      <c r="AA80" s="76">
        <f t="shared" si="50"/>
        <v>98.3</v>
      </c>
      <c r="AB80" s="76">
        <f>AB77+AB78+AB79</f>
        <v>44.5</v>
      </c>
      <c r="AC80" s="76">
        <f t="shared" si="50"/>
        <v>91.3</v>
      </c>
      <c r="AD80" s="76">
        <f t="shared" si="50"/>
        <v>98.1</v>
      </c>
      <c r="AE80" s="76">
        <f t="shared" si="50"/>
        <v>95.6</v>
      </c>
      <c r="AF80" s="76">
        <f t="shared" si="50"/>
        <v>97.2</v>
      </c>
      <c r="AG80" s="93">
        <f>SUM(AG77:AG79)</f>
        <v>106</v>
      </c>
      <c r="AH80" s="12">
        <f t="shared" si="8"/>
        <v>98.399999999999991</v>
      </c>
      <c r="AI80" s="11">
        <f t="shared" si="9"/>
        <v>0</v>
      </c>
      <c r="AK80" s="19"/>
      <c r="AZ80" s="78">
        <f t="shared" si="41"/>
        <v>46</v>
      </c>
      <c r="BA80" s="78">
        <f t="shared" si="41"/>
        <v>45.7</v>
      </c>
      <c r="BB80" s="78">
        <f t="shared" si="41"/>
        <v>48.1</v>
      </c>
      <c r="BC80" s="78">
        <f t="shared" si="41"/>
        <v>47.9</v>
      </c>
      <c r="BD80" s="78">
        <f t="shared" si="41"/>
        <v>46.2</v>
      </c>
      <c r="BE80" s="78">
        <f t="shared" si="41"/>
        <v>43.9</v>
      </c>
      <c r="BF80" s="78">
        <f t="shared" si="41"/>
        <v>52.4</v>
      </c>
      <c r="BG80" s="78">
        <f t="shared" si="41"/>
        <v>56</v>
      </c>
      <c r="BH80" s="78">
        <f t="shared" si="41"/>
        <v>51.5</v>
      </c>
      <c r="BI80" s="78">
        <f t="shared" si="41"/>
        <v>46.7</v>
      </c>
      <c r="BJ80" s="78">
        <f t="shared" si="41"/>
        <v>43.7</v>
      </c>
      <c r="BK80" s="78">
        <f t="shared" si="41"/>
        <v>49.9</v>
      </c>
      <c r="BL80" s="78">
        <f t="shared" si="41"/>
        <v>52.1</v>
      </c>
      <c r="BM80" s="78">
        <f t="shared" si="41"/>
        <v>52</v>
      </c>
      <c r="BN80" s="78">
        <f t="shared" si="41"/>
        <v>53.5</v>
      </c>
      <c r="BO80" s="78">
        <f t="shared" si="41"/>
        <v>53.2</v>
      </c>
      <c r="BP80" s="78">
        <f t="shared" si="41"/>
        <v>52</v>
      </c>
      <c r="BQ80" s="78">
        <f t="shared" si="41"/>
        <v>42.4</v>
      </c>
      <c r="BR80" s="78">
        <f t="shared" si="41"/>
        <v>43.6</v>
      </c>
      <c r="BS80" s="78">
        <f t="shared" si="41"/>
        <v>43.1</v>
      </c>
      <c r="BT80" s="78">
        <f t="shared" si="41"/>
        <v>44.8</v>
      </c>
      <c r="BU80" s="78">
        <f t="shared" si="41"/>
        <v>45.8</v>
      </c>
      <c r="BV80" s="78">
        <f t="shared" si="41"/>
        <v>48.6</v>
      </c>
      <c r="BW80" s="78">
        <f t="shared" si="41"/>
        <v>47.8</v>
      </c>
    </row>
    <row r="81" spans="1:64" x14ac:dyDescent="0.25">
      <c r="A81" s="89" t="s">
        <v>157</v>
      </c>
      <c r="B81" s="102">
        <v>16</v>
      </c>
      <c r="C81" s="102">
        <v>15.8</v>
      </c>
      <c r="D81" s="102">
        <v>18.899999999999999</v>
      </c>
      <c r="E81" s="102">
        <v>18.600000000000001</v>
      </c>
      <c r="F81" s="102">
        <v>12.8</v>
      </c>
      <c r="G81" s="102">
        <v>13.9</v>
      </c>
      <c r="H81" s="102">
        <v>16.2</v>
      </c>
      <c r="I81" s="102">
        <v>18.100000000000001</v>
      </c>
      <c r="J81" s="102">
        <v>37.5</v>
      </c>
      <c r="K81" s="102">
        <v>35.299999999999997</v>
      </c>
      <c r="L81" s="102">
        <v>36.1</v>
      </c>
      <c r="M81" s="102">
        <v>47</v>
      </c>
      <c r="N81" s="102">
        <v>54</v>
      </c>
      <c r="O81" s="102">
        <v>65</v>
      </c>
      <c r="P81" s="102">
        <v>62</v>
      </c>
      <c r="Q81" s="102">
        <v>63.8</v>
      </c>
      <c r="R81" s="102">
        <v>68.7</v>
      </c>
      <c r="S81" s="102">
        <v>69.400000000000006</v>
      </c>
      <c r="T81" s="102">
        <v>64.900000000000006</v>
      </c>
      <c r="U81" s="102">
        <v>69.3</v>
      </c>
      <c r="V81" s="102">
        <v>54.3</v>
      </c>
      <c r="W81" s="102">
        <v>54.6</v>
      </c>
      <c r="X81" s="102">
        <v>60.6</v>
      </c>
      <c r="Y81" s="102">
        <v>23.8</v>
      </c>
      <c r="Z81" s="102">
        <v>12</v>
      </c>
      <c r="AA81" s="102">
        <v>20.6</v>
      </c>
      <c r="AB81" s="102">
        <v>23.1</v>
      </c>
      <c r="AC81" s="102">
        <v>25.2</v>
      </c>
      <c r="AD81" s="102">
        <v>22.3</v>
      </c>
      <c r="AE81" s="102">
        <v>29.2</v>
      </c>
      <c r="AF81" s="102">
        <v>25.2</v>
      </c>
      <c r="AG81" s="88"/>
      <c r="AH81" s="12">
        <f t="shared" si="8"/>
        <v>69.400000000000006</v>
      </c>
      <c r="AI81" s="11">
        <f t="shared" si="9"/>
        <v>12</v>
      </c>
      <c r="AK81" s="19"/>
      <c r="AY81" s="78"/>
    </row>
    <row r="82" spans="1:64" x14ac:dyDescent="0.25">
      <c r="A82" s="87" t="s">
        <v>160</v>
      </c>
      <c r="B82" s="70">
        <v>0</v>
      </c>
      <c r="C82" s="70">
        <v>0</v>
      </c>
      <c r="D82" s="70">
        <v>0</v>
      </c>
      <c r="E82" s="70">
        <v>0</v>
      </c>
      <c r="F82" s="70">
        <v>0</v>
      </c>
      <c r="G82" s="70">
        <v>0</v>
      </c>
      <c r="H82" s="70">
        <v>0</v>
      </c>
      <c r="I82" s="70">
        <v>0</v>
      </c>
      <c r="J82" s="70">
        <v>93.1</v>
      </c>
      <c r="K82" s="70">
        <v>95.5</v>
      </c>
      <c r="L82" s="70">
        <v>98.9</v>
      </c>
      <c r="M82" s="70">
        <v>97.5</v>
      </c>
      <c r="N82" s="70">
        <v>110</v>
      </c>
      <c r="O82" s="70">
        <v>114.2</v>
      </c>
      <c r="P82" s="70">
        <v>91</v>
      </c>
      <c r="Q82" s="70">
        <v>91.1</v>
      </c>
      <c r="R82" s="70">
        <v>83.2</v>
      </c>
      <c r="S82" s="70">
        <v>93.1</v>
      </c>
      <c r="T82" s="70">
        <v>90</v>
      </c>
      <c r="U82" s="70">
        <v>91.8</v>
      </c>
      <c r="V82" s="70">
        <v>102</v>
      </c>
      <c r="W82" s="70">
        <v>109.4</v>
      </c>
      <c r="X82" s="70">
        <v>115</v>
      </c>
      <c r="Y82" s="70">
        <v>0</v>
      </c>
      <c r="Z82" s="70">
        <v>0</v>
      </c>
      <c r="AA82" s="70">
        <v>0</v>
      </c>
      <c r="AB82" s="70">
        <v>0</v>
      </c>
      <c r="AC82" s="70"/>
      <c r="AD82" s="70"/>
      <c r="AE82" s="70"/>
      <c r="AF82" s="70"/>
      <c r="AG82" s="86"/>
      <c r="AH82" s="12">
        <f t="shared" ref="AH82:AH125" si="55">MAX(B82:AF82)</f>
        <v>115</v>
      </c>
      <c r="AI82" s="11">
        <f t="shared" ref="AI82:AI125" si="56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25">
      <c r="A83" s="87" t="s">
        <v>181</v>
      </c>
      <c r="B83" s="70">
        <v>122</v>
      </c>
      <c r="C83" s="70">
        <v>31.1</v>
      </c>
      <c r="D83" s="70">
        <v>50</v>
      </c>
      <c r="E83" s="70">
        <v>20.7</v>
      </c>
      <c r="F83" s="70">
        <v>46.5</v>
      </c>
      <c r="G83" s="70">
        <v>52.4</v>
      </c>
      <c r="H83" s="70">
        <v>58.9</v>
      </c>
      <c r="I83" s="70">
        <v>39.5</v>
      </c>
      <c r="J83" s="70">
        <v>253.2</v>
      </c>
      <c r="K83" s="70">
        <v>418.8</v>
      </c>
      <c r="L83" s="70">
        <v>452.4</v>
      </c>
      <c r="M83" s="70">
        <v>412</v>
      </c>
      <c r="N83" s="70">
        <v>390</v>
      </c>
      <c r="O83" s="70">
        <v>415</v>
      </c>
      <c r="P83" s="70">
        <v>430.6</v>
      </c>
      <c r="Q83" s="70">
        <v>451.7</v>
      </c>
      <c r="R83" s="70">
        <v>450.3</v>
      </c>
      <c r="S83" s="70">
        <v>456</v>
      </c>
      <c r="T83" s="70">
        <v>461</v>
      </c>
      <c r="U83" s="70">
        <v>419</v>
      </c>
      <c r="V83" s="70">
        <v>382</v>
      </c>
      <c r="W83" s="70">
        <v>390</v>
      </c>
      <c r="X83" s="70">
        <v>334</v>
      </c>
      <c r="Y83" s="70">
        <v>3</v>
      </c>
      <c r="Z83" s="70">
        <v>111</v>
      </c>
      <c r="AA83" s="70">
        <v>10</v>
      </c>
      <c r="AB83" s="70">
        <v>55</v>
      </c>
      <c r="AC83" s="70">
        <v>37.700000000000003</v>
      </c>
      <c r="AD83" s="70">
        <v>46.3</v>
      </c>
      <c r="AE83" s="70">
        <v>50.8</v>
      </c>
      <c r="AF83" s="70">
        <v>20</v>
      </c>
      <c r="AG83" s="96"/>
      <c r="AH83" s="12">
        <f t="shared" si="55"/>
        <v>461</v>
      </c>
      <c r="AI83" s="11">
        <f t="shared" si="56"/>
        <v>3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25">
      <c r="A84" s="87" t="s">
        <v>161</v>
      </c>
      <c r="B84" s="85">
        <v>0</v>
      </c>
      <c r="C84" s="85">
        <v>0</v>
      </c>
      <c r="D84" s="70">
        <v>0</v>
      </c>
      <c r="E84" s="70">
        <v>0</v>
      </c>
      <c r="F84" s="70">
        <v>0</v>
      </c>
      <c r="G84" s="70">
        <v>0</v>
      </c>
      <c r="H84" s="70">
        <v>0</v>
      </c>
      <c r="I84" s="70">
        <v>0</v>
      </c>
      <c r="J84" s="70">
        <v>46.3</v>
      </c>
      <c r="K84" s="70">
        <v>47.7</v>
      </c>
      <c r="L84" s="70">
        <v>25.8</v>
      </c>
      <c r="M84" s="85">
        <v>48.2</v>
      </c>
      <c r="N84" s="85">
        <v>47.3</v>
      </c>
      <c r="O84" s="85">
        <v>7</v>
      </c>
      <c r="P84" s="85">
        <v>6.5</v>
      </c>
      <c r="Q84" s="85">
        <v>6.3</v>
      </c>
      <c r="R84" s="85">
        <v>6.4</v>
      </c>
      <c r="S84" s="85">
        <v>7.7</v>
      </c>
      <c r="T84" s="85">
        <v>7.2</v>
      </c>
      <c r="U84" s="85">
        <v>10</v>
      </c>
      <c r="V84" s="85">
        <v>11.3</v>
      </c>
      <c r="W84" s="85">
        <v>8.9</v>
      </c>
      <c r="X84" s="85">
        <v>9</v>
      </c>
      <c r="Y84" s="85">
        <v>11.1</v>
      </c>
      <c r="Z84" s="85">
        <v>0</v>
      </c>
      <c r="AA84" s="85">
        <v>0</v>
      </c>
      <c r="AB84" s="85"/>
      <c r="AC84" s="85"/>
      <c r="AD84" s="85"/>
      <c r="AE84" s="85"/>
      <c r="AF84" s="85"/>
      <c r="AG84" s="96"/>
      <c r="AH84" s="12">
        <f t="shared" si="55"/>
        <v>48.2</v>
      </c>
      <c r="AI84" s="11">
        <f t="shared" si="56"/>
        <v>0</v>
      </c>
      <c r="AK84" s="19"/>
      <c r="AY84" s="78"/>
      <c r="BF84" s="83"/>
      <c r="BG84" s="78">
        <f t="array" ref="BG84:BL107">TRANSPOSE(AZ68:BW73)</f>
        <v>16</v>
      </c>
      <c r="BH84" s="78">
        <v>0</v>
      </c>
      <c r="BI84" s="78">
        <v>31</v>
      </c>
      <c r="BJ84" s="78">
        <v>0</v>
      </c>
      <c r="BK84" s="78">
        <v>0</v>
      </c>
      <c r="BL84" s="78">
        <v>46</v>
      </c>
    </row>
    <row r="85" spans="1:64" x14ac:dyDescent="0.25">
      <c r="A85" s="87" t="s">
        <v>180</v>
      </c>
      <c r="B85" s="102">
        <v>0</v>
      </c>
      <c r="C85" s="102">
        <v>0</v>
      </c>
      <c r="D85" s="102">
        <v>0</v>
      </c>
      <c r="E85" s="102">
        <v>0</v>
      </c>
      <c r="F85" s="102">
        <v>0</v>
      </c>
      <c r="G85" s="102">
        <v>0</v>
      </c>
      <c r="H85" s="102">
        <v>0</v>
      </c>
      <c r="I85" s="102">
        <v>0</v>
      </c>
      <c r="J85" s="102">
        <v>83.5</v>
      </c>
      <c r="K85" s="102">
        <v>126.5</v>
      </c>
      <c r="L85" s="102">
        <v>136.80000000000001</v>
      </c>
      <c r="M85" s="102">
        <v>129.19999999999999</v>
      </c>
      <c r="N85" s="102">
        <v>120.9</v>
      </c>
      <c r="O85" s="102">
        <v>125</v>
      </c>
      <c r="P85" s="102">
        <v>127.1</v>
      </c>
      <c r="Q85" s="102">
        <v>135</v>
      </c>
      <c r="R85" s="102">
        <v>135</v>
      </c>
      <c r="S85" s="102">
        <v>134</v>
      </c>
      <c r="T85" s="102">
        <v>121.7</v>
      </c>
      <c r="U85" s="102">
        <v>125.9</v>
      </c>
      <c r="V85" s="102">
        <v>100.5</v>
      </c>
      <c r="W85" s="102">
        <v>99</v>
      </c>
      <c r="X85" s="102">
        <v>75</v>
      </c>
      <c r="Y85" s="102">
        <v>0</v>
      </c>
      <c r="Z85" s="102">
        <v>0</v>
      </c>
      <c r="AA85" s="102">
        <v>0</v>
      </c>
      <c r="AB85" s="102"/>
      <c r="AC85" s="102"/>
      <c r="AD85" s="102"/>
      <c r="AE85" s="102"/>
      <c r="AF85" s="102"/>
      <c r="AG85" s="96"/>
      <c r="AH85" s="12">
        <f t="shared" si="55"/>
        <v>136.80000000000001</v>
      </c>
      <c r="AI85" s="11">
        <f t="shared" si="56"/>
        <v>0</v>
      </c>
      <c r="AK85" s="19"/>
      <c r="AY85" s="78"/>
      <c r="BF85" s="83"/>
      <c r="BG85" s="78">
        <v>18.899999999999999</v>
      </c>
      <c r="BH85" s="78">
        <v>0</v>
      </c>
      <c r="BI85" s="78">
        <v>50</v>
      </c>
      <c r="BJ85" s="78">
        <v>0</v>
      </c>
      <c r="BK85" s="78">
        <v>0</v>
      </c>
      <c r="BL85" s="78">
        <v>45.7</v>
      </c>
    </row>
    <row r="86" spans="1:64" x14ac:dyDescent="0.25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55"/>
        <v>0</v>
      </c>
      <c r="AI86" s="11">
        <f t="shared" si="56"/>
        <v>0</v>
      </c>
      <c r="AK86" s="19"/>
      <c r="AY86" s="78"/>
      <c r="BF86" s="83"/>
      <c r="BG86" s="78">
        <v>18.600000000000001</v>
      </c>
      <c r="BH86" s="78">
        <v>0</v>
      </c>
      <c r="BI86" s="78">
        <v>20.7</v>
      </c>
      <c r="BJ86" s="78">
        <v>0</v>
      </c>
      <c r="BK86" s="78">
        <v>0</v>
      </c>
      <c r="BL86" s="78">
        <v>48.1</v>
      </c>
    </row>
    <row r="87" spans="1:64" ht="15.75" thickBot="1" x14ac:dyDescent="0.3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55"/>
        <v>0</v>
      </c>
      <c r="AI87" s="11">
        <f t="shared" si="56"/>
        <v>0</v>
      </c>
      <c r="AK87" s="19"/>
      <c r="AL87" s="108" t="s">
        <v>177</v>
      </c>
      <c r="AM87" s="108"/>
      <c r="AY87" s="78"/>
      <c r="BF87" s="78"/>
      <c r="BG87" s="78">
        <v>12.8</v>
      </c>
      <c r="BH87" s="78">
        <v>0</v>
      </c>
      <c r="BI87" s="78">
        <v>46.5</v>
      </c>
      <c r="BJ87" s="78">
        <v>0</v>
      </c>
      <c r="BK87" s="78">
        <v>0</v>
      </c>
      <c r="BL87" s="78">
        <v>47.9</v>
      </c>
    </row>
    <row r="88" spans="1:64" x14ac:dyDescent="0.25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55"/>
        <v>0</v>
      </c>
      <c r="AI88" s="11">
        <f t="shared" si="56"/>
        <v>0</v>
      </c>
      <c r="AK88" s="107"/>
      <c r="AL88" s="106"/>
      <c r="AM88" s="106"/>
      <c r="AN88" s="105"/>
      <c r="AY88" s="78"/>
      <c r="BF88" s="78"/>
      <c r="BG88" s="78">
        <v>13.9</v>
      </c>
      <c r="BH88" s="78">
        <v>0</v>
      </c>
      <c r="BI88" s="78">
        <v>52.4</v>
      </c>
      <c r="BJ88" s="78">
        <v>0</v>
      </c>
      <c r="BK88" s="78">
        <v>0</v>
      </c>
      <c r="BL88" s="78">
        <v>46.2</v>
      </c>
    </row>
    <row r="89" spans="1:64" x14ac:dyDescent="0.25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55"/>
        <v>0</v>
      </c>
      <c r="AI89" s="11">
        <f t="shared" si="56"/>
        <v>0</v>
      </c>
      <c r="AK89" s="104" t="s">
        <v>174</v>
      </c>
      <c r="AL89" s="70"/>
      <c r="AM89" s="85"/>
      <c r="AN89" s="103"/>
      <c r="AY89" s="78"/>
      <c r="BF89" s="78"/>
      <c r="BG89" s="78">
        <v>18.100000000000001</v>
      </c>
      <c r="BH89" s="78">
        <v>0</v>
      </c>
      <c r="BI89" s="78">
        <v>39.5</v>
      </c>
      <c r="BJ89" s="78">
        <v>0</v>
      </c>
      <c r="BK89" s="78">
        <v>0</v>
      </c>
      <c r="BL89" s="78">
        <v>43.9</v>
      </c>
    </row>
    <row r="90" spans="1:64" x14ac:dyDescent="0.25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55"/>
        <v>0</v>
      </c>
      <c r="AI90" s="11">
        <f t="shared" si="56"/>
        <v>0</v>
      </c>
      <c r="AK90" s="104" t="s">
        <v>172</v>
      </c>
      <c r="AL90" s="85"/>
      <c r="AM90" s="85"/>
      <c r="AN90" s="103"/>
      <c r="AY90" s="78"/>
      <c r="BF90" s="78"/>
      <c r="BG90" s="78">
        <v>35.299999999999997</v>
      </c>
      <c r="BH90" s="78">
        <v>95.5</v>
      </c>
      <c r="BI90" s="78">
        <v>418.8</v>
      </c>
      <c r="BJ90" s="78">
        <v>47.7</v>
      </c>
      <c r="BK90" s="78">
        <v>126.5</v>
      </c>
      <c r="BL90" s="78">
        <v>52.4</v>
      </c>
    </row>
    <row r="91" spans="1:64" ht="15.75" thickBot="1" x14ac:dyDescent="0.3">
      <c r="A91" s="82" t="s">
        <v>171</v>
      </c>
      <c r="B91" s="97">
        <v>47.8</v>
      </c>
      <c r="C91" s="97">
        <v>46</v>
      </c>
      <c r="D91" s="97">
        <v>45.7</v>
      </c>
      <c r="E91" s="97">
        <v>48.1</v>
      </c>
      <c r="F91" s="97">
        <v>47.9</v>
      </c>
      <c r="G91" s="97">
        <v>46.2</v>
      </c>
      <c r="H91" s="97">
        <v>43.7</v>
      </c>
      <c r="I91" s="97">
        <v>43.9</v>
      </c>
      <c r="J91" s="97">
        <v>50.4</v>
      </c>
      <c r="K91" s="97">
        <v>52.4</v>
      </c>
      <c r="L91" s="97">
        <v>53</v>
      </c>
      <c r="M91" s="97">
        <v>56</v>
      </c>
      <c r="N91" s="97">
        <v>51.5</v>
      </c>
      <c r="O91" s="97">
        <v>46.7</v>
      </c>
      <c r="P91" s="97">
        <v>43.7</v>
      </c>
      <c r="Q91" s="97">
        <v>49.9</v>
      </c>
      <c r="R91" s="97">
        <v>52.1</v>
      </c>
      <c r="S91" s="97">
        <v>52</v>
      </c>
      <c r="T91" s="97">
        <v>53.5</v>
      </c>
      <c r="U91" s="97">
        <v>53.2</v>
      </c>
      <c r="V91" s="97">
        <v>52</v>
      </c>
      <c r="W91" s="97">
        <v>44.6</v>
      </c>
      <c r="X91" s="97">
        <v>42.4</v>
      </c>
      <c r="Y91" s="97">
        <v>42.1</v>
      </c>
      <c r="Z91" s="97">
        <v>43.6</v>
      </c>
      <c r="AA91" s="97">
        <v>43.3</v>
      </c>
      <c r="AB91" s="97">
        <v>43.1</v>
      </c>
      <c r="AC91" s="97">
        <v>44.2</v>
      </c>
      <c r="AD91" s="97">
        <v>44.8</v>
      </c>
      <c r="AE91" s="97">
        <v>45.8</v>
      </c>
      <c r="AF91" s="97">
        <v>48.6</v>
      </c>
      <c r="AG91" s="80"/>
      <c r="AH91" s="12">
        <f t="shared" si="55"/>
        <v>56</v>
      </c>
      <c r="AI91" s="11">
        <f t="shared" si="56"/>
        <v>42.1</v>
      </c>
      <c r="AK91" s="98"/>
      <c r="AL91" s="102"/>
      <c r="AM91" s="102"/>
      <c r="AN91" s="101"/>
      <c r="AY91" s="78"/>
      <c r="BF91" s="78"/>
      <c r="BG91" s="78">
        <v>47</v>
      </c>
      <c r="BH91" s="78">
        <v>97.5</v>
      </c>
      <c r="BI91" s="78">
        <v>412</v>
      </c>
      <c r="BJ91" s="78">
        <v>48.2</v>
      </c>
      <c r="BK91" s="78">
        <v>129.19999999999999</v>
      </c>
      <c r="BL91" s="78">
        <v>56</v>
      </c>
    </row>
    <row r="92" spans="1:64" ht="15.75" thickBot="1" x14ac:dyDescent="0.3">
      <c r="A92" s="77" t="s">
        <v>170</v>
      </c>
      <c r="B92" s="76">
        <f t="shared" ref="B92:C92" si="57">SUMIF(B81:B91,"&gt;0")</f>
        <v>185.8</v>
      </c>
      <c r="C92" s="76">
        <f t="shared" si="57"/>
        <v>92.9</v>
      </c>
      <c r="D92" s="76">
        <f t="shared" ref="D92:AF92" si="58">SUMIF(D81:D91,"&gt;0")</f>
        <v>114.60000000000001</v>
      </c>
      <c r="E92" s="76">
        <f t="shared" ref="E92:F92" si="59">SUMIF(E81:E91,"&gt;0")</f>
        <v>87.4</v>
      </c>
      <c r="F92" s="76">
        <f t="shared" si="59"/>
        <v>107.19999999999999</v>
      </c>
      <c r="G92" s="76">
        <f t="shared" ref="G92:H92" si="60">SUMIF(G81:G91,"&gt;0")</f>
        <v>112.5</v>
      </c>
      <c r="H92" s="76">
        <f t="shared" si="60"/>
        <v>118.8</v>
      </c>
      <c r="I92" s="76">
        <f t="shared" ref="I92:J92" si="61">SUMIF(I81:I91,"&gt;0")</f>
        <v>101.5</v>
      </c>
      <c r="J92" s="76">
        <f t="shared" si="61"/>
        <v>563.99999999999989</v>
      </c>
      <c r="K92" s="76">
        <f t="shared" ref="K92:L92" si="62">SUMIF(K81:K91,"&gt;0")</f>
        <v>776.2</v>
      </c>
      <c r="L92" s="76">
        <f t="shared" si="62"/>
        <v>803</v>
      </c>
      <c r="M92" s="76">
        <f t="shared" si="58"/>
        <v>789.90000000000009</v>
      </c>
      <c r="N92" s="76">
        <f t="shared" si="58"/>
        <v>773.69999999999993</v>
      </c>
      <c r="O92" s="76">
        <f t="shared" si="58"/>
        <v>772.90000000000009</v>
      </c>
      <c r="P92" s="76">
        <f t="shared" si="58"/>
        <v>760.90000000000009</v>
      </c>
      <c r="Q92" s="76">
        <f t="shared" si="58"/>
        <v>797.79999999999984</v>
      </c>
      <c r="R92" s="76">
        <f t="shared" si="58"/>
        <v>795.7</v>
      </c>
      <c r="S92" s="76">
        <f t="shared" si="58"/>
        <v>812.2</v>
      </c>
      <c r="T92" s="76">
        <f t="shared" si="58"/>
        <v>798.30000000000007</v>
      </c>
      <c r="U92" s="76">
        <f t="shared" si="58"/>
        <v>769.2</v>
      </c>
      <c r="V92" s="76">
        <f t="shared" si="58"/>
        <v>702.09999999999991</v>
      </c>
      <c r="W92" s="76">
        <f t="shared" si="58"/>
        <v>706.5</v>
      </c>
      <c r="X92" s="76">
        <f t="shared" si="58"/>
        <v>636</v>
      </c>
      <c r="Y92" s="76">
        <f t="shared" si="58"/>
        <v>80</v>
      </c>
      <c r="Z92" s="76">
        <f t="shared" si="58"/>
        <v>166.6</v>
      </c>
      <c r="AA92" s="76">
        <f t="shared" si="58"/>
        <v>73.900000000000006</v>
      </c>
      <c r="AB92" s="76">
        <f>SUMIF(AB81:AB91,"&gt;0")</f>
        <v>121.19999999999999</v>
      </c>
      <c r="AC92" s="76">
        <f t="shared" si="58"/>
        <v>107.10000000000001</v>
      </c>
      <c r="AD92" s="76">
        <f t="shared" si="58"/>
        <v>113.39999999999999</v>
      </c>
      <c r="AE92" s="76">
        <f t="shared" si="58"/>
        <v>125.8</v>
      </c>
      <c r="AF92" s="76">
        <f t="shared" si="58"/>
        <v>93.800000000000011</v>
      </c>
      <c r="AG92" s="75">
        <f>SUM(AG81:AG91)</f>
        <v>0</v>
      </c>
      <c r="AH92" s="12">
        <f t="shared" si="55"/>
        <v>812.2</v>
      </c>
      <c r="AI92" s="11">
        <f t="shared" si="56"/>
        <v>73.900000000000006</v>
      </c>
      <c r="AK92" s="98"/>
      <c r="AL92" s="97"/>
      <c r="AM92" s="100"/>
      <c r="AN92" s="220"/>
      <c r="AY92" s="78"/>
      <c r="BF92" s="78"/>
      <c r="BG92" s="78">
        <v>54</v>
      </c>
      <c r="BH92" s="78">
        <v>110</v>
      </c>
      <c r="BI92" s="78">
        <v>390</v>
      </c>
      <c r="BJ92" s="78">
        <v>47.3</v>
      </c>
      <c r="BK92" s="78">
        <v>120.9</v>
      </c>
      <c r="BL92" s="78">
        <v>51.5</v>
      </c>
    </row>
    <row r="93" spans="1:64" x14ac:dyDescent="0.25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55"/>
        <v>0</v>
      </c>
      <c r="AI93" s="11">
        <f t="shared" si="56"/>
        <v>0</v>
      </c>
      <c r="AK93" s="98"/>
      <c r="AL93" s="97"/>
      <c r="AM93" s="97"/>
      <c r="AN93" s="221"/>
      <c r="BF93" s="78"/>
      <c r="BG93" s="78">
        <v>65</v>
      </c>
      <c r="BH93" s="78">
        <v>114.2</v>
      </c>
      <c r="BI93" s="78">
        <v>415</v>
      </c>
      <c r="BJ93" s="78">
        <v>7</v>
      </c>
      <c r="BK93" s="78">
        <v>125</v>
      </c>
      <c r="BL93" s="78">
        <v>46.7</v>
      </c>
    </row>
    <row r="94" spans="1:64" ht="15.75" thickBot="1" x14ac:dyDescent="0.3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55"/>
        <v>0</v>
      </c>
      <c r="AI94" s="11">
        <f t="shared" si="56"/>
        <v>0</v>
      </c>
      <c r="AK94" s="95"/>
      <c r="AL94" s="67"/>
      <c r="AM94" s="67"/>
      <c r="AN94" s="94"/>
      <c r="BF94" s="78"/>
      <c r="BG94" s="78">
        <v>62</v>
      </c>
      <c r="BH94" s="78">
        <v>91</v>
      </c>
      <c r="BI94" s="78">
        <v>430.6</v>
      </c>
      <c r="BJ94" s="78">
        <v>6.5</v>
      </c>
      <c r="BK94" s="78">
        <v>127.1</v>
      </c>
      <c r="BL94" s="78">
        <v>43.7</v>
      </c>
    </row>
    <row r="95" spans="1:64" ht="15.75" thickBot="1" x14ac:dyDescent="0.3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55"/>
        <v>0</v>
      </c>
      <c r="AI95" s="11">
        <f t="shared" si="56"/>
        <v>0</v>
      </c>
      <c r="BF95" s="78"/>
      <c r="BG95" s="78">
        <v>63.8</v>
      </c>
      <c r="BH95" s="78">
        <v>91.1</v>
      </c>
      <c r="BI95" s="78">
        <v>451.7</v>
      </c>
      <c r="BJ95" s="78">
        <v>6.3</v>
      </c>
      <c r="BK95" s="78">
        <v>135</v>
      </c>
      <c r="BL95" s="78">
        <v>49.9</v>
      </c>
    </row>
    <row r="96" spans="1:64" ht="15.75" thickBot="1" x14ac:dyDescent="0.3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>
        <v>0</v>
      </c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55"/>
        <v>0</v>
      </c>
      <c r="AI96" s="11">
        <f t="shared" si="56"/>
        <v>0</v>
      </c>
      <c r="BF96" s="78"/>
      <c r="BG96" s="78">
        <v>68.7</v>
      </c>
      <c r="BH96" s="78">
        <v>83.2</v>
      </c>
      <c r="BI96" s="78">
        <v>450.3</v>
      </c>
      <c r="BJ96" s="78">
        <v>6.4</v>
      </c>
      <c r="BK96" s="78">
        <v>135</v>
      </c>
      <c r="BL96" s="78">
        <v>52.1</v>
      </c>
    </row>
    <row r="97" spans="1:64" ht="15.75" thickBot="1" x14ac:dyDescent="0.3">
      <c r="A97" s="77" t="s">
        <v>165</v>
      </c>
      <c r="B97" s="90">
        <f t="shared" ref="B97:C97" si="63">B58+B62+B80+B76+B92+B96</f>
        <v>1199.6400000000001</v>
      </c>
      <c r="C97" s="90">
        <f t="shared" si="63"/>
        <v>1145.44</v>
      </c>
      <c r="D97" s="90">
        <f t="shared" ref="D97:AG97" si="64">D58+D62+D80+D76+D92+D96</f>
        <v>1127.0399999999997</v>
      </c>
      <c r="E97" s="90">
        <f t="shared" ref="E97:F97" si="65">E58+E62+E80+E76+E92+E96</f>
        <v>1113.44</v>
      </c>
      <c r="F97" s="90">
        <f t="shared" si="65"/>
        <v>1121.2399999999998</v>
      </c>
      <c r="G97" s="90">
        <f t="shared" ref="G97:H97" si="66">G58+G62+G80+G76+G92+G96</f>
        <v>1138.54</v>
      </c>
      <c r="H97" s="90">
        <f t="shared" si="66"/>
        <v>1145.6399999999999</v>
      </c>
      <c r="I97" s="90">
        <f t="shared" ref="I97:J97" si="67">I58+I62+I80+I76+I92+I96</f>
        <v>1228.3399999999999</v>
      </c>
      <c r="J97" s="90">
        <f t="shared" si="67"/>
        <v>1464.1899999999996</v>
      </c>
      <c r="K97" s="90">
        <f t="shared" ref="K97:L97" si="68">K58+K62+K80+K76+K92+K96</f>
        <v>1598.7399999999998</v>
      </c>
      <c r="L97" s="90">
        <f t="shared" si="68"/>
        <v>1597.04</v>
      </c>
      <c r="M97" s="90">
        <f t="shared" si="64"/>
        <v>1622.1399999999999</v>
      </c>
      <c r="N97" s="90">
        <f t="shared" si="64"/>
        <v>1639.2399999999998</v>
      </c>
      <c r="O97" s="90">
        <f t="shared" si="64"/>
        <v>1595.6399999999999</v>
      </c>
      <c r="P97" s="90">
        <f t="shared" si="64"/>
        <v>1565.34</v>
      </c>
      <c r="Q97" s="90">
        <f t="shared" si="64"/>
        <v>1612.7399999999998</v>
      </c>
      <c r="R97" s="90">
        <f t="shared" si="64"/>
        <v>1614.1399999999999</v>
      </c>
      <c r="S97" s="90">
        <f t="shared" si="64"/>
        <v>1655.6399999999999</v>
      </c>
      <c r="T97" s="90">
        <f t="shared" si="64"/>
        <v>1633.7400000000002</v>
      </c>
      <c r="U97" s="90">
        <f t="shared" si="64"/>
        <v>1606.34</v>
      </c>
      <c r="V97" s="90">
        <f t="shared" si="64"/>
        <v>1543.34</v>
      </c>
      <c r="W97" s="90">
        <f t="shared" si="64"/>
        <v>1540.34</v>
      </c>
      <c r="X97" s="90">
        <f t="shared" si="64"/>
        <v>1492.94</v>
      </c>
      <c r="Y97" s="90">
        <f t="shared" si="64"/>
        <v>1507.7999999999997</v>
      </c>
      <c r="Z97" s="90">
        <f t="shared" si="64"/>
        <v>1638.0999999999997</v>
      </c>
      <c r="AA97" s="90">
        <f t="shared" si="64"/>
        <v>1610.04</v>
      </c>
      <c r="AB97" s="90">
        <f>AB58+AB62+AB80+AB76+AB92+AB96</f>
        <v>1577.34</v>
      </c>
      <c r="AC97" s="90">
        <f t="shared" si="64"/>
        <v>1558.2399999999998</v>
      </c>
      <c r="AD97" s="90">
        <f t="shared" si="64"/>
        <v>1480.04</v>
      </c>
      <c r="AE97" s="90">
        <f t="shared" si="64"/>
        <v>1400.34</v>
      </c>
      <c r="AF97" s="90">
        <f t="shared" si="64"/>
        <v>1304.8399999999999</v>
      </c>
      <c r="AG97" s="93">
        <f t="shared" si="64"/>
        <v>2231.81</v>
      </c>
      <c r="AH97" s="12">
        <f t="shared" si="55"/>
        <v>1655.6399999999999</v>
      </c>
      <c r="AI97" s="11">
        <f t="shared" si="56"/>
        <v>1113.44</v>
      </c>
      <c r="BF97" s="78"/>
      <c r="BG97" s="78">
        <v>69.400000000000006</v>
      </c>
      <c r="BH97" s="78">
        <v>93.1</v>
      </c>
      <c r="BI97" s="78">
        <v>456</v>
      </c>
      <c r="BJ97" s="78">
        <v>7.7</v>
      </c>
      <c r="BK97" s="78">
        <v>134</v>
      </c>
      <c r="BL97" s="78">
        <v>52</v>
      </c>
    </row>
    <row r="98" spans="1:64" ht="15.75" thickBot="1" x14ac:dyDescent="0.3">
      <c r="A98" s="92" t="s">
        <v>164</v>
      </c>
      <c r="B98" s="91">
        <v>350</v>
      </c>
      <c r="C98" s="91">
        <v>350</v>
      </c>
      <c r="D98" s="91">
        <v>350</v>
      </c>
      <c r="E98" s="91">
        <v>350</v>
      </c>
      <c r="F98" s="91">
        <v>350</v>
      </c>
      <c r="G98" s="91">
        <v>350</v>
      </c>
      <c r="H98" s="91">
        <v>330</v>
      </c>
      <c r="I98" s="91">
        <v>331</v>
      </c>
      <c r="J98" s="91">
        <v>0</v>
      </c>
      <c r="K98" s="91">
        <v>0</v>
      </c>
      <c r="L98" s="91">
        <v>0</v>
      </c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>
        <v>200</v>
      </c>
      <c r="Z98" s="91">
        <v>250</v>
      </c>
      <c r="AA98" s="91">
        <v>250</v>
      </c>
      <c r="AB98" s="91">
        <v>250</v>
      </c>
      <c r="AC98" s="91">
        <v>250</v>
      </c>
      <c r="AD98" s="91">
        <v>250</v>
      </c>
      <c r="AE98" s="91">
        <v>250</v>
      </c>
      <c r="AF98" s="91">
        <v>250</v>
      </c>
      <c r="AG98" s="75"/>
      <c r="AH98" s="12">
        <f t="shared" si="55"/>
        <v>350</v>
      </c>
      <c r="AI98" s="11">
        <f t="shared" si="56"/>
        <v>0</v>
      </c>
      <c r="BF98" s="78"/>
      <c r="BG98" s="78">
        <v>64.900000000000006</v>
      </c>
      <c r="BH98" s="78">
        <v>90</v>
      </c>
      <c r="BI98" s="78">
        <v>461</v>
      </c>
      <c r="BJ98" s="78">
        <v>7.2</v>
      </c>
      <c r="BK98" s="78">
        <v>121.7</v>
      </c>
      <c r="BL98" s="78">
        <v>53.5</v>
      </c>
    </row>
    <row r="99" spans="1:64" ht="15.75" thickBot="1" x14ac:dyDescent="0.3">
      <c r="A99" s="77" t="s">
        <v>163</v>
      </c>
      <c r="B99" s="90">
        <f t="shared" ref="B99:C99" si="69">B97+B98</f>
        <v>1549.64</v>
      </c>
      <c r="C99" s="90">
        <f t="shared" si="69"/>
        <v>1495.44</v>
      </c>
      <c r="D99" s="90">
        <f t="shared" ref="D99:AF99" si="70">D97+D98</f>
        <v>1477.0399999999997</v>
      </c>
      <c r="E99" s="90">
        <f t="shared" ref="E99:F99" si="71">E97+E98</f>
        <v>1463.44</v>
      </c>
      <c r="F99" s="90">
        <f t="shared" si="71"/>
        <v>1471.2399999999998</v>
      </c>
      <c r="G99" s="90">
        <f t="shared" ref="G99:H99" si="72">G97+G98</f>
        <v>1488.54</v>
      </c>
      <c r="H99" s="90">
        <f t="shared" si="72"/>
        <v>1475.6399999999999</v>
      </c>
      <c r="I99" s="90">
        <f t="shared" ref="I99:J99" si="73">I97+I98</f>
        <v>1559.34</v>
      </c>
      <c r="J99" s="90">
        <f t="shared" si="73"/>
        <v>1464.1899999999996</v>
      </c>
      <c r="K99" s="90">
        <f t="shared" ref="K99:L99" si="74">K97+K98</f>
        <v>1598.7399999999998</v>
      </c>
      <c r="L99" s="90">
        <f t="shared" si="74"/>
        <v>1597.04</v>
      </c>
      <c r="M99" s="90">
        <f t="shared" si="70"/>
        <v>1622.1399999999999</v>
      </c>
      <c r="N99" s="90">
        <f t="shared" si="70"/>
        <v>1639.2399999999998</v>
      </c>
      <c r="O99" s="90">
        <f t="shared" si="70"/>
        <v>1595.6399999999999</v>
      </c>
      <c r="P99" s="90">
        <f t="shared" si="70"/>
        <v>1565.34</v>
      </c>
      <c r="Q99" s="90">
        <f t="shared" si="70"/>
        <v>1612.7399999999998</v>
      </c>
      <c r="R99" s="90">
        <f t="shared" si="70"/>
        <v>1614.1399999999999</v>
      </c>
      <c r="S99" s="90">
        <f t="shared" si="70"/>
        <v>1655.6399999999999</v>
      </c>
      <c r="T99" s="90">
        <f t="shared" si="70"/>
        <v>1633.7400000000002</v>
      </c>
      <c r="U99" s="90">
        <f t="shared" si="70"/>
        <v>1606.34</v>
      </c>
      <c r="V99" s="90">
        <f t="shared" si="70"/>
        <v>1543.34</v>
      </c>
      <c r="W99" s="90">
        <f t="shared" si="70"/>
        <v>1540.34</v>
      </c>
      <c r="X99" s="90">
        <f t="shared" si="70"/>
        <v>1492.94</v>
      </c>
      <c r="Y99" s="90">
        <f t="shared" si="70"/>
        <v>1707.7999999999997</v>
      </c>
      <c r="Z99" s="90">
        <f t="shared" si="70"/>
        <v>1888.0999999999997</v>
      </c>
      <c r="AA99" s="90">
        <f t="shared" si="70"/>
        <v>1860.04</v>
      </c>
      <c r="AB99" s="90">
        <f t="shared" si="70"/>
        <v>1827.34</v>
      </c>
      <c r="AC99" s="90">
        <f t="shared" si="70"/>
        <v>1808.2399999999998</v>
      </c>
      <c r="AD99" s="90">
        <f t="shared" si="70"/>
        <v>1730.04</v>
      </c>
      <c r="AE99" s="90">
        <f t="shared" si="70"/>
        <v>1650.34</v>
      </c>
      <c r="AF99" s="90">
        <f t="shared" si="70"/>
        <v>1554.84</v>
      </c>
      <c r="AG99" s="75">
        <f>AG96+AG92+AG80+AG76+AG58+AG98</f>
        <v>1693.71</v>
      </c>
      <c r="AH99" s="12">
        <f t="shared" si="55"/>
        <v>1888.0999999999997</v>
      </c>
      <c r="AI99" s="11">
        <f t="shared" si="56"/>
        <v>1463.44</v>
      </c>
      <c r="BF99" s="78"/>
      <c r="BG99" s="78">
        <v>69.3</v>
      </c>
      <c r="BH99" s="78">
        <v>91.8</v>
      </c>
      <c r="BI99" s="78">
        <v>419</v>
      </c>
      <c r="BJ99" s="78">
        <v>10</v>
      </c>
      <c r="BK99" s="78">
        <v>125.9</v>
      </c>
      <c r="BL99" s="78">
        <v>53.2</v>
      </c>
    </row>
    <row r="100" spans="1:64" ht="15.75" thickBot="1" x14ac:dyDescent="0.3">
      <c r="A100" s="77" t="s">
        <v>162</v>
      </c>
      <c r="B100" s="90">
        <f t="shared" ref="B100:C100" si="75">B99-(B107)</f>
        <v>1549.64</v>
      </c>
      <c r="C100" s="90">
        <f t="shared" si="75"/>
        <v>1495.44</v>
      </c>
      <c r="D100" s="90">
        <f t="shared" ref="D100:AF100" si="76">D99-(D107)</f>
        <v>1477.0399999999997</v>
      </c>
      <c r="E100" s="90">
        <f t="shared" ref="E100:F100" si="77">E99-(E107)</f>
        <v>1463.44</v>
      </c>
      <c r="F100" s="90">
        <f t="shared" si="77"/>
        <v>1471.2399999999998</v>
      </c>
      <c r="G100" s="90">
        <f t="shared" ref="G100:H100" si="78">G99-(G107)</f>
        <v>1488.54</v>
      </c>
      <c r="H100" s="90">
        <f t="shared" si="78"/>
        <v>1475.6399999999999</v>
      </c>
      <c r="I100" s="90">
        <f t="shared" ref="I100:J100" si="79">I99-(I107)</f>
        <v>1559.34</v>
      </c>
      <c r="J100" s="90">
        <f t="shared" si="79"/>
        <v>1464.1899999999996</v>
      </c>
      <c r="K100" s="90">
        <f t="shared" ref="K100:L100" si="80">K99-(K107)</f>
        <v>1598.7399999999998</v>
      </c>
      <c r="L100" s="90">
        <f t="shared" si="80"/>
        <v>1597.04</v>
      </c>
      <c r="M100" s="90">
        <f t="shared" si="76"/>
        <v>1622.1399999999999</v>
      </c>
      <c r="N100" s="90">
        <f t="shared" si="76"/>
        <v>1639.2399999999998</v>
      </c>
      <c r="O100" s="90">
        <f t="shared" si="76"/>
        <v>1595.6399999999999</v>
      </c>
      <c r="P100" s="90">
        <f t="shared" si="76"/>
        <v>1565.34</v>
      </c>
      <c r="Q100" s="90">
        <f t="shared" si="76"/>
        <v>1612.7399999999998</v>
      </c>
      <c r="R100" s="90">
        <f t="shared" si="76"/>
        <v>1614.1399999999999</v>
      </c>
      <c r="S100" s="90">
        <f t="shared" si="76"/>
        <v>1655.6399999999999</v>
      </c>
      <c r="T100" s="90">
        <f t="shared" si="76"/>
        <v>1633.7400000000002</v>
      </c>
      <c r="U100" s="90">
        <f t="shared" si="76"/>
        <v>1606.34</v>
      </c>
      <c r="V100" s="90">
        <f t="shared" si="76"/>
        <v>1543.34</v>
      </c>
      <c r="W100" s="90">
        <f t="shared" si="76"/>
        <v>1540.34</v>
      </c>
      <c r="X100" s="90">
        <f t="shared" si="76"/>
        <v>1492.94</v>
      </c>
      <c r="Y100" s="90">
        <f t="shared" si="76"/>
        <v>1707.7999999999997</v>
      </c>
      <c r="Z100" s="90">
        <f t="shared" si="76"/>
        <v>1888.0999999999997</v>
      </c>
      <c r="AA100" s="90">
        <f t="shared" si="76"/>
        <v>1860.04</v>
      </c>
      <c r="AB100" s="90">
        <f t="shared" si="76"/>
        <v>1827.34</v>
      </c>
      <c r="AC100" s="90">
        <f t="shared" si="76"/>
        <v>1808.2399999999998</v>
      </c>
      <c r="AD100" s="90">
        <f t="shared" si="76"/>
        <v>1730.04</v>
      </c>
      <c r="AE100" s="90">
        <f t="shared" si="76"/>
        <v>1650.34</v>
      </c>
      <c r="AF100" s="90">
        <f t="shared" si="76"/>
        <v>1554.84</v>
      </c>
      <c r="AG100" s="75"/>
      <c r="AH100" s="12">
        <f t="shared" si="55"/>
        <v>1888.0999999999997</v>
      </c>
      <c r="AI100" s="11">
        <f t="shared" si="56"/>
        <v>1463.44</v>
      </c>
      <c r="BF100" s="78"/>
      <c r="BG100" s="78">
        <v>54.3</v>
      </c>
      <c r="BH100" s="78">
        <v>102</v>
      </c>
      <c r="BI100" s="78">
        <v>382</v>
      </c>
      <c r="BJ100" s="78">
        <v>11.3</v>
      </c>
      <c r="BK100" s="78">
        <v>100.5</v>
      </c>
      <c r="BL100" s="78">
        <v>52</v>
      </c>
    </row>
    <row r="101" spans="1:64" x14ac:dyDescent="0.25">
      <c r="A101" s="89" t="s">
        <v>161</v>
      </c>
      <c r="B101" s="85">
        <f t="shared" ref="B101:C101" si="81">IF(B84&lt;0,B84*-1,0)</f>
        <v>0</v>
      </c>
      <c r="C101" s="85">
        <f t="shared" si="81"/>
        <v>0</v>
      </c>
      <c r="D101" s="85">
        <f t="shared" ref="D101:AF101" si="82">IF(D84&lt;0,D84*-1,0)</f>
        <v>0</v>
      </c>
      <c r="E101" s="85">
        <f t="shared" ref="E101:F101" si="83">IF(E84&lt;0,E84*-1,0)</f>
        <v>0</v>
      </c>
      <c r="F101" s="85">
        <f t="shared" si="83"/>
        <v>0</v>
      </c>
      <c r="G101" s="85">
        <f t="shared" ref="G101:H101" si="84">IF(G84&lt;0,G84*-1,0)</f>
        <v>0</v>
      </c>
      <c r="H101" s="85">
        <f t="shared" si="84"/>
        <v>0</v>
      </c>
      <c r="I101" s="85">
        <f t="shared" ref="I101:J101" si="85">IF(I84&lt;0,I84*-1,0)</f>
        <v>0</v>
      </c>
      <c r="J101" s="85">
        <f t="shared" si="85"/>
        <v>0</v>
      </c>
      <c r="K101" s="85">
        <f t="shared" ref="K101:L101" si="86">IF(K84&lt;0,K84*-1,0)</f>
        <v>0</v>
      </c>
      <c r="L101" s="85">
        <f t="shared" si="86"/>
        <v>0</v>
      </c>
      <c r="M101" s="85">
        <f t="shared" si="82"/>
        <v>0</v>
      </c>
      <c r="N101" s="85">
        <f t="shared" si="82"/>
        <v>0</v>
      </c>
      <c r="O101" s="85">
        <f t="shared" si="82"/>
        <v>0</v>
      </c>
      <c r="P101" s="85">
        <f t="shared" si="82"/>
        <v>0</v>
      </c>
      <c r="Q101" s="85">
        <f t="shared" si="82"/>
        <v>0</v>
      </c>
      <c r="R101" s="85">
        <f t="shared" si="82"/>
        <v>0</v>
      </c>
      <c r="S101" s="85">
        <f t="shared" si="82"/>
        <v>0</v>
      </c>
      <c r="T101" s="85">
        <f t="shared" si="82"/>
        <v>0</v>
      </c>
      <c r="U101" s="85">
        <f t="shared" si="82"/>
        <v>0</v>
      </c>
      <c r="V101" s="85">
        <f t="shared" si="82"/>
        <v>0</v>
      </c>
      <c r="W101" s="85">
        <f t="shared" si="82"/>
        <v>0</v>
      </c>
      <c r="X101" s="85">
        <f t="shared" si="82"/>
        <v>0</v>
      </c>
      <c r="Y101" s="85">
        <f t="shared" si="82"/>
        <v>0</v>
      </c>
      <c r="Z101" s="85">
        <f t="shared" si="82"/>
        <v>0</v>
      </c>
      <c r="AA101" s="85">
        <f t="shared" si="82"/>
        <v>0</v>
      </c>
      <c r="AB101" s="85">
        <f t="shared" si="82"/>
        <v>0</v>
      </c>
      <c r="AC101" s="85">
        <f t="shared" si="82"/>
        <v>0</v>
      </c>
      <c r="AD101" s="85">
        <f t="shared" si="82"/>
        <v>0</v>
      </c>
      <c r="AE101" s="85">
        <f t="shared" si="82"/>
        <v>0</v>
      </c>
      <c r="AF101" s="85">
        <f t="shared" si="82"/>
        <v>0</v>
      </c>
      <c r="AG101" s="88"/>
      <c r="AH101" s="12">
        <f t="shared" si="55"/>
        <v>0</v>
      </c>
      <c r="AI101" s="11">
        <f t="shared" si="56"/>
        <v>0</v>
      </c>
      <c r="BF101" s="83"/>
      <c r="BG101" s="78">
        <v>60.6</v>
      </c>
      <c r="BH101" s="78">
        <v>115</v>
      </c>
      <c r="BI101" s="78">
        <v>334</v>
      </c>
      <c r="BJ101" s="78">
        <v>9</v>
      </c>
      <c r="BK101" s="78">
        <v>75</v>
      </c>
      <c r="BL101" s="78">
        <v>42.4</v>
      </c>
    </row>
    <row r="102" spans="1:64" x14ac:dyDescent="0.25">
      <c r="A102" s="87" t="s">
        <v>160</v>
      </c>
      <c r="B102" s="85">
        <f t="shared" ref="B102:C102" si="87">IF(B82&lt;0,B82*-1,0)</f>
        <v>0</v>
      </c>
      <c r="C102" s="85">
        <f t="shared" si="87"/>
        <v>0</v>
      </c>
      <c r="D102" s="85">
        <f t="shared" ref="D102:AF102" si="88">IF(D82&lt;0,D82*-1,0)</f>
        <v>0</v>
      </c>
      <c r="E102" s="85">
        <f t="shared" ref="E102:F102" si="89">IF(E82&lt;0,E82*-1,0)</f>
        <v>0</v>
      </c>
      <c r="F102" s="85">
        <f t="shared" si="89"/>
        <v>0</v>
      </c>
      <c r="G102" s="85">
        <f t="shared" ref="G102:H102" si="90">IF(G82&lt;0,G82*-1,0)</f>
        <v>0</v>
      </c>
      <c r="H102" s="85">
        <f t="shared" si="90"/>
        <v>0</v>
      </c>
      <c r="I102" s="85">
        <f t="shared" ref="I102:J102" si="91">IF(I82&lt;0,I82*-1,0)</f>
        <v>0</v>
      </c>
      <c r="J102" s="85">
        <f t="shared" si="91"/>
        <v>0</v>
      </c>
      <c r="K102" s="85">
        <f t="shared" ref="K102:L102" si="92">IF(K82&lt;0,K82*-1,0)</f>
        <v>0</v>
      </c>
      <c r="L102" s="85">
        <f t="shared" si="92"/>
        <v>0</v>
      </c>
      <c r="M102" s="85">
        <f t="shared" si="88"/>
        <v>0</v>
      </c>
      <c r="N102" s="85">
        <f t="shared" si="88"/>
        <v>0</v>
      </c>
      <c r="O102" s="85">
        <f t="shared" si="88"/>
        <v>0</v>
      </c>
      <c r="P102" s="85">
        <f t="shared" si="88"/>
        <v>0</v>
      </c>
      <c r="Q102" s="85">
        <f t="shared" si="88"/>
        <v>0</v>
      </c>
      <c r="R102" s="85">
        <f t="shared" si="88"/>
        <v>0</v>
      </c>
      <c r="S102" s="85">
        <f t="shared" si="88"/>
        <v>0</v>
      </c>
      <c r="T102" s="85">
        <f t="shared" si="88"/>
        <v>0</v>
      </c>
      <c r="U102" s="85">
        <f t="shared" si="88"/>
        <v>0</v>
      </c>
      <c r="V102" s="85">
        <f t="shared" si="88"/>
        <v>0</v>
      </c>
      <c r="W102" s="85">
        <f t="shared" si="88"/>
        <v>0</v>
      </c>
      <c r="X102" s="85">
        <f t="shared" si="88"/>
        <v>0</v>
      </c>
      <c r="Y102" s="85">
        <f t="shared" si="88"/>
        <v>0</v>
      </c>
      <c r="Z102" s="85">
        <f t="shared" si="88"/>
        <v>0</v>
      </c>
      <c r="AA102" s="85">
        <f t="shared" si="88"/>
        <v>0</v>
      </c>
      <c r="AB102" s="85">
        <f t="shared" si="88"/>
        <v>0</v>
      </c>
      <c r="AC102" s="85">
        <f t="shared" si="88"/>
        <v>0</v>
      </c>
      <c r="AD102" s="85">
        <f t="shared" si="88"/>
        <v>0</v>
      </c>
      <c r="AE102" s="85">
        <f t="shared" si="88"/>
        <v>0</v>
      </c>
      <c r="AF102" s="85">
        <f t="shared" si="88"/>
        <v>0</v>
      </c>
      <c r="AG102" s="86"/>
      <c r="AH102" s="12">
        <f t="shared" si="55"/>
        <v>0</v>
      </c>
      <c r="AI102" s="11">
        <f t="shared" si="56"/>
        <v>0</v>
      </c>
      <c r="BF102" s="83"/>
      <c r="BG102" s="78">
        <v>12</v>
      </c>
      <c r="BH102" s="78">
        <v>0</v>
      </c>
      <c r="BI102" s="78">
        <v>111</v>
      </c>
      <c r="BJ102" s="78">
        <v>0</v>
      </c>
      <c r="BK102" s="78">
        <v>0</v>
      </c>
      <c r="BL102" s="78">
        <v>43.6</v>
      </c>
    </row>
    <row r="103" spans="1:64" x14ac:dyDescent="0.25">
      <c r="A103" s="82" t="s">
        <v>159</v>
      </c>
      <c r="B103" s="85">
        <f t="shared" ref="B103:C103" si="93">IF(B85&lt;0,B85*-1,0)</f>
        <v>0</v>
      </c>
      <c r="C103" s="85">
        <f t="shared" si="93"/>
        <v>0</v>
      </c>
      <c r="D103" s="85">
        <f t="shared" ref="D103:AF103" si="94">IF(D85&lt;0,D85*-1,0)</f>
        <v>0</v>
      </c>
      <c r="E103" s="85">
        <f t="shared" ref="E103:F103" si="95">IF(E85&lt;0,E85*-1,0)</f>
        <v>0</v>
      </c>
      <c r="F103" s="85">
        <f t="shared" si="95"/>
        <v>0</v>
      </c>
      <c r="G103" s="85">
        <f t="shared" ref="G103:H103" si="96">IF(G85&lt;0,G85*-1,0)</f>
        <v>0</v>
      </c>
      <c r="H103" s="85">
        <f t="shared" si="96"/>
        <v>0</v>
      </c>
      <c r="I103" s="85">
        <f t="shared" ref="I103:J103" si="97">IF(I85&lt;0,I85*-1,0)</f>
        <v>0</v>
      </c>
      <c r="J103" s="85">
        <f t="shared" si="97"/>
        <v>0</v>
      </c>
      <c r="K103" s="85">
        <f t="shared" ref="K103:L103" si="98">IF(K85&lt;0,K85*-1,0)</f>
        <v>0</v>
      </c>
      <c r="L103" s="85">
        <f t="shared" si="98"/>
        <v>0</v>
      </c>
      <c r="M103" s="85">
        <f t="shared" si="94"/>
        <v>0</v>
      </c>
      <c r="N103" s="85">
        <f t="shared" si="94"/>
        <v>0</v>
      </c>
      <c r="O103" s="85">
        <f t="shared" si="94"/>
        <v>0</v>
      </c>
      <c r="P103" s="85">
        <f t="shared" si="94"/>
        <v>0</v>
      </c>
      <c r="Q103" s="85">
        <f t="shared" si="94"/>
        <v>0</v>
      </c>
      <c r="R103" s="85">
        <f t="shared" si="94"/>
        <v>0</v>
      </c>
      <c r="S103" s="85">
        <f t="shared" si="94"/>
        <v>0</v>
      </c>
      <c r="T103" s="85">
        <f t="shared" si="94"/>
        <v>0</v>
      </c>
      <c r="U103" s="85">
        <f t="shared" si="94"/>
        <v>0</v>
      </c>
      <c r="V103" s="85">
        <f t="shared" si="94"/>
        <v>0</v>
      </c>
      <c r="W103" s="85">
        <f t="shared" si="94"/>
        <v>0</v>
      </c>
      <c r="X103" s="85">
        <f t="shared" si="94"/>
        <v>0</v>
      </c>
      <c r="Y103" s="85">
        <f t="shared" si="94"/>
        <v>0</v>
      </c>
      <c r="Z103" s="85">
        <f t="shared" si="94"/>
        <v>0</v>
      </c>
      <c r="AA103" s="85">
        <f t="shared" si="94"/>
        <v>0</v>
      </c>
      <c r="AB103" s="85">
        <f t="shared" si="94"/>
        <v>0</v>
      </c>
      <c r="AC103" s="85">
        <f t="shared" si="94"/>
        <v>0</v>
      </c>
      <c r="AD103" s="85">
        <f t="shared" si="94"/>
        <v>0</v>
      </c>
      <c r="AE103" s="85">
        <f t="shared" si="94"/>
        <v>0</v>
      </c>
      <c r="AF103" s="85">
        <f t="shared" si="94"/>
        <v>0</v>
      </c>
      <c r="AG103" s="84"/>
      <c r="AH103" s="12">
        <f t="shared" si="55"/>
        <v>0</v>
      </c>
      <c r="AI103" s="11">
        <f t="shared" si="56"/>
        <v>0</v>
      </c>
      <c r="BF103" s="83"/>
      <c r="BG103" s="78">
        <v>23.1</v>
      </c>
      <c r="BH103" s="78">
        <v>0</v>
      </c>
      <c r="BI103" s="78">
        <v>55</v>
      </c>
      <c r="BJ103" s="78">
        <v>0</v>
      </c>
      <c r="BK103" s="78">
        <v>0</v>
      </c>
      <c r="BL103" s="78">
        <v>43.1</v>
      </c>
    </row>
    <row r="104" spans="1:64" x14ac:dyDescent="0.25">
      <c r="A104" s="82" t="s">
        <v>158</v>
      </c>
      <c r="B104" s="85">
        <f t="shared" ref="B104:C104" si="99">IF(B83&lt;0,B83*-1,0)</f>
        <v>0</v>
      </c>
      <c r="C104" s="85">
        <f t="shared" si="99"/>
        <v>0</v>
      </c>
      <c r="D104" s="85">
        <f t="shared" ref="D104:AF104" si="100">IF(D83&lt;0,D83*-1,0)</f>
        <v>0</v>
      </c>
      <c r="E104" s="85">
        <f t="shared" ref="E104:F104" si="101">IF(E83&lt;0,E83*-1,0)</f>
        <v>0</v>
      </c>
      <c r="F104" s="85">
        <f t="shared" si="101"/>
        <v>0</v>
      </c>
      <c r="G104" s="85">
        <f t="shared" ref="G104:H104" si="102">IF(G83&lt;0,G83*-1,0)</f>
        <v>0</v>
      </c>
      <c r="H104" s="85">
        <f t="shared" si="102"/>
        <v>0</v>
      </c>
      <c r="I104" s="85">
        <f t="shared" ref="I104:J104" si="103">IF(I83&lt;0,I83*-1,0)</f>
        <v>0</v>
      </c>
      <c r="J104" s="85">
        <f t="shared" si="103"/>
        <v>0</v>
      </c>
      <c r="K104" s="85">
        <f t="shared" ref="K104:L104" si="104">IF(K83&lt;0,K83*-1,0)</f>
        <v>0</v>
      </c>
      <c r="L104" s="85">
        <f t="shared" si="104"/>
        <v>0</v>
      </c>
      <c r="M104" s="85">
        <f t="shared" si="100"/>
        <v>0</v>
      </c>
      <c r="N104" s="85">
        <f t="shared" si="100"/>
        <v>0</v>
      </c>
      <c r="O104" s="85">
        <f t="shared" si="100"/>
        <v>0</v>
      </c>
      <c r="P104" s="85">
        <f t="shared" si="100"/>
        <v>0</v>
      </c>
      <c r="Q104" s="85">
        <f t="shared" si="100"/>
        <v>0</v>
      </c>
      <c r="R104" s="85">
        <f t="shared" si="100"/>
        <v>0</v>
      </c>
      <c r="S104" s="85">
        <f t="shared" si="100"/>
        <v>0</v>
      </c>
      <c r="T104" s="85">
        <f t="shared" si="100"/>
        <v>0</v>
      </c>
      <c r="U104" s="85">
        <f t="shared" si="100"/>
        <v>0</v>
      </c>
      <c r="V104" s="85">
        <f t="shared" si="100"/>
        <v>0</v>
      </c>
      <c r="W104" s="85">
        <f t="shared" si="100"/>
        <v>0</v>
      </c>
      <c r="X104" s="85">
        <f t="shared" si="100"/>
        <v>0</v>
      </c>
      <c r="Y104" s="85">
        <f t="shared" si="100"/>
        <v>0</v>
      </c>
      <c r="Z104" s="85">
        <f t="shared" si="100"/>
        <v>0</v>
      </c>
      <c r="AA104" s="85">
        <f t="shared" si="100"/>
        <v>0</v>
      </c>
      <c r="AB104" s="85">
        <f t="shared" si="100"/>
        <v>0</v>
      </c>
      <c r="AC104" s="85">
        <f t="shared" si="100"/>
        <v>0</v>
      </c>
      <c r="AD104" s="85">
        <f t="shared" si="100"/>
        <v>0</v>
      </c>
      <c r="AE104" s="85">
        <f t="shared" si="100"/>
        <v>0</v>
      </c>
      <c r="AF104" s="85">
        <f t="shared" si="100"/>
        <v>0</v>
      </c>
      <c r="AG104" s="84"/>
      <c r="AH104" s="12">
        <f t="shared" si="55"/>
        <v>0</v>
      </c>
      <c r="AI104" s="11">
        <f t="shared" si="56"/>
        <v>0</v>
      </c>
      <c r="BF104" s="83"/>
      <c r="BG104" s="78">
        <v>22.3</v>
      </c>
      <c r="BH104" s="78">
        <v>0</v>
      </c>
      <c r="BI104" s="78">
        <v>46.3</v>
      </c>
      <c r="BJ104" s="78">
        <v>0</v>
      </c>
      <c r="BK104" s="78">
        <v>0</v>
      </c>
      <c r="BL104" s="78">
        <v>44.8</v>
      </c>
    </row>
    <row r="105" spans="1:64" x14ac:dyDescent="0.25">
      <c r="A105" s="82" t="s">
        <v>157</v>
      </c>
      <c r="B105" s="85">
        <f t="shared" ref="B105:C105" si="105">IF(B81&lt;0,B81*-1,0)</f>
        <v>0</v>
      </c>
      <c r="C105" s="85">
        <f t="shared" si="105"/>
        <v>0</v>
      </c>
      <c r="D105" s="85">
        <f t="shared" ref="D105:AF105" si="106">IF(D81&lt;0,D81*-1,0)</f>
        <v>0</v>
      </c>
      <c r="E105" s="85">
        <f t="shared" ref="E105:F105" si="107">IF(E81&lt;0,E81*-1,0)</f>
        <v>0</v>
      </c>
      <c r="F105" s="85">
        <f t="shared" si="107"/>
        <v>0</v>
      </c>
      <c r="G105" s="85">
        <f t="shared" ref="G105:H105" si="108">IF(G81&lt;0,G81*-1,0)</f>
        <v>0</v>
      </c>
      <c r="H105" s="85">
        <f t="shared" si="108"/>
        <v>0</v>
      </c>
      <c r="I105" s="85">
        <f t="shared" ref="I105:J105" si="109">IF(I81&lt;0,I81*-1,0)</f>
        <v>0</v>
      </c>
      <c r="J105" s="85">
        <f t="shared" si="109"/>
        <v>0</v>
      </c>
      <c r="K105" s="85">
        <f t="shared" ref="K105:L105" si="110">IF(K81&lt;0,K81*-1,0)</f>
        <v>0</v>
      </c>
      <c r="L105" s="85">
        <f t="shared" si="110"/>
        <v>0</v>
      </c>
      <c r="M105" s="85">
        <f t="shared" si="106"/>
        <v>0</v>
      </c>
      <c r="N105" s="85">
        <f t="shared" si="106"/>
        <v>0</v>
      </c>
      <c r="O105" s="85">
        <f t="shared" si="106"/>
        <v>0</v>
      </c>
      <c r="P105" s="85">
        <f t="shared" si="106"/>
        <v>0</v>
      </c>
      <c r="Q105" s="85">
        <f t="shared" si="106"/>
        <v>0</v>
      </c>
      <c r="R105" s="85">
        <f t="shared" si="106"/>
        <v>0</v>
      </c>
      <c r="S105" s="85">
        <f t="shared" si="106"/>
        <v>0</v>
      </c>
      <c r="T105" s="85">
        <f t="shared" si="106"/>
        <v>0</v>
      </c>
      <c r="U105" s="85">
        <f t="shared" si="106"/>
        <v>0</v>
      </c>
      <c r="V105" s="85">
        <f t="shared" si="106"/>
        <v>0</v>
      </c>
      <c r="W105" s="85">
        <f t="shared" si="106"/>
        <v>0</v>
      </c>
      <c r="X105" s="85">
        <f t="shared" si="106"/>
        <v>0</v>
      </c>
      <c r="Y105" s="85">
        <f t="shared" si="106"/>
        <v>0</v>
      </c>
      <c r="Z105" s="85">
        <f t="shared" si="106"/>
        <v>0</v>
      </c>
      <c r="AA105" s="85">
        <f t="shared" si="106"/>
        <v>0</v>
      </c>
      <c r="AB105" s="85">
        <f>IF(AB81&lt;0,AB81*-1,0)</f>
        <v>0</v>
      </c>
      <c r="AC105" s="85">
        <f t="shared" si="106"/>
        <v>0</v>
      </c>
      <c r="AD105" s="85">
        <f t="shared" si="106"/>
        <v>0</v>
      </c>
      <c r="AE105" s="85">
        <f t="shared" si="106"/>
        <v>0</v>
      </c>
      <c r="AF105" s="85">
        <f t="shared" si="106"/>
        <v>0</v>
      </c>
      <c r="AG105" s="84"/>
      <c r="AH105" s="12">
        <f t="shared" si="55"/>
        <v>0</v>
      </c>
      <c r="AI105" s="11">
        <f t="shared" si="56"/>
        <v>0</v>
      </c>
      <c r="BF105" s="83"/>
      <c r="BG105" s="78">
        <v>29.2</v>
      </c>
      <c r="BH105" s="78">
        <v>0</v>
      </c>
      <c r="BI105" s="78">
        <v>50.8</v>
      </c>
      <c r="BJ105" s="78">
        <v>0</v>
      </c>
      <c r="BK105" s="78">
        <v>0</v>
      </c>
      <c r="BL105" s="78">
        <v>45.8</v>
      </c>
    </row>
    <row r="106" spans="1:64" ht="15.75" thickBot="1" x14ac:dyDescent="0.3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55"/>
        <v>0</v>
      </c>
      <c r="AI106" s="11">
        <f t="shared" si="56"/>
        <v>0</v>
      </c>
      <c r="BG106" s="78">
        <v>25.2</v>
      </c>
      <c r="BH106" s="78">
        <v>0</v>
      </c>
      <c r="BI106" s="78">
        <v>20</v>
      </c>
      <c r="BJ106" s="78">
        <v>0</v>
      </c>
      <c r="BK106" s="78">
        <v>0</v>
      </c>
      <c r="BL106" s="78">
        <v>48.6</v>
      </c>
    </row>
    <row r="107" spans="1:64" ht="15.75" thickBot="1" x14ac:dyDescent="0.3">
      <c r="A107" s="79" t="s">
        <v>155</v>
      </c>
      <c r="B107" s="76">
        <f t="shared" ref="B107:C107" si="111">SUM(B101:B106)</f>
        <v>0</v>
      </c>
      <c r="C107" s="76">
        <f t="shared" si="111"/>
        <v>0</v>
      </c>
      <c r="D107" s="76">
        <f t="shared" ref="D107:AF107" si="112">SUM(D101:D106)</f>
        <v>0</v>
      </c>
      <c r="E107" s="76">
        <f t="shared" ref="E107:F107" si="113">SUM(E101:E106)</f>
        <v>0</v>
      </c>
      <c r="F107" s="76">
        <f t="shared" si="113"/>
        <v>0</v>
      </c>
      <c r="G107" s="76">
        <f t="shared" ref="G107:H107" si="114">SUM(G101:G106)</f>
        <v>0</v>
      </c>
      <c r="H107" s="76">
        <f t="shared" si="114"/>
        <v>0</v>
      </c>
      <c r="I107" s="76">
        <f t="shared" ref="I107:J107" si="115">SUM(I101:I106)</f>
        <v>0</v>
      </c>
      <c r="J107" s="76">
        <f t="shared" si="115"/>
        <v>0</v>
      </c>
      <c r="K107" s="76">
        <f t="shared" ref="K107:L107" si="116">SUM(K101:K106)</f>
        <v>0</v>
      </c>
      <c r="L107" s="76">
        <f t="shared" si="116"/>
        <v>0</v>
      </c>
      <c r="M107" s="76">
        <f t="shared" si="112"/>
        <v>0</v>
      </c>
      <c r="N107" s="76">
        <f t="shared" si="112"/>
        <v>0</v>
      </c>
      <c r="O107" s="76">
        <f t="shared" si="112"/>
        <v>0</v>
      </c>
      <c r="P107" s="76">
        <f t="shared" si="112"/>
        <v>0</v>
      </c>
      <c r="Q107" s="76">
        <f t="shared" si="112"/>
        <v>0</v>
      </c>
      <c r="R107" s="76">
        <f t="shared" si="112"/>
        <v>0</v>
      </c>
      <c r="S107" s="76">
        <f t="shared" si="112"/>
        <v>0</v>
      </c>
      <c r="T107" s="76">
        <f t="shared" si="112"/>
        <v>0</v>
      </c>
      <c r="U107" s="76">
        <f t="shared" si="112"/>
        <v>0</v>
      </c>
      <c r="V107" s="76">
        <f t="shared" si="112"/>
        <v>0</v>
      </c>
      <c r="W107" s="76">
        <f t="shared" si="112"/>
        <v>0</v>
      </c>
      <c r="X107" s="76">
        <f t="shared" si="112"/>
        <v>0</v>
      </c>
      <c r="Y107" s="76">
        <f t="shared" si="112"/>
        <v>0</v>
      </c>
      <c r="Z107" s="76">
        <f t="shared" si="112"/>
        <v>0</v>
      </c>
      <c r="AA107" s="76">
        <f t="shared" si="112"/>
        <v>0</v>
      </c>
      <c r="AB107" s="76">
        <f t="shared" si="112"/>
        <v>0</v>
      </c>
      <c r="AC107" s="76">
        <f t="shared" si="112"/>
        <v>0</v>
      </c>
      <c r="AD107" s="76">
        <f t="shared" si="112"/>
        <v>0</v>
      </c>
      <c r="AE107" s="76">
        <f t="shared" si="112"/>
        <v>0</v>
      </c>
      <c r="AF107" s="76">
        <f t="shared" si="112"/>
        <v>0</v>
      </c>
      <c r="AG107" s="75"/>
      <c r="AH107" s="12">
        <f t="shared" si="55"/>
        <v>0</v>
      </c>
      <c r="AI107" s="11">
        <f t="shared" si="56"/>
        <v>0</v>
      </c>
      <c r="AK107" s="19"/>
      <c r="BG107" s="78">
        <v>16</v>
      </c>
      <c r="BH107" s="78">
        <v>0</v>
      </c>
      <c r="BI107" s="78">
        <v>122</v>
      </c>
      <c r="BJ107" s="78">
        <v>0</v>
      </c>
      <c r="BK107" s="78">
        <v>0</v>
      </c>
      <c r="BL107" s="78">
        <v>47.8</v>
      </c>
    </row>
    <row r="108" spans="1:64" ht="15.75" thickBot="1" x14ac:dyDescent="0.3">
      <c r="A108" s="77" t="s">
        <v>154</v>
      </c>
      <c r="B108" s="76">
        <f t="shared" ref="B108:C108" si="117">B92-B107</f>
        <v>185.8</v>
      </c>
      <c r="C108" s="76">
        <f t="shared" si="117"/>
        <v>92.9</v>
      </c>
      <c r="D108" s="76">
        <f t="shared" ref="D108:AF108" si="118">D92-D107</f>
        <v>114.60000000000001</v>
      </c>
      <c r="E108" s="76">
        <f t="shared" ref="E108:F108" si="119">E92-E107</f>
        <v>87.4</v>
      </c>
      <c r="F108" s="76">
        <f t="shared" si="119"/>
        <v>107.19999999999999</v>
      </c>
      <c r="G108" s="76">
        <f t="shared" ref="G108:H108" si="120">G92-G107</f>
        <v>112.5</v>
      </c>
      <c r="H108" s="76">
        <f t="shared" si="120"/>
        <v>118.8</v>
      </c>
      <c r="I108" s="76">
        <f t="shared" ref="I108:J108" si="121">I92-I107</f>
        <v>101.5</v>
      </c>
      <c r="J108" s="76">
        <f t="shared" si="121"/>
        <v>563.99999999999989</v>
      </c>
      <c r="K108" s="76">
        <f t="shared" ref="K108:L108" si="122">K92-K107</f>
        <v>776.2</v>
      </c>
      <c r="L108" s="76">
        <f t="shared" si="122"/>
        <v>803</v>
      </c>
      <c r="M108" s="76">
        <f t="shared" si="118"/>
        <v>789.90000000000009</v>
      </c>
      <c r="N108" s="76">
        <f t="shared" si="118"/>
        <v>773.69999999999993</v>
      </c>
      <c r="O108" s="76">
        <f t="shared" si="118"/>
        <v>772.90000000000009</v>
      </c>
      <c r="P108" s="76">
        <f t="shared" si="118"/>
        <v>760.90000000000009</v>
      </c>
      <c r="Q108" s="76">
        <f t="shared" si="118"/>
        <v>797.79999999999984</v>
      </c>
      <c r="R108" s="76">
        <f t="shared" si="118"/>
        <v>795.7</v>
      </c>
      <c r="S108" s="76">
        <f t="shared" si="118"/>
        <v>812.2</v>
      </c>
      <c r="T108" s="76">
        <f t="shared" si="118"/>
        <v>798.30000000000007</v>
      </c>
      <c r="U108" s="76">
        <f t="shared" si="118"/>
        <v>769.2</v>
      </c>
      <c r="V108" s="76">
        <f t="shared" si="118"/>
        <v>702.09999999999991</v>
      </c>
      <c r="W108" s="76">
        <f t="shared" si="118"/>
        <v>706.5</v>
      </c>
      <c r="X108" s="76">
        <f t="shared" si="118"/>
        <v>636</v>
      </c>
      <c r="Y108" s="76">
        <f t="shared" si="118"/>
        <v>80</v>
      </c>
      <c r="Z108" s="76">
        <f t="shared" si="118"/>
        <v>166.6</v>
      </c>
      <c r="AA108" s="76">
        <f t="shared" si="118"/>
        <v>73.900000000000006</v>
      </c>
      <c r="AB108" s="76">
        <f t="shared" si="118"/>
        <v>121.19999999999999</v>
      </c>
      <c r="AC108" s="76">
        <f t="shared" si="118"/>
        <v>107.10000000000001</v>
      </c>
      <c r="AD108" s="76">
        <f t="shared" si="118"/>
        <v>113.39999999999999</v>
      </c>
      <c r="AE108" s="76">
        <f t="shared" si="118"/>
        <v>125.8</v>
      </c>
      <c r="AF108" s="76">
        <f t="shared" si="118"/>
        <v>93.800000000000011</v>
      </c>
      <c r="AG108" s="75"/>
      <c r="AH108" s="12">
        <f t="shared" si="55"/>
        <v>812.2</v>
      </c>
      <c r="AI108" s="11">
        <f t="shared" si="56"/>
        <v>73.900000000000006</v>
      </c>
    </row>
    <row r="109" spans="1:64" x14ac:dyDescent="0.25">
      <c r="A109" s="25" t="s">
        <v>153</v>
      </c>
      <c r="B109" s="74">
        <v>50.03</v>
      </c>
      <c r="C109" s="74">
        <v>49.914000000000001</v>
      </c>
      <c r="D109" s="74">
        <v>50.015999999999998</v>
      </c>
      <c r="E109" s="74">
        <v>49.96</v>
      </c>
      <c r="F109" s="74">
        <v>50.05</v>
      </c>
      <c r="G109" s="74">
        <v>50.01</v>
      </c>
      <c r="H109" s="74">
        <v>49.98</v>
      </c>
      <c r="I109" s="74">
        <v>50.03</v>
      </c>
      <c r="J109" s="74">
        <v>50.03</v>
      </c>
      <c r="K109" s="74">
        <v>50.04</v>
      </c>
      <c r="L109" s="74">
        <v>50</v>
      </c>
      <c r="M109" s="74">
        <v>49.95</v>
      </c>
      <c r="N109" s="74">
        <v>49.93</v>
      </c>
      <c r="O109" s="74">
        <v>50.023000000000003</v>
      </c>
      <c r="P109" s="74">
        <v>49.862000000000002</v>
      </c>
      <c r="Q109" s="74">
        <v>50.152999999999999</v>
      </c>
      <c r="R109" s="74">
        <v>50.024000000000001</v>
      </c>
      <c r="S109" s="74">
        <v>50.106000000000002</v>
      </c>
      <c r="T109" s="74">
        <v>50.072000000000003</v>
      </c>
      <c r="U109" s="74">
        <v>50.009</v>
      </c>
      <c r="V109" s="74">
        <v>49.936999999999998</v>
      </c>
      <c r="W109" s="74">
        <v>50.058999999999997</v>
      </c>
      <c r="X109" s="74">
        <v>50.040999999999997</v>
      </c>
      <c r="Y109" s="74">
        <v>49.968000000000004</v>
      </c>
      <c r="Z109" s="74">
        <v>50.051000000000002</v>
      </c>
      <c r="AA109" s="74">
        <v>49.951999999999998</v>
      </c>
      <c r="AB109" s="74">
        <v>50.02</v>
      </c>
      <c r="AC109" s="74">
        <v>49.966000000000001</v>
      </c>
      <c r="AD109" s="74">
        <v>49.954000000000001</v>
      </c>
      <c r="AE109" s="74">
        <v>50.09</v>
      </c>
      <c r="AF109" s="74">
        <v>50.034999999999997</v>
      </c>
      <c r="AG109" s="73"/>
      <c r="AH109" s="12">
        <f t="shared" si="55"/>
        <v>50.152999999999999</v>
      </c>
      <c r="AI109" s="11">
        <f t="shared" si="56"/>
        <v>49.862000000000002</v>
      </c>
    </row>
    <row r="110" spans="1:64" x14ac:dyDescent="0.25">
      <c r="A110" s="22" t="s">
        <v>152</v>
      </c>
      <c r="B110" s="70">
        <v>130.4</v>
      </c>
      <c r="C110" s="70">
        <v>130.19999999999999</v>
      </c>
      <c r="D110" s="70">
        <v>130.69999999999999</v>
      </c>
      <c r="E110" s="70">
        <v>130.69999999999999</v>
      </c>
      <c r="F110" s="70">
        <v>130.69999999999999</v>
      </c>
      <c r="G110" s="70">
        <v>131.1</v>
      </c>
      <c r="H110" s="70">
        <v>131.1</v>
      </c>
      <c r="I110" s="70">
        <v>128.5</v>
      </c>
      <c r="J110" s="70">
        <v>128.5</v>
      </c>
      <c r="K110" s="70">
        <v>125.3</v>
      </c>
      <c r="L110" s="70">
        <v>122.8</v>
      </c>
      <c r="M110" s="70">
        <v>125.1</v>
      </c>
      <c r="N110" s="70">
        <v>125</v>
      </c>
      <c r="O110" s="70">
        <v>124.6</v>
      </c>
      <c r="P110" s="70">
        <v>124.7</v>
      </c>
      <c r="Q110" s="70">
        <v>122.9</v>
      </c>
      <c r="R110" s="70">
        <v>123.8</v>
      </c>
      <c r="S110" s="70">
        <v>124.1</v>
      </c>
      <c r="T110" s="70">
        <v>124.4</v>
      </c>
      <c r="U110" s="70">
        <v>126.8</v>
      </c>
      <c r="V110" s="70">
        <v>127.8</v>
      </c>
      <c r="W110" s="70">
        <v>129.1</v>
      </c>
      <c r="X110" s="70">
        <v>129.19999999999999</v>
      </c>
      <c r="Y110" s="70">
        <v>121.7</v>
      </c>
      <c r="Z110" s="70">
        <v>124.8</v>
      </c>
      <c r="AA110" s="70">
        <v>129.1</v>
      </c>
      <c r="AB110" s="70">
        <v>129.1</v>
      </c>
      <c r="AC110" s="70">
        <v>129.6</v>
      </c>
      <c r="AD110" s="70">
        <v>130.5</v>
      </c>
      <c r="AE110" s="70">
        <v>131.30000000000001</v>
      </c>
      <c r="AF110" s="70">
        <v>131.9</v>
      </c>
      <c r="AG110" s="69"/>
      <c r="AH110" s="12">
        <f t="shared" si="55"/>
        <v>131.9</v>
      </c>
      <c r="AI110" s="11">
        <f t="shared" si="56"/>
        <v>121.7</v>
      </c>
    </row>
    <row r="111" spans="1:64" x14ac:dyDescent="0.25">
      <c r="A111" s="22" t="s">
        <v>151</v>
      </c>
      <c r="B111" s="70">
        <v>133.69999999999999</v>
      </c>
      <c r="C111" s="70">
        <v>133.80000000000001</v>
      </c>
      <c r="D111" s="70">
        <v>134.1</v>
      </c>
      <c r="E111" s="70">
        <v>134.1</v>
      </c>
      <c r="F111" s="70">
        <v>134.1</v>
      </c>
      <c r="G111" s="70">
        <v>134.30000000000001</v>
      </c>
      <c r="H111" s="70">
        <v>134.30000000000001</v>
      </c>
      <c r="I111" s="70">
        <v>131.9</v>
      </c>
      <c r="J111" s="70">
        <v>131.9</v>
      </c>
      <c r="K111" s="70">
        <v>131.9</v>
      </c>
      <c r="L111" s="70">
        <v>126.7</v>
      </c>
      <c r="M111" s="70">
        <v>128</v>
      </c>
      <c r="N111" s="70">
        <v>127.3</v>
      </c>
      <c r="O111" s="70">
        <v>127.6</v>
      </c>
      <c r="P111" s="70">
        <v>127.8</v>
      </c>
      <c r="Q111" s="70">
        <v>126.5</v>
      </c>
      <c r="R111" s="70">
        <v>127.3</v>
      </c>
      <c r="S111" s="70">
        <v>127.7</v>
      </c>
      <c r="T111" s="70">
        <v>127.8</v>
      </c>
      <c r="U111" s="70">
        <v>129.69999999999999</v>
      </c>
      <c r="V111" s="70">
        <v>130.6</v>
      </c>
      <c r="W111" s="70">
        <v>132</v>
      </c>
      <c r="X111" s="70">
        <v>132.30000000000001</v>
      </c>
      <c r="Y111" s="70">
        <v>126.4</v>
      </c>
      <c r="Z111" s="70">
        <v>129.1</v>
      </c>
      <c r="AA111" s="70">
        <v>132.1</v>
      </c>
      <c r="AB111" s="70">
        <v>131.9</v>
      </c>
      <c r="AC111" s="70">
        <v>132.5</v>
      </c>
      <c r="AD111" s="70">
        <v>133.19999999999999</v>
      </c>
      <c r="AE111" s="70">
        <v>134.30000000000001</v>
      </c>
      <c r="AF111" s="70">
        <v>134.80000000000001</v>
      </c>
      <c r="AG111" s="69"/>
      <c r="AH111" s="12">
        <f t="shared" si="55"/>
        <v>134.80000000000001</v>
      </c>
      <c r="AI111" s="11">
        <f t="shared" si="56"/>
        <v>126.4</v>
      </c>
    </row>
    <row r="112" spans="1:64" x14ac:dyDescent="0.25">
      <c r="A112" s="22" t="s">
        <v>150</v>
      </c>
      <c r="B112" s="70">
        <v>132.6</v>
      </c>
      <c r="C112" s="70">
        <v>131.9</v>
      </c>
      <c r="D112" s="70">
        <v>132.30000000000001</v>
      </c>
      <c r="E112" s="70">
        <v>132.30000000000001</v>
      </c>
      <c r="F112" s="70">
        <v>132.30000000000001</v>
      </c>
      <c r="G112" s="70">
        <v>134.1</v>
      </c>
      <c r="H112" s="70">
        <v>134.1</v>
      </c>
      <c r="I112" s="70">
        <v>134.1</v>
      </c>
      <c r="J112" s="70">
        <v>134.1</v>
      </c>
      <c r="K112" s="70">
        <v>134.1</v>
      </c>
      <c r="L112" s="70">
        <v>129</v>
      </c>
      <c r="M112" s="70">
        <v>129.19999999999999</v>
      </c>
      <c r="N112" s="70">
        <v>128.6</v>
      </c>
      <c r="O112" s="70">
        <v>127.3</v>
      </c>
      <c r="P112" s="70">
        <v>128.9</v>
      </c>
      <c r="Q112" s="70">
        <v>128.5</v>
      </c>
      <c r="R112" s="70">
        <v>127.7</v>
      </c>
      <c r="S112" s="70">
        <v>125.5</v>
      </c>
      <c r="T112" s="70">
        <v>128.9</v>
      </c>
      <c r="U112" s="70">
        <v>129.9</v>
      </c>
      <c r="V112" s="70">
        <v>130.19999999999999</v>
      </c>
      <c r="W112" s="70">
        <v>128.80000000000001</v>
      </c>
      <c r="X112" s="70">
        <v>128.4</v>
      </c>
      <c r="Y112" s="70">
        <v>126.9</v>
      </c>
      <c r="Z112" s="70">
        <v>127.3</v>
      </c>
      <c r="AA112" s="70">
        <v>130.4</v>
      </c>
      <c r="AB112" s="70">
        <v>127.8</v>
      </c>
      <c r="AC112" s="70">
        <v>128.5</v>
      </c>
      <c r="AD112" s="70">
        <v>131.19999999999999</v>
      </c>
      <c r="AE112" s="70">
        <v>131.80000000000001</v>
      </c>
      <c r="AF112" s="70">
        <v>132.30000000000001</v>
      </c>
      <c r="AG112" s="69"/>
      <c r="AH112" s="12">
        <f t="shared" si="55"/>
        <v>134.1</v>
      </c>
      <c r="AI112" s="11">
        <f t="shared" si="56"/>
        <v>125.5</v>
      </c>
    </row>
    <row r="113" spans="1:35" x14ac:dyDescent="0.25">
      <c r="A113" s="72" t="s">
        <v>149</v>
      </c>
      <c r="B113" s="70">
        <v>131.6</v>
      </c>
      <c r="C113" s="70">
        <v>130.9</v>
      </c>
      <c r="D113" s="70">
        <v>132</v>
      </c>
      <c r="E113" s="70">
        <v>132</v>
      </c>
      <c r="F113" s="70">
        <v>132</v>
      </c>
      <c r="G113" s="70">
        <v>133.5</v>
      </c>
      <c r="H113" s="70">
        <v>133.5</v>
      </c>
      <c r="I113" s="70">
        <v>131.9</v>
      </c>
      <c r="J113" s="70">
        <v>131.9</v>
      </c>
      <c r="K113" s="70">
        <v>131.9</v>
      </c>
      <c r="L113" s="70">
        <v>127.3</v>
      </c>
      <c r="M113" s="70">
        <v>127.8</v>
      </c>
      <c r="N113" s="70">
        <v>129</v>
      </c>
      <c r="O113" s="70">
        <v>127.7</v>
      </c>
      <c r="P113" s="70">
        <v>127.8</v>
      </c>
      <c r="Q113" s="70">
        <v>127.8</v>
      </c>
      <c r="R113" s="70">
        <v>127.8</v>
      </c>
      <c r="S113" s="70">
        <v>124</v>
      </c>
      <c r="T113" s="70">
        <v>128.30000000000001</v>
      </c>
      <c r="U113" s="70">
        <v>128.69999999999999</v>
      </c>
      <c r="V113" s="70">
        <v>127.9</v>
      </c>
      <c r="W113" s="70">
        <v>126.5</v>
      </c>
      <c r="X113" s="70">
        <v>126.4</v>
      </c>
      <c r="Y113" s="70">
        <v>124.2</v>
      </c>
      <c r="Z113" s="70">
        <v>125.3</v>
      </c>
      <c r="AA113" s="70">
        <v>127.5</v>
      </c>
      <c r="AB113" s="70">
        <v>125.4</v>
      </c>
      <c r="AC113" s="70">
        <v>126.5</v>
      </c>
      <c r="AD113" s="70">
        <v>130.19999999999999</v>
      </c>
      <c r="AE113" s="70">
        <v>131.6</v>
      </c>
      <c r="AF113" s="70">
        <v>131.1</v>
      </c>
      <c r="AG113" s="69"/>
      <c r="AH113" s="12">
        <f t="shared" si="55"/>
        <v>133.5</v>
      </c>
      <c r="AI113" s="11">
        <f t="shared" si="56"/>
        <v>124</v>
      </c>
    </row>
    <row r="114" spans="1:35" x14ac:dyDescent="0.25">
      <c r="A114" s="72" t="s">
        <v>148</v>
      </c>
      <c r="B114" s="56">
        <v>133.80000000000001</v>
      </c>
      <c r="C114" s="56">
        <v>134.5</v>
      </c>
      <c r="D114" s="56">
        <v>135.19999999999999</v>
      </c>
      <c r="E114" s="56">
        <v>135.19999999999999</v>
      </c>
      <c r="F114" s="56">
        <v>135.19999999999999</v>
      </c>
      <c r="G114" s="56">
        <v>135.5</v>
      </c>
      <c r="H114" s="56">
        <v>135.5</v>
      </c>
      <c r="I114" s="56">
        <v>133.30000000000001</v>
      </c>
      <c r="J114" s="56">
        <v>133.30000000000001</v>
      </c>
      <c r="K114" s="56">
        <v>133.30000000000001</v>
      </c>
      <c r="L114" s="56">
        <v>131.4</v>
      </c>
      <c r="M114" s="56">
        <v>127.8</v>
      </c>
      <c r="N114" s="56">
        <v>135.6</v>
      </c>
      <c r="O114" s="56">
        <v>131.30000000000001</v>
      </c>
      <c r="P114" s="56">
        <v>132.30000000000001</v>
      </c>
      <c r="Q114" s="56">
        <v>131.5</v>
      </c>
      <c r="R114" s="56">
        <v>132.9</v>
      </c>
      <c r="S114" s="56">
        <v>133.69999999999999</v>
      </c>
      <c r="T114" s="56">
        <v>132.9</v>
      </c>
      <c r="U114" s="56">
        <v>134.1</v>
      </c>
      <c r="V114" s="56">
        <v>135.80000000000001</v>
      </c>
      <c r="W114" s="56">
        <v>136.30000000000001</v>
      </c>
      <c r="X114" s="56">
        <v>135.69999999999999</v>
      </c>
      <c r="Y114" s="56">
        <v>134.6</v>
      </c>
      <c r="Z114" s="56">
        <v>136</v>
      </c>
      <c r="AA114" s="56">
        <v>135.30000000000001</v>
      </c>
      <c r="AB114" s="56">
        <v>136.1</v>
      </c>
      <c r="AC114" s="56">
        <v>136.5</v>
      </c>
      <c r="AD114" s="56">
        <v>135</v>
      </c>
      <c r="AE114" s="56">
        <v>137</v>
      </c>
      <c r="AF114" s="56">
        <v>135.5</v>
      </c>
      <c r="AG114" s="71"/>
      <c r="AH114" s="12">
        <f t="shared" si="55"/>
        <v>137</v>
      </c>
      <c r="AI114" s="11">
        <f t="shared" si="56"/>
        <v>127.8</v>
      </c>
    </row>
    <row r="115" spans="1:35" x14ac:dyDescent="0.25">
      <c r="A115" s="22" t="s">
        <v>147</v>
      </c>
      <c r="B115" s="70">
        <v>131.19999999999999</v>
      </c>
      <c r="C115" s="70">
        <v>132.30000000000001</v>
      </c>
      <c r="D115" s="70">
        <v>133.5</v>
      </c>
      <c r="E115" s="70">
        <v>133.5</v>
      </c>
      <c r="F115" s="70">
        <v>133.5</v>
      </c>
      <c r="G115" s="70">
        <v>130.6</v>
      </c>
      <c r="H115" s="70">
        <v>130.6</v>
      </c>
      <c r="I115" s="70">
        <v>132.6</v>
      </c>
      <c r="J115" s="70">
        <v>132.6</v>
      </c>
      <c r="K115" s="70">
        <v>132.6</v>
      </c>
      <c r="L115" s="70">
        <v>131.80000000000001</v>
      </c>
      <c r="M115" s="70">
        <v>126</v>
      </c>
      <c r="N115" s="70">
        <v>126.7</v>
      </c>
      <c r="O115" s="70">
        <v>131.4</v>
      </c>
      <c r="P115" s="70">
        <v>134.69999999999999</v>
      </c>
      <c r="Q115" s="70">
        <v>132.69999999999999</v>
      </c>
      <c r="R115" s="70">
        <v>132.30000000000001</v>
      </c>
      <c r="S115" s="70">
        <v>129.6</v>
      </c>
      <c r="T115" s="70">
        <v>125</v>
      </c>
      <c r="U115" s="70">
        <v>126</v>
      </c>
      <c r="V115" s="70">
        <v>128.4</v>
      </c>
      <c r="W115" s="70">
        <v>132.30000000000001</v>
      </c>
      <c r="X115" s="70">
        <v>135.69999999999999</v>
      </c>
      <c r="Y115" s="70">
        <v>139.19999999999999</v>
      </c>
      <c r="Z115" s="70">
        <v>125</v>
      </c>
      <c r="AA115" s="70">
        <v>125.6</v>
      </c>
      <c r="AB115" s="70">
        <v>133.69999999999999</v>
      </c>
      <c r="AC115" s="70">
        <v>134.1</v>
      </c>
      <c r="AD115" s="70">
        <v>131.80000000000001</v>
      </c>
      <c r="AE115" s="70">
        <v>132.30000000000001</v>
      </c>
      <c r="AF115" s="70">
        <v>133.1</v>
      </c>
      <c r="AG115" s="69"/>
      <c r="AH115" s="12">
        <f t="shared" si="55"/>
        <v>139.19999999999999</v>
      </c>
      <c r="AI115" s="11">
        <f t="shared" si="56"/>
        <v>125</v>
      </c>
    </row>
    <row r="116" spans="1:35" ht="15.75" thickBot="1" x14ac:dyDescent="0.3">
      <c r="A116" s="22" t="s">
        <v>146</v>
      </c>
      <c r="B116" s="67">
        <v>67.099999999999994</v>
      </c>
      <c r="C116" s="67">
        <v>67</v>
      </c>
      <c r="D116" s="67">
        <v>67.2</v>
      </c>
      <c r="E116" s="67">
        <v>67.2</v>
      </c>
      <c r="F116" s="67">
        <v>67.2</v>
      </c>
      <c r="G116" s="67">
        <v>67.2</v>
      </c>
      <c r="H116" s="67">
        <v>67.2</v>
      </c>
      <c r="I116" s="67">
        <v>66</v>
      </c>
      <c r="J116" s="67">
        <v>66</v>
      </c>
      <c r="K116" s="67">
        <v>66</v>
      </c>
      <c r="L116" s="67">
        <v>66</v>
      </c>
      <c r="M116" s="67">
        <v>63.6</v>
      </c>
      <c r="N116" s="67">
        <v>63.7</v>
      </c>
      <c r="O116" s="67">
        <v>64.2</v>
      </c>
      <c r="P116" s="67">
        <v>63.7</v>
      </c>
      <c r="Q116" s="67">
        <v>63</v>
      </c>
      <c r="R116" s="67">
        <v>63.5</v>
      </c>
      <c r="S116" s="67">
        <v>63.6</v>
      </c>
      <c r="T116" s="67">
        <v>63.8</v>
      </c>
      <c r="U116" s="67">
        <v>64.7</v>
      </c>
      <c r="V116" s="67">
        <v>65.2</v>
      </c>
      <c r="W116" s="67">
        <v>66.099999999999994</v>
      </c>
      <c r="X116" s="67">
        <v>66.2</v>
      </c>
      <c r="Y116" s="67">
        <v>63.5</v>
      </c>
      <c r="Z116" s="67">
        <v>64.8</v>
      </c>
      <c r="AA116" s="67">
        <v>66.3</v>
      </c>
      <c r="AB116" s="67">
        <v>66.2</v>
      </c>
      <c r="AC116" s="67">
        <v>66.5</v>
      </c>
      <c r="AD116" s="67">
        <v>66.8</v>
      </c>
      <c r="AE116" s="67">
        <v>67.400000000000006</v>
      </c>
      <c r="AF116" s="67">
        <v>67.7</v>
      </c>
      <c r="AG116" s="66"/>
      <c r="AH116" s="12">
        <f t="shared" si="55"/>
        <v>67.7</v>
      </c>
      <c r="AI116" s="11">
        <f t="shared" si="56"/>
        <v>63</v>
      </c>
    </row>
    <row r="117" spans="1:35" ht="15.75" thickBot="1" x14ac:dyDescent="0.3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55"/>
        <v>0</v>
      </c>
      <c r="AI117" s="11">
        <f t="shared" si="56"/>
        <v>0</v>
      </c>
    </row>
    <row r="118" spans="1:35" ht="15.75" thickBot="1" x14ac:dyDescent="0.3">
      <c r="A118" s="65" t="s">
        <v>144</v>
      </c>
      <c r="B118" s="64">
        <f t="shared" ref="B118:C118" si="123">SUM(B22,B28,B31:B32,B66,B68:B69,B71,B73,B119:B123,B155,B161,B167,B176,B178,B190,B197,B200:B201,B208,B210,B212,B216:B218,B220:B222,B227,B233:B234,B236:B238,B246,B251)</f>
        <v>149.04</v>
      </c>
      <c r="C118" s="64">
        <f t="shared" si="123"/>
        <v>136.74</v>
      </c>
      <c r="D118" s="64">
        <f t="shared" ref="D118:O118" si="124">SUM(D22,D28,D31:D32,D66,D68:D69,D71,D73,D119:D123,D155,D161,D167,D176,D178,D190,D197,D200:D201,D208,D210,D212,D216:D218,D220:D222,D227,D233:D234,D236:D238,D246,D251)</f>
        <v>125.44</v>
      </c>
      <c r="E118" s="64">
        <f t="shared" ref="E118:F118" si="125">SUM(E22,E28,E31:E32,E66,E68:E69,E71,E73,E119:E123,E155,E161,E167,E176,E178,E190,E197,E200:E201,E208,E210,E212,E216:E218,E220:E222,E227,E233:E234,E236:E238,E246,E251)</f>
        <v>123.43999999999998</v>
      </c>
      <c r="F118" s="64">
        <f t="shared" si="125"/>
        <v>128.24</v>
      </c>
      <c r="G118" s="64">
        <f t="shared" ref="G118:H118" si="126">SUM(G22,G28,G31:G32,G66,G68:G69,G71,G73,G119:G123,G155,G161,G167,G176,G178,G190,G197,G200:G201,G208,G210,G212,G216:G218,G220:G222,G227,G233:G234,G236:G238,G246,G251)</f>
        <v>140.04</v>
      </c>
      <c r="H118" s="64">
        <f t="shared" si="126"/>
        <v>169.04</v>
      </c>
      <c r="I118" s="64">
        <f t="shared" ref="I118:J118" si="127">SUM(I22,I28,I31:I32,I66,I68:I69,I71,I73,I119:I123,I155,I161,I167,I176,I178,I190,I197,I200:I201,I208,I210,I212,I216:I218,I220:I222,I227,I233:I234,I236:I238,I246,I251)</f>
        <v>195.04</v>
      </c>
      <c r="J118" s="64">
        <f t="shared" si="127"/>
        <v>196.49</v>
      </c>
      <c r="K118" s="64">
        <f t="shared" ref="K118:L118" si="128">SUM(K22,K28,K31:K32,K66,K68:K69,K71,K73,K119:K123,K155,K161,K167,K176,K178,K190,K197,K200:K201,K208,K210,K212,K216:K218,K220:K222,K227,K233:K234,K236:K238,K246,K251)</f>
        <v>254.34</v>
      </c>
      <c r="L118" s="64">
        <f t="shared" si="128"/>
        <v>275.64</v>
      </c>
      <c r="M118" s="64">
        <f t="shared" si="124"/>
        <v>272.53999999999996</v>
      </c>
      <c r="N118" s="64">
        <f t="shared" si="124"/>
        <v>306.23999999999995</v>
      </c>
      <c r="O118" s="64">
        <f t="shared" si="124"/>
        <v>287.44</v>
      </c>
      <c r="P118" s="64">
        <v>42</v>
      </c>
      <c r="Q118" s="64">
        <f t="shared" ref="Q118:X118" si="129">SUM(Q22,Q28,Q31:Q32,Q66,Q68:Q69,Q71,Q73,Q119:Q123,Q155,Q161,Q167,Q176,Q178,Q190,Q197,Q200:Q201,Q208,Q210,Q212,Q216:Q218,Q220:Q222,Q227,Q233:Q234,Q236:Q238,Q246,Q251)</f>
        <v>244.74</v>
      </c>
      <c r="R118" s="64">
        <f t="shared" si="129"/>
        <v>235.04000000000002</v>
      </c>
      <c r="S118" s="64">
        <f t="shared" si="129"/>
        <v>249.34</v>
      </c>
      <c r="T118" s="64">
        <f t="shared" si="129"/>
        <v>245.74</v>
      </c>
      <c r="U118" s="64">
        <f t="shared" si="129"/>
        <v>239.94</v>
      </c>
      <c r="V118" s="64">
        <f t="shared" si="129"/>
        <v>255.54</v>
      </c>
      <c r="W118" s="64">
        <f t="shared" si="129"/>
        <v>267.44</v>
      </c>
      <c r="X118" s="64">
        <f t="shared" si="129"/>
        <v>274.74</v>
      </c>
      <c r="Y118" s="64">
        <f>SUM(Y20,Y26,Y37:Y38,Y66,Y68:Y69,Y71,Y73,Y119:Y123,Y148,Y154,Y160,Y169,Y171,Y183,Y190,Y193:Y194,Y201,Y203,Y205,Y209:Y211,Y213:Y215,Y220,Y226:Y227,Y229:Y231,Y239,Y244)</f>
        <v>310.5</v>
      </c>
      <c r="Z118" s="64">
        <f>SUM(Z20,Z26,Z37:Z38,Z66,Z68:Z69,Z71,Z73,Z119:Z123,Z148,Z154,Z160,Z169,Z171,Z183,Z190,Z193:Z194,Z201,Z203,Z205,Z209:Z211,Z213:Z215,Z220,Z226:Z227,Z229:Z231,Z239,Z244)</f>
        <v>351.8</v>
      </c>
      <c r="AA118" s="64">
        <f t="shared" ref="AA118:AF118" si="130">SUM(AA22,AA28,AA31:AA32,AA66,AA68:AA69,AA71,AA73,AA119:AA123,AA155,AA161,AA167,AA176,AA178,AA190,AA197,AA200:AA201,AA208,AA210,AA212,AA216:AA218,AA220:AA222,AA227,AA233:AA234,AA236:AA238,AA246,AA251)</f>
        <v>324.74</v>
      </c>
      <c r="AB118" s="64">
        <f t="shared" si="130"/>
        <v>306.74</v>
      </c>
      <c r="AC118" s="64">
        <f t="shared" si="130"/>
        <v>284.04000000000002</v>
      </c>
      <c r="AD118" s="64">
        <f t="shared" si="130"/>
        <v>239.33999999999997</v>
      </c>
      <c r="AE118" s="64">
        <f t="shared" si="130"/>
        <v>196.54000000000002</v>
      </c>
      <c r="AF118" s="64">
        <f t="shared" si="130"/>
        <v>157.84000000000003</v>
      </c>
      <c r="AG118" s="63"/>
      <c r="AH118" s="12">
        <f t="shared" si="55"/>
        <v>351.8</v>
      </c>
      <c r="AI118" s="11">
        <f t="shared" si="56"/>
        <v>42</v>
      </c>
    </row>
    <row r="119" spans="1:35" x14ac:dyDescent="0.25">
      <c r="A119" s="59" t="s">
        <v>143</v>
      </c>
      <c r="B119" s="62">
        <v>22.5</v>
      </c>
      <c r="C119" s="62">
        <v>23.7</v>
      </c>
      <c r="D119" s="62">
        <v>19.600000000000001</v>
      </c>
      <c r="E119" s="62">
        <v>21.9</v>
      </c>
      <c r="F119" s="62">
        <v>21.7</v>
      </c>
      <c r="G119" s="62">
        <v>20.9</v>
      </c>
      <c r="H119" s="62">
        <v>19.2</v>
      </c>
      <c r="I119" s="62">
        <v>17.5</v>
      </c>
      <c r="J119" s="62">
        <v>17.5</v>
      </c>
      <c r="K119" s="62">
        <v>4.2</v>
      </c>
      <c r="L119" s="62">
        <v>7.2</v>
      </c>
      <c r="M119" s="62">
        <v>7.2</v>
      </c>
      <c r="N119" s="62">
        <v>29.6</v>
      </c>
      <c r="O119" s="62">
        <v>18.3</v>
      </c>
      <c r="P119" s="62">
        <v>12</v>
      </c>
      <c r="Q119" s="62">
        <v>13.4</v>
      </c>
      <c r="R119" s="62">
        <v>13</v>
      </c>
      <c r="S119" s="62">
        <v>18.100000000000001</v>
      </c>
      <c r="T119" s="62">
        <v>15.5</v>
      </c>
      <c r="U119" s="62">
        <v>18.7</v>
      </c>
      <c r="V119" s="62">
        <v>19.2</v>
      </c>
      <c r="W119" s="62">
        <v>22.6</v>
      </c>
      <c r="X119" s="62">
        <v>22.2</v>
      </c>
      <c r="Y119" s="62">
        <v>74.099999999999994</v>
      </c>
      <c r="Z119" s="62">
        <v>51.4</v>
      </c>
      <c r="AA119" s="62">
        <v>40.9</v>
      </c>
      <c r="AB119" s="62">
        <v>44.3</v>
      </c>
      <c r="AC119" s="62">
        <v>46.4</v>
      </c>
      <c r="AD119" s="62">
        <v>49.3</v>
      </c>
      <c r="AE119" s="62">
        <v>37.4</v>
      </c>
      <c r="AF119" s="62">
        <v>28.6</v>
      </c>
      <c r="AG119" s="55">
        <v>75</v>
      </c>
      <c r="AH119" s="12">
        <f t="shared" si="55"/>
        <v>74.099999999999994</v>
      </c>
      <c r="AI119" s="11">
        <f t="shared" si="56"/>
        <v>4.2</v>
      </c>
    </row>
    <row r="120" spans="1:35" x14ac:dyDescent="0.25">
      <c r="A120" s="57" t="s">
        <v>142</v>
      </c>
      <c r="B120" s="61">
        <v>39.6</v>
      </c>
      <c r="C120" s="61">
        <v>42.3</v>
      </c>
      <c r="D120" s="61">
        <v>38.200000000000003</v>
      </c>
      <c r="E120" s="61">
        <v>41.1</v>
      </c>
      <c r="F120" s="61">
        <v>40.200000000000003</v>
      </c>
      <c r="G120" s="61">
        <v>38.6</v>
      </c>
      <c r="H120" s="61">
        <v>36</v>
      </c>
      <c r="I120" s="61">
        <v>32.4</v>
      </c>
      <c r="J120" s="61">
        <v>32.4</v>
      </c>
      <c r="K120" s="61">
        <v>6.5</v>
      </c>
      <c r="L120" s="61">
        <v>8</v>
      </c>
      <c r="M120" s="61">
        <v>8</v>
      </c>
      <c r="N120" s="61">
        <v>38.200000000000003</v>
      </c>
      <c r="O120" s="61">
        <v>23.9</v>
      </c>
      <c r="P120" s="61">
        <v>17</v>
      </c>
      <c r="Q120" s="61">
        <v>18.8</v>
      </c>
      <c r="R120" s="61">
        <v>18.5</v>
      </c>
      <c r="S120" s="61">
        <v>25.4</v>
      </c>
      <c r="T120" s="61">
        <v>21.5</v>
      </c>
      <c r="U120" s="61">
        <v>25</v>
      </c>
      <c r="V120" s="61">
        <v>21.7</v>
      </c>
      <c r="W120" s="61">
        <v>27.3</v>
      </c>
      <c r="X120" s="61">
        <v>32.799999999999997</v>
      </c>
      <c r="Y120" s="61">
        <v>105</v>
      </c>
      <c r="Z120" s="61">
        <v>76</v>
      </c>
      <c r="AA120" s="61">
        <v>63.6</v>
      </c>
      <c r="AB120" s="61">
        <v>69.099999999999994</v>
      </c>
      <c r="AC120" s="61">
        <v>72.3</v>
      </c>
      <c r="AD120" s="61">
        <v>75.3</v>
      </c>
      <c r="AE120" s="61">
        <v>60.2</v>
      </c>
      <c r="AF120" s="61">
        <v>48.3</v>
      </c>
      <c r="AG120" s="55">
        <v>240</v>
      </c>
      <c r="AH120" s="12">
        <f t="shared" si="55"/>
        <v>105</v>
      </c>
      <c r="AI120" s="11">
        <f t="shared" si="56"/>
        <v>6.5</v>
      </c>
    </row>
    <row r="121" spans="1:35" x14ac:dyDescent="0.25">
      <c r="A121" s="57" t="s">
        <v>141</v>
      </c>
      <c r="B121" s="61">
        <f>-36.2-42.8</f>
        <v>-79</v>
      </c>
      <c r="C121" s="61">
        <f>-40.5-52.4</f>
        <v>-92.9</v>
      </c>
      <c r="D121" s="61">
        <f>-38.3-49.2</f>
        <v>-87.5</v>
      </c>
      <c r="E121" s="61">
        <v>-92</v>
      </c>
      <c r="F121" s="61">
        <v>-89</v>
      </c>
      <c r="G121" s="61">
        <v>-91</v>
      </c>
      <c r="H121" s="61">
        <v>-74</v>
      </c>
      <c r="I121" s="61">
        <v>-56</v>
      </c>
      <c r="J121" s="61">
        <v>-56</v>
      </c>
      <c r="K121" s="61">
        <v>5.8</v>
      </c>
      <c r="L121" s="61">
        <v>12</v>
      </c>
      <c r="M121" s="61">
        <v>12</v>
      </c>
      <c r="N121" s="61">
        <v>6.2</v>
      </c>
      <c r="O121" s="61">
        <v>6.9</v>
      </c>
      <c r="P121" s="61">
        <v>5.2</v>
      </c>
      <c r="Q121" s="61">
        <v>0</v>
      </c>
      <c r="R121" s="61">
        <v>-3.2</v>
      </c>
      <c r="S121" s="61">
        <v>-5</v>
      </c>
      <c r="T121" s="61">
        <v>-2</v>
      </c>
      <c r="U121" s="61">
        <v>-6</v>
      </c>
      <c r="V121" s="61">
        <v>0.7</v>
      </c>
      <c r="W121" s="61">
        <v>-9</v>
      </c>
      <c r="X121" s="61">
        <v>-18</v>
      </c>
      <c r="Y121" s="61">
        <v>-123</v>
      </c>
      <c r="Z121" s="61">
        <v>-80</v>
      </c>
      <c r="AA121" s="61">
        <v>-71</v>
      </c>
      <c r="AB121" s="61">
        <f>-33-39</f>
        <v>-72</v>
      </c>
      <c r="AC121" s="61">
        <f>-42.6-53.2</f>
        <v>-95.800000000000011</v>
      </c>
      <c r="AD121" s="61">
        <f>-49-62</f>
        <v>-111</v>
      </c>
      <c r="AE121" s="61">
        <f>-44-54</f>
        <v>-98</v>
      </c>
      <c r="AF121" s="61">
        <v>-90</v>
      </c>
      <c r="AG121" s="55">
        <v>240</v>
      </c>
      <c r="AH121" s="12">
        <f t="shared" si="55"/>
        <v>12</v>
      </c>
      <c r="AI121" s="11">
        <f t="shared" si="56"/>
        <v>-123</v>
      </c>
    </row>
    <row r="122" spans="1:35" ht="15.75" thickBot="1" x14ac:dyDescent="0.3">
      <c r="A122" s="57" t="s">
        <v>140</v>
      </c>
      <c r="B122" s="61">
        <v>15.7</v>
      </c>
      <c r="C122" s="61">
        <v>22.2</v>
      </c>
      <c r="D122" s="61">
        <v>21.9</v>
      </c>
      <c r="E122" s="61">
        <v>21.5</v>
      </c>
      <c r="F122" s="61">
        <v>22.4</v>
      </c>
      <c r="G122" s="61">
        <v>23.2</v>
      </c>
      <c r="H122" s="61">
        <v>25.1</v>
      </c>
      <c r="I122" s="61">
        <v>24.5</v>
      </c>
      <c r="J122" s="61">
        <v>24.5</v>
      </c>
      <c r="K122" s="61">
        <v>3.3</v>
      </c>
      <c r="L122" s="61">
        <v>1.7</v>
      </c>
      <c r="M122" s="61">
        <v>1.7</v>
      </c>
      <c r="N122" s="61">
        <v>1.9</v>
      </c>
      <c r="O122" s="61">
        <v>-1.3</v>
      </c>
      <c r="P122" s="61">
        <v>-1.4</v>
      </c>
      <c r="Q122" s="61">
        <v>-5</v>
      </c>
      <c r="R122" s="61">
        <v>-6.2</v>
      </c>
      <c r="S122" s="61">
        <v>-5</v>
      </c>
      <c r="T122" s="61">
        <v>-1.3</v>
      </c>
      <c r="U122" s="61">
        <v>3.6</v>
      </c>
      <c r="V122" s="61">
        <v>7.6</v>
      </c>
      <c r="W122" s="61">
        <v>7</v>
      </c>
      <c r="X122" s="61">
        <v>7</v>
      </c>
      <c r="Y122" s="61">
        <v>-5</v>
      </c>
      <c r="Z122" s="61">
        <v>15</v>
      </c>
      <c r="AA122" s="61">
        <v>27.6</v>
      </c>
      <c r="AB122" s="61">
        <v>14.4</v>
      </c>
      <c r="AC122" s="61">
        <v>26.3</v>
      </c>
      <c r="AD122" s="61">
        <v>21.6</v>
      </c>
      <c r="AE122" s="61">
        <v>22</v>
      </c>
      <c r="AF122" s="61">
        <v>22</v>
      </c>
      <c r="AG122" s="55">
        <v>60</v>
      </c>
      <c r="AH122" s="12">
        <f t="shared" si="55"/>
        <v>27.6</v>
      </c>
      <c r="AI122" s="11">
        <f t="shared" si="56"/>
        <v>-6.2</v>
      </c>
    </row>
    <row r="123" spans="1:35" x14ac:dyDescent="0.25">
      <c r="A123" s="59" t="s">
        <v>139</v>
      </c>
      <c r="B123" s="58">
        <v>25.4</v>
      </c>
      <c r="C123" s="58">
        <v>19.2</v>
      </c>
      <c r="D123" s="58">
        <v>9.6</v>
      </c>
      <c r="E123" s="58">
        <v>7.3</v>
      </c>
      <c r="F123" s="58">
        <v>9.3000000000000007</v>
      </c>
      <c r="G123" s="58">
        <v>24.7</v>
      </c>
      <c r="H123" s="58">
        <v>39.1</v>
      </c>
      <c r="I123" s="58">
        <v>53</v>
      </c>
      <c r="J123" s="58">
        <v>53</v>
      </c>
      <c r="K123" s="58">
        <v>109.1</v>
      </c>
      <c r="L123" s="58">
        <v>120.9</v>
      </c>
      <c r="M123" s="58">
        <v>120.9</v>
      </c>
      <c r="N123" s="58">
        <v>102.1</v>
      </c>
      <c r="O123" s="58">
        <v>113.2</v>
      </c>
      <c r="P123" s="58">
        <v>116.4</v>
      </c>
      <c r="Q123" s="58">
        <v>111.4</v>
      </c>
      <c r="R123" s="58">
        <v>109.1</v>
      </c>
      <c r="S123" s="58">
        <v>113</v>
      </c>
      <c r="T123" s="58">
        <v>114</v>
      </c>
      <c r="U123" s="58">
        <v>102.6</v>
      </c>
      <c r="V123" s="58">
        <v>113</v>
      </c>
      <c r="W123" s="58">
        <v>124.1</v>
      </c>
      <c r="X123" s="58">
        <v>126.5</v>
      </c>
      <c r="Y123" s="58">
        <v>132.4</v>
      </c>
      <c r="Z123" s="58">
        <v>162.4</v>
      </c>
      <c r="AA123" s="58">
        <v>151</v>
      </c>
      <c r="AB123" s="58">
        <v>138.30000000000001</v>
      </c>
      <c r="AC123" s="58">
        <v>122.2</v>
      </c>
      <c r="AD123" s="58">
        <v>92.1</v>
      </c>
      <c r="AE123" s="58">
        <v>64</v>
      </c>
      <c r="AF123" s="58">
        <v>38</v>
      </c>
      <c r="AG123" s="60">
        <v>120</v>
      </c>
      <c r="AH123" s="12">
        <f t="shared" si="55"/>
        <v>162.4</v>
      </c>
      <c r="AI123" s="11">
        <f t="shared" si="56"/>
        <v>7.3</v>
      </c>
    </row>
    <row r="124" spans="1:35" x14ac:dyDescent="0.25">
      <c r="A124" s="57" t="s">
        <v>138</v>
      </c>
      <c r="B124" s="58">
        <v>29.1</v>
      </c>
      <c r="C124" s="58">
        <v>26.4</v>
      </c>
      <c r="D124" s="58">
        <v>21</v>
      </c>
      <c r="E124" s="58">
        <v>18.3</v>
      </c>
      <c r="F124" s="58">
        <v>19.600000000000001</v>
      </c>
      <c r="G124" s="58">
        <v>26.4</v>
      </c>
      <c r="H124" s="58">
        <v>33.700000000000003</v>
      </c>
      <c r="I124" s="58">
        <v>40.6</v>
      </c>
      <c r="J124" s="58">
        <v>40.6</v>
      </c>
      <c r="K124" s="58">
        <v>65.7</v>
      </c>
      <c r="L124" s="58">
        <v>71.3</v>
      </c>
      <c r="M124" s="58">
        <v>71.3</v>
      </c>
      <c r="N124" s="58">
        <v>68</v>
      </c>
      <c r="O124" s="58">
        <v>72.400000000000006</v>
      </c>
      <c r="P124" s="58">
        <v>72.8</v>
      </c>
      <c r="Q124" s="58">
        <v>71.5</v>
      </c>
      <c r="R124" s="58">
        <v>70.2</v>
      </c>
      <c r="S124" s="58">
        <v>71</v>
      </c>
      <c r="T124" s="58">
        <v>70.7</v>
      </c>
      <c r="U124" s="58">
        <v>65.8</v>
      </c>
      <c r="V124" s="58">
        <v>71</v>
      </c>
      <c r="W124" s="58">
        <v>76</v>
      </c>
      <c r="X124" s="58">
        <v>77</v>
      </c>
      <c r="Y124" s="58">
        <v>80</v>
      </c>
      <c r="Z124" s="58">
        <v>95</v>
      </c>
      <c r="AA124" s="58">
        <v>89</v>
      </c>
      <c r="AB124" s="58">
        <v>83.2</v>
      </c>
      <c r="AC124" s="58">
        <v>75.599999999999994</v>
      </c>
      <c r="AD124" s="58">
        <v>61.7</v>
      </c>
      <c r="AE124" s="58">
        <v>48</v>
      </c>
      <c r="AF124" s="58">
        <v>34</v>
      </c>
      <c r="AG124" s="60"/>
      <c r="AH124" s="12">
        <f t="shared" si="55"/>
        <v>95</v>
      </c>
      <c r="AI124" s="11">
        <f t="shared" si="56"/>
        <v>18.3</v>
      </c>
    </row>
    <row r="125" spans="1:35" x14ac:dyDescent="0.25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55"/>
        <v>0</v>
      </c>
      <c r="AI125" s="11">
        <f t="shared" si="56"/>
        <v>0</v>
      </c>
    </row>
    <row r="126" spans="1:35" ht="15.75" thickBot="1" x14ac:dyDescent="0.3">
      <c r="A126" s="57" t="s">
        <v>136</v>
      </c>
      <c r="B126" s="58">
        <v>16</v>
      </c>
      <c r="C126" s="58">
        <v>-10.199999999999999</v>
      </c>
      <c r="D126" s="58">
        <v>-2.7</v>
      </c>
      <c r="E126" s="58">
        <v>-15.9</v>
      </c>
      <c r="F126" s="58">
        <v>-11.7</v>
      </c>
      <c r="G126" s="58">
        <v>-6</v>
      </c>
      <c r="H126" s="58">
        <v>-8.5</v>
      </c>
      <c r="I126" s="58">
        <v>40.200000000000003</v>
      </c>
      <c r="J126" s="58">
        <v>40.200000000000003</v>
      </c>
      <c r="K126" s="58">
        <v>91.5</v>
      </c>
      <c r="L126" s="58">
        <v>93.2</v>
      </c>
      <c r="M126" s="58">
        <v>93.2</v>
      </c>
      <c r="N126" s="58">
        <v>75</v>
      </c>
      <c r="O126" s="58">
        <v>84</v>
      </c>
      <c r="P126" s="58">
        <v>92</v>
      </c>
      <c r="Q126" s="58">
        <v>85.1</v>
      </c>
      <c r="R126" s="58">
        <v>90.2</v>
      </c>
      <c r="S126" s="58">
        <v>86</v>
      </c>
      <c r="T126" s="58">
        <v>91.4</v>
      </c>
      <c r="U126" s="58">
        <v>73.7</v>
      </c>
      <c r="V126" s="58">
        <v>80.099999999999994</v>
      </c>
      <c r="W126" s="58">
        <v>74.3</v>
      </c>
      <c r="X126" s="58">
        <v>64</v>
      </c>
      <c r="Y126" s="58">
        <v>39</v>
      </c>
      <c r="Z126" s="58">
        <v>63.5</v>
      </c>
      <c r="AA126" s="58">
        <v>27</v>
      </c>
      <c r="AB126" s="58">
        <v>39.200000000000003</v>
      </c>
      <c r="AC126" s="58">
        <v>6.8</v>
      </c>
      <c r="AD126" s="58">
        <v>-5.3</v>
      </c>
      <c r="AE126" s="58">
        <v>-2.6</v>
      </c>
      <c r="AF126" s="58">
        <v>-9</v>
      </c>
      <c r="AG126" s="55"/>
      <c r="AH126" s="12">
        <f>MAX(B126:AF126)</f>
        <v>93.2</v>
      </c>
      <c r="AI126" s="11">
        <f>MIN(B126:AF126)</f>
        <v>-15.9</v>
      </c>
    </row>
    <row r="127" spans="1:35" x14ac:dyDescent="0.25">
      <c r="A127" s="59" t="s">
        <v>135</v>
      </c>
      <c r="B127" s="58">
        <v>-67.5</v>
      </c>
      <c r="C127" s="58">
        <v>-94</v>
      </c>
      <c r="D127" s="58">
        <v>-78.5</v>
      </c>
      <c r="E127" s="58">
        <v>-76.400000000000006</v>
      </c>
      <c r="F127" s="58">
        <v>-68.3</v>
      </c>
      <c r="G127" s="58">
        <v>-66.2</v>
      </c>
      <c r="H127" s="58">
        <v>-57.4</v>
      </c>
      <c r="I127" s="58">
        <v>-51</v>
      </c>
      <c r="J127" s="58">
        <v>-51</v>
      </c>
      <c r="K127" s="58">
        <v>32</v>
      </c>
      <c r="L127" s="58">
        <v>38</v>
      </c>
      <c r="M127" s="58">
        <v>38</v>
      </c>
      <c r="N127" s="58">
        <v>27.6</v>
      </c>
      <c r="O127" s="58">
        <v>34</v>
      </c>
      <c r="P127" s="58">
        <v>34.9</v>
      </c>
      <c r="Q127" s="58">
        <v>33.299999999999997</v>
      </c>
      <c r="R127" s="58">
        <v>32.6</v>
      </c>
      <c r="S127" s="58">
        <v>34</v>
      </c>
      <c r="T127" s="58">
        <v>35</v>
      </c>
      <c r="U127" s="58">
        <v>28.4</v>
      </c>
      <c r="V127" s="58">
        <v>34.299999999999997</v>
      </c>
      <c r="W127" s="58">
        <v>22</v>
      </c>
      <c r="X127" s="58">
        <v>25.8</v>
      </c>
      <c r="Y127" s="58">
        <v>-180</v>
      </c>
      <c r="Z127" s="58">
        <v>-165</v>
      </c>
      <c r="AA127" s="58">
        <v>-170</v>
      </c>
      <c r="AB127" s="58">
        <v>-164</v>
      </c>
      <c r="AC127" s="58">
        <v>-148.69999999999999</v>
      </c>
      <c r="AD127" s="58">
        <v>-121.4</v>
      </c>
      <c r="AE127" s="58">
        <v>-113.4</v>
      </c>
      <c r="AF127" s="58">
        <v>-120</v>
      </c>
      <c r="AG127" s="55"/>
      <c r="AH127" s="12">
        <f>MAX(B127:AF127)</f>
        <v>38</v>
      </c>
      <c r="AI127" s="11">
        <f>MIN(B127:AF127)</f>
        <v>-180</v>
      </c>
    </row>
    <row r="128" spans="1:35" x14ac:dyDescent="0.25">
      <c r="A128" s="57" t="s">
        <v>134</v>
      </c>
      <c r="B128" s="56">
        <v>-49.4</v>
      </c>
      <c r="C128" s="56">
        <v>-51.3</v>
      </c>
      <c r="D128" s="56">
        <v>-42.7</v>
      </c>
      <c r="E128" s="56">
        <v>-39.700000000000003</v>
      </c>
      <c r="F128" s="56">
        <v>-40</v>
      </c>
      <c r="G128" s="56">
        <v>-42.6</v>
      </c>
      <c r="H128" s="56">
        <v>-46.2</v>
      </c>
      <c r="I128" s="56">
        <v>-49.3</v>
      </c>
      <c r="J128" s="56">
        <v>-49.3</v>
      </c>
      <c r="K128" s="56">
        <v>-54.2</v>
      </c>
      <c r="L128" s="56">
        <v>-53.9</v>
      </c>
      <c r="M128" s="56">
        <v>-39.299999999999997</v>
      </c>
      <c r="N128" s="56">
        <v>-39.299999999999997</v>
      </c>
      <c r="O128" s="56">
        <v>-38.799999999999997</v>
      </c>
      <c r="P128" s="56">
        <v>-43.7</v>
      </c>
      <c r="Q128" s="56">
        <v>-44.4</v>
      </c>
      <c r="R128" s="56">
        <v>-36.5</v>
      </c>
      <c r="S128" s="56">
        <v>-50</v>
      </c>
      <c r="T128" s="56">
        <v>-44.2</v>
      </c>
      <c r="U128" s="56">
        <v>-47.5</v>
      </c>
      <c r="V128" s="56">
        <v>-54.9</v>
      </c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5"/>
      <c r="AH128" s="12">
        <f>MAX(B128:AF128)</f>
        <v>-36.5</v>
      </c>
      <c r="AI128" s="11">
        <f>MIN(B128:AF128)</f>
        <v>-54.9</v>
      </c>
    </row>
    <row r="129" spans="1:37" x14ac:dyDescent="0.25">
      <c r="A129" s="57" t="s">
        <v>133</v>
      </c>
      <c r="B129" s="56">
        <v>84.3</v>
      </c>
      <c r="C129" s="56">
        <v>82</v>
      </c>
      <c r="D129" s="56">
        <v>72.400000000000006</v>
      </c>
      <c r="E129" s="56">
        <v>67.8</v>
      </c>
      <c r="F129" s="56">
        <v>67.36</v>
      </c>
      <c r="G129" s="56">
        <v>65</v>
      </c>
      <c r="H129" s="56">
        <v>62.3</v>
      </c>
      <c r="I129" s="56">
        <v>50.5</v>
      </c>
      <c r="J129" s="56">
        <v>50.5</v>
      </c>
      <c r="K129" s="56">
        <v>55.9</v>
      </c>
      <c r="L129" s="56">
        <v>66</v>
      </c>
      <c r="M129" s="56">
        <v>110.4</v>
      </c>
      <c r="N129" s="56">
        <v>110.4</v>
      </c>
      <c r="O129" s="56">
        <v>113.2</v>
      </c>
      <c r="P129" s="56">
        <v>72.3</v>
      </c>
      <c r="Q129" s="56">
        <v>84.5</v>
      </c>
      <c r="R129" s="56">
        <v>88.5</v>
      </c>
      <c r="S129" s="56">
        <v>85</v>
      </c>
      <c r="T129" s="56">
        <v>84</v>
      </c>
      <c r="U129" s="56">
        <v>73.2</v>
      </c>
      <c r="V129" s="56">
        <v>60.4</v>
      </c>
      <c r="W129" s="56">
        <v>59.3</v>
      </c>
      <c r="X129" s="56">
        <v>47</v>
      </c>
      <c r="Y129" s="56">
        <v>107</v>
      </c>
      <c r="Z129" s="56">
        <v>119</v>
      </c>
      <c r="AA129" s="56">
        <v>114.3</v>
      </c>
      <c r="AB129" s="56">
        <v>114.1</v>
      </c>
      <c r="AC129" s="56">
        <v>112.2</v>
      </c>
      <c r="AD129" s="56">
        <v>107.4</v>
      </c>
      <c r="AE129" s="56">
        <v>98.3</v>
      </c>
      <c r="AF129" s="56">
        <v>88</v>
      </c>
      <c r="AG129" s="55"/>
      <c r="AH129" s="12">
        <f>MAX(B129:AF129)</f>
        <v>119</v>
      </c>
      <c r="AI129" s="11">
        <f>MIN(B129:AF129)</f>
        <v>47</v>
      </c>
    </row>
    <row r="130" spans="1:37" ht="15.75" thickBot="1" x14ac:dyDescent="0.3">
      <c r="A130" s="57" t="s">
        <v>132</v>
      </c>
      <c r="B130" s="56">
        <v>95.1</v>
      </c>
      <c r="C130" s="56">
        <v>90.8</v>
      </c>
      <c r="D130" s="56">
        <v>82.7</v>
      </c>
      <c r="E130" s="56">
        <v>78.099999999999994</v>
      </c>
      <c r="F130" s="56">
        <v>77.5</v>
      </c>
      <c r="G130" s="56">
        <v>74.900000000000006</v>
      </c>
      <c r="H130" s="56">
        <v>72.5</v>
      </c>
      <c r="I130" s="56">
        <v>120.6</v>
      </c>
      <c r="J130" s="56">
        <v>120.6</v>
      </c>
      <c r="K130" s="56">
        <v>62.6</v>
      </c>
      <c r="L130" s="56">
        <v>68.3</v>
      </c>
      <c r="M130" s="56">
        <v>50.2</v>
      </c>
      <c r="N130" s="56">
        <v>50.2</v>
      </c>
      <c r="O130" s="56">
        <v>54.5</v>
      </c>
      <c r="P130" s="56">
        <v>70</v>
      </c>
      <c r="Q130" s="56">
        <v>83.8</v>
      </c>
      <c r="R130" s="56">
        <v>77.099999999999994</v>
      </c>
      <c r="S130" s="56">
        <v>82.3</v>
      </c>
      <c r="T130" s="56">
        <v>83</v>
      </c>
      <c r="U130" s="56">
        <v>79.599999999999994</v>
      </c>
      <c r="V130" s="56">
        <v>59.4</v>
      </c>
      <c r="W130" s="56">
        <v>62</v>
      </c>
      <c r="X130" s="56">
        <v>55.1</v>
      </c>
      <c r="Y130" s="56">
        <v>115</v>
      </c>
      <c r="Z130" s="56">
        <v>126</v>
      </c>
      <c r="AA130" s="56">
        <v>123.5</v>
      </c>
      <c r="AB130" s="56">
        <v>119.7</v>
      </c>
      <c r="AC130" s="56">
        <v>118.3</v>
      </c>
      <c r="AD130" s="56">
        <v>114.3</v>
      </c>
      <c r="AE130" s="56">
        <v>105.6</v>
      </c>
      <c r="AF130" s="56">
        <v>98</v>
      </c>
      <c r="AG130" s="55"/>
      <c r="AH130" s="12">
        <f>MAX(B130:AF130)</f>
        <v>126</v>
      </c>
      <c r="AI130" s="11">
        <f>MIN(B130:AF130)</f>
        <v>50.2</v>
      </c>
    </row>
    <row r="131" spans="1:37" x14ac:dyDescent="0.25">
      <c r="A131" s="54" t="s">
        <v>131</v>
      </c>
      <c r="B131" s="52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25">
      <c r="A132" s="47" t="s">
        <v>130</v>
      </c>
      <c r="B132" s="50">
        <v>1982.94</v>
      </c>
      <c r="C132" s="51">
        <v>1982.93</v>
      </c>
      <c r="D132" s="51">
        <v>1982.82</v>
      </c>
      <c r="E132" s="51"/>
      <c r="F132" s="51"/>
      <c r="G132" s="51">
        <v>1983</v>
      </c>
      <c r="H132" s="51"/>
      <c r="I132" s="51">
        <v>1983.06</v>
      </c>
      <c r="J132" s="51"/>
      <c r="K132" s="51">
        <v>1983.28</v>
      </c>
      <c r="L132" s="51"/>
      <c r="M132" s="51">
        <v>1983.69</v>
      </c>
      <c r="N132" s="51">
        <v>1984.02</v>
      </c>
      <c r="O132" s="51">
        <v>1984.4</v>
      </c>
      <c r="P132" s="51">
        <v>1984.7</v>
      </c>
      <c r="Q132" s="51">
        <v>1985</v>
      </c>
      <c r="R132" s="51">
        <v>1985.3</v>
      </c>
      <c r="S132" s="51">
        <v>1985.6</v>
      </c>
      <c r="T132" s="51">
        <v>1985.8</v>
      </c>
      <c r="U132" s="51">
        <v>1986.05</v>
      </c>
      <c r="V132" s="51">
        <v>1986.4</v>
      </c>
      <c r="W132" s="51"/>
      <c r="X132" s="51">
        <v>1986.65</v>
      </c>
      <c r="Y132" s="51"/>
      <c r="Z132" s="51">
        <v>1986.2</v>
      </c>
      <c r="AA132" s="51"/>
      <c r="AB132" s="51">
        <v>1985.3</v>
      </c>
      <c r="AC132" s="51"/>
      <c r="AD132" s="51">
        <v>1984.53</v>
      </c>
      <c r="AE132" s="51">
        <v>1984.02</v>
      </c>
      <c r="AF132" s="50">
        <v>1983.64</v>
      </c>
      <c r="AG132" s="44"/>
      <c r="AH132" s="12"/>
      <c r="AI132" s="11"/>
    </row>
    <row r="133" spans="1:37" x14ac:dyDescent="0.25">
      <c r="A133" s="47" t="s">
        <v>129</v>
      </c>
      <c r="B133" s="48">
        <v>519.62</v>
      </c>
      <c r="C133" s="49">
        <v>519.85</v>
      </c>
      <c r="D133" s="49">
        <v>520.1</v>
      </c>
      <c r="E133" s="49"/>
      <c r="F133" s="49"/>
      <c r="G133" s="49">
        <v>520.91</v>
      </c>
      <c r="H133" s="49"/>
      <c r="I133" s="49">
        <v>521.25</v>
      </c>
      <c r="J133" s="49"/>
      <c r="K133" s="49">
        <v>521.6</v>
      </c>
      <c r="L133" s="49"/>
      <c r="M133" s="49">
        <v>522.05999999999995</v>
      </c>
      <c r="N133" s="49">
        <v>522.35</v>
      </c>
      <c r="O133" s="49">
        <v>522.49</v>
      </c>
      <c r="P133" s="49">
        <v>522.66999999999996</v>
      </c>
      <c r="Q133" s="49">
        <v>522.78</v>
      </c>
      <c r="R133" s="49">
        <v>522.91</v>
      </c>
      <c r="S133" s="49">
        <v>522.96</v>
      </c>
      <c r="T133" s="49">
        <v>522.91999999999996</v>
      </c>
      <c r="U133" s="49">
        <v>522.89</v>
      </c>
      <c r="V133" s="49">
        <v>522.86</v>
      </c>
      <c r="W133" s="49"/>
      <c r="X133" s="49">
        <v>522.94000000000005</v>
      </c>
      <c r="Y133" s="49"/>
      <c r="Z133" s="49">
        <v>522.79999999999995</v>
      </c>
      <c r="AA133" s="49"/>
      <c r="AB133" s="49">
        <v>522.4</v>
      </c>
      <c r="AC133" s="49"/>
      <c r="AD133" s="49">
        <v>522.04999999999995</v>
      </c>
      <c r="AE133" s="49">
        <v>521.61</v>
      </c>
      <c r="AF133" s="48">
        <v>521.42999999999995</v>
      </c>
      <c r="AG133" s="44"/>
      <c r="AH133" s="12"/>
      <c r="AI133" s="11"/>
    </row>
    <row r="134" spans="1:37" x14ac:dyDescent="0.25">
      <c r="A134" s="47" t="s">
        <v>128</v>
      </c>
      <c r="B134" s="48">
        <v>622.91</v>
      </c>
      <c r="C134" s="49">
        <v>623.19000000000005</v>
      </c>
      <c r="D134" s="49">
        <v>623.36</v>
      </c>
      <c r="E134" s="49"/>
      <c r="F134" s="49"/>
      <c r="G134" s="49">
        <v>624.41999999999996</v>
      </c>
      <c r="H134" s="49"/>
      <c r="I134" s="49">
        <v>624.53</v>
      </c>
      <c r="J134" s="49"/>
      <c r="K134" s="49">
        <v>624.59</v>
      </c>
      <c r="L134" s="49"/>
      <c r="M134" s="49">
        <v>624.85</v>
      </c>
      <c r="N134" s="49">
        <v>624.86</v>
      </c>
      <c r="O134" s="49">
        <v>624.91999999999996</v>
      </c>
      <c r="P134" s="49">
        <v>624.85</v>
      </c>
      <c r="Q134" s="49">
        <v>624.74</v>
      </c>
      <c r="R134" s="49">
        <v>624.57000000000005</v>
      </c>
      <c r="S134" s="49">
        <v>624.37</v>
      </c>
      <c r="T134" s="49">
        <v>624.22</v>
      </c>
      <c r="U134" s="49">
        <v>624</v>
      </c>
      <c r="V134" s="49">
        <v>624.08000000000004</v>
      </c>
      <c r="W134" s="49"/>
      <c r="X134" s="49">
        <v>624.30999999999995</v>
      </c>
      <c r="Y134" s="49"/>
      <c r="Z134" s="49">
        <v>624.25</v>
      </c>
      <c r="AA134" s="49"/>
      <c r="AB134" s="49">
        <v>623.86</v>
      </c>
      <c r="AC134" s="49"/>
      <c r="AD134" s="49">
        <v>623.5</v>
      </c>
      <c r="AE134" s="49">
        <v>623.28</v>
      </c>
      <c r="AF134" s="48">
        <v>623.16</v>
      </c>
      <c r="AG134" s="44"/>
      <c r="AH134" s="12"/>
      <c r="AI134" s="11"/>
    </row>
    <row r="135" spans="1:37" x14ac:dyDescent="0.25">
      <c r="A135" s="47" t="s">
        <v>127</v>
      </c>
      <c r="B135" s="48">
        <v>334.32</v>
      </c>
      <c r="C135" s="49">
        <v>334.02</v>
      </c>
      <c r="D135" s="49">
        <v>334.08</v>
      </c>
      <c r="E135" s="49"/>
      <c r="F135" s="49"/>
      <c r="G135" s="49">
        <v>334.08</v>
      </c>
      <c r="H135" s="49"/>
      <c r="I135" s="49"/>
      <c r="J135" s="49"/>
      <c r="K135" s="49">
        <v>334.31</v>
      </c>
      <c r="L135" s="49"/>
      <c r="M135" s="49">
        <v>334.74</v>
      </c>
      <c r="N135" s="49">
        <v>334.95</v>
      </c>
      <c r="O135" s="49">
        <v>335.12</v>
      </c>
      <c r="P135" s="49">
        <v>335.46</v>
      </c>
      <c r="Q135" s="49">
        <v>335.82</v>
      </c>
      <c r="R135" s="49">
        <v>336.22</v>
      </c>
      <c r="S135" s="49">
        <v>336.69</v>
      </c>
      <c r="T135" s="49">
        <v>337.08</v>
      </c>
      <c r="U135" s="49">
        <v>337.44</v>
      </c>
      <c r="V135" s="49">
        <v>337.8</v>
      </c>
      <c r="W135" s="49"/>
      <c r="X135" s="49">
        <v>337.79</v>
      </c>
      <c r="Y135" s="49"/>
      <c r="Z135" s="49">
        <v>337.67</v>
      </c>
      <c r="AA135" s="49"/>
      <c r="AB135" s="49">
        <v>337.57</v>
      </c>
      <c r="AC135" s="49"/>
      <c r="AD135" s="49">
        <v>337.41</v>
      </c>
      <c r="AE135" s="49">
        <v>337.18</v>
      </c>
      <c r="AF135" s="48">
        <v>336.91</v>
      </c>
      <c r="AG135" s="44"/>
      <c r="AH135" s="12"/>
      <c r="AI135" s="11"/>
    </row>
    <row r="136" spans="1:37" x14ac:dyDescent="0.25">
      <c r="A136" s="47" t="s">
        <v>126</v>
      </c>
      <c r="B136" s="48"/>
      <c r="C136" s="49">
        <v>886.8</v>
      </c>
      <c r="D136" s="49">
        <v>887.8</v>
      </c>
      <c r="E136" s="49"/>
      <c r="F136" s="49"/>
      <c r="G136" s="49"/>
      <c r="H136" s="49"/>
      <c r="I136" s="49">
        <v>887.1</v>
      </c>
      <c r="J136" s="49"/>
      <c r="K136" s="49">
        <v>886.8</v>
      </c>
      <c r="L136" s="49"/>
      <c r="M136" s="49">
        <v>886.9</v>
      </c>
      <c r="N136" s="49">
        <v>887.2</v>
      </c>
      <c r="O136" s="49">
        <v>887.3</v>
      </c>
      <c r="P136" s="49">
        <v>887.5</v>
      </c>
      <c r="Q136" s="49">
        <v>887.7</v>
      </c>
      <c r="R136" s="49">
        <v>887.7</v>
      </c>
      <c r="S136" s="49">
        <v>887.5</v>
      </c>
      <c r="T136" s="49">
        <v>887</v>
      </c>
      <c r="U136" s="49">
        <v>886.4</v>
      </c>
      <c r="V136" s="49">
        <v>885.6</v>
      </c>
      <c r="W136" s="49"/>
      <c r="X136" s="49">
        <v>885.5</v>
      </c>
      <c r="Y136" s="49"/>
      <c r="Z136" s="49">
        <v>885.5</v>
      </c>
      <c r="AA136" s="49"/>
      <c r="AB136" s="49">
        <v>884.5</v>
      </c>
      <c r="AC136" s="49"/>
      <c r="AD136" s="49">
        <v>883.4</v>
      </c>
      <c r="AE136" s="49">
        <v>882.3</v>
      </c>
      <c r="AF136" s="48">
        <v>882.1</v>
      </c>
      <c r="AG136" s="44"/>
      <c r="AH136" s="12"/>
      <c r="AI136" s="11"/>
    </row>
    <row r="137" spans="1:37" ht="15.75" thickBot="1" x14ac:dyDescent="0.3">
      <c r="A137" s="47" t="s">
        <v>125</v>
      </c>
      <c r="B137" s="45">
        <v>1502.87</v>
      </c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>
        <v>1502.55</v>
      </c>
      <c r="AC137" s="46"/>
      <c r="AD137" s="46"/>
      <c r="AE137" s="46"/>
      <c r="AF137" s="45"/>
      <c r="AG137" s="44"/>
      <c r="AH137" s="12"/>
      <c r="AI137" s="11"/>
    </row>
    <row r="138" spans="1:37" ht="15.75" thickBot="1" x14ac:dyDescent="0.3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25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25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25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25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25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25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25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25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25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25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25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25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25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25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25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25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25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25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25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25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25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25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25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25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25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25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25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25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25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25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25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25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25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25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25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25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25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25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25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25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25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25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25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25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25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25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25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25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25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25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25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25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25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25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25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25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25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25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25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25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25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25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25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25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25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25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25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25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25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25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25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25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25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25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25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25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25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25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25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25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25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25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25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25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25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25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25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25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25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25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25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25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25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25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25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25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25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25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25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25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25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25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25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25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.75" thickBot="1" x14ac:dyDescent="0.3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.75" thickBot="1" x14ac:dyDescent="0.3">
      <c r="A244" s="31" t="s">
        <v>17</v>
      </c>
      <c r="B244" s="30">
        <f t="shared" ref="B244:AG244" si="131">SUM(B139:B243)</f>
        <v>0</v>
      </c>
      <c r="C244" s="14">
        <f t="shared" si="131"/>
        <v>0</v>
      </c>
      <c r="D244" s="14">
        <f t="shared" si="131"/>
        <v>0</v>
      </c>
      <c r="E244" s="14">
        <f t="shared" si="131"/>
        <v>0</v>
      </c>
      <c r="F244" s="14">
        <f t="shared" si="131"/>
        <v>0</v>
      </c>
      <c r="G244" s="14">
        <f t="shared" si="131"/>
        <v>0</v>
      </c>
      <c r="H244" s="14">
        <f t="shared" si="131"/>
        <v>0</v>
      </c>
      <c r="I244" s="14">
        <f t="shared" si="131"/>
        <v>0</v>
      </c>
      <c r="J244" s="14">
        <f t="shared" si="131"/>
        <v>0</v>
      </c>
      <c r="K244" s="14">
        <f t="shared" si="131"/>
        <v>0</v>
      </c>
      <c r="L244" s="14">
        <f t="shared" si="131"/>
        <v>0</v>
      </c>
      <c r="M244" s="14">
        <f t="shared" si="131"/>
        <v>0</v>
      </c>
      <c r="N244" s="14">
        <f t="shared" si="131"/>
        <v>0</v>
      </c>
      <c r="O244" s="14">
        <f t="shared" si="131"/>
        <v>0</v>
      </c>
      <c r="P244" s="14">
        <f t="shared" si="131"/>
        <v>0</v>
      </c>
      <c r="Q244" s="14">
        <f t="shared" si="131"/>
        <v>0</v>
      </c>
      <c r="R244" s="14">
        <f t="shared" si="131"/>
        <v>0</v>
      </c>
      <c r="S244" s="14">
        <f t="shared" si="131"/>
        <v>0</v>
      </c>
      <c r="T244" s="14">
        <f t="shared" si="131"/>
        <v>0</v>
      </c>
      <c r="U244" s="14">
        <f t="shared" si="131"/>
        <v>0</v>
      </c>
      <c r="V244" s="14">
        <f t="shared" si="131"/>
        <v>0</v>
      </c>
      <c r="W244" s="14">
        <f t="shared" si="131"/>
        <v>0</v>
      </c>
      <c r="X244" s="14">
        <f t="shared" si="131"/>
        <v>0</v>
      </c>
      <c r="Y244" s="14">
        <f t="shared" si="131"/>
        <v>0</v>
      </c>
      <c r="Z244" s="14">
        <f t="shared" si="131"/>
        <v>0</v>
      </c>
      <c r="AA244" s="14">
        <f t="shared" si="131"/>
        <v>0</v>
      </c>
      <c r="AB244" s="14">
        <f t="shared" si="131"/>
        <v>0</v>
      </c>
      <c r="AC244" s="14">
        <f t="shared" si="131"/>
        <v>0</v>
      </c>
      <c r="AD244" s="14">
        <f t="shared" si="131"/>
        <v>0</v>
      </c>
      <c r="AE244" s="14">
        <f t="shared" si="131"/>
        <v>0</v>
      </c>
      <c r="AF244" s="29">
        <f t="shared" si="131"/>
        <v>0</v>
      </c>
      <c r="AG244" s="28">
        <f t="shared" si="131"/>
        <v>412.72299999999984</v>
      </c>
      <c r="AH244" s="12"/>
      <c r="AI244" s="11"/>
      <c r="AK244" s="19"/>
    </row>
    <row r="245" spans="1:37" ht="15.75" thickBot="1" x14ac:dyDescent="0.3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25">
      <c r="A246" s="25" t="s">
        <v>16</v>
      </c>
      <c r="B246" s="24">
        <f t="shared" ref="B246:B251" si="132">AF246</f>
        <v>0.3</v>
      </c>
      <c r="C246" s="24">
        <v>0.3</v>
      </c>
      <c r="D246" s="24">
        <f t="shared" ref="D246:AF251" si="133">C246</f>
        <v>0.3</v>
      </c>
      <c r="E246" s="24">
        <f t="shared" si="133"/>
        <v>0.3</v>
      </c>
      <c r="F246" s="24">
        <f t="shared" si="133"/>
        <v>0.3</v>
      </c>
      <c r="G246" s="24">
        <f t="shared" si="133"/>
        <v>0.3</v>
      </c>
      <c r="H246" s="24">
        <f t="shared" si="133"/>
        <v>0.3</v>
      </c>
      <c r="I246" s="24">
        <f t="shared" si="133"/>
        <v>0.3</v>
      </c>
      <c r="J246" s="24">
        <f t="shared" si="133"/>
        <v>0.3</v>
      </c>
      <c r="K246" s="24">
        <f t="shared" si="133"/>
        <v>0.3</v>
      </c>
      <c r="L246" s="24">
        <f t="shared" si="133"/>
        <v>0.3</v>
      </c>
      <c r="M246" s="24">
        <f t="shared" si="133"/>
        <v>0.3</v>
      </c>
      <c r="N246" s="24">
        <f t="shared" si="133"/>
        <v>0.3</v>
      </c>
      <c r="O246" s="24">
        <f t="shared" si="133"/>
        <v>0.3</v>
      </c>
      <c r="P246" s="24">
        <f t="shared" si="133"/>
        <v>0.3</v>
      </c>
      <c r="Q246" s="24">
        <f t="shared" si="133"/>
        <v>0.3</v>
      </c>
      <c r="R246" s="24">
        <f t="shared" si="133"/>
        <v>0.3</v>
      </c>
      <c r="S246" s="24">
        <f t="shared" si="133"/>
        <v>0.3</v>
      </c>
      <c r="T246" s="24">
        <f t="shared" si="133"/>
        <v>0.3</v>
      </c>
      <c r="U246" s="24">
        <f t="shared" si="133"/>
        <v>0.3</v>
      </c>
      <c r="V246" s="24">
        <f t="shared" si="133"/>
        <v>0.3</v>
      </c>
      <c r="W246" s="24">
        <f t="shared" si="133"/>
        <v>0.3</v>
      </c>
      <c r="X246" s="24">
        <f t="shared" si="133"/>
        <v>0.3</v>
      </c>
      <c r="Y246" s="24">
        <f t="shared" si="133"/>
        <v>0.3</v>
      </c>
      <c r="Z246" s="24">
        <f t="shared" si="133"/>
        <v>0.3</v>
      </c>
      <c r="AA246" s="24">
        <f t="shared" si="133"/>
        <v>0.3</v>
      </c>
      <c r="AB246" s="24">
        <f t="shared" si="133"/>
        <v>0.3</v>
      </c>
      <c r="AC246" s="24">
        <f t="shared" si="133"/>
        <v>0.3</v>
      </c>
      <c r="AD246" s="24">
        <f t="shared" si="133"/>
        <v>0.3</v>
      </c>
      <c r="AE246" s="24">
        <f t="shared" si="133"/>
        <v>0.3</v>
      </c>
      <c r="AF246" s="24">
        <f t="shared" si="133"/>
        <v>0.3</v>
      </c>
      <c r="AG246" s="23">
        <v>2.4</v>
      </c>
      <c r="AH246" s="12"/>
      <c r="AI246" s="11"/>
      <c r="AK246" s="19"/>
    </row>
    <row r="247" spans="1:37" x14ac:dyDescent="0.25">
      <c r="A247" s="22" t="s">
        <v>15</v>
      </c>
      <c r="B247" s="21">
        <f t="shared" si="132"/>
        <v>0.4</v>
      </c>
      <c r="C247" s="21">
        <v>0.4</v>
      </c>
      <c r="D247" s="21">
        <f t="shared" si="133"/>
        <v>0.4</v>
      </c>
      <c r="E247" s="21">
        <f t="shared" si="133"/>
        <v>0.4</v>
      </c>
      <c r="F247" s="21">
        <f t="shared" si="133"/>
        <v>0.4</v>
      </c>
      <c r="G247" s="21">
        <f t="shared" si="133"/>
        <v>0.4</v>
      </c>
      <c r="H247" s="21">
        <f t="shared" si="133"/>
        <v>0.4</v>
      </c>
      <c r="I247" s="21">
        <f t="shared" si="133"/>
        <v>0.4</v>
      </c>
      <c r="J247" s="21">
        <f t="shared" si="133"/>
        <v>0.4</v>
      </c>
      <c r="K247" s="21">
        <f t="shared" si="133"/>
        <v>0.4</v>
      </c>
      <c r="L247" s="21">
        <f t="shared" si="133"/>
        <v>0.4</v>
      </c>
      <c r="M247" s="21">
        <f t="shared" si="133"/>
        <v>0.4</v>
      </c>
      <c r="N247" s="21">
        <f t="shared" si="133"/>
        <v>0.4</v>
      </c>
      <c r="O247" s="21">
        <f t="shared" si="133"/>
        <v>0.4</v>
      </c>
      <c r="P247" s="21">
        <f t="shared" si="133"/>
        <v>0.4</v>
      </c>
      <c r="Q247" s="21">
        <f t="shared" si="133"/>
        <v>0.4</v>
      </c>
      <c r="R247" s="21">
        <f t="shared" si="133"/>
        <v>0.4</v>
      </c>
      <c r="S247" s="21">
        <f t="shared" si="133"/>
        <v>0.4</v>
      </c>
      <c r="T247" s="21">
        <f t="shared" si="133"/>
        <v>0.4</v>
      </c>
      <c r="U247" s="21">
        <f t="shared" si="133"/>
        <v>0.4</v>
      </c>
      <c r="V247" s="21">
        <f t="shared" si="133"/>
        <v>0.4</v>
      </c>
      <c r="W247" s="21">
        <f t="shared" si="133"/>
        <v>0.4</v>
      </c>
      <c r="X247" s="21">
        <f t="shared" si="133"/>
        <v>0.4</v>
      </c>
      <c r="Y247" s="21">
        <f t="shared" si="133"/>
        <v>0.4</v>
      </c>
      <c r="Z247" s="21">
        <f t="shared" si="133"/>
        <v>0.4</v>
      </c>
      <c r="AA247" s="21">
        <f t="shared" si="133"/>
        <v>0.4</v>
      </c>
      <c r="AB247" s="21">
        <f t="shared" si="133"/>
        <v>0.4</v>
      </c>
      <c r="AC247" s="21">
        <f t="shared" si="133"/>
        <v>0.4</v>
      </c>
      <c r="AD247" s="21">
        <f t="shared" si="133"/>
        <v>0.4</v>
      </c>
      <c r="AE247" s="21">
        <f t="shared" si="133"/>
        <v>0.4</v>
      </c>
      <c r="AF247" s="21">
        <f t="shared" si="133"/>
        <v>0.4</v>
      </c>
      <c r="AG247" s="20">
        <v>2</v>
      </c>
      <c r="AH247" s="12"/>
      <c r="AI247" s="11"/>
      <c r="AK247" s="19"/>
    </row>
    <row r="248" spans="1:37" x14ac:dyDescent="0.25">
      <c r="A248" s="22" t="s">
        <v>14</v>
      </c>
      <c r="B248" s="21">
        <f t="shared" si="132"/>
        <v>1.5</v>
      </c>
      <c r="C248" s="21">
        <v>1.5</v>
      </c>
      <c r="D248" s="21">
        <f t="shared" si="133"/>
        <v>1.5</v>
      </c>
      <c r="E248" s="21">
        <f t="shared" si="133"/>
        <v>1.5</v>
      </c>
      <c r="F248" s="21">
        <f t="shared" si="133"/>
        <v>1.5</v>
      </c>
      <c r="G248" s="21">
        <f t="shared" si="133"/>
        <v>1.5</v>
      </c>
      <c r="H248" s="21">
        <f t="shared" si="133"/>
        <v>1.5</v>
      </c>
      <c r="I248" s="21">
        <f t="shared" si="133"/>
        <v>1.5</v>
      </c>
      <c r="J248" s="21">
        <f t="shared" si="133"/>
        <v>1.5</v>
      </c>
      <c r="K248" s="21">
        <f t="shared" si="133"/>
        <v>1.5</v>
      </c>
      <c r="L248" s="21">
        <f t="shared" si="133"/>
        <v>1.5</v>
      </c>
      <c r="M248" s="21">
        <f t="shared" si="133"/>
        <v>1.5</v>
      </c>
      <c r="N248" s="21">
        <f t="shared" si="133"/>
        <v>1.5</v>
      </c>
      <c r="O248" s="21">
        <f t="shared" si="133"/>
        <v>1.5</v>
      </c>
      <c r="P248" s="21">
        <f t="shared" si="133"/>
        <v>1.5</v>
      </c>
      <c r="Q248" s="21">
        <f t="shared" si="133"/>
        <v>1.5</v>
      </c>
      <c r="R248" s="21">
        <f t="shared" si="133"/>
        <v>1.5</v>
      </c>
      <c r="S248" s="21">
        <f t="shared" si="133"/>
        <v>1.5</v>
      </c>
      <c r="T248" s="21">
        <f t="shared" si="133"/>
        <v>1.5</v>
      </c>
      <c r="U248" s="21">
        <f t="shared" si="133"/>
        <v>1.5</v>
      </c>
      <c r="V248" s="21">
        <f t="shared" si="133"/>
        <v>1.5</v>
      </c>
      <c r="W248" s="21">
        <f t="shared" si="133"/>
        <v>1.5</v>
      </c>
      <c r="X248" s="21">
        <f t="shared" si="133"/>
        <v>1.5</v>
      </c>
      <c r="Y248" s="21">
        <f t="shared" si="133"/>
        <v>1.5</v>
      </c>
      <c r="Z248" s="21">
        <f t="shared" si="133"/>
        <v>1.5</v>
      </c>
      <c r="AA248" s="21">
        <f t="shared" si="133"/>
        <v>1.5</v>
      </c>
      <c r="AB248" s="21">
        <f t="shared" si="133"/>
        <v>1.5</v>
      </c>
      <c r="AC248" s="21">
        <f t="shared" si="133"/>
        <v>1.5</v>
      </c>
      <c r="AD248" s="21">
        <f t="shared" si="133"/>
        <v>1.5</v>
      </c>
      <c r="AE248" s="21">
        <f t="shared" si="133"/>
        <v>1.5</v>
      </c>
      <c r="AF248" s="21">
        <f t="shared" si="133"/>
        <v>1.5</v>
      </c>
      <c r="AG248" s="20">
        <v>1.5</v>
      </c>
      <c r="AH248" s="12"/>
      <c r="AI248" s="11"/>
      <c r="AK248" s="19"/>
    </row>
    <row r="249" spans="1:37" x14ac:dyDescent="0.25">
      <c r="A249" s="22" t="s">
        <v>13</v>
      </c>
      <c r="B249" s="21">
        <f t="shared" si="132"/>
        <v>0.3</v>
      </c>
      <c r="C249" s="21">
        <v>0.3</v>
      </c>
      <c r="D249" s="21">
        <f t="shared" si="133"/>
        <v>0.3</v>
      </c>
      <c r="E249" s="21">
        <f t="shared" si="133"/>
        <v>0.3</v>
      </c>
      <c r="F249" s="21">
        <f t="shared" si="133"/>
        <v>0.3</v>
      </c>
      <c r="G249" s="21">
        <f t="shared" si="133"/>
        <v>0.3</v>
      </c>
      <c r="H249" s="21">
        <f t="shared" si="133"/>
        <v>0.3</v>
      </c>
      <c r="I249" s="21">
        <f t="shared" si="133"/>
        <v>0.3</v>
      </c>
      <c r="J249" s="21">
        <f t="shared" si="133"/>
        <v>0.3</v>
      </c>
      <c r="K249" s="21">
        <f t="shared" si="133"/>
        <v>0.3</v>
      </c>
      <c r="L249" s="21">
        <f t="shared" si="133"/>
        <v>0.3</v>
      </c>
      <c r="M249" s="21">
        <f t="shared" si="133"/>
        <v>0.3</v>
      </c>
      <c r="N249" s="21">
        <f t="shared" si="133"/>
        <v>0.3</v>
      </c>
      <c r="O249" s="21">
        <f t="shared" si="133"/>
        <v>0.3</v>
      </c>
      <c r="P249" s="21">
        <f t="shared" si="133"/>
        <v>0.3</v>
      </c>
      <c r="Q249" s="21">
        <f t="shared" si="133"/>
        <v>0.3</v>
      </c>
      <c r="R249" s="21">
        <f t="shared" si="133"/>
        <v>0.3</v>
      </c>
      <c r="S249" s="21">
        <f t="shared" si="133"/>
        <v>0.3</v>
      </c>
      <c r="T249" s="21">
        <f t="shared" si="133"/>
        <v>0.3</v>
      </c>
      <c r="U249" s="21">
        <f t="shared" si="133"/>
        <v>0.3</v>
      </c>
      <c r="V249" s="21">
        <f t="shared" si="133"/>
        <v>0.3</v>
      </c>
      <c r="W249" s="21">
        <f t="shared" si="133"/>
        <v>0.3</v>
      </c>
      <c r="X249" s="21">
        <f t="shared" si="133"/>
        <v>0.3</v>
      </c>
      <c r="Y249" s="21">
        <f t="shared" si="133"/>
        <v>0.3</v>
      </c>
      <c r="Z249" s="21">
        <f t="shared" si="133"/>
        <v>0.3</v>
      </c>
      <c r="AA249" s="21">
        <f t="shared" si="133"/>
        <v>0.3</v>
      </c>
      <c r="AB249" s="21">
        <f t="shared" si="133"/>
        <v>0.3</v>
      </c>
      <c r="AC249" s="21">
        <f t="shared" si="133"/>
        <v>0.3</v>
      </c>
      <c r="AD249" s="21">
        <f t="shared" si="133"/>
        <v>0.3</v>
      </c>
      <c r="AE249" s="21">
        <f t="shared" si="133"/>
        <v>0.3</v>
      </c>
      <c r="AF249" s="21">
        <f t="shared" si="133"/>
        <v>0.3</v>
      </c>
      <c r="AG249" s="20">
        <v>1</v>
      </c>
      <c r="AH249" s="12"/>
      <c r="AI249" s="11"/>
      <c r="AK249" s="19"/>
    </row>
    <row r="250" spans="1:37" x14ac:dyDescent="0.25">
      <c r="A250" s="22" t="s">
        <v>12</v>
      </c>
      <c r="B250" s="21">
        <f t="shared" si="132"/>
        <v>0.4</v>
      </c>
      <c r="C250" s="21">
        <v>0.4</v>
      </c>
      <c r="D250" s="21">
        <f t="shared" si="133"/>
        <v>0.4</v>
      </c>
      <c r="E250" s="21">
        <f t="shared" si="133"/>
        <v>0.4</v>
      </c>
      <c r="F250" s="21">
        <f t="shared" si="133"/>
        <v>0.4</v>
      </c>
      <c r="G250" s="21">
        <f t="shared" si="133"/>
        <v>0.4</v>
      </c>
      <c r="H250" s="21">
        <f t="shared" si="133"/>
        <v>0.4</v>
      </c>
      <c r="I250" s="21">
        <f t="shared" si="133"/>
        <v>0.4</v>
      </c>
      <c r="J250" s="21">
        <f t="shared" si="133"/>
        <v>0.4</v>
      </c>
      <c r="K250" s="21">
        <f t="shared" si="133"/>
        <v>0.4</v>
      </c>
      <c r="L250" s="21">
        <f t="shared" si="133"/>
        <v>0.4</v>
      </c>
      <c r="M250" s="21">
        <f t="shared" si="133"/>
        <v>0.4</v>
      </c>
      <c r="N250" s="21">
        <f t="shared" si="133"/>
        <v>0.4</v>
      </c>
      <c r="O250" s="21">
        <f t="shared" si="133"/>
        <v>0.4</v>
      </c>
      <c r="P250" s="21">
        <f t="shared" si="133"/>
        <v>0.4</v>
      </c>
      <c r="Q250" s="21">
        <f t="shared" si="133"/>
        <v>0.4</v>
      </c>
      <c r="R250" s="21">
        <f t="shared" si="133"/>
        <v>0.4</v>
      </c>
      <c r="S250" s="21">
        <f t="shared" si="133"/>
        <v>0.4</v>
      </c>
      <c r="T250" s="21">
        <f t="shared" si="133"/>
        <v>0.4</v>
      </c>
      <c r="U250" s="21">
        <f t="shared" si="133"/>
        <v>0.4</v>
      </c>
      <c r="V250" s="21">
        <f t="shared" si="133"/>
        <v>0.4</v>
      </c>
      <c r="W250" s="21">
        <f t="shared" si="133"/>
        <v>0.4</v>
      </c>
      <c r="X250" s="21">
        <f t="shared" si="133"/>
        <v>0.4</v>
      </c>
      <c r="Y250" s="21">
        <f t="shared" si="133"/>
        <v>0.4</v>
      </c>
      <c r="Z250" s="21">
        <f t="shared" si="133"/>
        <v>0.4</v>
      </c>
      <c r="AA250" s="21">
        <f t="shared" si="133"/>
        <v>0.4</v>
      </c>
      <c r="AB250" s="21">
        <f t="shared" si="133"/>
        <v>0.4</v>
      </c>
      <c r="AC250" s="21">
        <f t="shared" si="133"/>
        <v>0.4</v>
      </c>
      <c r="AD250" s="21">
        <f t="shared" si="133"/>
        <v>0.4</v>
      </c>
      <c r="AE250" s="21">
        <f t="shared" si="133"/>
        <v>0.4</v>
      </c>
      <c r="AF250" s="21">
        <f t="shared" si="133"/>
        <v>0.4</v>
      </c>
      <c r="AG250" s="20">
        <v>1</v>
      </c>
      <c r="AH250" s="12"/>
      <c r="AI250" s="11"/>
      <c r="AK250" s="19"/>
    </row>
    <row r="251" spans="1:37" ht="15.75" thickBot="1" x14ac:dyDescent="0.3">
      <c r="A251" s="18" t="s">
        <v>11</v>
      </c>
      <c r="B251" s="17">
        <f t="shared" si="132"/>
        <v>0.64</v>
      </c>
      <c r="C251" s="17">
        <v>0.64</v>
      </c>
      <c r="D251" s="17">
        <f t="shared" si="133"/>
        <v>0.64</v>
      </c>
      <c r="E251" s="17">
        <f t="shared" si="133"/>
        <v>0.64</v>
      </c>
      <c r="F251" s="17">
        <f t="shared" si="133"/>
        <v>0.64</v>
      </c>
      <c r="G251" s="17">
        <f t="shared" si="133"/>
        <v>0.64</v>
      </c>
      <c r="H251" s="17">
        <f t="shared" si="133"/>
        <v>0.64</v>
      </c>
      <c r="I251" s="17">
        <f t="shared" si="133"/>
        <v>0.64</v>
      </c>
      <c r="J251" s="17">
        <f t="shared" si="133"/>
        <v>0.64</v>
      </c>
      <c r="K251" s="17">
        <f t="shared" si="133"/>
        <v>0.64</v>
      </c>
      <c r="L251" s="17">
        <f t="shared" si="133"/>
        <v>0.64</v>
      </c>
      <c r="M251" s="17">
        <f t="shared" si="133"/>
        <v>0.64</v>
      </c>
      <c r="N251" s="17">
        <f t="shared" si="133"/>
        <v>0.64</v>
      </c>
      <c r="O251" s="17">
        <f t="shared" si="133"/>
        <v>0.64</v>
      </c>
      <c r="P251" s="17">
        <f t="shared" si="133"/>
        <v>0.64</v>
      </c>
      <c r="Q251" s="17">
        <f t="shared" si="133"/>
        <v>0.64</v>
      </c>
      <c r="R251" s="17">
        <f t="shared" si="133"/>
        <v>0.64</v>
      </c>
      <c r="S251" s="17">
        <f t="shared" si="133"/>
        <v>0.64</v>
      </c>
      <c r="T251" s="17">
        <f t="shared" si="133"/>
        <v>0.64</v>
      </c>
      <c r="U251" s="17">
        <f t="shared" si="133"/>
        <v>0.64</v>
      </c>
      <c r="V251" s="17">
        <f t="shared" si="133"/>
        <v>0.64</v>
      </c>
      <c r="W251" s="17">
        <f t="shared" si="133"/>
        <v>0.64</v>
      </c>
      <c r="X251" s="17">
        <f t="shared" si="133"/>
        <v>0.64</v>
      </c>
      <c r="Y251" s="17">
        <f t="shared" si="133"/>
        <v>0.64</v>
      </c>
      <c r="Z251" s="17">
        <f t="shared" si="133"/>
        <v>0.64</v>
      </c>
      <c r="AA251" s="17">
        <f t="shared" si="133"/>
        <v>0.64</v>
      </c>
      <c r="AB251" s="17">
        <f t="shared" si="133"/>
        <v>0.64</v>
      </c>
      <c r="AC251" s="17">
        <f t="shared" si="133"/>
        <v>0.64</v>
      </c>
      <c r="AD251" s="17">
        <f t="shared" si="133"/>
        <v>0.64</v>
      </c>
      <c r="AE251" s="17">
        <f t="shared" si="133"/>
        <v>0.64</v>
      </c>
      <c r="AF251" s="17">
        <f t="shared" si="133"/>
        <v>0.64</v>
      </c>
      <c r="AG251" s="16">
        <v>0.66</v>
      </c>
      <c r="AH251" s="12"/>
      <c r="AI251" s="11"/>
    </row>
    <row r="252" spans="1:37" ht="15.75" thickBot="1" x14ac:dyDescent="0.3">
      <c r="A252" s="15" t="s">
        <v>10</v>
      </c>
      <c r="B252" s="14">
        <f t="shared" ref="B252:AG252" si="134">SUM(B246:B251)</f>
        <v>3.54</v>
      </c>
      <c r="C252" s="14">
        <f t="shared" si="134"/>
        <v>3.54</v>
      </c>
      <c r="D252" s="14">
        <f t="shared" si="134"/>
        <v>3.54</v>
      </c>
      <c r="E252" s="14">
        <f t="shared" si="134"/>
        <v>3.54</v>
      </c>
      <c r="F252" s="14">
        <f t="shared" si="134"/>
        <v>3.54</v>
      </c>
      <c r="G252" s="14">
        <f t="shared" si="134"/>
        <v>3.54</v>
      </c>
      <c r="H252" s="14">
        <f t="shared" si="134"/>
        <v>3.54</v>
      </c>
      <c r="I252" s="14">
        <f t="shared" si="134"/>
        <v>3.54</v>
      </c>
      <c r="J252" s="14">
        <f t="shared" si="134"/>
        <v>3.54</v>
      </c>
      <c r="K252" s="14">
        <f t="shared" si="134"/>
        <v>3.54</v>
      </c>
      <c r="L252" s="14">
        <f t="shared" si="134"/>
        <v>3.54</v>
      </c>
      <c r="M252" s="14">
        <f t="shared" si="134"/>
        <v>3.54</v>
      </c>
      <c r="N252" s="14">
        <f t="shared" si="134"/>
        <v>3.54</v>
      </c>
      <c r="O252" s="14">
        <f t="shared" si="134"/>
        <v>3.54</v>
      </c>
      <c r="P252" s="14">
        <f t="shared" si="134"/>
        <v>3.54</v>
      </c>
      <c r="Q252" s="14">
        <f t="shared" si="134"/>
        <v>3.54</v>
      </c>
      <c r="R252" s="14">
        <f t="shared" si="134"/>
        <v>3.54</v>
      </c>
      <c r="S252" s="14">
        <f t="shared" si="134"/>
        <v>3.54</v>
      </c>
      <c r="T252" s="14">
        <f t="shared" si="134"/>
        <v>3.54</v>
      </c>
      <c r="U252" s="14">
        <f t="shared" si="134"/>
        <v>3.54</v>
      </c>
      <c r="V252" s="14">
        <f t="shared" si="134"/>
        <v>3.54</v>
      </c>
      <c r="W252" s="14">
        <f t="shared" si="134"/>
        <v>3.54</v>
      </c>
      <c r="X252" s="14">
        <f t="shared" si="134"/>
        <v>3.54</v>
      </c>
      <c r="Y252" s="14">
        <f t="shared" si="134"/>
        <v>3.54</v>
      </c>
      <c r="Z252" s="14">
        <f t="shared" si="134"/>
        <v>3.54</v>
      </c>
      <c r="AA252" s="14">
        <f t="shared" si="134"/>
        <v>3.54</v>
      </c>
      <c r="AB252" s="14">
        <f t="shared" si="134"/>
        <v>3.54</v>
      </c>
      <c r="AC252" s="14">
        <f t="shared" si="134"/>
        <v>3.54</v>
      </c>
      <c r="AD252" s="14">
        <f t="shared" si="134"/>
        <v>3.54</v>
      </c>
      <c r="AE252" s="14">
        <f t="shared" si="134"/>
        <v>3.54</v>
      </c>
      <c r="AF252" s="14">
        <f t="shared" si="134"/>
        <v>3.54</v>
      </c>
      <c r="AG252" s="13">
        <f t="shared" si="134"/>
        <v>8.56</v>
      </c>
      <c r="AH252" s="12"/>
      <c r="AI252" s="11"/>
    </row>
    <row r="253" spans="1:37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25">
      <c r="A256" s="9" t="s">
        <v>9</v>
      </c>
      <c r="B256" s="8">
        <f>MAX(G99:N99)</f>
        <v>1639.2399999999998</v>
      </c>
      <c r="C256" s="7">
        <f>INDEX(G9:N9,1,MATCH(MAX(G99:N99),G99:N99,0))</f>
        <v>0.375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25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2080/10/22)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25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25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25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25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25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25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25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25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25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25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25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25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25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25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1439" priority="116">
      <formula>$AH11=0</formula>
    </cfRule>
  </conditionalFormatting>
  <conditionalFormatting sqref="A132:A253">
    <cfRule type="expression" dxfId="1438" priority="117">
      <formula>$AH132=0</formula>
    </cfRule>
  </conditionalFormatting>
  <conditionalFormatting sqref="B8">
    <cfRule type="expression" dxfId="1437" priority="173">
      <formula>C$9&lt;8/24</formula>
    </cfRule>
    <cfRule type="expression" dxfId="1436" priority="174">
      <formula>C$9&gt;=20/24</formula>
    </cfRule>
    <cfRule type="expression" dxfId="1435" priority="172">
      <formula>AND(C$9&gt;=8/24,C$9&lt;14/24)</formula>
    </cfRule>
    <cfRule type="expression" dxfId="1434" priority="171">
      <formula>AND(C$9&gt;=14/24,C$9&lt;20/24)</formula>
    </cfRule>
  </conditionalFormatting>
  <conditionalFormatting sqref="B59:L74 D77:L79 B77:C99 B101:AF117 C119:C130 B119:B137">
    <cfRule type="expression" dxfId="1433" priority="6">
      <formula>AND(B$9&gt;=14/24,B$9&lt;20/24)</formula>
    </cfRule>
    <cfRule type="expression" dxfId="1432" priority="5">
      <formula>B$9&gt;=20/24</formula>
    </cfRule>
    <cfRule type="expression" dxfId="1431" priority="7">
      <formula>AND(B$9&gt;=8/24,B$9&lt;14/24)</formula>
    </cfRule>
    <cfRule type="expression" dxfId="1430" priority="8">
      <formula>B$9&lt;8/24</formula>
    </cfRule>
  </conditionalFormatting>
  <conditionalFormatting sqref="B53:Y55">
    <cfRule type="expression" dxfId="1429" priority="27">
      <formula>B53&gt;$AG53</formula>
    </cfRule>
  </conditionalFormatting>
  <conditionalFormatting sqref="B9:AF52">
    <cfRule type="expression" dxfId="1428" priority="10">
      <formula>B$9&gt;=20/24</formula>
    </cfRule>
    <cfRule type="expression" dxfId="1427" priority="11">
      <formula>AND(B$9&gt;=14/24,B$9&lt;20/24)</formula>
    </cfRule>
    <cfRule type="expression" dxfId="1426" priority="12">
      <formula>AND(B$9&gt;=8/24,B$9&lt;14/24)</formula>
    </cfRule>
    <cfRule type="expression" dxfId="1425" priority="13">
      <formula>B$9&lt;8/24</formula>
    </cfRule>
  </conditionalFormatting>
  <conditionalFormatting sqref="B11:AF52">
    <cfRule type="expression" dxfId="1424" priority="9">
      <formula>B11&gt;$AG11</formula>
    </cfRule>
  </conditionalFormatting>
  <conditionalFormatting sqref="B53:AF54">
    <cfRule type="expression" dxfId="1423" priority="2">
      <formula>AND(B$9&gt;=14/24,B$9&lt;20/24)</formula>
    </cfRule>
    <cfRule type="expression" dxfId="1422" priority="3">
      <formula>AND(B$9&gt;=8/24,B$9&lt;14/24)</formula>
    </cfRule>
    <cfRule type="expression" dxfId="1421" priority="1">
      <formula>B$9&gt;=20/24</formula>
    </cfRule>
  </conditionalFormatting>
  <conditionalFormatting sqref="B56:AF57">
    <cfRule type="expression" dxfId="1420" priority="14">
      <formula>B56&gt;$AG56</formula>
    </cfRule>
  </conditionalFormatting>
  <conditionalFormatting sqref="D58:L79 B58:C80">
    <cfRule type="expression" dxfId="1419" priority="4">
      <formula>B58&gt;$AG58</formula>
    </cfRule>
  </conditionalFormatting>
  <conditionalFormatting sqref="D246:AF252">
    <cfRule type="expression" dxfId="1418" priority="159">
      <formula>D$9&lt;8/24</formula>
    </cfRule>
    <cfRule type="expression" dxfId="1417" priority="158">
      <formula>AND(D$9&gt;=8/24,D$9&lt;14/24)</formula>
    </cfRule>
    <cfRule type="expression" dxfId="1416" priority="156">
      <formula>D$9&gt;=20/24</formula>
    </cfRule>
    <cfRule type="expression" dxfId="1415" priority="157">
      <formula>AND(D$9&gt;=14/24,D$9&lt;20/24)</formula>
    </cfRule>
  </conditionalFormatting>
  <conditionalFormatting sqref="M8 S8 AB8">
    <cfRule type="expression" dxfId="1414" priority="163">
      <formula>AND(N$9&gt;=14/24,N$9&lt;20/24)</formula>
    </cfRule>
    <cfRule type="expression" dxfId="1413" priority="164">
      <formula>AND(N$9&gt;=8/24,N$9&lt;14/24)</formula>
    </cfRule>
    <cfRule type="expression" dxfId="1412" priority="165">
      <formula>N$9&lt;8/24</formula>
    </cfRule>
  </conditionalFormatting>
  <conditionalFormatting sqref="M63:Y68">
    <cfRule type="expression" dxfId="1411" priority="107">
      <formula>M$9&lt;8/24</formula>
    </cfRule>
    <cfRule type="expression" dxfId="1410" priority="106">
      <formula>AND(M$9&gt;=8/24,M$9&lt;14/24)</formula>
    </cfRule>
    <cfRule type="expression" dxfId="1409" priority="105">
      <formula>AND(M$9&gt;=14/24,M$9&lt;20/24)</formula>
    </cfRule>
    <cfRule type="expression" dxfId="1408" priority="104">
      <formula>M$9&gt;=20/24</formula>
    </cfRule>
  </conditionalFormatting>
  <conditionalFormatting sqref="M58:AF61 M62:AG62 M63:AF79 D80:AG80">
    <cfRule type="expression" dxfId="1407" priority="67">
      <formula>D58&gt;$AG58</formula>
    </cfRule>
  </conditionalFormatting>
  <conditionalFormatting sqref="M59:AF62">
    <cfRule type="expression" dxfId="1406" priority="94">
      <formula>M$9&gt;=20/24</formula>
    </cfRule>
    <cfRule type="expression" dxfId="1405" priority="95">
      <formula>AND(M$9&gt;=14/24,M$9&lt;20/24)</formula>
    </cfRule>
    <cfRule type="expression" dxfId="1404" priority="96">
      <formula>AND(M$9&gt;=8/24,M$9&lt;14/24)</formula>
    </cfRule>
    <cfRule type="expression" dxfId="1403" priority="97">
      <formula>M$9&lt;8/24</formula>
    </cfRule>
  </conditionalFormatting>
  <conditionalFormatting sqref="M69:AF74 M77:AF99 D80:L99 D119:AF127 D128:L130 M128:AF131 C131:L131 C132:AF137 B244:AF244 B246:B252">
    <cfRule type="expression" dxfId="1402" priority="68">
      <formula>B$9&gt;=20/24</formula>
    </cfRule>
    <cfRule type="expression" dxfId="1401" priority="69">
      <formula>AND(B$9&gt;=14/24,B$9&lt;20/24)</formula>
    </cfRule>
    <cfRule type="expression" dxfId="1400" priority="71">
      <formula>B$9&lt;8/24</formula>
    </cfRule>
    <cfRule type="expression" dxfId="1399" priority="70">
      <formula>AND(B$9&gt;=8/24,B$9&lt;14/24)</formula>
    </cfRule>
  </conditionalFormatting>
  <conditionalFormatting sqref="N55:N56 B55:M57 O55:Q55">
    <cfRule type="expression" dxfId="1398" priority="15">
      <formula>B$9&gt;=20/24</formula>
    </cfRule>
  </conditionalFormatting>
  <conditionalFormatting sqref="O3:P3">
    <cfRule type="iconSet" priority="160">
      <iconSet iconSet="3TrafficLights2" reverse="1">
        <cfvo type="percent" val="0"/>
        <cfvo type="num" val="1"/>
        <cfvo type="num" val="1"/>
      </iconSet>
    </cfRule>
  </conditionalFormatting>
  <conditionalFormatting sqref="O53:Q55 N53:N56 B53:M57 R53:Y54">
    <cfRule type="expression" dxfId="1397" priority="26">
      <formula>B$9&lt;8/24</formula>
    </cfRule>
  </conditionalFormatting>
  <conditionalFormatting sqref="O55:Q55 N55:N56 B55:M57">
    <cfRule type="expression" dxfId="1396" priority="16">
      <formula>AND(B$9&gt;=14/24,B$9&lt;20/24)</formula>
    </cfRule>
    <cfRule type="expression" dxfId="1395" priority="17">
      <formula>AND(B$9&gt;=8/24,B$9&lt;14/24)</formula>
    </cfRule>
  </conditionalFormatting>
  <conditionalFormatting sqref="R55:Y57 O56:P56 Q56:Q57 N57:P57">
    <cfRule type="expression" dxfId="1394" priority="80">
      <formula>N$9&lt;8/24</formula>
    </cfRule>
  </conditionalFormatting>
  <conditionalFormatting sqref="R55:AF57 O56:P56 Q56:Q57 N57:P57">
    <cfRule type="expression" dxfId="1393" priority="73">
      <formula>N$9&gt;=20/24</formula>
    </cfRule>
    <cfRule type="expression" dxfId="1392" priority="74">
      <formula>AND(N$9&gt;=14/24,N$9&lt;20/24)</formula>
    </cfRule>
    <cfRule type="expression" dxfId="1391" priority="75">
      <formula>AND(N$9&gt;=8/24,N$9&lt;14/24)</formula>
    </cfRule>
  </conditionalFormatting>
  <conditionalFormatting sqref="S8 AB8 M8">
    <cfRule type="expression" dxfId="1390" priority="162">
      <formula>N$9&gt;=20/24</formula>
    </cfRule>
  </conditionalFormatting>
  <conditionalFormatting sqref="S8">
    <cfRule type="expression" dxfId="1389" priority="152">
      <formula>U$9&lt;8/24</formula>
    </cfRule>
    <cfRule type="expression" dxfId="1388" priority="151">
      <formula>AND(U$9&gt;=8/24,U$9&lt;14/24)</formula>
    </cfRule>
    <cfRule type="expression" dxfId="1387" priority="150">
      <formula>AND(U$9&gt;=14/24,U$9&lt;20/24)</formula>
    </cfRule>
    <cfRule type="expression" dxfId="1386" priority="149">
      <formula>U$9&gt;=20/24</formula>
    </cfRule>
  </conditionalFormatting>
  <conditionalFormatting sqref="T63:AF68">
    <cfRule type="expression" dxfId="1385" priority="101">
      <formula>T$9&lt;8/24</formula>
    </cfRule>
    <cfRule type="expression" dxfId="1384" priority="100">
      <formula>AND(T$9&gt;=8/24,T$9&lt;14/24)</formula>
    </cfRule>
    <cfRule type="expression" dxfId="1383" priority="98">
      <formula>T$9&gt;=20/24</formula>
    </cfRule>
    <cfRule type="expression" dxfId="1382" priority="99">
      <formula>AND(T$9&gt;=14/24,T$9&lt;20/24)</formula>
    </cfRule>
  </conditionalFormatting>
  <conditionalFormatting sqref="V3 AB3">
    <cfRule type="iconSet" priority="161">
      <iconSet iconSet="3TrafficLights2" reverse="1">
        <cfvo type="percent" val="0"/>
        <cfvo type="num" val="1"/>
        <cfvo type="num" val="1"/>
      </iconSet>
    </cfRule>
  </conditionalFormatting>
  <conditionalFormatting sqref="Z53:AF55">
    <cfRule type="expression" dxfId="1381" priority="103">
      <formula>Z53&gt;$AG53</formula>
    </cfRule>
  </conditionalFormatting>
  <conditionalFormatting sqref="Z53:AF57">
    <cfRule type="expression" dxfId="1380" priority="102">
      <formula>Z$9&lt;8/24</formula>
    </cfRule>
  </conditionalFormatting>
  <conditionalFormatting sqref="AB8">
    <cfRule type="expression" dxfId="1379" priority="148">
      <formula>AD$9&lt;8/24</formula>
    </cfRule>
    <cfRule type="expression" dxfId="1378" priority="147">
      <formula>AND(AD$9&gt;=8/24,AD$9&lt;14/24)</formula>
    </cfRule>
    <cfRule type="expression" dxfId="1377" priority="146">
      <formula>AND(AD$9&gt;=14/24,AD$9&lt;20/24)</formula>
    </cfRule>
    <cfRule type="expression" dxfId="1376" priority="145">
      <formula>AD$9&gt;=20/24</formula>
    </cfRule>
  </conditionalFormatting>
  <conditionalFormatting sqref="AG58">
    <cfRule type="expression" dxfId="1375" priority="140">
      <formula>AG58&gt;$AG58</formula>
    </cfRule>
  </conditionalFormatting>
  <conditionalFormatting sqref="AG62">
    <cfRule type="expression" dxfId="1374" priority="123">
      <formula>AG$9&gt;=20/24</formula>
    </cfRule>
    <cfRule type="expression" dxfId="1373" priority="126">
      <formula>AG$9&lt;8/24</formula>
    </cfRule>
    <cfRule type="expression" dxfId="1372" priority="125">
      <formula>AND(AG$9&gt;=8/24,AG$9&lt;14/24)</formula>
    </cfRule>
    <cfRule type="expression" dxfId="1371" priority="124">
      <formula>AND(AG$9&gt;=14/24,AG$9&lt;20/24)</formula>
    </cfRule>
  </conditionalFormatting>
  <conditionalFormatting sqref="AG75:AG76">
    <cfRule type="expression" dxfId="1370" priority="118">
      <formula>AG75&gt;$AG75</formula>
    </cfRule>
  </conditionalFormatting>
  <conditionalFormatting sqref="AG80">
    <cfRule type="expression" dxfId="1369" priority="122">
      <formula>AG$9&lt;8/24</formula>
    </cfRule>
    <cfRule type="expression" dxfId="1368" priority="119">
      <formula>AG$9&gt;=20/24</formula>
    </cfRule>
    <cfRule type="expression" dxfId="1367" priority="120">
      <formula>AND(AG$9&gt;=14/24,AG$9&lt;20/24)</formula>
    </cfRule>
    <cfRule type="expression" dxfId="1366" priority="121">
      <formula>AND(AG$9&gt;=8/24,AG$9&lt;14/24)</formula>
    </cfRule>
  </conditionalFormatting>
  <conditionalFormatting sqref="AG97">
    <cfRule type="expression" dxfId="1365" priority="144">
      <formula>AG$9&lt;8/24</formula>
    </cfRule>
    <cfRule type="expression" dxfId="1364" priority="143">
      <formula>AND(AG$9&gt;=8/24,AG$9&lt;14/24)</formula>
    </cfRule>
    <cfRule type="expression" dxfId="1363" priority="142">
      <formula>AND(AG$9&gt;=14/24,AG$9&lt;20/24)</formula>
    </cfRule>
    <cfRule type="expression" dxfId="1362" priority="141">
      <formula>AG$9&gt;=20/24</formula>
    </cfRule>
  </conditionalFormatting>
  <conditionalFormatting sqref="AL4:AL6">
    <cfRule type="iconSet" priority="155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37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70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54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53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361" priority="169">
      <formula>AJ$9&lt;8/24</formula>
    </cfRule>
    <cfRule type="expression" dxfId="1360" priority="167">
      <formula>AND(AJ$9&gt;=14/24,AJ$9&lt;20/24)</formula>
    </cfRule>
    <cfRule type="expression" dxfId="1359" priority="166">
      <formula>AJ$9&gt;=20/24</formula>
    </cfRule>
    <cfRule type="expression" dxfId="1358" priority="168">
      <formula>AND(AJ$9&gt;=8/24,AJ$9&lt;14/24)</formula>
    </cfRule>
  </conditionalFormatting>
  <conditionalFormatting sqref="AL88:AN88 AL94:AN94">
    <cfRule type="expression" dxfId="1357" priority="135">
      <formula>AND(AL$9&gt;=8/24,AL$9&lt;14/24)</formula>
    </cfRule>
    <cfRule type="expression" dxfId="1356" priority="133">
      <formula>AL$9&gt;=20/24</formula>
    </cfRule>
    <cfRule type="expression" dxfId="1355" priority="134">
      <formula>AND(AL$9&gt;=14/24,AL$9&lt;20/24)</formula>
    </cfRule>
    <cfRule type="expression" dxfId="1354" priority="136">
      <formula>AL$9&lt;8/24</formula>
    </cfRule>
  </conditionalFormatting>
  <conditionalFormatting sqref="AM15:AM21 AN16:AR21">
    <cfRule type="expression" dxfId="1353" priority="41">
      <formula>AND(AX$9&gt;=14/24,AX$9&lt;20/24)</formula>
    </cfRule>
    <cfRule type="expression" dxfId="1352" priority="42">
      <formula>AND(AX$9&gt;=8/24,AX$9&lt;14/24)</formula>
    </cfRule>
    <cfRule type="expression" dxfId="1351" priority="43">
      <formula>AX$9&lt;8/24</formula>
    </cfRule>
    <cfRule type="expression" dxfId="1350" priority="40">
      <formula>AX$9&gt;=20/24</formula>
    </cfRule>
  </conditionalFormatting>
  <conditionalFormatting sqref="AN89:AN92">
    <cfRule type="expression" dxfId="1349" priority="129">
      <formula>AN$9&gt;=20/24</formula>
    </cfRule>
    <cfRule type="expression" dxfId="1348" priority="130">
      <formula>AND(AN$9&gt;=14/24,AN$9&lt;20/24)</formula>
    </cfRule>
    <cfRule type="expression" dxfId="1347" priority="131">
      <formula>AND(AN$9&gt;=8/24,AN$9&lt;14/24)</formula>
    </cfRule>
    <cfRule type="expression" dxfId="1346" priority="132">
      <formula>AN$9&lt;8/24</formula>
    </cfRule>
  </conditionalFormatting>
  <conditionalFormatting sqref="AN15:AR15">
    <cfRule type="expression" dxfId="1345" priority="29">
      <formula>AND(U$9&gt;=14/24,U$9&lt;20/24)</formula>
    </cfRule>
    <cfRule type="expression" dxfId="1344" priority="30">
      <formula>AND(U$9&gt;=8/24,U$9&lt;14/24)</formula>
    </cfRule>
    <cfRule type="expression" dxfId="1343" priority="31">
      <formula>U$9&lt;8/24</formula>
    </cfRule>
    <cfRule type="expression" dxfId="1342" priority="28">
      <formula>U$9&gt;=20/24</formula>
    </cfRule>
  </conditionalFormatting>
  <conditionalFormatting sqref="AS15">
    <cfRule type="expression" dxfId="1341" priority="36">
      <formula>AA$9&gt;=20/24</formula>
    </cfRule>
    <cfRule type="expression" dxfId="1340" priority="37">
      <formula>AND(AA$9&gt;=14/24,AA$9&lt;20/24)</formula>
    </cfRule>
    <cfRule type="expression" dxfId="1339" priority="39">
      <formula>AA$9&lt;8/24</formula>
    </cfRule>
    <cfRule type="expression" dxfId="1338" priority="38">
      <formula>AND(AA$9&gt;=8/24,AA$9&lt;14/24)</formula>
    </cfRule>
  </conditionalFormatting>
  <conditionalFormatting sqref="AS16:AS21">
    <cfRule type="expression" dxfId="1337" priority="47">
      <formula>BE$9&lt;8/24</formula>
    </cfRule>
    <cfRule type="expression" dxfId="1336" priority="44">
      <formula>BE$9&gt;=20/24</formula>
    </cfRule>
    <cfRule type="expression" dxfId="1335" priority="45">
      <formula>AND(BE$9&gt;=14/24,BE$9&lt;20/24)</formula>
    </cfRule>
    <cfRule type="expression" dxfId="1334" priority="46">
      <formula>AND(BE$9&gt;=8/24,BE$9&lt;14/24)</formula>
    </cfRule>
  </conditionalFormatting>
  <conditionalFormatting sqref="AT15 AX15:BJ15">
    <cfRule type="expression" dxfId="1333" priority="48">
      <formula>AC$9&gt;=20/24</formula>
    </cfRule>
    <cfRule type="expression" dxfId="1332" priority="49">
      <formula>AND(AC$9&gt;=14/24,AC$9&lt;20/24)</formula>
    </cfRule>
    <cfRule type="expression" dxfId="1331" priority="50">
      <formula>AND(AC$9&gt;=8/24,AC$9&lt;14/24)</formula>
    </cfRule>
    <cfRule type="expression" dxfId="1330" priority="51">
      <formula>AC$9&lt;8/24</formula>
    </cfRule>
  </conditionalFormatting>
  <conditionalFormatting sqref="AT16:AT21">
    <cfRule type="expression" dxfId="1329" priority="55">
      <formula>BG$9&lt;8/24</formula>
    </cfRule>
    <cfRule type="expression" dxfId="1328" priority="54">
      <formula>AND(BG$9&gt;=8/24,BG$9&lt;14/24)</formula>
    </cfRule>
    <cfRule type="expression" dxfId="1327" priority="53">
      <formula>AND(BG$9&gt;=14/24,BG$9&lt;20/24)</formula>
    </cfRule>
    <cfRule type="expression" dxfId="1326" priority="52">
      <formula>BG$9&gt;=20/24</formula>
    </cfRule>
  </conditionalFormatting>
  <conditionalFormatting sqref="AU15:AV15">
    <cfRule type="expression" dxfId="1325" priority="59">
      <formula>AE$9&lt;8/24</formula>
    </cfRule>
    <cfRule type="expression" dxfId="1324" priority="58">
      <formula>AND(AE$9&gt;=8/24,AE$9&lt;14/24)</formula>
    </cfRule>
    <cfRule type="expression" dxfId="1323" priority="57">
      <formula>AND(AE$9&gt;=14/24,AE$9&lt;20/24)</formula>
    </cfRule>
    <cfRule type="expression" dxfId="1322" priority="56">
      <formula>AE$9&gt;=20/24</formula>
    </cfRule>
  </conditionalFormatting>
  <conditionalFormatting sqref="AU16:BJ21">
    <cfRule type="expression" dxfId="1321" priority="63">
      <formula>BI$9&lt;8/24</formula>
    </cfRule>
    <cfRule type="expression" dxfId="1320" priority="61">
      <formula>AND(BI$9&gt;=14/24,BI$9&lt;20/24)</formula>
    </cfRule>
    <cfRule type="expression" dxfId="1319" priority="62">
      <formula>AND(BI$9&gt;=8/24,BI$9&lt;14/24)</formula>
    </cfRule>
    <cfRule type="expression" dxfId="1318" priority="60">
      <formula>BI$9&gt;=20/24</formula>
    </cfRule>
  </conditionalFormatting>
  <conditionalFormatting sqref="AW15">
    <cfRule type="expression" dxfId="1317" priority="32">
      <formula>B$9&gt;=20/24</formula>
    </cfRule>
    <cfRule type="expression" dxfId="1316" priority="33">
      <formula>AND(B$9&gt;=14/24,B$9&lt;20/24)</formula>
    </cfRule>
    <cfRule type="expression" dxfId="1315" priority="35">
      <formula>B$9&lt;8/24</formula>
    </cfRule>
    <cfRule type="expression" dxfId="1314" priority="34">
      <formula>AND(B$9&gt;=8/24,B$9&lt;14/24)</formula>
    </cfRule>
  </conditionalFormatting>
  <pageMargins left="0.7" right="0.7" top="0.75" bottom="0.75" header="0.3" footer="0.3"/>
  <drawing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33A66-7098-4E0A-8049-7B23DF3B17E0}">
  <dimension ref="A1:CJ294"/>
  <sheetViews>
    <sheetView zoomScale="115" zoomScaleNormal="115" workbookViewId="0">
      <pane xSplit="1" ySplit="10" topLeftCell="F95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97" sqref="A97:AF100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20.25" hidden="1" x14ac:dyDescent="0.2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9.5" hidden="1" thickBot="1" x14ac:dyDescent="0.3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3">
      <c r="A4" s="162" t="s">
        <v>273</v>
      </c>
      <c r="B4" s="205" t="str">
        <f ca="1">"2080/"&amp;"10/"&amp;INT(MID(CELL("filename",D6),FIND("]",CELL("filename",D6))+1,200))</f>
        <v>2080/10/23</v>
      </c>
      <c r="C4" s="205"/>
      <c r="D4" s="205"/>
      <c r="E4" s="206" t="str">
        <f ca="1">"2080/"&amp;"10/"&amp;INT(MID(CELL("filename",G6),FIND("]",CELL("filename",G6))+1,200))</f>
        <v>2080/10/23</v>
      </c>
      <c r="F4" s="206"/>
      <c r="G4" s="206"/>
      <c r="H4" s="206" t="str">
        <f ca="1">TEXT(E4,"dddd")</f>
        <v>Wednesday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3">
      <c r="A5" s="158"/>
      <c r="B5" s="161">
        <f t="shared" ref="B5:AE5" si="0">C92</f>
        <v>137.30000000000001</v>
      </c>
      <c r="C5" s="161">
        <f t="shared" si="0"/>
        <v>121.5</v>
      </c>
      <c r="D5" s="161">
        <f t="shared" si="0"/>
        <v>113.69999999999999</v>
      </c>
      <c r="E5" s="161">
        <f t="shared" si="0"/>
        <v>174.29999999999998</v>
      </c>
      <c r="F5" s="161">
        <f t="shared" si="0"/>
        <v>178.8</v>
      </c>
      <c r="G5" s="161">
        <f t="shared" si="0"/>
        <v>199.5</v>
      </c>
      <c r="H5" s="161">
        <f t="shared" si="0"/>
        <v>295.39999999999998</v>
      </c>
      <c r="I5" s="161">
        <f t="shared" si="0"/>
        <v>623.6</v>
      </c>
      <c r="J5" s="161">
        <f t="shared" si="0"/>
        <v>843.09999999999991</v>
      </c>
      <c r="K5" s="161">
        <f t="shared" si="0"/>
        <v>859.2</v>
      </c>
      <c r="L5" s="161">
        <f t="shared" si="0"/>
        <v>758.09999999999991</v>
      </c>
      <c r="M5" s="161">
        <f t="shared" si="0"/>
        <v>912.2</v>
      </c>
      <c r="N5" s="161">
        <f t="shared" si="0"/>
        <v>911.99999999999989</v>
      </c>
      <c r="O5" s="161">
        <f t="shared" si="0"/>
        <v>873.40000000000009</v>
      </c>
      <c r="P5" s="161">
        <f t="shared" si="0"/>
        <v>886</v>
      </c>
      <c r="Q5" s="161">
        <f t="shared" si="0"/>
        <v>886</v>
      </c>
      <c r="R5" s="161">
        <f t="shared" si="0"/>
        <v>949.59999999999991</v>
      </c>
      <c r="S5" s="161">
        <f t="shared" si="0"/>
        <v>963.4</v>
      </c>
      <c r="T5" s="161">
        <f t="shared" si="0"/>
        <v>929.10000000000014</v>
      </c>
      <c r="U5" s="161">
        <f t="shared" si="0"/>
        <v>912.5</v>
      </c>
      <c r="V5" s="161">
        <f t="shared" si="0"/>
        <v>854.6</v>
      </c>
      <c r="W5" s="161">
        <f t="shared" si="0"/>
        <v>725.30000000000018</v>
      </c>
      <c r="X5" s="161">
        <f t="shared" si="0"/>
        <v>453.4</v>
      </c>
      <c r="Y5" s="161">
        <f t="shared" si="0"/>
        <v>304.59999999999997</v>
      </c>
      <c r="Z5" s="161">
        <f t="shared" si="0"/>
        <v>283.29999999999995</v>
      </c>
      <c r="AA5" s="161">
        <f t="shared" si="0"/>
        <v>283.29999999999995</v>
      </c>
      <c r="AB5" s="161">
        <f t="shared" si="0"/>
        <v>175.7</v>
      </c>
      <c r="AC5" s="161">
        <f t="shared" si="0"/>
        <v>234.4</v>
      </c>
      <c r="AD5" s="161">
        <f t="shared" si="0"/>
        <v>143</v>
      </c>
      <c r="AE5" s="161">
        <f t="shared" si="0"/>
        <v>129</v>
      </c>
      <c r="AF5" s="161">
        <f>B92</f>
        <v>93.800000000000011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3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1794MW at 9:00hr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5" thickBot="1" x14ac:dyDescent="0.3">
      <c r="A7" s="151" t="str">
        <f>"Base Load="&amp;ROUND(MIN($B$7:$AF$7),0)</f>
        <v>Base Load=1411</v>
      </c>
      <c r="B7" s="150">
        <f t="shared" ref="B7:AF7" si="1">B100</f>
        <v>1554.84</v>
      </c>
      <c r="C7" s="150">
        <f t="shared" si="1"/>
        <v>1471.04</v>
      </c>
      <c r="D7" s="150">
        <f t="shared" si="1"/>
        <v>1444.54</v>
      </c>
      <c r="E7" s="150">
        <f t="shared" si="1"/>
        <v>1410.54</v>
      </c>
      <c r="F7" s="150">
        <f t="shared" si="1"/>
        <v>1417.1399999999999</v>
      </c>
      <c r="G7" s="150">
        <f t="shared" si="1"/>
        <v>1428.74</v>
      </c>
      <c r="H7" s="150">
        <f t="shared" si="1"/>
        <v>1451.54</v>
      </c>
      <c r="I7" s="150">
        <f t="shared" si="1"/>
        <v>1515.04</v>
      </c>
      <c r="J7" s="150">
        <f t="shared" si="1"/>
        <v>1537.1399999999999</v>
      </c>
      <c r="K7" s="150">
        <f t="shared" si="1"/>
        <v>1667.04</v>
      </c>
      <c r="L7" s="150">
        <f t="shared" si="1"/>
        <v>1721.1399999999999</v>
      </c>
      <c r="M7" s="150">
        <f t="shared" si="1"/>
        <v>1666.0399999999997</v>
      </c>
      <c r="N7" s="150">
        <f t="shared" si="1"/>
        <v>1793.54</v>
      </c>
      <c r="O7" s="150">
        <f t="shared" si="1"/>
        <v>1826.04</v>
      </c>
      <c r="P7" s="150">
        <f t="shared" si="1"/>
        <v>1819.14</v>
      </c>
      <c r="Q7" s="150">
        <f t="shared" si="1"/>
        <v>1831.74</v>
      </c>
      <c r="R7" s="150">
        <f t="shared" si="1"/>
        <v>1812.74</v>
      </c>
      <c r="S7" s="150">
        <f t="shared" si="1"/>
        <v>1856.8389999999999</v>
      </c>
      <c r="T7" s="150">
        <f t="shared" si="1"/>
        <v>1870.04</v>
      </c>
      <c r="U7" s="150">
        <f t="shared" si="1"/>
        <v>1843.14</v>
      </c>
      <c r="V7" s="150">
        <f t="shared" si="1"/>
        <v>1811.8400000000001</v>
      </c>
      <c r="W7" s="150">
        <f t="shared" si="1"/>
        <v>1776.04</v>
      </c>
      <c r="X7" s="150">
        <f t="shared" si="1"/>
        <v>1606.04</v>
      </c>
      <c r="Y7" s="150">
        <f t="shared" si="1"/>
        <v>1817.6</v>
      </c>
      <c r="Z7" s="150">
        <f t="shared" si="1"/>
        <v>1872.1</v>
      </c>
      <c r="AA7" s="150">
        <f t="shared" si="1"/>
        <v>1899.5399999999997</v>
      </c>
      <c r="AB7" s="150">
        <f t="shared" si="1"/>
        <v>1900.5399999999997</v>
      </c>
      <c r="AC7" s="150">
        <f t="shared" si="1"/>
        <v>1816.1399999999999</v>
      </c>
      <c r="AD7" s="150">
        <f t="shared" si="1"/>
        <v>1756.34</v>
      </c>
      <c r="AE7" s="150">
        <f t="shared" si="1"/>
        <v>1693.6399999999999</v>
      </c>
      <c r="AF7" s="150">
        <f t="shared" si="1"/>
        <v>1582.84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7.25" thickTop="1" thickBot="1" x14ac:dyDescent="0.3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1900.54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2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1900.54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.75" thickBot="1" x14ac:dyDescent="0.3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25">
      <c r="A11" s="89" t="s">
        <v>264</v>
      </c>
      <c r="B11" s="102">
        <v>18.899999999999999</v>
      </c>
      <c r="C11" s="102">
        <v>17.399999999999999</v>
      </c>
      <c r="D11" s="102">
        <v>20</v>
      </c>
      <c r="E11" s="102">
        <v>20</v>
      </c>
      <c r="F11" s="102">
        <v>20</v>
      </c>
      <c r="G11" s="102">
        <v>20</v>
      </c>
      <c r="H11" s="102">
        <v>20</v>
      </c>
      <c r="I11" s="102">
        <v>20</v>
      </c>
      <c r="J11" s="102">
        <v>20</v>
      </c>
      <c r="K11" s="102">
        <v>20</v>
      </c>
      <c r="L11" s="102">
        <v>20</v>
      </c>
      <c r="M11" s="102">
        <v>20</v>
      </c>
      <c r="N11" s="102">
        <v>20</v>
      </c>
      <c r="O11" s="102">
        <v>20</v>
      </c>
      <c r="P11" s="102">
        <v>20</v>
      </c>
      <c r="Q11" s="102">
        <v>20</v>
      </c>
      <c r="R11" s="102">
        <v>20</v>
      </c>
      <c r="S11" s="102">
        <v>17.600000000000001</v>
      </c>
      <c r="T11" s="102">
        <v>17.600000000000001</v>
      </c>
      <c r="U11" s="102">
        <v>17.600000000000001</v>
      </c>
      <c r="V11" s="102">
        <v>17.600000000000001</v>
      </c>
      <c r="W11" s="102">
        <v>18.899999999999999</v>
      </c>
      <c r="X11" s="102">
        <v>18.899999999999999</v>
      </c>
      <c r="Y11" s="102">
        <v>18.899999999999999</v>
      </c>
      <c r="Z11" s="102">
        <v>18.899999999999999</v>
      </c>
      <c r="AA11" s="102">
        <v>18.899999999999999</v>
      </c>
      <c r="AB11" s="102">
        <v>18.899999999999999</v>
      </c>
      <c r="AC11" s="102">
        <v>18.899999999999999</v>
      </c>
      <c r="AD11" s="102">
        <v>18.899999999999999</v>
      </c>
      <c r="AE11" s="102">
        <v>18.899999999999999</v>
      </c>
      <c r="AF11" s="102">
        <v>18.899999999999999</v>
      </c>
      <c r="AG11" s="140">
        <v>86</v>
      </c>
      <c r="AH11" s="12">
        <f t="shared" ref="AH11:AH16" si="2">MAX(B11:AF11)</f>
        <v>20</v>
      </c>
      <c r="AI11" s="11">
        <f t="shared" ref="AI11:AI16" si="3">MIN(B11:AF11)</f>
        <v>17.399999999999999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25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>
        <v>11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>
        <v>11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23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25">
      <c r="A13" s="89" t="s">
        <v>262</v>
      </c>
      <c r="B13" s="102">
        <v>24</v>
      </c>
      <c r="C13" s="102">
        <v>24</v>
      </c>
      <c r="D13" s="102">
        <v>24</v>
      </c>
      <c r="E13" s="102">
        <v>24</v>
      </c>
      <c r="F13" s="102">
        <v>24</v>
      </c>
      <c r="G13" s="102">
        <v>24</v>
      </c>
      <c r="H13" s="102">
        <v>24</v>
      </c>
      <c r="I13" s="102">
        <v>24</v>
      </c>
      <c r="J13" s="102">
        <v>24</v>
      </c>
      <c r="K13" s="102">
        <v>24</v>
      </c>
      <c r="L13" s="102">
        <v>24</v>
      </c>
      <c r="M13" s="102">
        <v>24</v>
      </c>
      <c r="N13" s="102">
        <v>24</v>
      </c>
      <c r="O13" s="102">
        <v>24</v>
      </c>
      <c r="P13" s="102">
        <v>24</v>
      </c>
      <c r="Q13" s="102">
        <v>24</v>
      </c>
      <c r="R13" s="102">
        <v>24</v>
      </c>
      <c r="S13" s="102">
        <v>22.2</v>
      </c>
      <c r="T13" s="102">
        <v>22.2</v>
      </c>
      <c r="U13" s="102">
        <v>22.2</v>
      </c>
      <c r="V13" s="102">
        <v>22.2</v>
      </c>
      <c r="W13" s="102">
        <v>22.2</v>
      </c>
      <c r="X13" s="102">
        <v>22.2</v>
      </c>
      <c r="Y13" s="102">
        <v>22.2</v>
      </c>
      <c r="Z13" s="102">
        <v>22.2</v>
      </c>
      <c r="AA13" s="102">
        <v>22.2</v>
      </c>
      <c r="AB13" s="102">
        <v>22.2</v>
      </c>
      <c r="AC13" s="102">
        <v>22.2</v>
      </c>
      <c r="AD13" s="102">
        <v>22.2</v>
      </c>
      <c r="AE13" s="102">
        <v>22.2</v>
      </c>
      <c r="AF13" s="102">
        <v>22.2</v>
      </c>
      <c r="AG13" s="130">
        <v>54</v>
      </c>
      <c r="AH13" s="12">
        <f t="shared" si="2"/>
        <v>24</v>
      </c>
      <c r="AI13" s="11">
        <f t="shared" si="3"/>
        <v>22.2</v>
      </c>
      <c r="AK13" s="19"/>
      <c r="AL13" s="6" t="str">
        <f ca="1">"Daily Load Curve(Excluding of Export) of Nepal ("&amp;A4&amp;" "&amp;B4&amp;")"</f>
        <v>Daily Load Curve(Excluding of Export) of Nepal (Nepali Date: 2080/10/23)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.75" thickBot="1" x14ac:dyDescent="0.3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.75" thickTop="1" x14ac:dyDescent="0.25">
      <c r="A15" s="89" t="s">
        <v>260</v>
      </c>
      <c r="B15" s="102">
        <v>50.3</v>
      </c>
      <c r="C15" s="102">
        <v>50.3</v>
      </c>
      <c r="D15" s="102">
        <v>50.3</v>
      </c>
      <c r="E15" s="102">
        <v>50.3</v>
      </c>
      <c r="F15" s="102">
        <v>50.3</v>
      </c>
      <c r="G15" s="102">
        <v>50.3</v>
      </c>
      <c r="H15" s="102">
        <v>50.3</v>
      </c>
      <c r="I15" s="102">
        <v>50.3</v>
      </c>
      <c r="J15" s="102">
        <v>50.3</v>
      </c>
      <c r="K15" s="102">
        <v>50.3</v>
      </c>
      <c r="L15" s="102">
        <v>50.3</v>
      </c>
      <c r="M15" s="102">
        <v>50.3</v>
      </c>
      <c r="N15" s="102">
        <v>50.3</v>
      </c>
      <c r="O15" s="102">
        <v>50.3</v>
      </c>
      <c r="P15" s="102">
        <v>50.3</v>
      </c>
      <c r="Q15" s="102">
        <v>50.3</v>
      </c>
      <c r="R15" s="102">
        <v>50.3</v>
      </c>
      <c r="S15" s="102">
        <v>50</v>
      </c>
      <c r="T15" s="102">
        <v>50</v>
      </c>
      <c r="U15" s="102">
        <v>50</v>
      </c>
      <c r="V15" s="102">
        <v>50</v>
      </c>
      <c r="W15" s="102">
        <v>50</v>
      </c>
      <c r="X15" s="102">
        <v>50</v>
      </c>
      <c r="Y15" s="102">
        <v>50</v>
      </c>
      <c r="Z15" s="102">
        <v>50</v>
      </c>
      <c r="AA15" s="102">
        <v>50</v>
      </c>
      <c r="AB15" s="102">
        <v>50</v>
      </c>
      <c r="AC15" s="102">
        <v>50</v>
      </c>
      <c r="AD15" s="102">
        <v>50</v>
      </c>
      <c r="AE15" s="102">
        <v>50</v>
      </c>
      <c r="AF15" s="102">
        <v>50</v>
      </c>
      <c r="AG15" s="130">
        <v>50</v>
      </c>
      <c r="AH15" s="12">
        <f t="shared" si="2"/>
        <v>50.3</v>
      </c>
      <c r="AI15" s="11">
        <f t="shared" si="3"/>
        <v>50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25">
      <c r="A16" s="89" t="s">
        <v>258</v>
      </c>
      <c r="B16" s="102">
        <v>15.1</v>
      </c>
      <c r="C16" s="102">
        <v>15.1</v>
      </c>
      <c r="D16" s="102">
        <v>15.1</v>
      </c>
      <c r="E16" s="102">
        <v>15.1</v>
      </c>
      <c r="F16" s="102">
        <v>15.1</v>
      </c>
      <c r="G16" s="102">
        <v>15.1</v>
      </c>
      <c r="H16" s="102">
        <v>15.1</v>
      </c>
      <c r="I16" s="102">
        <v>15.1</v>
      </c>
      <c r="J16" s="102">
        <v>15.1</v>
      </c>
      <c r="K16" s="102">
        <v>15.1</v>
      </c>
      <c r="L16" s="102">
        <v>15.1</v>
      </c>
      <c r="M16" s="102">
        <v>15.1</v>
      </c>
      <c r="N16" s="102">
        <v>15.1</v>
      </c>
      <c r="O16" s="102">
        <v>15.1</v>
      </c>
      <c r="P16" s="102">
        <v>15.1</v>
      </c>
      <c r="Q16" s="102">
        <v>15.1</v>
      </c>
      <c r="R16" s="102">
        <v>15.1</v>
      </c>
      <c r="S16" s="102">
        <v>15.1</v>
      </c>
      <c r="T16" s="102">
        <v>15.1</v>
      </c>
      <c r="U16" s="102">
        <v>15.1</v>
      </c>
      <c r="V16" s="102">
        <v>15.1</v>
      </c>
      <c r="W16" s="102">
        <v>15.1</v>
      </c>
      <c r="X16" s="102">
        <v>15.1</v>
      </c>
      <c r="Y16" s="102">
        <v>15.1</v>
      </c>
      <c r="Z16" s="102">
        <v>15.1</v>
      </c>
      <c r="AA16" s="102">
        <v>15.1</v>
      </c>
      <c r="AB16" s="102">
        <v>15.1</v>
      </c>
      <c r="AC16" s="102">
        <v>15.1</v>
      </c>
      <c r="AD16" s="102">
        <v>15.1</v>
      </c>
      <c r="AE16" s="102">
        <v>15.1</v>
      </c>
      <c r="AF16" s="102">
        <v>15.1</v>
      </c>
      <c r="AG16" s="130">
        <v>45</v>
      </c>
      <c r="AH16" s="12">
        <f t="shared" si="2"/>
        <v>15.1</v>
      </c>
      <c r="AI16" s="11">
        <f t="shared" si="3"/>
        <v>15.1</v>
      </c>
      <c r="AK16" s="19"/>
      <c r="AL16" s="135" t="s">
        <v>7</v>
      </c>
      <c r="AM16" s="134">
        <f t="shared" ref="AM16:AR16" si="4">B58</f>
        <v>532.79999999999995</v>
      </c>
      <c r="AN16" s="134">
        <f t="shared" si="4"/>
        <v>529.5</v>
      </c>
      <c r="AO16" s="134">
        <f t="shared" si="4"/>
        <v>532.09999999999991</v>
      </c>
      <c r="AP16" s="134">
        <f t="shared" si="4"/>
        <v>532.09999999999991</v>
      </c>
      <c r="AQ16" s="134">
        <f t="shared" si="4"/>
        <v>532.09999999999991</v>
      </c>
      <c r="AR16" s="134">
        <f t="shared" si="4"/>
        <v>532.09999999999991</v>
      </c>
      <c r="AS16" s="134">
        <f>I58</f>
        <v>532.09999999999991</v>
      </c>
      <c r="AT16" s="134">
        <f>K58</f>
        <v>532.09999999999991</v>
      </c>
      <c r="AU16" s="134">
        <f t="shared" ref="AU16:BD16" si="5">M58</f>
        <v>532.09999999999991</v>
      </c>
      <c r="AV16" s="134">
        <f t="shared" si="5"/>
        <v>532.09999999999991</v>
      </c>
      <c r="AW16" s="134">
        <f t="shared" si="5"/>
        <v>532.09999999999991</v>
      </c>
      <c r="AX16" s="134">
        <f t="shared" si="5"/>
        <v>532.09999999999991</v>
      </c>
      <c r="AY16" s="134">
        <f t="shared" si="5"/>
        <v>532.09999999999991</v>
      </c>
      <c r="AZ16" s="134">
        <f t="shared" si="5"/>
        <v>532.09999999999991</v>
      </c>
      <c r="BA16" s="134">
        <f t="shared" si="5"/>
        <v>508.9</v>
      </c>
      <c r="BB16" s="134">
        <f t="shared" si="5"/>
        <v>508.9</v>
      </c>
      <c r="BC16" s="134">
        <f t="shared" si="5"/>
        <v>508.9</v>
      </c>
      <c r="BD16" s="134">
        <f t="shared" si="5"/>
        <v>508.9</v>
      </c>
      <c r="BE16" s="133">
        <f>X58</f>
        <v>510.19999999999993</v>
      </c>
      <c r="BF16" s="133">
        <f>Z58</f>
        <v>510.19999999999993</v>
      </c>
      <c r="BG16" s="133">
        <f>AB58</f>
        <v>510.19999999999993</v>
      </c>
      <c r="BH16" s="133">
        <f>AD58</f>
        <v>510.19999999999993</v>
      </c>
      <c r="BI16" s="133">
        <f>AE58</f>
        <v>510.19999999999993</v>
      </c>
      <c r="BJ16" s="133">
        <f>AF58</f>
        <v>510.19999999999993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25">
      <c r="A17" s="89" t="s">
        <v>257</v>
      </c>
      <c r="B17" s="102">
        <v>16</v>
      </c>
      <c r="C17" s="102">
        <v>16</v>
      </c>
      <c r="D17" s="102">
        <v>16</v>
      </c>
      <c r="E17" s="102">
        <v>16</v>
      </c>
      <c r="F17" s="102">
        <v>16</v>
      </c>
      <c r="G17" s="102">
        <v>16</v>
      </c>
      <c r="H17" s="102">
        <v>16</v>
      </c>
      <c r="I17" s="102">
        <v>16</v>
      </c>
      <c r="J17" s="102">
        <v>16</v>
      </c>
      <c r="K17" s="102">
        <v>16</v>
      </c>
      <c r="L17" s="102">
        <v>16</v>
      </c>
      <c r="M17" s="102">
        <v>16</v>
      </c>
      <c r="N17" s="102">
        <v>16</v>
      </c>
      <c r="O17" s="102">
        <v>16</v>
      </c>
      <c r="P17" s="102">
        <v>16</v>
      </c>
      <c r="Q17" s="102">
        <v>16</v>
      </c>
      <c r="R17" s="102">
        <v>16</v>
      </c>
      <c r="S17" s="102">
        <v>16</v>
      </c>
      <c r="T17" s="102">
        <v>16</v>
      </c>
      <c r="U17" s="102">
        <v>16</v>
      </c>
      <c r="V17" s="102">
        <v>16</v>
      </c>
      <c r="W17" s="102">
        <v>16</v>
      </c>
      <c r="X17" s="102">
        <v>16</v>
      </c>
      <c r="Y17" s="102">
        <v>16</v>
      </c>
      <c r="Z17" s="102">
        <v>16</v>
      </c>
      <c r="AA17" s="102">
        <v>16</v>
      </c>
      <c r="AB17" s="102">
        <v>16</v>
      </c>
      <c r="AC17" s="102">
        <v>16</v>
      </c>
      <c r="AD17" s="102">
        <v>16</v>
      </c>
      <c r="AE17" s="102">
        <v>16</v>
      </c>
      <c r="AF17" s="102">
        <v>16</v>
      </c>
      <c r="AG17" s="130">
        <v>44</v>
      </c>
      <c r="AH17" s="12">
        <f>MAX(B17:AG17)</f>
        <v>44</v>
      </c>
      <c r="AI17" s="11">
        <f>MIN(B17:AG17)</f>
        <v>16</v>
      </c>
      <c r="AK17" s="19"/>
      <c r="AL17" s="135" t="s">
        <v>256</v>
      </c>
      <c r="AM17" s="134">
        <f t="shared" ref="AM17:AR17" si="6">B62</f>
        <v>269.7</v>
      </c>
      <c r="AN17" s="134">
        <f t="shared" si="6"/>
        <v>199.2</v>
      </c>
      <c r="AO17" s="134">
        <f t="shared" si="6"/>
        <v>179.2</v>
      </c>
      <c r="AP17" s="134">
        <f t="shared" si="6"/>
        <v>180</v>
      </c>
      <c r="AQ17" s="134">
        <f t="shared" si="6"/>
        <v>158.1</v>
      </c>
      <c r="AR17" s="134">
        <f t="shared" si="6"/>
        <v>137.1</v>
      </c>
      <c r="AS17" s="134">
        <f>I62</f>
        <v>140.19999999999999</v>
      </c>
      <c r="AT17" s="134">
        <f>K62</f>
        <v>38.200000000000003</v>
      </c>
      <c r="AU17" s="134">
        <f t="shared" ref="AU17:BD17" si="7">M62</f>
        <v>38.099999999999994</v>
      </c>
      <c r="AV17" s="134">
        <f t="shared" si="7"/>
        <v>38.099999999999994</v>
      </c>
      <c r="AW17" s="134">
        <f t="shared" si="7"/>
        <v>38.099999999999994</v>
      </c>
      <c r="AX17" s="134">
        <f t="shared" si="7"/>
        <v>38.099999999999994</v>
      </c>
      <c r="AY17" s="134">
        <f t="shared" si="7"/>
        <v>38.099999999999994</v>
      </c>
      <c r="AZ17" s="134">
        <f t="shared" si="7"/>
        <v>38.099999999999994</v>
      </c>
      <c r="BA17" s="134">
        <f t="shared" si="7"/>
        <v>32.700000000000003</v>
      </c>
      <c r="BB17" s="134">
        <f t="shared" si="7"/>
        <v>37.200000000000003</v>
      </c>
      <c r="BC17" s="134">
        <f t="shared" si="7"/>
        <v>37.200000000000003</v>
      </c>
      <c r="BD17" s="134">
        <f t="shared" si="7"/>
        <v>37.1</v>
      </c>
      <c r="BE17" s="133">
        <f>X62</f>
        <v>36.900000000000006</v>
      </c>
      <c r="BF17" s="133">
        <f>Z62</f>
        <v>340.6</v>
      </c>
      <c r="BG17" s="133">
        <f>AB62</f>
        <v>371.4</v>
      </c>
      <c r="BH17" s="133">
        <f>AD62</f>
        <v>280.89999999999998</v>
      </c>
      <c r="BI17" s="133">
        <f>AE62</f>
        <v>299.89999999999998</v>
      </c>
      <c r="BJ17" s="133">
        <f>AF62</f>
        <v>239.89999999999998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25">
      <c r="A18" s="89" t="s">
        <v>255</v>
      </c>
      <c r="B18" s="102">
        <v>14</v>
      </c>
      <c r="C18" s="102">
        <v>14</v>
      </c>
      <c r="D18" s="102">
        <v>14</v>
      </c>
      <c r="E18" s="102">
        <v>14</v>
      </c>
      <c r="F18" s="102">
        <v>14</v>
      </c>
      <c r="G18" s="102">
        <v>14</v>
      </c>
      <c r="H18" s="102">
        <v>14</v>
      </c>
      <c r="I18" s="102">
        <v>14</v>
      </c>
      <c r="J18" s="102">
        <v>14</v>
      </c>
      <c r="K18" s="102">
        <v>14</v>
      </c>
      <c r="L18" s="102">
        <v>14</v>
      </c>
      <c r="M18" s="102">
        <v>14</v>
      </c>
      <c r="N18" s="102">
        <v>14</v>
      </c>
      <c r="O18" s="102">
        <v>14</v>
      </c>
      <c r="P18" s="102">
        <v>14</v>
      </c>
      <c r="Q18" s="102">
        <v>14</v>
      </c>
      <c r="R18" s="102">
        <v>14</v>
      </c>
      <c r="S18" s="102">
        <v>9.5</v>
      </c>
      <c r="T18" s="102">
        <v>9.5</v>
      </c>
      <c r="U18" s="102">
        <v>9.5</v>
      </c>
      <c r="V18" s="102">
        <v>9.5</v>
      </c>
      <c r="W18" s="102">
        <v>9.5</v>
      </c>
      <c r="X18" s="102">
        <v>9.5</v>
      </c>
      <c r="Y18" s="102">
        <v>9.5</v>
      </c>
      <c r="Z18" s="102">
        <v>9.5</v>
      </c>
      <c r="AA18" s="102">
        <v>9.5</v>
      </c>
      <c r="AB18" s="102">
        <v>9.5</v>
      </c>
      <c r="AC18" s="102">
        <v>9.5</v>
      </c>
      <c r="AD18" s="102">
        <v>9.5</v>
      </c>
      <c r="AE18" s="102">
        <v>9.5</v>
      </c>
      <c r="AF18" s="102">
        <v>9.5</v>
      </c>
      <c r="AG18" s="130">
        <v>42</v>
      </c>
      <c r="AH18" s="12">
        <f t="shared" ref="AH18:AH81" si="8">MAX(B18:AF18)</f>
        <v>14</v>
      </c>
      <c r="AI18" s="11">
        <f t="shared" ref="AI18:AI81" si="9">MIN(B18:AF18)</f>
        <v>9.5</v>
      </c>
      <c r="AK18" s="19"/>
      <c r="AL18" s="135" t="s">
        <v>254</v>
      </c>
      <c r="AM18" s="134">
        <f t="shared" ref="AM18:AR18" si="10">B76</f>
        <v>311.33999999999997</v>
      </c>
      <c r="AN18" s="134">
        <f t="shared" si="10"/>
        <v>259.24</v>
      </c>
      <c r="AO18" s="134">
        <f t="shared" si="10"/>
        <v>275.24</v>
      </c>
      <c r="AP18" s="134">
        <f t="shared" si="10"/>
        <v>284.14000000000004</v>
      </c>
      <c r="AQ18" s="134">
        <f t="shared" si="10"/>
        <v>283.64000000000004</v>
      </c>
      <c r="AR18" s="134">
        <f t="shared" si="10"/>
        <v>273.94000000000005</v>
      </c>
      <c r="AS18" s="134">
        <f>I76</f>
        <v>270.54000000000002</v>
      </c>
      <c r="AT18" s="134">
        <f>K76</f>
        <v>236.54</v>
      </c>
      <c r="AU18" s="134">
        <f t="shared" ref="AU18:BD18" si="11">M76</f>
        <v>324.33999999999997</v>
      </c>
      <c r="AV18" s="134">
        <f t="shared" si="11"/>
        <v>281.24</v>
      </c>
      <c r="AW18" s="134">
        <f t="shared" si="11"/>
        <v>302.44</v>
      </c>
      <c r="AX18" s="134">
        <f t="shared" si="11"/>
        <v>307.44</v>
      </c>
      <c r="AY18" s="134">
        <f t="shared" si="11"/>
        <v>307.44</v>
      </c>
      <c r="AZ18" s="134">
        <f t="shared" si="11"/>
        <v>288.44</v>
      </c>
      <c r="BA18" s="134">
        <f t="shared" si="11"/>
        <v>268.839</v>
      </c>
      <c r="BB18" s="134">
        <f t="shared" si="11"/>
        <v>264.54000000000002</v>
      </c>
      <c r="BC18" s="134">
        <f t="shared" si="11"/>
        <v>272.04000000000002</v>
      </c>
      <c r="BD18" s="134">
        <f t="shared" si="11"/>
        <v>282.24000000000007</v>
      </c>
      <c r="BE18" s="133">
        <f>X76</f>
        <v>299.64</v>
      </c>
      <c r="BF18" s="133">
        <f>Z76</f>
        <v>356.49999999999994</v>
      </c>
      <c r="BG18" s="133">
        <f>AB76</f>
        <v>375.34000000000003</v>
      </c>
      <c r="BH18" s="133">
        <f>AD76</f>
        <v>368.54</v>
      </c>
      <c r="BI18" s="133">
        <f>AE76</f>
        <v>364.54</v>
      </c>
      <c r="BJ18" s="133">
        <f>AF76</f>
        <v>327.74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25">
      <c r="A19" s="89" t="s">
        <v>253</v>
      </c>
      <c r="B19" s="102">
        <v>30.8</v>
      </c>
      <c r="C19" s="102">
        <v>30.8</v>
      </c>
      <c r="D19" s="102">
        <v>30.8</v>
      </c>
      <c r="E19" s="102">
        <v>30.8</v>
      </c>
      <c r="F19" s="102">
        <v>30.8</v>
      </c>
      <c r="G19" s="102">
        <v>30.8</v>
      </c>
      <c r="H19" s="102">
        <v>30.8</v>
      </c>
      <c r="I19" s="102">
        <v>30.8</v>
      </c>
      <c r="J19" s="102">
        <v>30.8</v>
      </c>
      <c r="K19" s="102">
        <v>30.8</v>
      </c>
      <c r="L19" s="102">
        <v>30.8</v>
      </c>
      <c r="M19" s="102">
        <v>30.8</v>
      </c>
      <c r="N19" s="102">
        <v>30.8</v>
      </c>
      <c r="O19" s="102">
        <v>30.8</v>
      </c>
      <c r="P19" s="102">
        <v>30.8</v>
      </c>
      <c r="Q19" s="102">
        <v>30.8</v>
      </c>
      <c r="R19" s="102">
        <v>30.8</v>
      </c>
      <c r="S19" s="102">
        <v>16.899999999999999</v>
      </c>
      <c r="T19" s="102">
        <v>16.899999999999999</v>
      </c>
      <c r="U19" s="102">
        <v>16.899999999999999</v>
      </c>
      <c r="V19" s="102">
        <v>16.899999999999999</v>
      </c>
      <c r="W19" s="102">
        <v>16.899999999999999</v>
      </c>
      <c r="X19" s="102">
        <v>16.899999999999999</v>
      </c>
      <c r="Y19" s="102">
        <v>16.899999999999999</v>
      </c>
      <c r="Z19" s="102">
        <v>16.899999999999999</v>
      </c>
      <c r="AA19" s="102">
        <v>16.899999999999999</v>
      </c>
      <c r="AB19" s="102">
        <v>16.899999999999999</v>
      </c>
      <c r="AC19" s="102">
        <v>16.899999999999999</v>
      </c>
      <c r="AD19" s="102">
        <v>16.899999999999999</v>
      </c>
      <c r="AE19" s="102">
        <v>16.899999999999999</v>
      </c>
      <c r="AF19" s="102">
        <v>16.899999999999999</v>
      </c>
      <c r="AG19" s="130">
        <v>38.46</v>
      </c>
      <c r="AH19" s="12">
        <f t="shared" si="8"/>
        <v>30.8</v>
      </c>
      <c r="AI19" s="11">
        <f t="shared" si="9"/>
        <v>16.899999999999999</v>
      </c>
      <c r="AK19" s="19"/>
      <c r="AL19" s="135" t="s">
        <v>252</v>
      </c>
      <c r="AM19" s="134">
        <f t="shared" ref="AM19:AR19" si="12">B92</f>
        <v>93.800000000000011</v>
      </c>
      <c r="AN19" s="134">
        <f t="shared" si="12"/>
        <v>137.30000000000001</v>
      </c>
      <c r="AO19" s="134">
        <f t="shared" si="12"/>
        <v>121.5</v>
      </c>
      <c r="AP19" s="134">
        <f t="shared" si="12"/>
        <v>113.69999999999999</v>
      </c>
      <c r="AQ19" s="134">
        <f t="shared" si="12"/>
        <v>174.29999999999998</v>
      </c>
      <c r="AR19" s="134">
        <f t="shared" si="12"/>
        <v>178.8</v>
      </c>
      <c r="AS19" s="134">
        <f>I92</f>
        <v>295.39999999999998</v>
      </c>
      <c r="AT19" s="134">
        <f>K92</f>
        <v>843.09999999999991</v>
      </c>
      <c r="AU19" s="134">
        <f t="shared" ref="AU19:BD19" si="13">M92</f>
        <v>758.09999999999991</v>
      </c>
      <c r="AV19" s="134">
        <f t="shared" si="13"/>
        <v>912.2</v>
      </c>
      <c r="AW19" s="134">
        <f t="shared" si="13"/>
        <v>911.99999999999989</v>
      </c>
      <c r="AX19" s="134">
        <f t="shared" si="13"/>
        <v>873.40000000000009</v>
      </c>
      <c r="AY19" s="134">
        <f t="shared" si="13"/>
        <v>886</v>
      </c>
      <c r="AZ19" s="134">
        <f t="shared" si="13"/>
        <v>886</v>
      </c>
      <c r="BA19" s="134">
        <f t="shared" si="13"/>
        <v>949.59999999999991</v>
      </c>
      <c r="BB19" s="134">
        <f t="shared" si="13"/>
        <v>963.4</v>
      </c>
      <c r="BC19" s="134">
        <f t="shared" si="13"/>
        <v>929.10000000000014</v>
      </c>
      <c r="BD19" s="134">
        <f t="shared" si="13"/>
        <v>912.5</v>
      </c>
      <c r="BE19" s="133">
        <f>X92</f>
        <v>725.30000000000018</v>
      </c>
      <c r="BF19" s="133">
        <f>Z92</f>
        <v>304.59999999999997</v>
      </c>
      <c r="BG19" s="133">
        <f>AB92</f>
        <v>283.29999999999995</v>
      </c>
      <c r="BH19" s="133">
        <f>AD92</f>
        <v>234.4</v>
      </c>
      <c r="BI19" s="133">
        <f>AE92</f>
        <v>143</v>
      </c>
      <c r="BJ19" s="133">
        <f>AF92</f>
        <v>129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25">
      <c r="A20" s="89" t="s">
        <v>251</v>
      </c>
      <c r="B20" s="102">
        <v>14</v>
      </c>
      <c r="C20" s="102">
        <v>14</v>
      </c>
      <c r="D20" s="102">
        <v>14</v>
      </c>
      <c r="E20" s="102">
        <v>14</v>
      </c>
      <c r="F20" s="102">
        <v>14</v>
      </c>
      <c r="G20" s="102">
        <v>14</v>
      </c>
      <c r="H20" s="102">
        <v>14</v>
      </c>
      <c r="I20" s="102">
        <v>14</v>
      </c>
      <c r="J20" s="102">
        <v>14</v>
      </c>
      <c r="K20" s="102">
        <v>14</v>
      </c>
      <c r="L20" s="102">
        <v>14</v>
      </c>
      <c r="M20" s="102">
        <v>14</v>
      </c>
      <c r="N20" s="102">
        <v>14</v>
      </c>
      <c r="O20" s="102">
        <v>14</v>
      </c>
      <c r="P20" s="102">
        <v>14</v>
      </c>
      <c r="Q20" s="102">
        <v>14</v>
      </c>
      <c r="R20" s="102">
        <v>14</v>
      </c>
      <c r="S20" s="102">
        <v>14</v>
      </c>
      <c r="T20" s="102">
        <v>14</v>
      </c>
      <c r="U20" s="102">
        <v>14</v>
      </c>
      <c r="V20" s="102">
        <v>14</v>
      </c>
      <c r="W20" s="102">
        <v>14</v>
      </c>
      <c r="X20" s="102">
        <v>14</v>
      </c>
      <c r="Y20" s="102">
        <v>14</v>
      </c>
      <c r="Z20" s="102">
        <v>14</v>
      </c>
      <c r="AA20" s="102">
        <v>14</v>
      </c>
      <c r="AB20" s="102">
        <v>14</v>
      </c>
      <c r="AC20" s="102">
        <v>14</v>
      </c>
      <c r="AD20" s="102">
        <v>14</v>
      </c>
      <c r="AE20" s="102">
        <v>14</v>
      </c>
      <c r="AF20" s="102">
        <v>14</v>
      </c>
      <c r="AG20" s="130">
        <v>38.46</v>
      </c>
      <c r="AH20" s="12">
        <f t="shared" si="8"/>
        <v>14</v>
      </c>
      <c r="AI20" s="11">
        <f t="shared" si="9"/>
        <v>14</v>
      </c>
      <c r="AK20" s="19"/>
      <c r="AL20" s="135" t="s">
        <v>250</v>
      </c>
      <c r="AM20" s="134">
        <f t="shared" ref="AM20:AR20" si="14">B80</f>
        <v>97.2</v>
      </c>
      <c r="AN20" s="134">
        <f t="shared" si="14"/>
        <v>95.800000000000011</v>
      </c>
      <c r="AO20" s="134">
        <f t="shared" si="14"/>
        <v>86.5</v>
      </c>
      <c r="AP20" s="134">
        <f t="shared" si="14"/>
        <v>50.6</v>
      </c>
      <c r="AQ20" s="134">
        <f t="shared" si="14"/>
        <v>58.999999999999993</v>
      </c>
      <c r="AR20" s="134">
        <f t="shared" si="14"/>
        <v>96.8</v>
      </c>
      <c r="AS20" s="134">
        <f>I80</f>
        <v>96.8</v>
      </c>
      <c r="AT20" s="134">
        <f>K80</f>
        <v>17.100000000000001</v>
      </c>
      <c r="AU20" s="134">
        <f t="shared" ref="AU20:BD20" si="15">M80</f>
        <v>13.4</v>
      </c>
      <c r="AV20" s="134">
        <f t="shared" si="15"/>
        <v>29.9</v>
      </c>
      <c r="AW20" s="134">
        <f t="shared" si="15"/>
        <v>41.399999999999991</v>
      </c>
      <c r="AX20" s="134">
        <f t="shared" si="15"/>
        <v>68.100000000000009</v>
      </c>
      <c r="AY20" s="134">
        <f t="shared" si="15"/>
        <v>68.100000000000009</v>
      </c>
      <c r="AZ20" s="134">
        <f t="shared" si="15"/>
        <v>68.100000000000009</v>
      </c>
      <c r="BA20" s="134">
        <f t="shared" si="15"/>
        <v>96.8</v>
      </c>
      <c r="BB20" s="134">
        <f t="shared" si="15"/>
        <v>96</v>
      </c>
      <c r="BC20" s="134">
        <f t="shared" si="15"/>
        <v>95.9</v>
      </c>
      <c r="BD20" s="134">
        <f t="shared" si="15"/>
        <v>71.099999999999994</v>
      </c>
      <c r="BE20" s="133">
        <f>X80</f>
        <v>34</v>
      </c>
      <c r="BF20" s="133">
        <f>Z80</f>
        <v>80.199999999999989</v>
      </c>
      <c r="BG20" s="133">
        <f>AB80</f>
        <v>79.3</v>
      </c>
      <c r="BH20" s="133">
        <f>AD80</f>
        <v>79.3</v>
      </c>
      <c r="BI20" s="133">
        <f>AE80</f>
        <v>96</v>
      </c>
      <c r="BJ20" s="133">
        <f>AF80</f>
        <v>96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25">
      <c r="A21" s="89" t="s">
        <v>249</v>
      </c>
      <c r="B21" s="102">
        <v>0</v>
      </c>
      <c r="C21" s="102">
        <v>0</v>
      </c>
      <c r="D21" s="102">
        <v>0</v>
      </c>
      <c r="E21" s="102">
        <v>0</v>
      </c>
      <c r="F21" s="102">
        <v>0</v>
      </c>
      <c r="G21" s="102">
        <v>0</v>
      </c>
      <c r="H21" s="102">
        <v>0</v>
      </c>
      <c r="I21" s="102">
        <v>0</v>
      </c>
      <c r="J21" s="102">
        <v>0</v>
      </c>
      <c r="K21" s="102">
        <v>0</v>
      </c>
      <c r="L21" s="102">
        <v>0</v>
      </c>
      <c r="M21" s="102">
        <v>0</v>
      </c>
      <c r="N21" s="102">
        <v>0</v>
      </c>
      <c r="O21" s="102">
        <v>0</v>
      </c>
      <c r="P21" s="102">
        <v>0</v>
      </c>
      <c r="Q21" s="102">
        <v>0</v>
      </c>
      <c r="R21" s="102">
        <v>0</v>
      </c>
      <c r="S21" s="102">
        <v>0</v>
      </c>
      <c r="T21" s="102">
        <v>0</v>
      </c>
      <c r="U21" s="102">
        <v>0</v>
      </c>
      <c r="V21" s="102">
        <v>0</v>
      </c>
      <c r="W21" s="102">
        <v>0</v>
      </c>
      <c r="X21" s="102">
        <v>0</v>
      </c>
      <c r="Y21" s="102">
        <v>0</v>
      </c>
      <c r="Z21" s="102">
        <v>0</v>
      </c>
      <c r="AA21" s="102">
        <v>0</v>
      </c>
      <c r="AB21" s="102">
        <v>0</v>
      </c>
      <c r="AC21" s="102">
        <v>0</v>
      </c>
      <c r="AD21" s="102">
        <v>0</v>
      </c>
      <c r="AE21" s="102">
        <v>0</v>
      </c>
      <c r="AF21" s="102">
        <v>0</v>
      </c>
      <c r="AG21" s="130">
        <v>36</v>
      </c>
      <c r="AH21" s="12">
        <f t="shared" si="8"/>
        <v>0</v>
      </c>
      <c r="AI21" s="11">
        <f t="shared" si="9"/>
        <v>0</v>
      </c>
      <c r="AK21" s="19"/>
      <c r="AL21" s="135" t="s">
        <v>248</v>
      </c>
      <c r="AM21" s="134">
        <f t="shared" ref="AM21:AR21" si="16">B98</f>
        <v>250</v>
      </c>
      <c r="AN21" s="134">
        <f t="shared" si="16"/>
        <v>250</v>
      </c>
      <c r="AO21" s="134">
        <f t="shared" si="16"/>
        <v>250</v>
      </c>
      <c r="AP21" s="134">
        <f t="shared" si="16"/>
        <v>250</v>
      </c>
      <c r="AQ21" s="134">
        <f t="shared" si="16"/>
        <v>210</v>
      </c>
      <c r="AR21" s="134">
        <f t="shared" si="16"/>
        <v>210</v>
      </c>
      <c r="AS21" s="134">
        <f>I98</f>
        <v>180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280</v>
      </c>
      <c r="BG21" s="133">
        <f>AB98</f>
        <v>281</v>
      </c>
      <c r="BH21" s="133">
        <f>AD98</f>
        <v>283</v>
      </c>
      <c r="BI21" s="133">
        <f>AE98</f>
        <v>280</v>
      </c>
      <c r="BJ21" s="133">
        <f>AF98</f>
        <v>280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25">
      <c r="A22" s="89" t="s">
        <v>247</v>
      </c>
      <c r="B22" s="102">
        <v>8.5</v>
      </c>
      <c r="C22" s="102">
        <v>8.5</v>
      </c>
      <c r="D22" s="102">
        <v>8.5</v>
      </c>
      <c r="E22" s="102">
        <v>8.5</v>
      </c>
      <c r="F22" s="102">
        <v>8.5</v>
      </c>
      <c r="G22" s="102">
        <v>8.5</v>
      </c>
      <c r="H22" s="102">
        <v>8.5</v>
      </c>
      <c r="I22" s="102">
        <v>8.5</v>
      </c>
      <c r="J22" s="102">
        <v>8.5</v>
      </c>
      <c r="K22" s="102">
        <v>8.5</v>
      </c>
      <c r="L22" s="102">
        <v>8.5</v>
      </c>
      <c r="M22" s="102">
        <v>8.5</v>
      </c>
      <c r="N22" s="102">
        <v>8.5</v>
      </c>
      <c r="O22" s="102">
        <v>8.5</v>
      </c>
      <c r="P22" s="102">
        <v>8.5</v>
      </c>
      <c r="Q22" s="102">
        <v>8.5</v>
      </c>
      <c r="R22" s="102">
        <v>8.5</v>
      </c>
      <c r="S22" s="102">
        <v>8.1999999999999993</v>
      </c>
      <c r="T22" s="102">
        <v>8.1999999999999993</v>
      </c>
      <c r="U22" s="102">
        <v>8.1999999999999993</v>
      </c>
      <c r="V22" s="102">
        <v>8.1999999999999993</v>
      </c>
      <c r="W22" s="102">
        <v>8.1999999999999993</v>
      </c>
      <c r="X22" s="102">
        <v>8.1999999999999993</v>
      </c>
      <c r="Y22" s="102">
        <v>8.1999999999999993</v>
      </c>
      <c r="Z22" s="102">
        <v>8.1999999999999993</v>
      </c>
      <c r="AA22" s="102">
        <v>8.1999999999999993</v>
      </c>
      <c r="AB22" s="102">
        <v>8.1999999999999993</v>
      </c>
      <c r="AC22" s="102">
        <v>8.1999999999999993</v>
      </c>
      <c r="AD22" s="102">
        <v>8.1999999999999993</v>
      </c>
      <c r="AE22" s="102">
        <v>8.1999999999999993</v>
      </c>
      <c r="AF22" s="102">
        <v>8.1999999999999993</v>
      </c>
      <c r="AG22" s="88">
        <v>30</v>
      </c>
      <c r="AH22" s="12">
        <f t="shared" si="8"/>
        <v>8.5</v>
      </c>
      <c r="AI22" s="11">
        <f t="shared" si="9"/>
        <v>8.1999999999999993</v>
      </c>
      <c r="AK22" s="19"/>
      <c r="AL22" s="132" t="s">
        <v>246</v>
      </c>
      <c r="AM22" s="131">
        <f t="shared" ref="AM22:BJ22" si="18">SUM(AM16:AM21)</f>
        <v>1554.84</v>
      </c>
      <c r="AN22" s="131">
        <f t="shared" si="18"/>
        <v>1471.04</v>
      </c>
      <c r="AO22" s="131">
        <f t="shared" si="18"/>
        <v>1444.54</v>
      </c>
      <c r="AP22" s="131">
        <f t="shared" si="18"/>
        <v>1410.54</v>
      </c>
      <c r="AQ22" s="131">
        <f t="shared" si="18"/>
        <v>1417.1399999999999</v>
      </c>
      <c r="AR22" s="131">
        <f t="shared" si="18"/>
        <v>1428.74</v>
      </c>
      <c r="AS22" s="131">
        <f t="shared" si="18"/>
        <v>1515.0399999999997</v>
      </c>
      <c r="AT22" s="131">
        <f t="shared" si="18"/>
        <v>1667.0399999999997</v>
      </c>
      <c r="AU22" s="131">
        <f t="shared" si="18"/>
        <v>1666.04</v>
      </c>
      <c r="AV22" s="131">
        <f t="shared" si="18"/>
        <v>1793.54</v>
      </c>
      <c r="AW22" s="131">
        <f t="shared" si="18"/>
        <v>1826.04</v>
      </c>
      <c r="AX22" s="131">
        <f t="shared" si="18"/>
        <v>1819.1399999999999</v>
      </c>
      <c r="AY22" s="131">
        <f t="shared" si="18"/>
        <v>1831.7399999999998</v>
      </c>
      <c r="AZ22" s="131">
        <f t="shared" si="18"/>
        <v>1812.7399999999998</v>
      </c>
      <c r="BA22" s="131">
        <f t="shared" si="18"/>
        <v>1856.8389999999999</v>
      </c>
      <c r="BB22" s="131">
        <f t="shared" si="18"/>
        <v>1870.04</v>
      </c>
      <c r="BC22" s="131">
        <f t="shared" si="18"/>
        <v>1843.1400000000003</v>
      </c>
      <c r="BD22" s="131">
        <f t="shared" si="18"/>
        <v>1811.84</v>
      </c>
      <c r="BE22" s="131">
        <f t="shared" si="18"/>
        <v>1606.04</v>
      </c>
      <c r="BF22" s="131">
        <f t="shared" si="18"/>
        <v>1872.1</v>
      </c>
      <c r="BG22" s="131">
        <f t="shared" si="18"/>
        <v>1900.54</v>
      </c>
      <c r="BH22" s="131">
        <f t="shared" si="18"/>
        <v>1756.34</v>
      </c>
      <c r="BI22" s="131">
        <f t="shared" si="18"/>
        <v>1693.6399999999999</v>
      </c>
      <c r="BJ22" s="131">
        <f t="shared" si="18"/>
        <v>1582.84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25">
      <c r="A23" s="89" t="s">
        <v>245</v>
      </c>
      <c r="B23" s="102">
        <v>5.6</v>
      </c>
      <c r="C23" s="102">
        <v>5.6</v>
      </c>
      <c r="D23" s="102">
        <v>5.6</v>
      </c>
      <c r="E23" s="102">
        <v>5.6</v>
      </c>
      <c r="F23" s="102">
        <v>5.6</v>
      </c>
      <c r="G23" s="102">
        <v>5.6</v>
      </c>
      <c r="H23" s="102">
        <v>5.6</v>
      </c>
      <c r="I23" s="102">
        <v>5.6</v>
      </c>
      <c r="J23" s="102">
        <v>5.6</v>
      </c>
      <c r="K23" s="102">
        <v>5.6</v>
      </c>
      <c r="L23" s="102">
        <v>5.6</v>
      </c>
      <c r="M23" s="102">
        <v>5.6</v>
      </c>
      <c r="N23" s="102">
        <v>5.6</v>
      </c>
      <c r="O23" s="102">
        <v>5.6</v>
      </c>
      <c r="P23" s="102">
        <v>5.6</v>
      </c>
      <c r="Q23" s="102">
        <v>5.6</v>
      </c>
      <c r="R23" s="102">
        <v>5.6</v>
      </c>
      <c r="S23" s="102">
        <v>5.6</v>
      </c>
      <c r="T23" s="102">
        <v>5.6</v>
      </c>
      <c r="U23" s="102">
        <v>5.6</v>
      </c>
      <c r="V23" s="102">
        <v>5.6</v>
      </c>
      <c r="W23" s="102">
        <v>5.6</v>
      </c>
      <c r="X23" s="102">
        <v>5.6</v>
      </c>
      <c r="Y23" s="102">
        <v>5.6</v>
      </c>
      <c r="Z23" s="102">
        <v>5.6</v>
      </c>
      <c r="AA23" s="102">
        <v>5.6</v>
      </c>
      <c r="AB23" s="102">
        <v>5.6</v>
      </c>
      <c r="AC23" s="102">
        <v>5.6</v>
      </c>
      <c r="AD23" s="102">
        <v>5.6</v>
      </c>
      <c r="AE23" s="102">
        <v>5.6</v>
      </c>
      <c r="AF23" s="102">
        <v>5.6</v>
      </c>
      <c r="AG23" s="130">
        <v>24.2</v>
      </c>
      <c r="AH23" s="12">
        <f t="shared" si="8"/>
        <v>5.6</v>
      </c>
      <c r="AI23" s="11">
        <f t="shared" si="9"/>
        <v>5.6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25">
      <c r="A24" s="89" t="s">
        <v>244</v>
      </c>
      <c r="B24" s="102">
        <v>6</v>
      </c>
      <c r="C24" s="102">
        <v>6</v>
      </c>
      <c r="D24" s="102">
        <v>6</v>
      </c>
      <c r="E24" s="102">
        <v>6</v>
      </c>
      <c r="F24" s="102">
        <v>6</v>
      </c>
      <c r="G24" s="102">
        <v>6</v>
      </c>
      <c r="H24" s="102">
        <v>6</v>
      </c>
      <c r="I24" s="102">
        <v>6</v>
      </c>
      <c r="J24" s="102">
        <v>6</v>
      </c>
      <c r="K24" s="102">
        <v>6</v>
      </c>
      <c r="L24" s="102">
        <v>6</v>
      </c>
      <c r="M24" s="102">
        <v>6</v>
      </c>
      <c r="N24" s="102">
        <v>6</v>
      </c>
      <c r="O24" s="102">
        <v>6</v>
      </c>
      <c r="P24" s="102">
        <v>6</v>
      </c>
      <c r="Q24" s="102">
        <v>6</v>
      </c>
      <c r="R24" s="102">
        <v>6</v>
      </c>
      <c r="S24" s="102">
        <v>6</v>
      </c>
      <c r="T24" s="102">
        <v>6</v>
      </c>
      <c r="U24" s="102">
        <v>6</v>
      </c>
      <c r="V24" s="102">
        <v>6</v>
      </c>
      <c r="W24" s="102">
        <v>6</v>
      </c>
      <c r="X24" s="102">
        <v>6</v>
      </c>
      <c r="Y24" s="102">
        <v>6</v>
      </c>
      <c r="Z24" s="102">
        <v>6</v>
      </c>
      <c r="AA24" s="102">
        <v>6</v>
      </c>
      <c r="AB24" s="102">
        <v>6</v>
      </c>
      <c r="AC24" s="102">
        <v>6</v>
      </c>
      <c r="AD24" s="102">
        <v>6</v>
      </c>
      <c r="AE24" s="102">
        <v>6</v>
      </c>
      <c r="AF24" s="102">
        <v>6</v>
      </c>
      <c r="AG24" s="130">
        <v>28</v>
      </c>
      <c r="AH24" s="12">
        <f t="shared" si="8"/>
        <v>6</v>
      </c>
      <c r="AI24" s="11">
        <f t="shared" si="9"/>
        <v>6</v>
      </c>
      <c r="AK24" s="19"/>
      <c r="AL24" s="132" t="s">
        <v>243</v>
      </c>
      <c r="AM24" s="131">
        <f t="shared" ref="AM24:BJ24" si="21">AM22+AM23</f>
        <v>1554.84</v>
      </c>
      <c r="AN24" s="131">
        <f t="shared" si="21"/>
        <v>1471.04</v>
      </c>
      <c r="AO24" s="131">
        <f t="shared" si="21"/>
        <v>1444.54</v>
      </c>
      <c r="AP24" s="131">
        <f t="shared" si="21"/>
        <v>1410.54</v>
      </c>
      <c r="AQ24" s="131">
        <f t="shared" si="21"/>
        <v>1417.1399999999999</v>
      </c>
      <c r="AR24" s="131">
        <f t="shared" si="21"/>
        <v>1428.74</v>
      </c>
      <c r="AS24" s="131">
        <f t="shared" si="21"/>
        <v>1515.0399999999997</v>
      </c>
      <c r="AT24" s="131">
        <f t="shared" si="21"/>
        <v>1667.0399999999997</v>
      </c>
      <c r="AU24" s="131">
        <f t="shared" si="21"/>
        <v>1666.04</v>
      </c>
      <c r="AV24" s="131">
        <f t="shared" si="21"/>
        <v>1793.54</v>
      </c>
      <c r="AW24" s="131">
        <f t="shared" si="21"/>
        <v>1826.04</v>
      </c>
      <c r="AX24" s="131">
        <f t="shared" si="21"/>
        <v>1819.1399999999999</v>
      </c>
      <c r="AY24" s="131">
        <f t="shared" si="21"/>
        <v>1831.7399999999998</v>
      </c>
      <c r="AZ24" s="131">
        <f t="shared" si="21"/>
        <v>1812.7399999999998</v>
      </c>
      <c r="BA24" s="131">
        <f t="shared" si="21"/>
        <v>1856.8389999999999</v>
      </c>
      <c r="BB24" s="131">
        <f t="shared" si="21"/>
        <v>1870.04</v>
      </c>
      <c r="BC24" s="131">
        <f t="shared" si="21"/>
        <v>1843.1400000000003</v>
      </c>
      <c r="BD24" s="131">
        <f t="shared" si="21"/>
        <v>1811.84</v>
      </c>
      <c r="BE24" s="131">
        <f t="shared" si="21"/>
        <v>1606.04</v>
      </c>
      <c r="BF24" s="131">
        <f t="shared" si="21"/>
        <v>1872.1</v>
      </c>
      <c r="BG24" s="131">
        <f t="shared" si="21"/>
        <v>1900.54</v>
      </c>
      <c r="BH24" s="131">
        <f t="shared" si="21"/>
        <v>1756.34</v>
      </c>
      <c r="BI24" s="131">
        <f t="shared" si="21"/>
        <v>1693.6399999999999</v>
      </c>
      <c r="BJ24" s="131">
        <f t="shared" si="21"/>
        <v>1582.84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25">
      <c r="A25" s="89" t="s">
        <v>242</v>
      </c>
      <c r="B25" s="102">
        <v>10.7</v>
      </c>
      <c r="C25" s="102">
        <v>10.7</v>
      </c>
      <c r="D25" s="102">
        <v>10.7</v>
      </c>
      <c r="E25" s="102">
        <v>10.7</v>
      </c>
      <c r="F25" s="102">
        <v>10.7</v>
      </c>
      <c r="G25" s="102">
        <v>10.7</v>
      </c>
      <c r="H25" s="102">
        <v>10.7</v>
      </c>
      <c r="I25" s="102">
        <v>10.7</v>
      </c>
      <c r="J25" s="102">
        <v>10.7</v>
      </c>
      <c r="K25" s="102">
        <v>10.7</v>
      </c>
      <c r="L25" s="102">
        <v>10.7</v>
      </c>
      <c r="M25" s="102">
        <v>10.7</v>
      </c>
      <c r="N25" s="102">
        <v>10.7</v>
      </c>
      <c r="O25" s="102">
        <v>10.7</v>
      </c>
      <c r="P25" s="102">
        <v>10.7</v>
      </c>
      <c r="Q25" s="102">
        <v>10.7</v>
      </c>
      <c r="R25" s="102">
        <v>10.7</v>
      </c>
      <c r="S25" s="102">
        <v>10.7</v>
      </c>
      <c r="T25" s="102">
        <v>10.7</v>
      </c>
      <c r="U25" s="102">
        <v>10.7</v>
      </c>
      <c r="V25" s="102">
        <v>10.7</v>
      </c>
      <c r="W25" s="102">
        <v>10.7</v>
      </c>
      <c r="X25" s="102">
        <v>10.7</v>
      </c>
      <c r="Y25" s="102">
        <v>10.7</v>
      </c>
      <c r="Z25" s="102">
        <v>10.7</v>
      </c>
      <c r="AA25" s="102">
        <v>10.7</v>
      </c>
      <c r="AB25" s="102">
        <v>10.7</v>
      </c>
      <c r="AC25" s="102">
        <v>10.7</v>
      </c>
      <c r="AD25" s="102">
        <v>10.7</v>
      </c>
      <c r="AE25" s="102">
        <v>10.7</v>
      </c>
      <c r="AF25" s="102">
        <v>10.7</v>
      </c>
      <c r="AG25" s="88">
        <v>30</v>
      </c>
      <c r="AH25" s="12">
        <f t="shared" si="8"/>
        <v>10.7</v>
      </c>
      <c r="AI25" s="11">
        <f t="shared" si="9"/>
        <v>10.7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25">
      <c r="A26" s="89" t="s">
        <v>241</v>
      </c>
      <c r="B26" s="102">
        <v>14.9</v>
      </c>
      <c r="C26" s="102">
        <v>14.9</v>
      </c>
      <c r="D26" s="102">
        <v>14.9</v>
      </c>
      <c r="E26" s="102">
        <v>14.9</v>
      </c>
      <c r="F26" s="102">
        <v>14.9</v>
      </c>
      <c r="G26" s="102">
        <v>14.9</v>
      </c>
      <c r="H26" s="102">
        <v>14.9</v>
      </c>
      <c r="I26" s="102">
        <v>14.9</v>
      </c>
      <c r="J26" s="102">
        <v>14.9</v>
      </c>
      <c r="K26" s="102">
        <v>14.9</v>
      </c>
      <c r="L26" s="102">
        <v>14.9</v>
      </c>
      <c r="M26" s="102">
        <v>14.9</v>
      </c>
      <c r="N26" s="102">
        <v>14.9</v>
      </c>
      <c r="O26" s="102">
        <v>14.9</v>
      </c>
      <c r="P26" s="102">
        <v>14.9</v>
      </c>
      <c r="Q26" s="102">
        <v>14.9</v>
      </c>
      <c r="R26" s="102">
        <v>14.9</v>
      </c>
      <c r="S26" s="102">
        <v>14.9</v>
      </c>
      <c r="T26" s="102">
        <v>14.9</v>
      </c>
      <c r="U26" s="102">
        <v>14.9</v>
      </c>
      <c r="V26" s="102">
        <v>14.9</v>
      </c>
      <c r="W26" s="102">
        <v>14.9</v>
      </c>
      <c r="X26" s="102">
        <v>14.9</v>
      </c>
      <c r="Y26" s="102">
        <v>14.9</v>
      </c>
      <c r="Z26" s="102">
        <v>14.9</v>
      </c>
      <c r="AA26" s="102">
        <v>14.9</v>
      </c>
      <c r="AB26" s="102">
        <v>14.9</v>
      </c>
      <c r="AC26" s="102">
        <v>14.9</v>
      </c>
      <c r="AD26" s="102">
        <v>14.9</v>
      </c>
      <c r="AE26" s="102">
        <v>14.9</v>
      </c>
      <c r="AF26" s="102">
        <v>14.9</v>
      </c>
      <c r="AG26" s="130">
        <v>25</v>
      </c>
      <c r="AH26" s="12">
        <f t="shared" si="8"/>
        <v>14.9</v>
      </c>
      <c r="AI26" s="11">
        <f t="shared" si="9"/>
        <v>14.9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25">
      <c r="A27" s="89" t="s">
        <v>240</v>
      </c>
      <c r="B27" s="102">
        <v>8</v>
      </c>
      <c r="C27" s="102">
        <v>8</v>
      </c>
      <c r="D27" s="102">
        <v>8</v>
      </c>
      <c r="E27" s="102">
        <v>8</v>
      </c>
      <c r="F27" s="102">
        <v>8</v>
      </c>
      <c r="G27" s="102">
        <v>8</v>
      </c>
      <c r="H27" s="102">
        <v>8</v>
      </c>
      <c r="I27" s="102">
        <v>8</v>
      </c>
      <c r="J27" s="102">
        <v>8</v>
      </c>
      <c r="K27" s="102">
        <v>8</v>
      </c>
      <c r="L27" s="102">
        <v>8</v>
      </c>
      <c r="M27" s="102">
        <v>8</v>
      </c>
      <c r="N27" s="102">
        <v>8</v>
      </c>
      <c r="O27" s="102">
        <v>8</v>
      </c>
      <c r="P27" s="102">
        <v>8</v>
      </c>
      <c r="Q27" s="102">
        <v>8</v>
      </c>
      <c r="R27" s="102">
        <v>8</v>
      </c>
      <c r="S27" s="102">
        <v>8</v>
      </c>
      <c r="T27" s="102">
        <v>8</v>
      </c>
      <c r="U27" s="102">
        <v>8</v>
      </c>
      <c r="V27" s="102">
        <v>8</v>
      </c>
      <c r="W27" s="102">
        <v>8</v>
      </c>
      <c r="X27" s="102">
        <v>8</v>
      </c>
      <c r="Y27" s="102">
        <v>8</v>
      </c>
      <c r="Z27" s="102">
        <v>8</v>
      </c>
      <c r="AA27" s="102">
        <v>8</v>
      </c>
      <c r="AB27" s="102">
        <v>8</v>
      </c>
      <c r="AC27" s="102">
        <v>8</v>
      </c>
      <c r="AD27" s="102">
        <v>8</v>
      </c>
      <c r="AE27" s="102">
        <v>8</v>
      </c>
      <c r="AF27" s="102">
        <v>8</v>
      </c>
      <c r="AG27" s="130">
        <v>25</v>
      </c>
      <c r="AH27" s="12">
        <f t="shared" si="8"/>
        <v>8</v>
      </c>
      <c r="AI27" s="11">
        <f t="shared" si="9"/>
        <v>8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25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25">
      <c r="A29" s="89" t="s">
        <v>238</v>
      </c>
      <c r="B29" s="102">
        <v>13.4</v>
      </c>
      <c r="C29" s="102">
        <v>13.4</v>
      </c>
      <c r="D29" s="102">
        <v>13.4</v>
      </c>
      <c r="E29" s="102">
        <v>13.4</v>
      </c>
      <c r="F29" s="102">
        <v>13.4</v>
      </c>
      <c r="G29" s="102">
        <v>13.4</v>
      </c>
      <c r="H29" s="102">
        <v>13.4</v>
      </c>
      <c r="I29" s="102">
        <v>13.4</v>
      </c>
      <c r="J29" s="102">
        <v>13.4</v>
      </c>
      <c r="K29" s="102">
        <v>13.4</v>
      </c>
      <c r="L29" s="102">
        <v>13.4</v>
      </c>
      <c r="M29" s="102">
        <v>13.4</v>
      </c>
      <c r="N29" s="102">
        <v>13.4</v>
      </c>
      <c r="O29" s="102">
        <v>13.4</v>
      </c>
      <c r="P29" s="102">
        <v>13.4</v>
      </c>
      <c r="Q29" s="102">
        <v>13.4</v>
      </c>
      <c r="R29" s="102">
        <v>13.4</v>
      </c>
      <c r="S29" s="102">
        <v>13.4</v>
      </c>
      <c r="T29" s="102">
        <v>13.4</v>
      </c>
      <c r="U29" s="102">
        <v>13.4</v>
      </c>
      <c r="V29" s="102">
        <v>13.4</v>
      </c>
      <c r="W29" s="102">
        <v>13.4</v>
      </c>
      <c r="X29" s="102">
        <v>13.4</v>
      </c>
      <c r="Y29" s="102">
        <v>13.4</v>
      </c>
      <c r="Z29" s="102">
        <v>13.4</v>
      </c>
      <c r="AA29" s="102">
        <v>13.4</v>
      </c>
      <c r="AB29" s="102">
        <v>13.4</v>
      </c>
      <c r="AC29" s="102">
        <v>13.4</v>
      </c>
      <c r="AD29" s="102">
        <v>13.4</v>
      </c>
      <c r="AE29" s="102">
        <v>13.4</v>
      </c>
      <c r="AF29" s="102">
        <v>13.4</v>
      </c>
      <c r="AG29" s="130">
        <v>25</v>
      </c>
      <c r="AH29" s="12">
        <f t="shared" si="8"/>
        <v>13.4</v>
      </c>
      <c r="AI29" s="11">
        <f t="shared" si="9"/>
        <v>13.4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25">
      <c r="A30" s="89" t="s">
        <v>237</v>
      </c>
      <c r="B30" s="102">
        <v>4.4000000000000004</v>
      </c>
      <c r="C30" s="102">
        <v>4.4000000000000004</v>
      </c>
      <c r="D30" s="102">
        <v>4.4000000000000004</v>
      </c>
      <c r="E30" s="102">
        <v>4.4000000000000004</v>
      </c>
      <c r="F30" s="102">
        <v>4.4000000000000004</v>
      </c>
      <c r="G30" s="102">
        <v>4.4000000000000004</v>
      </c>
      <c r="H30" s="102">
        <v>4.4000000000000004</v>
      </c>
      <c r="I30" s="102">
        <v>4.4000000000000004</v>
      </c>
      <c r="J30" s="102">
        <v>4.4000000000000004</v>
      </c>
      <c r="K30" s="102">
        <v>4.4000000000000004</v>
      </c>
      <c r="L30" s="102">
        <v>4.4000000000000004</v>
      </c>
      <c r="M30" s="102">
        <v>4.4000000000000004</v>
      </c>
      <c r="N30" s="102">
        <v>4.4000000000000004</v>
      </c>
      <c r="O30" s="102">
        <v>4.4000000000000004</v>
      </c>
      <c r="P30" s="102">
        <v>4.4000000000000004</v>
      </c>
      <c r="Q30" s="102">
        <v>4.4000000000000004</v>
      </c>
      <c r="R30" s="102">
        <v>4.4000000000000004</v>
      </c>
      <c r="S30" s="102">
        <v>4.4000000000000004</v>
      </c>
      <c r="T30" s="102">
        <v>4.4000000000000004</v>
      </c>
      <c r="U30" s="102">
        <v>4.4000000000000004</v>
      </c>
      <c r="V30" s="102">
        <v>4.4000000000000004</v>
      </c>
      <c r="W30" s="102">
        <v>4.4000000000000004</v>
      </c>
      <c r="X30" s="102">
        <v>4.4000000000000004</v>
      </c>
      <c r="Y30" s="102">
        <v>4.4000000000000004</v>
      </c>
      <c r="Z30" s="102">
        <v>4.4000000000000004</v>
      </c>
      <c r="AA30" s="102">
        <v>4.4000000000000004</v>
      </c>
      <c r="AB30" s="102">
        <v>4.4000000000000004</v>
      </c>
      <c r="AC30" s="102">
        <v>4.4000000000000004</v>
      </c>
      <c r="AD30" s="102">
        <v>4.4000000000000004</v>
      </c>
      <c r="AE30" s="102">
        <v>4.4000000000000004</v>
      </c>
      <c r="AF30" s="102">
        <v>4.4000000000000004</v>
      </c>
      <c r="AG30" s="130">
        <v>23.5</v>
      </c>
      <c r="AH30" s="12">
        <f t="shared" si="8"/>
        <v>4.4000000000000004</v>
      </c>
      <c r="AI30" s="11">
        <f t="shared" si="9"/>
        <v>4.4000000000000004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25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25">
      <c r="A32" s="89" t="s">
        <v>235</v>
      </c>
      <c r="B32" s="102">
        <v>3</v>
      </c>
      <c r="C32" s="102">
        <v>3</v>
      </c>
      <c r="D32" s="102">
        <v>3</v>
      </c>
      <c r="E32" s="102">
        <v>3</v>
      </c>
      <c r="F32" s="102">
        <v>3</v>
      </c>
      <c r="G32" s="102">
        <v>3</v>
      </c>
      <c r="H32" s="102">
        <v>3</v>
      </c>
      <c r="I32" s="102">
        <v>3</v>
      </c>
      <c r="J32" s="102">
        <v>3</v>
      </c>
      <c r="K32" s="102">
        <v>3</v>
      </c>
      <c r="L32" s="102">
        <v>3</v>
      </c>
      <c r="M32" s="102">
        <v>3</v>
      </c>
      <c r="N32" s="102">
        <v>3</v>
      </c>
      <c r="O32" s="102">
        <v>3</v>
      </c>
      <c r="P32" s="102">
        <v>3</v>
      </c>
      <c r="Q32" s="102">
        <v>3</v>
      </c>
      <c r="R32" s="102">
        <v>3</v>
      </c>
      <c r="S32" s="102">
        <v>3</v>
      </c>
      <c r="T32" s="102">
        <v>3</v>
      </c>
      <c r="U32" s="102">
        <v>3</v>
      </c>
      <c r="V32" s="102">
        <v>3</v>
      </c>
      <c r="W32" s="102">
        <v>3</v>
      </c>
      <c r="X32" s="102">
        <v>3</v>
      </c>
      <c r="Y32" s="102">
        <v>3</v>
      </c>
      <c r="Z32" s="102">
        <v>3</v>
      </c>
      <c r="AA32" s="102">
        <v>3</v>
      </c>
      <c r="AB32" s="102">
        <v>3</v>
      </c>
      <c r="AC32" s="102">
        <v>3</v>
      </c>
      <c r="AD32" s="102">
        <v>3</v>
      </c>
      <c r="AE32" s="102">
        <v>3</v>
      </c>
      <c r="AF32" s="102">
        <v>3</v>
      </c>
      <c r="AG32" s="130">
        <v>22.1</v>
      </c>
      <c r="AH32" s="12">
        <f t="shared" si="8"/>
        <v>3</v>
      </c>
      <c r="AI32" s="11">
        <f t="shared" si="9"/>
        <v>3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25">
      <c r="A33" s="89" t="s">
        <v>234</v>
      </c>
      <c r="B33" s="102">
        <v>3.9</v>
      </c>
      <c r="C33" s="102">
        <v>3.9</v>
      </c>
      <c r="D33" s="102">
        <v>3.9</v>
      </c>
      <c r="E33" s="102">
        <v>3.9</v>
      </c>
      <c r="F33" s="102">
        <v>3.9</v>
      </c>
      <c r="G33" s="102">
        <v>3.9</v>
      </c>
      <c r="H33" s="102">
        <v>3.9</v>
      </c>
      <c r="I33" s="102">
        <v>3.9</v>
      </c>
      <c r="J33" s="102">
        <v>3.9</v>
      </c>
      <c r="K33" s="102">
        <v>3.9</v>
      </c>
      <c r="L33" s="102">
        <v>3.9</v>
      </c>
      <c r="M33" s="102">
        <v>3.9</v>
      </c>
      <c r="N33" s="102">
        <v>3.9</v>
      </c>
      <c r="O33" s="102">
        <v>3.9</v>
      </c>
      <c r="P33" s="102">
        <v>3.9</v>
      </c>
      <c r="Q33" s="102">
        <v>3.9</v>
      </c>
      <c r="R33" s="102">
        <v>3.9</v>
      </c>
      <c r="S33" s="102">
        <v>3.9</v>
      </c>
      <c r="T33" s="102">
        <v>3.9</v>
      </c>
      <c r="U33" s="102">
        <v>3.9</v>
      </c>
      <c r="V33" s="102">
        <v>3.9</v>
      </c>
      <c r="W33" s="102">
        <v>3.9</v>
      </c>
      <c r="X33" s="102">
        <v>3.9</v>
      </c>
      <c r="Y33" s="102">
        <v>3.9</v>
      </c>
      <c r="Z33" s="102">
        <v>3.9</v>
      </c>
      <c r="AA33" s="102">
        <v>3.9</v>
      </c>
      <c r="AB33" s="102">
        <v>3.9</v>
      </c>
      <c r="AC33" s="102">
        <v>3.9</v>
      </c>
      <c r="AD33" s="102">
        <v>3.9</v>
      </c>
      <c r="AE33" s="102">
        <v>3.9</v>
      </c>
      <c r="AF33" s="102">
        <v>3.9</v>
      </c>
      <c r="AG33" s="130">
        <v>22</v>
      </c>
      <c r="AH33" s="12">
        <f t="shared" si="8"/>
        <v>3.9</v>
      </c>
      <c r="AI33" s="11">
        <f t="shared" si="9"/>
        <v>3.9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25">
      <c r="A34" s="89" t="s">
        <v>233</v>
      </c>
      <c r="B34" s="102">
        <v>6.5</v>
      </c>
      <c r="C34" s="102">
        <v>6.5</v>
      </c>
      <c r="D34" s="102">
        <v>6.5</v>
      </c>
      <c r="E34" s="102">
        <v>6.5</v>
      </c>
      <c r="F34" s="102">
        <v>6.5</v>
      </c>
      <c r="G34" s="102">
        <v>6.5</v>
      </c>
      <c r="H34" s="102">
        <v>6.5</v>
      </c>
      <c r="I34" s="102">
        <v>6.5</v>
      </c>
      <c r="J34" s="102">
        <v>6.5</v>
      </c>
      <c r="K34" s="102">
        <v>6.5</v>
      </c>
      <c r="L34" s="102">
        <v>6.5</v>
      </c>
      <c r="M34" s="102">
        <v>6.5</v>
      </c>
      <c r="N34" s="102">
        <v>6.5</v>
      </c>
      <c r="O34" s="102">
        <v>6.5</v>
      </c>
      <c r="P34" s="102">
        <v>6.5</v>
      </c>
      <c r="Q34" s="102">
        <v>6.5</v>
      </c>
      <c r="R34" s="102">
        <v>6.5</v>
      </c>
      <c r="S34" s="102">
        <v>6.5</v>
      </c>
      <c r="T34" s="102">
        <v>6.5</v>
      </c>
      <c r="U34" s="102">
        <v>6.5</v>
      </c>
      <c r="V34" s="102">
        <v>6.5</v>
      </c>
      <c r="W34" s="102">
        <v>6.5</v>
      </c>
      <c r="X34" s="102">
        <v>6.5</v>
      </c>
      <c r="Y34" s="102">
        <v>6.5</v>
      </c>
      <c r="Z34" s="102">
        <v>6.5</v>
      </c>
      <c r="AA34" s="102">
        <v>6.5</v>
      </c>
      <c r="AB34" s="102">
        <v>6.5</v>
      </c>
      <c r="AC34" s="102">
        <v>6.5</v>
      </c>
      <c r="AD34" s="102">
        <v>6.5</v>
      </c>
      <c r="AE34" s="102">
        <v>6.5</v>
      </c>
      <c r="AF34" s="102">
        <v>6.5</v>
      </c>
      <c r="AG34" s="130">
        <v>22</v>
      </c>
      <c r="AH34" s="12">
        <f t="shared" si="8"/>
        <v>6.5</v>
      </c>
      <c r="AI34" s="11">
        <f t="shared" si="9"/>
        <v>6.5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25">
      <c r="A35" s="89" t="s">
        <v>232</v>
      </c>
      <c r="B35" s="102">
        <v>16.2</v>
      </c>
      <c r="C35" s="102">
        <v>16.2</v>
      </c>
      <c r="D35" s="102">
        <v>16.2</v>
      </c>
      <c r="E35" s="102">
        <v>16.2</v>
      </c>
      <c r="F35" s="102">
        <v>16.2</v>
      </c>
      <c r="G35" s="102">
        <v>16.2</v>
      </c>
      <c r="H35" s="102">
        <v>16.2</v>
      </c>
      <c r="I35" s="102">
        <v>16.2</v>
      </c>
      <c r="J35" s="102">
        <v>16.2</v>
      </c>
      <c r="K35" s="102">
        <v>16.2</v>
      </c>
      <c r="L35" s="102">
        <v>16.2</v>
      </c>
      <c r="M35" s="102">
        <v>16.2</v>
      </c>
      <c r="N35" s="102">
        <v>16.2</v>
      </c>
      <c r="O35" s="102">
        <v>16.2</v>
      </c>
      <c r="P35" s="102">
        <v>16.2</v>
      </c>
      <c r="Q35" s="102">
        <v>16.2</v>
      </c>
      <c r="R35" s="102">
        <v>16.2</v>
      </c>
      <c r="S35" s="102">
        <v>16.2</v>
      </c>
      <c r="T35" s="102">
        <v>16.2</v>
      </c>
      <c r="U35" s="102">
        <v>16.2</v>
      </c>
      <c r="V35" s="102">
        <v>16.2</v>
      </c>
      <c r="W35" s="102">
        <v>16.2</v>
      </c>
      <c r="X35" s="102">
        <v>16.2</v>
      </c>
      <c r="Y35" s="102">
        <v>16.2</v>
      </c>
      <c r="Z35" s="102">
        <v>16.2</v>
      </c>
      <c r="AA35" s="102">
        <v>16.2</v>
      </c>
      <c r="AB35" s="102">
        <v>16.2</v>
      </c>
      <c r="AC35" s="102">
        <v>16.2</v>
      </c>
      <c r="AD35" s="102">
        <v>16.2</v>
      </c>
      <c r="AE35" s="102">
        <v>16.2</v>
      </c>
      <c r="AF35" s="102">
        <v>16.2</v>
      </c>
      <c r="AG35" s="130">
        <v>20</v>
      </c>
      <c r="AH35" s="12">
        <f t="shared" si="8"/>
        <v>16.2</v>
      </c>
      <c r="AI35" s="11">
        <f t="shared" si="9"/>
        <v>16.2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25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25">
      <c r="A37" s="89" t="s">
        <v>230</v>
      </c>
      <c r="B37" s="102">
        <v>5.8</v>
      </c>
      <c r="C37" s="102">
        <v>5.8</v>
      </c>
      <c r="D37" s="102">
        <v>5.8</v>
      </c>
      <c r="E37" s="102">
        <v>5.8</v>
      </c>
      <c r="F37" s="102">
        <v>5.8</v>
      </c>
      <c r="G37" s="102">
        <v>5.8</v>
      </c>
      <c r="H37" s="102">
        <v>5.8</v>
      </c>
      <c r="I37" s="102">
        <v>5.8</v>
      </c>
      <c r="J37" s="102">
        <v>5.8</v>
      </c>
      <c r="K37" s="102">
        <v>5.8</v>
      </c>
      <c r="L37" s="102">
        <v>5.8</v>
      </c>
      <c r="M37" s="102">
        <v>5.8</v>
      </c>
      <c r="N37" s="102">
        <v>5.8</v>
      </c>
      <c r="O37" s="102">
        <v>5.8</v>
      </c>
      <c r="P37" s="102">
        <v>5.8</v>
      </c>
      <c r="Q37" s="102">
        <v>5.8</v>
      </c>
      <c r="R37" s="102">
        <v>5.8</v>
      </c>
      <c r="S37" s="102">
        <v>5.8</v>
      </c>
      <c r="T37" s="102">
        <v>5.8</v>
      </c>
      <c r="U37" s="102">
        <v>5.8</v>
      </c>
      <c r="V37" s="102">
        <v>5.8</v>
      </c>
      <c r="W37" s="102">
        <v>5.8</v>
      </c>
      <c r="X37" s="102">
        <v>5.8</v>
      </c>
      <c r="Y37" s="102">
        <v>5.8</v>
      </c>
      <c r="Z37" s="102">
        <v>5.8</v>
      </c>
      <c r="AA37" s="102">
        <v>5.8</v>
      </c>
      <c r="AB37" s="102">
        <v>5.8</v>
      </c>
      <c r="AC37" s="102">
        <v>5.8</v>
      </c>
      <c r="AD37" s="102">
        <v>5.8</v>
      </c>
      <c r="AE37" s="102">
        <v>5.8</v>
      </c>
      <c r="AF37" s="102">
        <v>5.8</v>
      </c>
      <c r="AG37" s="130">
        <v>18</v>
      </c>
      <c r="AH37" s="12">
        <f t="shared" si="8"/>
        <v>5.8</v>
      </c>
      <c r="AI37" s="11">
        <f t="shared" si="9"/>
        <v>5.8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25">
      <c r="A38" s="89" t="s">
        <v>229</v>
      </c>
      <c r="B38" s="102">
        <v>5.0999999999999996</v>
      </c>
      <c r="C38" s="102">
        <v>5.0999999999999996</v>
      </c>
      <c r="D38" s="102">
        <v>5.0999999999999996</v>
      </c>
      <c r="E38" s="102">
        <v>5.0999999999999996</v>
      </c>
      <c r="F38" s="102">
        <v>5.0999999999999996</v>
      </c>
      <c r="G38" s="102">
        <v>5.0999999999999996</v>
      </c>
      <c r="H38" s="102">
        <v>5.0999999999999996</v>
      </c>
      <c r="I38" s="102">
        <v>5.0999999999999996</v>
      </c>
      <c r="J38" s="102">
        <v>5.0999999999999996</v>
      </c>
      <c r="K38" s="102">
        <v>5.0999999999999996</v>
      </c>
      <c r="L38" s="102">
        <v>5.0999999999999996</v>
      </c>
      <c r="M38" s="102">
        <v>5.0999999999999996</v>
      </c>
      <c r="N38" s="102">
        <v>5.0999999999999996</v>
      </c>
      <c r="O38" s="102">
        <v>5.0999999999999996</v>
      </c>
      <c r="P38" s="102">
        <v>5.0999999999999996</v>
      </c>
      <c r="Q38" s="102">
        <v>5.0999999999999996</v>
      </c>
      <c r="R38" s="102">
        <v>5.0999999999999996</v>
      </c>
      <c r="S38" s="102">
        <v>5.0999999999999996</v>
      </c>
      <c r="T38" s="102">
        <v>5.0999999999999996</v>
      </c>
      <c r="U38" s="102">
        <v>5.0999999999999996</v>
      </c>
      <c r="V38" s="102">
        <v>5.0999999999999996</v>
      </c>
      <c r="W38" s="102">
        <v>5.0999999999999996</v>
      </c>
      <c r="X38" s="102">
        <v>5.0999999999999996</v>
      </c>
      <c r="Y38" s="102">
        <v>5.0999999999999996</v>
      </c>
      <c r="Z38" s="102">
        <v>5.0999999999999996</v>
      </c>
      <c r="AA38" s="102">
        <v>5.0999999999999996</v>
      </c>
      <c r="AB38" s="102">
        <v>5.0999999999999996</v>
      </c>
      <c r="AC38" s="102">
        <v>5.0999999999999996</v>
      </c>
      <c r="AD38" s="102">
        <v>5.0999999999999996</v>
      </c>
      <c r="AE38" s="102">
        <v>5.0999999999999996</v>
      </c>
      <c r="AF38" s="102">
        <v>5.0999999999999996</v>
      </c>
      <c r="AG38" s="130">
        <v>14.9</v>
      </c>
      <c r="AH38" s="12">
        <f t="shared" si="8"/>
        <v>5.0999999999999996</v>
      </c>
      <c r="AI38" s="11">
        <f t="shared" si="9"/>
        <v>5.0999999999999996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25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25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25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25">
      <c r="A42" s="89" t="s">
        <v>225</v>
      </c>
      <c r="B42" s="102">
        <v>5.2</v>
      </c>
      <c r="C42" s="102">
        <v>5.2</v>
      </c>
      <c r="D42" s="102">
        <v>5.2</v>
      </c>
      <c r="E42" s="102">
        <v>5.2</v>
      </c>
      <c r="F42" s="102">
        <v>5.2</v>
      </c>
      <c r="G42" s="102">
        <v>5.2</v>
      </c>
      <c r="H42" s="102">
        <v>5.2</v>
      </c>
      <c r="I42" s="102">
        <v>5.2</v>
      </c>
      <c r="J42" s="102">
        <v>5.2</v>
      </c>
      <c r="K42" s="102">
        <v>5.2</v>
      </c>
      <c r="L42" s="102">
        <v>5.2</v>
      </c>
      <c r="M42" s="102">
        <v>5.2</v>
      </c>
      <c r="N42" s="102">
        <v>5.2</v>
      </c>
      <c r="O42" s="102">
        <v>5.2</v>
      </c>
      <c r="P42" s="102">
        <v>5.2</v>
      </c>
      <c r="Q42" s="102">
        <v>5.2</v>
      </c>
      <c r="R42" s="102">
        <v>5.2</v>
      </c>
      <c r="S42" s="102">
        <v>5.2</v>
      </c>
      <c r="T42" s="102">
        <v>5.2</v>
      </c>
      <c r="U42" s="102">
        <v>5.2</v>
      </c>
      <c r="V42" s="102">
        <v>5.2</v>
      </c>
      <c r="W42" s="102">
        <v>5.2</v>
      </c>
      <c r="X42" s="102">
        <v>5.2</v>
      </c>
      <c r="Y42" s="102">
        <v>5.2</v>
      </c>
      <c r="Z42" s="102">
        <v>5.2</v>
      </c>
      <c r="AA42" s="102">
        <v>5.2</v>
      </c>
      <c r="AB42" s="102">
        <v>5.2</v>
      </c>
      <c r="AC42" s="102">
        <v>5.2</v>
      </c>
      <c r="AD42" s="102">
        <v>5.2</v>
      </c>
      <c r="AE42" s="102">
        <v>5.2</v>
      </c>
      <c r="AF42" s="102">
        <v>5.2</v>
      </c>
      <c r="AG42" s="130">
        <v>13.6</v>
      </c>
      <c r="AH42" s="12">
        <f t="shared" si="8"/>
        <v>5.2</v>
      </c>
      <c r="AI42" s="11">
        <f t="shared" si="9"/>
        <v>5.2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25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25">
      <c r="A44" s="89" t="s">
        <v>223</v>
      </c>
      <c r="B44" s="102">
        <v>0</v>
      </c>
      <c r="C44" s="102">
        <v>0</v>
      </c>
      <c r="D44" s="102">
        <v>0</v>
      </c>
      <c r="E44" s="102">
        <v>0</v>
      </c>
      <c r="F44" s="102">
        <v>0</v>
      </c>
      <c r="G44" s="102">
        <v>0</v>
      </c>
      <c r="H44" s="102">
        <v>0</v>
      </c>
      <c r="I44" s="102">
        <v>0</v>
      </c>
      <c r="J44" s="102">
        <v>0</v>
      </c>
      <c r="K44" s="102">
        <v>0</v>
      </c>
      <c r="L44" s="102">
        <v>0</v>
      </c>
      <c r="M44" s="102">
        <v>0</v>
      </c>
      <c r="N44" s="102">
        <v>0</v>
      </c>
      <c r="O44" s="102">
        <v>0</v>
      </c>
      <c r="P44" s="102">
        <v>0</v>
      </c>
      <c r="Q44" s="102">
        <v>0</v>
      </c>
      <c r="R44" s="102">
        <v>0</v>
      </c>
      <c r="S44" s="102">
        <v>0</v>
      </c>
      <c r="T44" s="102">
        <v>0</v>
      </c>
      <c r="U44" s="102">
        <v>0</v>
      </c>
      <c r="V44" s="102">
        <v>0</v>
      </c>
      <c r="W44" s="102">
        <v>0</v>
      </c>
      <c r="X44" s="102">
        <v>0</v>
      </c>
      <c r="Y44" s="102">
        <v>0</v>
      </c>
      <c r="Z44" s="102">
        <v>0</v>
      </c>
      <c r="AA44" s="102">
        <v>0</v>
      </c>
      <c r="AB44" s="102">
        <v>0</v>
      </c>
      <c r="AC44" s="102">
        <v>0</v>
      </c>
      <c r="AD44" s="102">
        <v>0</v>
      </c>
      <c r="AE44" s="102">
        <v>0</v>
      </c>
      <c r="AF44" s="102">
        <v>0</v>
      </c>
      <c r="AG44" s="130">
        <v>12</v>
      </c>
      <c r="AH44" s="12">
        <f t="shared" si="8"/>
        <v>0</v>
      </c>
      <c r="AI44" s="11">
        <f t="shared" si="9"/>
        <v>0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25">
      <c r="A45" s="89" t="s">
        <v>222</v>
      </c>
      <c r="B45" s="102">
        <v>3.5</v>
      </c>
      <c r="C45" s="102">
        <v>3.5</v>
      </c>
      <c r="D45" s="102">
        <v>3.5</v>
      </c>
      <c r="E45" s="102">
        <v>3.5</v>
      </c>
      <c r="F45" s="102">
        <v>3.5</v>
      </c>
      <c r="G45" s="102">
        <v>3.5</v>
      </c>
      <c r="H45" s="102">
        <v>3.5</v>
      </c>
      <c r="I45" s="102">
        <v>3.5</v>
      </c>
      <c r="J45" s="102">
        <v>3.5</v>
      </c>
      <c r="K45" s="102">
        <v>3.5</v>
      </c>
      <c r="L45" s="102">
        <v>3.5</v>
      </c>
      <c r="M45" s="102">
        <v>3.5</v>
      </c>
      <c r="N45" s="102">
        <v>3.5</v>
      </c>
      <c r="O45" s="102">
        <v>3.5</v>
      </c>
      <c r="P45" s="102">
        <v>3.5</v>
      </c>
      <c r="Q45" s="102">
        <v>3.5</v>
      </c>
      <c r="R45" s="102">
        <v>3.5</v>
      </c>
      <c r="S45" s="102">
        <v>3.5</v>
      </c>
      <c r="T45" s="102">
        <v>3.5</v>
      </c>
      <c r="U45" s="102">
        <v>3.5</v>
      </c>
      <c r="V45" s="102">
        <v>3.5</v>
      </c>
      <c r="W45" s="102">
        <v>3.5</v>
      </c>
      <c r="X45" s="102">
        <v>3.5</v>
      </c>
      <c r="Y45" s="102">
        <v>3.5</v>
      </c>
      <c r="Z45" s="102">
        <v>3.5</v>
      </c>
      <c r="AA45" s="102">
        <v>3.5</v>
      </c>
      <c r="AB45" s="102">
        <v>3.5</v>
      </c>
      <c r="AC45" s="102">
        <v>3.5</v>
      </c>
      <c r="AD45" s="102">
        <v>3.5</v>
      </c>
      <c r="AE45" s="102">
        <v>3.5</v>
      </c>
      <c r="AF45" s="102">
        <v>3.5</v>
      </c>
      <c r="AG45" s="130">
        <v>12</v>
      </c>
      <c r="AH45" s="12">
        <f t="shared" si="8"/>
        <v>3.5</v>
      </c>
      <c r="AI45" s="11">
        <f t="shared" si="9"/>
        <v>3.5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25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25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25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25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25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25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25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25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25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25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25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.75" thickBot="1" x14ac:dyDescent="0.3">
      <c r="A57" s="124" t="s">
        <v>210</v>
      </c>
      <c r="B57" s="122">
        <v>20.6</v>
      </c>
      <c r="C57" s="122">
        <f>12.7+8.3</f>
        <v>21</v>
      </c>
      <c r="D57" s="122">
        <v>16</v>
      </c>
      <c r="E57" s="122">
        <f>7.5+10.9</f>
        <v>18.399999999999999</v>
      </c>
      <c r="F57" s="122">
        <f>7.6+12.1</f>
        <v>19.7</v>
      </c>
      <c r="G57" s="122">
        <f>8.3+13.9</f>
        <v>22.200000000000003</v>
      </c>
      <c r="H57" s="122">
        <f>8.3+13.4</f>
        <v>21.700000000000003</v>
      </c>
      <c r="I57" s="122">
        <f>7.7+11.7</f>
        <v>19.399999999999999</v>
      </c>
      <c r="J57" s="122">
        <f>8.1+12.6</f>
        <v>20.7</v>
      </c>
      <c r="K57" s="122">
        <f>8.1+12.6</f>
        <v>20.7</v>
      </c>
      <c r="L57" s="123">
        <f>7.6+10.1</f>
        <v>17.7</v>
      </c>
      <c r="M57" s="123">
        <v>15</v>
      </c>
      <c r="N57" s="123">
        <v>22.3</v>
      </c>
      <c r="O57" s="123">
        <v>22</v>
      </c>
      <c r="P57" s="123">
        <v>22</v>
      </c>
      <c r="Q57" s="123">
        <v>22</v>
      </c>
      <c r="R57" s="123">
        <v>22</v>
      </c>
      <c r="S57" s="123">
        <v>22.7</v>
      </c>
      <c r="T57" s="123">
        <v>22.7</v>
      </c>
      <c r="U57" s="123">
        <v>22.7</v>
      </c>
      <c r="V57" s="123">
        <v>22.7</v>
      </c>
      <c r="W57" s="123">
        <v>22.7</v>
      </c>
      <c r="X57" s="123">
        <v>22.7</v>
      </c>
      <c r="Y57" s="123">
        <v>22.7</v>
      </c>
      <c r="Z57" s="123">
        <v>22.7</v>
      </c>
      <c r="AA57" s="123">
        <v>22.7</v>
      </c>
      <c r="AB57" s="123">
        <v>22.7</v>
      </c>
      <c r="AC57" s="123">
        <v>22.7</v>
      </c>
      <c r="AD57" s="123">
        <v>22.7</v>
      </c>
      <c r="AE57" s="123">
        <v>22.7</v>
      </c>
      <c r="AF57" s="123">
        <v>22.7</v>
      </c>
      <c r="AG57" s="86">
        <v>240</v>
      </c>
      <c r="AH57" s="12">
        <f t="shared" si="8"/>
        <v>22.7</v>
      </c>
      <c r="AI57" s="11">
        <f t="shared" si="9"/>
        <v>15</v>
      </c>
      <c r="AK57" s="19"/>
    </row>
    <row r="58" spans="1:88" ht="15.75" thickBot="1" x14ac:dyDescent="0.3">
      <c r="A58" s="121" t="s">
        <v>209</v>
      </c>
      <c r="B58" s="76">
        <v>532.79999999999995</v>
      </c>
      <c r="C58" s="76">
        <f t="shared" ref="C58:AF58" si="22">SUM(C11:C56)</f>
        <v>529.5</v>
      </c>
      <c r="D58" s="76">
        <f t="shared" ref="D58" si="23">SUM(D11:D56)</f>
        <v>532.09999999999991</v>
      </c>
      <c r="E58" s="76">
        <f t="shared" si="22"/>
        <v>532.09999999999991</v>
      </c>
      <c r="F58" s="76">
        <f t="shared" si="22"/>
        <v>532.09999999999991</v>
      </c>
      <c r="G58" s="76">
        <f t="shared" si="22"/>
        <v>532.09999999999991</v>
      </c>
      <c r="H58" s="76">
        <f t="shared" si="22"/>
        <v>532.09999999999991</v>
      </c>
      <c r="I58" s="76">
        <f t="shared" si="22"/>
        <v>532.09999999999991</v>
      </c>
      <c r="J58" s="76">
        <f t="shared" si="22"/>
        <v>532.09999999999991</v>
      </c>
      <c r="K58" s="76">
        <f t="shared" ref="K58" si="24">SUM(K11:K56)</f>
        <v>532.09999999999991</v>
      </c>
      <c r="L58" s="76">
        <f t="shared" si="22"/>
        <v>532.09999999999991</v>
      </c>
      <c r="M58" s="76">
        <f t="shared" si="22"/>
        <v>532.09999999999991</v>
      </c>
      <c r="N58" s="76">
        <f t="shared" si="22"/>
        <v>532.09999999999991</v>
      </c>
      <c r="O58" s="76">
        <f t="shared" si="22"/>
        <v>532.09999999999991</v>
      </c>
      <c r="P58" s="76">
        <f t="shared" si="22"/>
        <v>532.09999999999991</v>
      </c>
      <c r="Q58" s="76">
        <f t="shared" si="22"/>
        <v>532.09999999999991</v>
      </c>
      <c r="R58" s="76">
        <f t="shared" si="22"/>
        <v>532.09999999999991</v>
      </c>
      <c r="S58" s="76">
        <f t="shared" si="22"/>
        <v>508.9</v>
      </c>
      <c r="T58" s="76">
        <f t="shared" si="22"/>
        <v>508.9</v>
      </c>
      <c r="U58" s="76">
        <f t="shared" si="22"/>
        <v>508.9</v>
      </c>
      <c r="V58" s="76">
        <f t="shared" si="22"/>
        <v>508.9</v>
      </c>
      <c r="W58" s="76">
        <f t="shared" si="22"/>
        <v>510.19999999999993</v>
      </c>
      <c r="X58" s="76">
        <f t="shared" si="22"/>
        <v>510.19999999999993</v>
      </c>
      <c r="Y58" s="76">
        <f t="shared" si="22"/>
        <v>510.19999999999993</v>
      </c>
      <c r="Z58" s="76">
        <f t="shared" si="22"/>
        <v>510.19999999999993</v>
      </c>
      <c r="AA58" s="76">
        <f t="shared" si="22"/>
        <v>510.19999999999993</v>
      </c>
      <c r="AB58" s="76">
        <f t="shared" ref="AB58:AC58" si="25">SUM(AB11:AB56)</f>
        <v>510.19999999999993</v>
      </c>
      <c r="AC58" s="76">
        <f t="shared" si="25"/>
        <v>510.19999999999993</v>
      </c>
      <c r="AD58" s="76">
        <f t="shared" ref="AD58:AE58" si="26">SUM(AD11:AD56)</f>
        <v>510.19999999999993</v>
      </c>
      <c r="AE58" s="76">
        <f t="shared" si="26"/>
        <v>510.19999999999993</v>
      </c>
      <c r="AF58" s="76">
        <f t="shared" si="22"/>
        <v>510.19999999999993</v>
      </c>
      <c r="AG58" s="93">
        <f>SUM(AG14:AG56)</f>
        <v>1042.4000000000001</v>
      </c>
      <c r="AH58" s="12">
        <f t="shared" si="8"/>
        <v>532.79999999999995</v>
      </c>
      <c r="AI58" s="11">
        <f t="shared" si="9"/>
        <v>508.9</v>
      </c>
      <c r="AK58" s="19"/>
    </row>
    <row r="59" spans="1:88" x14ac:dyDescent="0.25">
      <c r="A59" s="120" t="s">
        <v>208</v>
      </c>
      <c r="B59" s="102">
        <v>230</v>
      </c>
      <c r="C59" s="102">
        <v>160</v>
      </c>
      <c r="D59" s="102">
        <v>140</v>
      </c>
      <c r="E59" s="102">
        <v>140.6</v>
      </c>
      <c r="F59" s="102">
        <v>120.5</v>
      </c>
      <c r="G59" s="102">
        <v>100.4</v>
      </c>
      <c r="H59" s="102">
        <v>100.2</v>
      </c>
      <c r="I59" s="102">
        <v>100.5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19">
        <v>0</v>
      </c>
      <c r="T59" s="119">
        <v>0</v>
      </c>
      <c r="U59" s="119">
        <v>0</v>
      </c>
      <c r="V59" s="119">
        <v>0</v>
      </c>
      <c r="W59" s="102">
        <v>0</v>
      </c>
      <c r="X59" s="102">
        <v>0</v>
      </c>
      <c r="Y59" s="102">
        <v>200.9</v>
      </c>
      <c r="Z59" s="102">
        <v>301</v>
      </c>
      <c r="AA59" s="102">
        <v>331.5</v>
      </c>
      <c r="AB59" s="102">
        <v>331.5</v>
      </c>
      <c r="AC59" s="102">
        <v>350</v>
      </c>
      <c r="AD59" s="102">
        <v>241</v>
      </c>
      <c r="AE59" s="102">
        <v>260</v>
      </c>
      <c r="AF59" s="102">
        <v>200</v>
      </c>
      <c r="AG59" s="88">
        <v>456</v>
      </c>
      <c r="AH59" s="12">
        <f t="shared" si="8"/>
        <v>350</v>
      </c>
      <c r="AI59" s="11">
        <f t="shared" si="9"/>
        <v>0</v>
      </c>
      <c r="AK59" s="19"/>
    </row>
    <row r="60" spans="1:88" x14ac:dyDescent="0.25">
      <c r="A60" s="118" t="s">
        <v>207</v>
      </c>
      <c r="B60" s="70">
        <v>18.600000000000001</v>
      </c>
      <c r="C60" s="70">
        <v>18.100000000000001</v>
      </c>
      <c r="D60" s="70">
        <v>18.100000000000001</v>
      </c>
      <c r="E60" s="70">
        <v>18.3</v>
      </c>
      <c r="F60" s="70">
        <v>16.5</v>
      </c>
      <c r="G60" s="70">
        <v>15.6</v>
      </c>
      <c r="H60" s="70">
        <v>17.600000000000001</v>
      </c>
      <c r="I60" s="70">
        <v>18.600000000000001</v>
      </c>
      <c r="J60" s="70">
        <v>19</v>
      </c>
      <c r="K60" s="70">
        <v>19</v>
      </c>
      <c r="L60" s="70">
        <v>18.899999999999999</v>
      </c>
      <c r="M60" s="70">
        <v>18.899999999999999</v>
      </c>
      <c r="N60" s="70">
        <v>18.899999999999999</v>
      </c>
      <c r="O60" s="70">
        <v>18.899999999999999</v>
      </c>
      <c r="P60" s="70">
        <v>18.899999999999999</v>
      </c>
      <c r="Q60" s="70">
        <v>18.899999999999999</v>
      </c>
      <c r="R60" s="70">
        <v>18.899999999999999</v>
      </c>
      <c r="S60" s="70">
        <v>18.5</v>
      </c>
      <c r="T60" s="70">
        <v>18.899999999999999</v>
      </c>
      <c r="U60" s="70">
        <v>18.899999999999999</v>
      </c>
      <c r="V60" s="70">
        <v>18.8</v>
      </c>
      <c r="W60" s="70">
        <v>19</v>
      </c>
      <c r="X60" s="70">
        <v>18.600000000000001</v>
      </c>
      <c r="Y60" s="70">
        <v>18.600000000000001</v>
      </c>
      <c r="Z60" s="70">
        <v>18.600000000000001</v>
      </c>
      <c r="AA60" s="70">
        <v>18.7</v>
      </c>
      <c r="AB60" s="70">
        <v>18.7</v>
      </c>
      <c r="AC60" s="70">
        <v>18.7</v>
      </c>
      <c r="AD60" s="70">
        <v>18.7</v>
      </c>
      <c r="AE60" s="70">
        <v>18.7</v>
      </c>
      <c r="AF60" s="70">
        <v>18.7</v>
      </c>
      <c r="AG60" s="86">
        <v>60</v>
      </c>
      <c r="AH60" s="12">
        <f t="shared" si="8"/>
        <v>19</v>
      </c>
      <c r="AI60" s="11">
        <f t="shared" si="9"/>
        <v>15.6</v>
      </c>
      <c r="AK60" s="19"/>
    </row>
    <row r="61" spans="1:88" ht="15.75" thickBot="1" x14ac:dyDescent="0.3">
      <c r="A61" s="117" t="s">
        <v>206</v>
      </c>
      <c r="B61" s="110">
        <v>21.1</v>
      </c>
      <c r="C61" s="110">
        <v>21.1</v>
      </c>
      <c r="D61" s="110">
        <v>21.1</v>
      </c>
      <c r="E61" s="110">
        <v>21.1</v>
      </c>
      <c r="F61" s="110">
        <v>21.1</v>
      </c>
      <c r="G61" s="110">
        <v>21.1</v>
      </c>
      <c r="H61" s="110">
        <v>21.1</v>
      </c>
      <c r="I61" s="110">
        <v>21.1</v>
      </c>
      <c r="J61" s="110">
        <v>19.2</v>
      </c>
      <c r="K61" s="110">
        <v>19.2</v>
      </c>
      <c r="L61" s="110">
        <v>19.2</v>
      </c>
      <c r="M61" s="110">
        <v>19.2</v>
      </c>
      <c r="N61" s="110">
        <v>19.2</v>
      </c>
      <c r="O61" s="110">
        <v>19.2</v>
      </c>
      <c r="P61" s="110">
        <v>19.2</v>
      </c>
      <c r="Q61" s="110">
        <v>19.2</v>
      </c>
      <c r="R61" s="110">
        <v>19.2</v>
      </c>
      <c r="S61" s="110">
        <v>14.2</v>
      </c>
      <c r="T61" s="110">
        <v>18.3</v>
      </c>
      <c r="U61" s="110">
        <v>18.3</v>
      </c>
      <c r="V61" s="110">
        <v>18.3</v>
      </c>
      <c r="W61" s="110">
        <v>18.3</v>
      </c>
      <c r="X61" s="110">
        <v>18.3</v>
      </c>
      <c r="Y61" s="110">
        <v>18.399999999999999</v>
      </c>
      <c r="Z61" s="110">
        <v>21</v>
      </c>
      <c r="AA61" s="110">
        <v>21.2</v>
      </c>
      <c r="AB61" s="110">
        <v>21.2</v>
      </c>
      <c r="AC61" s="110">
        <v>21.2</v>
      </c>
      <c r="AD61" s="110">
        <v>21.2</v>
      </c>
      <c r="AE61" s="110">
        <v>21.2</v>
      </c>
      <c r="AF61" s="110">
        <v>21.2</v>
      </c>
      <c r="AG61" s="109">
        <v>22.1</v>
      </c>
      <c r="AH61" s="12">
        <f t="shared" si="8"/>
        <v>21.2</v>
      </c>
      <c r="AI61" s="11">
        <f t="shared" si="9"/>
        <v>14.2</v>
      </c>
      <c r="AK61" s="19"/>
    </row>
    <row r="62" spans="1:88" ht="15.75" thickBot="1" x14ac:dyDescent="0.3">
      <c r="A62" s="116" t="s">
        <v>205</v>
      </c>
      <c r="B62" s="76">
        <v>269.7</v>
      </c>
      <c r="C62" s="76">
        <f t="shared" ref="C62:AG62" si="27">SUM(C59:C61)</f>
        <v>199.2</v>
      </c>
      <c r="D62" s="76">
        <f t="shared" ref="D62" si="28">SUM(D59:D61)</f>
        <v>179.2</v>
      </c>
      <c r="E62" s="76">
        <f t="shared" si="27"/>
        <v>180</v>
      </c>
      <c r="F62" s="76">
        <f t="shared" si="27"/>
        <v>158.1</v>
      </c>
      <c r="G62" s="76">
        <f t="shared" si="27"/>
        <v>137.1</v>
      </c>
      <c r="H62" s="76">
        <f t="shared" si="27"/>
        <v>138.9</v>
      </c>
      <c r="I62" s="76">
        <f t="shared" si="27"/>
        <v>140.19999999999999</v>
      </c>
      <c r="J62" s="76">
        <f t="shared" si="27"/>
        <v>38.200000000000003</v>
      </c>
      <c r="K62" s="76">
        <f t="shared" ref="K62" si="29">SUM(K59:K61)</f>
        <v>38.200000000000003</v>
      </c>
      <c r="L62" s="76">
        <f t="shared" si="27"/>
        <v>38.099999999999994</v>
      </c>
      <c r="M62" s="76">
        <f t="shared" si="27"/>
        <v>38.099999999999994</v>
      </c>
      <c r="N62" s="76">
        <f t="shared" si="27"/>
        <v>38.099999999999994</v>
      </c>
      <c r="O62" s="76">
        <f t="shared" si="27"/>
        <v>38.099999999999994</v>
      </c>
      <c r="P62" s="76">
        <f t="shared" si="27"/>
        <v>38.099999999999994</v>
      </c>
      <c r="Q62" s="76">
        <f t="shared" si="27"/>
        <v>38.099999999999994</v>
      </c>
      <c r="R62" s="76">
        <f t="shared" si="27"/>
        <v>38.099999999999994</v>
      </c>
      <c r="S62" s="76">
        <f t="shared" si="27"/>
        <v>32.700000000000003</v>
      </c>
      <c r="T62" s="76">
        <f t="shared" si="27"/>
        <v>37.200000000000003</v>
      </c>
      <c r="U62" s="76">
        <f t="shared" si="27"/>
        <v>37.200000000000003</v>
      </c>
      <c r="V62" s="76">
        <f t="shared" si="27"/>
        <v>37.1</v>
      </c>
      <c r="W62" s="76">
        <f t="shared" si="27"/>
        <v>37.299999999999997</v>
      </c>
      <c r="X62" s="76">
        <f t="shared" si="27"/>
        <v>36.900000000000006</v>
      </c>
      <c r="Y62" s="76">
        <f t="shared" si="27"/>
        <v>237.9</v>
      </c>
      <c r="Z62" s="76">
        <f t="shared" si="27"/>
        <v>340.6</v>
      </c>
      <c r="AA62" s="76">
        <f t="shared" si="27"/>
        <v>371.4</v>
      </c>
      <c r="AB62" s="76">
        <f t="shared" ref="AB62:AC62" si="30">SUM(AB59:AB61)</f>
        <v>371.4</v>
      </c>
      <c r="AC62" s="76">
        <f t="shared" si="30"/>
        <v>389.9</v>
      </c>
      <c r="AD62" s="76">
        <f t="shared" ref="AD62:AE62" si="31">SUM(AD59:AD61)</f>
        <v>280.89999999999998</v>
      </c>
      <c r="AE62" s="76">
        <f t="shared" si="31"/>
        <v>299.89999999999998</v>
      </c>
      <c r="AF62" s="76">
        <f t="shared" si="27"/>
        <v>239.89999999999998</v>
      </c>
      <c r="AG62" s="93">
        <f t="shared" si="27"/>
        <v>538.1</v>
      </c>
      <c r="AH62" s="12">
        <f t="shared" si="8"/>
        <v>389.9</v>
      </c>
      <c r="AI62" s="11">
        <f t="shared" si="9"/>
        <v>32.700000000000003</v>
      </c>
      <c r="AK62" s="19"/>
    </row>
    <row r="63" spans="1:88" x14ac:dyDescent="0.25">
      <c r="A63" s="89" t="s">
        <v>204</v>
      </c>
      <c r="B63" s="102">
        <v>60</v>
      </c>
      <c r="C63" s="102">
        <v>61</v>
      </c>
      <c r="D63" s="102">
        <v>71</v>
      </c>
      <c r="E63" s="102">
        <v>80.900000000000006</v>
      </c>
      <c r="F63" s="102">
        <v>80.900000000000006</v>
      </c>
      <c r="G63" s="102">
        <v>70.900000000000006</v>
      </c>
      <c r="H63" s="102">
        <v>71</v>
      </c>
      <c r="I63" s="102">
        <v>70.8</v>
      </c>
      <c r="J63" s="102">
        <v>70</v>
      </c>
      <c r="K63" s="102">
        <v>61.8</v>
      </c>
      <c r="L63" s="102">
        <v>81.099999999999994</v>
      </c>
      <c r="M63" s="102">
        <v>97.1</v>
      </c>
      <c r="N63" s="102">
        <v>80.900000000000006</v>
      </c>
      <c r="O63" s="102">
        <v>80.900000000000006</v>
      </c>
      <c r="P63" s="102">
        <v>80.900000000000006</v>
      </c>
      <c r="Q63" s="102">
        <v>80.900000000000006</v>
      </c>
      <c r="R63" s="102">
        <v>81</v>
      </c>
      <c r="S63" s="102">
        <v>70.8</v>
      </c>
      <c r="T63" s="102">
        <v>71</v>
      </c>
      <c r="U63" s="102">
        <v>85</v>
      </c>
      <c r="V63" s="102">
        <v>90.6</v>
      </c>
      <c r="W63" s="102">
        <v>91.3</v>
      </c>
      <c r="X63" s="102">
        <v>80.400000000000006</v>
      </c>
      <c r="Y63" s="102">
        <v>97.6</v>
      </c>
      <c r="Z63" s="102">
        <v>111</v>
      </c>
      <c r="AA63" s="102">
        <v>121.8</v>
      </c>
      <c r="AB63" s="102">
        <v>121.8</v>
      </c>
      <c r="AC63" s="102">
        <v>121.8</v>
      </c>
      <c r="AD63" s="102">
        <v>121.8</v>
      </c>
      <c r="AE63" s="102">
        <v>121.8</v>
      </c>
      <c r="AF63" s="102">
        <v>110</v>
      </c>
      <c r="AG63" s="88">
        <v>144</v>
      </c>
      <c r="AH63" s="12">
        <f t="shared" si="8"/>
        <v>121.8</v>
      </c>
      <c r="AI63" s="11">
        <f t="shared" si="9"/>
        <v>60</v>
      </c>
      <c r="AK63" s="19"/>
    </row>
    <row r="64" spans="1:88" x14ac:dyDescent="0.25">
      <c r="A64" s="87" t="s">
        <v>203</v>
      </c>
      <c r="B64" s="70">
        <v>35</v>
      </c>
      <c r="C64" s="70">
        <v>35</v>
      </c>
      <c r="D64" s="70">
        <v>35</v>
      </c>
      <c r="E64" s="70">
        <v>34.200000000000003</v>
      </c>
      <c r="F64" s="70">
        <v>33.799999999999997</v>
      </c>
      <c r="G64" s="70">
        <v>34.5</v>
      </c>
      <c r="H64" s="70">
        <v>34.700000000000003</v>
      </c>
      <c r="I64" s="70">
        <v>34</v>
      </c>
      <c r="J64" s="70">
        <v>35</v>
      </c>
      <c r="K64" s="70">
        <v>26.4</v>
      </c>
      <c r="L64" s="70">
        <v>55.9</v>
      </c>
      <c r="M64" s="70">
        <v>65.599999999999994</v>
      </c>
      <c r="N64" s="70">
        <v>55.7</v>
      </c>
      <c r="O64" s="70">
        <v>60</v>
      </c>
      <c r="P64" s="70">
        <v>45.7</v>
      </c>
      <c r="Q64" s="70">
        <v>45.7</v>
      </c>
      <c r="R64" s="70">
        <v>45.7</v>
      </c>
      <c r="S64" s="70">
        <v>45.999000000000002</v>
      </c>
      <c r="T64" s="70">
        <v>45.4</v>
      </c>
      <c r="U64" s="70">
        <v>45.4</v>
      </c>
      <c r="V64" s="70">
        <v>46.6</v>
      </c>
      <c r="W64" s="102">
        <v>59.8</v>
      </c>
      <c r="X64" s="102">
        <v>59.9</v>
      </c>
      <c r="Y64" s="102">
        <v>59.9</v>
      </c>
      <c r="Z64" s="102">
        <v>60</v>
      </c>
      <c r="AA64" s="102">
        <v>68.3</v>
      </c>
      <c r="AB64" s="102">
        <v>68.3</v>
      </c>
      <c r="AC64" s="102">
        <v>68.3</v>
      </c>
      <c r="AD64" s="102">
        <v>59</v>
      </c>
      <c r="AE64" s="102">
        <v>59</v>
      </c>
      <c r="AF64" s="102">
        <v>50</v>
      </c>
      <c r="AG64" s="86">
        <v>70</v>
      </c>
      <c r="AH64" s="12">
        <f t="shared" si="8"/>
        <v>68.3</v>
      </c>
      <c r="AI64" s="11">
        <f t="shared" si="9"/>
        <v>26.4</v>
      </c>
      <c r="AK64" s="19"/>
    </row>
    <row r="65" spans="1:75" x14ac:dyDescent="0.25">
      <c r="A65" s="87" t="s">
        <v>202</v>
      </c>
      <c r="B65" s="70">
        <v>50</v>
      </c>
      <c r="C65" s="70">
        <v>62.9</v>
      </c>
      <c r="D65" s="70">
        <v>68.900000000000006</v>
      </c>
      <c r="E65" s="70">
        <v>68.7</v>
      </c>
      <c r="F65" s="70">
        <v>68.599999999999994</v>
      </c>
      <c r="G65" s="70">
        <v>68.2</v>
      </c>
      <c r="H65" s="70">
        <v>68.2</v>
      </c>
      <c r="I65" s="70">
        <v>54.9</v>
      </c>
      <c r="J65" s="70">
        <v>55</v>
      </c>
      <c r="K65" s="70">
        <v>36.1</v>
      </c>
      <c r="L65" s="70">
        <v>36</v>
      </c>
      <c r="M65" s="70">
        <v>41.3</v>
      </c>
      <c r="N65" s="70">
        <v>22.2</v>
      </c>
      <c r="O65" s="70">
        <v>22.2</v>
      </c>
      <c r="P65" s="70">
        <v>45.3</v>
      </c>
      <c r="Q65" s="70">
        <v>45.3</v>
      </c>
      <c r="R65" s="70">
        <v>35</v>
      </c>
      <c r="S65" s="70">
        <v>34.799999999999997</v>
      </c>
      <c r="T65" s="70">
        <v>35.200000000000003</v>
      </c>
      <c r="U65" s="70">
        <v>32.1</v>
      </c>
      <c r="V65" s="70">
        <v>34.299999999999997</v>
      </c>
      <c r="W65" s="102">
        <v>34.299999999999997</v>
      </c>
      <c r="X65" s="102">
        <v>34.5</v>
      </c>
      <c r="Y65" s="102">
        <v>34.5</v>
      </c>
      <c r="Z65" s="102">
        <v>69</v>
      </c>
      <c r="AA65" s="102">
        <v>69</v>
      </c>
      <c r="AB65" s="102">
        <v>69</v>
      </c>
      <c r="AC65" s="102">
        <v>69</v>
      </c>
      <c r="AD65" s="102">
        <v>69</v>
      </c>
      <c r="AE65" s="102">
        <v>69</v>
      </c>
      <c r="AF65" s="102">
        <v>53</v>
      </c>
      <c r="AG65" s="86">
        <v>69</v>
      </c>
      <c r="AH65" s="12">
        <f t="shared" si="8"/>
        <v>69</v>
      </c>
      <c r="AI65" s="11">
        <f t="shared" si="9"/>
        <v>22.2</v>
      </c>
      <c r="AK65" s="19"/>
    </row>
    <row r="66" spans="1:75" x14ac:dyDescent="0.25">
      <c r="A66" s="87" t="s">
        <v>201</v>
      </c>
      <c r="B66" s="70">
        <v>60.4</v>
      </c>
      <c r="C66" s="70">
        <v>60.4</v>
      </c>
      <c r="D66" s="70">
        <v>60.4</v>
      </c>
      <c r="E66" s="70">
        <v>60.4</v>
      </c>
      <c r="F66" s="70">
        <v>60.4</v>
      </c>
      <c r="G66" s="70">
        <v>60.4</v>
      </c>
      <c r="H66" s="70">
        <v>60.4</v>
      </c>
      <c r="I66" s="70">
        <v>60.4</v>
      </c>
      <c r="J66" s="70">
        <v>60.4</v>
      </c>
      <c r="K66" s="70">
        <v>60.4</v>
      </c>
      <c r="L66" s="122">
        <v>60.4</v>
      </c>
      <c r="M66" s="122">
        <v>60.4</v>
      </c>
      <c r="N66" s="122">
        <v>60.4</v>
      </c>
      <c r="O66" s="122">
        <v>60.4</v>
      </c>
      <c r="P66" s="122">
        <v>60.4</v>
      </c>
      <c r="Q66" s="122">
        <v>60.4</v>
      </c>
      <c r="R66" s="122">
        <v>60.4</v>
      </c>
      <c r="S66" s="70">
        <v>60</v>
      </c>
      <c r="T66" s="70">
        <v>56.4</v>
      </c>
      <c r="U66" s="70">
        <v>56.4</v>
      </c>
      <c r="V66" s="70">
        <v>54.4</v>
      </c>
      <c r="W66" s="102">
        <v>56.4</v>
      </c>
      <c r="X66" s="102">
        <v>58.2</v>
      </c>
      <c r="Y66" s="102">
        <v>58.2</v>
      </c>
      <c r="Z66" s="102">
        <v>60.2</v>
      </c>
      <c r="AA66" s="102">
        <v>60.2</v>
      </c>
      <c r="AB66" s="102">
        <v>60.2</v>
      </c>
      <c r="AC66" s="102">
        <v>60.2</v>
      </c>
      <c r="AD66" s="102">
        <v>59</v>
      </c>
      <c r="AE66" s="102">
        <v>59</v>
      </c>
      <c r="AF66" s="102">
        <v>59</v>
      </c>
      <c r="AG66" s="86">
        <v>60</v>
      </c>
      <c r="AH66" s="12">
        <f t="shared" si="8"/>
        <v>60.4</v>
      </c>
      <c r="AI66" s="11">
        <f t="shared" si="9"/>
        <v>54.4</v>
      </c>
      <c r="AK66" s="19"/>
    </row>
    <row r="67" spans="1:75" x14ac:dyDescent="0.25">
      <c r="A67" s="87" t="s">
        <v>200</v>
      </c>
      <c r="B67" s="102">
        <v>0</v>
      </c>
      <c r="C67" s="102">
        <v>0</v>
      </c>
      <c r="D67" s="102">
        <v>0</v>
      </c>
      <c r="E67" s="70">
        <v>0</v>
      </c>
      <c r="F67" s="70">
        <v>0</v>
      </c>
      <c r="G67" s="70">
        <v>0</v>
      </c>
      <c r="H67" s="70">
        <v>0</v>
      </c>
      <c r="I67" s="70">
        <v>10.199999999999999</v>
      </c>
      <c r="J67" s="70">
        <v>10.5</v>
      </c>
      <c r="K67" s="70">
        <v>10.5</v>
      </c>
      <c r="L67" s="122">
        <v>10.7</v>
      </c>
      <c r="M67" s="122">
        <v>14.9</v>
      </c>
      <c r="N67" s="122">
        <v>14.9</v>
      </c>
      <c r="O67" s="122">
        <v>29</v>
      </c>
      <c r="P67" s="122">
        <v>23.3</v>
      </c>
      <c r="Q67" s="122">
        <v>23.3</v>
      </c>
      <c r="R67" s="122">
        <v>14.5</v>
      </c>
      <c r="S67" s="122">
        <v>10.4</v>
      </c>
      <c r="T67" s="122">
        <v>14.5</v>
      </c>
      <c r="U67" s="122">
        <v>14.5</v>
      </c>
      <c r="V67" s="70">
        <v>14.4</v>
      </c>
      <c r="W67" s="102">
        <v>22.7</v>
      </c>
      <c r="X67" s="102">
        <v>22.7</v>
      </c>
      <c r="Y67" s="102">
        <v>22.7</v>
      </c>
      <c r="Z67" s="102">
        <v>10.4</v>
      </c>
      <c r="AA67" s="102">
        <v>10.3</v>
      </c>
      <c r="AB67" s="102">
        <v>10.3</v>
      </c>
      <c r="AC67" s="102">
        <v>14</v>
      </c>
      <c r="AD67" s="102">
        <v>14</v>
      </c>
      <c r="AE67" s="102">
        <v>10</v>
      </c>
      <c r="AF67" s="102">
        <v>10</v>
      </c>
      <c r="AG67" s="86">
        <v>30</v>
      </c>
      <c r="AH67" s="12">
        <f t="shared" si="8"/>
        <v>29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25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0.3</v>
      </c>
      <c r="J68" s="102">
        <v>1.4</v>
      </c>
      <c r="K68" s="102">
        <v>1.4</v>
      </c>
      <c r="L68" s="70">
        <v>2.9</v>
      </c>
      <c r="M68" s="70">
        <v>5.0999999999999996</v>
      </c>
      <c r="N68" s="70">
        <v>7.2</v>
      </c>
      <c r="O68" s="70">
        <v>9.1</v>
      </c>
      <c r="P68" s="70">
        <v>11</v>
      </c>
      <c r="Q68" s="70">
        <v>11</v>
      </c>
      <c r="R68" s="70">
        <v>11</v>
      </c>
      <c r="S68" s="70">
        <v>9</v>
      </c>
      <c r="T68" s="70">
        <v>4.4000000000000004</v>
      </c>
      <c r="U68" s="70">
        <v>1</v>
      </c>
      <c r="V68" s="70">
        <v>0.3</v>
      </c>
      <c r="W68" s="102">
        <v>0</v>
      </c>
      <c r="X68" s="102">
        <v>0</v>
      </c>
      <c r="Y68" s="102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11</v>
      </c>
      <c r="AI68" s="11">
        <f t="shared" si="9"/>
        <v>0</v>
      </c>
      <c r="AK68" s="19"/>
      <c r="AY68" s="1" t="s">
        <v>198</v>
      </c>
      <c r="AZ68" s="78">
        <f>ROUND(C81,0)</f>
        <v>29</v>
      </c>
      <c r="BA68" s="83">
        <f t="shared" ref="BA68:BD72" si="32">D81</f>
        <v>25</v>
      </c>
      <c r="BB68" s="83">
        <f t="shared" si="32"/>
        <v>23.5</v>
      </c>
      <c r="BC68" s="83">
        <f t="shared" si="32"/>
        <v>23.4</v>
      </c>
      <c r="BD68" s="83">
        <f t="shared" si="32"/>
        <v>25.1</v>
      </c>
      <c r="BE68" s="78">
        <f>I81</f>
        <v>10.3</v>
      </c>
      <c r="BF68" s="78">
        <f>K81</f>
        <v>58.4</v>
      </c>
      <c r="BG68" s="78">
        <f t="shared" ref="BG68:BP72" si="33">M81</f>
        <v>72.599999999999994</v>
      </c>
      <c r="BH68" s="78">
        <f t="shared" si="33"/>
        <v>74.599999999999994</v>
      </c>
      <c r="BI68" s="78">
        <f t="shared" si="33"/>
        <v>77.2</v>
      </c>
      <c r="BJ68" s="78">
        <f t="shared" si="33"/>
        <v>55.8</v>
      </c>
      <c r="BK68" s="78">
        <f t="shared" si="33"/>
        <v>59</v>
      </c>
      <c r="BL68" s="78">
        <f t="shared" si="33"/>
        <v>59</v>
      </c>
      <c r="BM68" s="78">
        <f t="shared" si="33"/>
        <v>76</v>
      </c>
      <c r="BN68" s="78">
        <f t="shared" si="33"/>
        <v>75.5</v>
      </c>
      <c r="BO68" s="78">
        <f t="shared" si="33"/>
        <v>72.900000000000006</v>
      </c>
      <c r="BP68" s="78">
        <f t="shared" si="33"/>
        <v>75</v>
      </c>
      <c r="BQ68" s="78">
        <f>X81</f>
        <v>68.5</v>
      </c>
      <c r="BR68" s="78">
        <f>Z81</f>
        <v>51.9</v>
      </c>
      <c r="BS68" s="83">
        <f>AB81</f>
        <v>75.8</v>
      </c>
      <c r="BT68" s="83">
        <f t="shared" ref="BT68:BV72" si="34">AD81</f>
        <v>69</v>
      </c>
      <c r="BU68" s="83">
        <f t="shared" si="34"/>
        <v>42</v>
      </c>
      <c r="BV68" s="83">
        <f t="shared" si="34"/>
        <v>28</v>
      </c>
      <c r="BW68" s="83">
        <f>B81</f>
        <v>29</v>
      </c>
    </row>
    <row r="69" spans="1:75" x14ac:dyDescent="0.25">
      <c r="A69" s="87" t="s">
        <v>197</v>
      </c>
      <c r="B69" s="70">
        <v>13.7</v>
      </c>
      <c r="C69" s="70">
        <v>13.7</v>
      </c>
      <c r="D69" s="70">
        <v>13.7</v>
      </c>
      <c r="E69" s="70">
        <v>13.7</v>
      </c>
      <c r="F69" s="70">
        <v>13.7</v>
      </c>
      <c r="G69" s="70">
        <v>13.7</v>
      </c>
      <c r="H69" s="70">
        <v>13.7</v>
      </c>
      <c r="I69" s="70">
        <v>13.7</v>
      </c>
      <c r="J69" s="70">
        <v>13.7</v>
      </c>
      <c r="K69" s="70">
        <v>13.7</v>
      </c>
      <c r="L69" s="70">
        <v>13.7</v>
      </c>
      <c r="M69" s="70">
        <v>13.7</v>
      </c>
      <c r="N69" s="70">
        <v>13.7</v>
      </c>
      <c r="O69" s="70">
        <v>13.7</v>
      </c>
      <c r="P69" s="70">
        <v>13.7</v>
      </c>
      <c r="Q69" s="70">
        <v>13.7</v>
      </c>
      <c r="R69" s="70">
        <v>13.7</v>
      </c>
      <c r="S69" s="70">
        <v>12.8</v>
      </c>
      <c r="T69" s="70">
        <v>12.6</v>
      </c>
      <c r="U69" s="70">
        <v>12.6</v>
      </c>
      <c r="V69" s="70">
        <v>14.7</v>
      </c>
      <c r="W69" s="70">
        <v>16.600000000000001</v>
      </c>
      <c r="X69" s="70">
        <v>16.600000000000001</v>
      </c>
      <c r="Y69" s="70">
        <v>16.600000000000001</v>
      </c>
      <c r="Z69" s="70">
        <v>16.600000000000001</v>
      </c>
      <c r="AA69" s="70">
        <v>15.8</v>
      </c>
      <c r="AB69" s="70">
        <v>15.8</v>
      </c>
      <c r="AC69" s="70">
        <v>15.8</v>
      </c>
      <c r="AD69" s="70">
        <v>15.8</v>
      </c>
      <c r="AE69" s="70">
        <v>15.8</v>
      </c>
      <c r="AF69" s="70">
        <v>15.8</v>
      </c>
      <c r="AG69" s="86">
        <v>24</v>
      </c>
      <c r="AH69" s="12">
        <f t="shared" si="8"/>
        <v>16.600000000000001</v>
      </c>
      <c r="AI69" s="11">
        <f t="shared" si="9"/>
        <v>12.6</v>
      </c>
      <c r="AK69" s="19"/>
      <c r="AY69" s="1" t="s">
        <v>196</v>
      </c>
      <c r="AZ69" s="78">
        <f>ROUND(C82,0)</f>
        <v>0</v>
      </c>
      <c r="BA69" s="83">
        <f t="shared" si="32"/>
        <v>0</v>
      </c>
      <c r="BB69" s="83">
        <f t="shared" si="32"/>
        <v>0</v>
      </c>
      <c r="BC69" s="83">
        <f t="shared" si="32"/>
        <v>0</v>
      </c>
      <c r="BD69" s="83">
        <f t="shared" si="32"/>
        <v>0</v>
      </c>
      <c r="BE69" s="78">
        <f>I82</f>
        <v>0</v>
      </c>
      <c r="BF69" s="78">
        <f>K82</f>
        <v>110</v>
      </c>
      <c r="BG69" s="78">
        <f t="shared" si="33"/>
        <v>123.4</v>
      </c>
      <c r="BH69" s="78">
        <f t="shared" si="33"/>
        <v>117</v>
      </c>
      <c r="BI69" s="78">
        <f t="shared" si="33"/>
        <v>120.2</v>
      </c>
      <c r="BJ69" s="78">
        <f t="shared" si="33"/>
        <v>122.4</v>
      </c>
      <c r="BK69" s="78">
        <f t="shared" si="33"/>
        <v>121</v>
      </c>
      <c r="BL69" s="78">
        <f t="shared" si="33"/>
        <v>121</v>
      </c>
      <c r="BM69" s="78">
        <f t="shared" si="33"/>
        <v>121.6</v>
      </c>
      <c r="BN69" s="78">
        <f t="shared" si="33"/>
        <v>120.4</v>
      </c>
      <c r="BO69" s="78">
        <f t="shared" si="33"/>
        <v>116.7</v>
      </c>
      <c r="BP69" s="78">
        <f t="shared" si="33"/>
        <v>119.1</v>
      </c>
      <c r="BQ69" s="78">
        <f>X82</f>
        <v>118.8</v>
      </c>
      <c r="BR69" s="78">
        <f>Z82</f>
        <v>0</v>
      </c>
      <c r="BS69" s="83">
        <f>AB82</f>
        <v>0</v>
      </c>
      <c r="BT69" s="83">
        <f t="shared" si="34"/>
        <v>0</v>
      </c>
      <c r="BU69" s="83">
        <f t="shared" si="34"/>
        <v>0</v>
      </c>
      <c r="BV69" s="83">
        <f t="shared" si="34"/>
        <v>0</v>
      </c>
      <c r="BW69" s="83">
        <f>B82</f>
        <v>0</v>
      </c>
    </row>
    <row r="70" spans="1:75" x14ac:dyDescent="0.25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61</v>
      </c>
      <c r="BA70" s="83">
        <f t="shared" si="32"/>
        <v>50</v>
      </c>
      <c r="BB70" s="83">
        <f t="shared" si="32"/>
        <v>43.8</v>
      </c>
      <c r="BC70" s="83">
        <f t="shared" si="32"/>
        <v>104.8</v>
      </c>
      <c r="BD70" s="83">
        <f t="shared" si="32"/>
        <v>108.5</v>
      </c>
      <c r="BE70" s="78">
        <f>I83</f>
        <v>243.2</v>
      </c>
      <c r="BF70" s="78">
        <f>K83</f>
        <v>465</v>
      </c>
      <c r="BG70" s="78">
        <f t="shared" si="33"/>
        <v>464</v>
      </c>
      <c r="BH70" s="78">
        <f t="shared" si="33"/>
        <v>489</v>
      </c>
      <c r="BI70" s="78">
        <f t="shared" si="33"/>
        <v>487</v>
      </c>
      <c r="BJ70" s="78">
        <f t="shared" si="33"/>
        <v>466</v>
      </c>
      <c r="BK70" s="78">
        <f t="shared" si="33"/>
        <v>502</v>
      </c>
      <c r="BL70" s="78">
        <f t="shared" si="33"/>
        <v>502</v>
      </c>
      <c r="BM70" s="78">
        <f t="shared" si="33"/>
        <v>522.5</v>
      </c>
      <c r="BN70" s="78">
        <f t="shared" si="33"/>
        <v>517.9</v>
      </c>
      <c r="BO70" s="78">
        <f t="shared" si="33"/>
        <v>511.8</v>
      </c>
      <c r="BP70" s="78">
        <f t="shared" si="33"/>
        <v>500.5</v>
      </c>
      <c r="BQ70" s="78">
        <f>X83</f>
        <v>366.6</v>
      </c>
      <c r="BR70" s="78">
        <f>Z83</f>
        <v>190</v>
      </c>
      <c r="BS70" s="83">
        <f>AB83</f>
        <v>146.6</v>
      </c>
      <c r="BT70" s="83">
        <f t="shared" si="34"/>
        <v>103</v>
      </c>
      <c r="BU70" s="83">
        <f t="shared" si="34"/>
        <v>40</v>
      </c>
      <c r="BV70" s="83">
        <f t="shared" si="34"/>
        <v>35</v>
      </c>
      <c r="BW70" s="83">
        <f>B83</f>
        <v>55</v>
      </c>
    </row>
    <row r="71" spans="1:75" s="115" customFormat="1" x14ac:dyDescent="0.25">
      <c r="A71" s="87" t="s">
        <v>193</v>
      </c>
      <c r="B71" s="70">
        <v>9.4</v>
      </c>
      <c r="C71" s="70">
        <v>9.4</v>
      </c>
      <c r="D71" s="70">
        <v>9.4</v>
      </c>
      <c r="E71" s="70">
        <v>9.4</v>
      </c>
      <c r="F71" s="70">
        <v>9.4</v>
      </c>
      <c r="G71" s="70">
        <v>9.4</v>
      </c>
      <c r="H71" s="70">
        <v>9.4</v>
      </c>
      <c r="I71" s="70">
        <v>9.4</v>
      </c>
      <c r="J71" s="70">
        <v>9.4</v>
      </c>
      <c r="K71" s="70">
        <v>9.4</v>
      </c>
      <c r="L71" s="70">
        <v>9.4</v>
      </c>
      <c r="M71" s="70">
        <v>9.4</v>
      </c>
      <c r="N71" s="70">
        <v>9.4</v>
      </c>
      <c r="O71" s="70">
        <v>9.4</v>
      </c>
      <c r="P71" s="70">
        <v>9.4</v>
      </c>
      <c r="Q71" s="70">
        <v>9.4</v>
      </c>
      <c r="R71" s="70">
        <v>9.4</v>
      </c>
      <c r="S71" s="70">
        <v>8.5</v>
      </c>
      <c r="T71" s="70">
        <v>8.5</v>
      </c>
      <c r="U71" s="70">
        <v>8.5</v>
      </c>
      <c r="V71" s="70">
        <v>10.6</v>
      </c>
      <c r="W71" s="70">
        <v>10.6</v>
      </c>
      <c r="X71" s="70">
        <v>10.9</v>
      </c>
      <c r="Y71" s="70">
        <v>10.9</v>
      </c>
      <c r="Z71" s="70">
        <v>10.9</v>
      </c>
      <c r="AA71" s="70">
        <v>13.4</v>
      </c>
      <c r="AB71" s="70">
        <v>13.4</v>
      </c>
      <c r="AC71" s="70">
        <v>13.4</v>
      </c>
      <c r="AD71" s="70">
        <v>13.4</v>
      </c>
      <c r="AE71" s="70">
        <v>13.4</v>
      </c>
      <c r="AF71" s="70">
        <v>13.4</v>
      </c>
      <c r="AG71" s="86">
        <v>14.1</v>
      </c>
      <c r="AH71" s="12">
        <f t="shared" si="8"/>
        <v>13.4</v>
      </c>
      <c r="AI71" s="11">
        <f t="shared" si="9"/>
        <v>8.5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32"/>
        <v>0</v>
      </c>
      <c r="BB71" s="83">
        <f t="shared" si="32"/>
        <v>0</v>
      </c>
      <c r="BC71" s="83">
        <f t="shared" si="32"/>
        <v>0</v>
      </c>
      <c r="BD71" s="83">
        <f t="shared" si="32"/>
        <v>0</v>
      </c>
      <c r="BE71" s="78">
        <f>I84</f>
        <v>0</v>
      </c>
      <c r="BF71" s="78">
        <f>K84</f>
        <v>45.3</v>
      </c>
      <c r="BG71" s="78">
        <f t="shared" si="33"/>
        <v>23.3</v>
      </c>
      <c r="BH71" s="78">
        <f t="shared" si="33"/>
        <v>51.9</v>
      </c>
      <c r="BI71" s="78">
        <f t="shared" si="33"/>
        <v>35.799999999999997</v>
      </c>
      <c r="BJ71" s="78">
        <f t="shared" si="33"/>
        <v>42.4</v>
      </c>
      <c r="BK71" s="78">
        <f t="shared" si="33"/>
        <v>52</v>
      </c>
      <c r="BL71" s="78">
        <f t="shared" si="33"/>
        <v>52</v>
      </c>
      <c r="BM71" s="78">
        <f t="shared" si="33"/>
        <v>50.3</v>
      </c>
      <c r="BN71" s="78">
        <f t="shared" si="33"/>
        <v>59.6</v>
      </c>
      <c r="BO71" s="78">
        <f t="shared" si="33"/>
        <v>43.7</v>
      </c>
      <c r="BP71" s="78">
        <f t="shared" si="33"/>
        <v>37.9</v>
      </c>
      <c r="BQ71" s="78">
        <f>X84</f>
        <v>47.2</v>
      </c>
      <c r="BR71" s="78">
        <f>Z84</f>
        <v>14.3</v>
      </c>
      <c r="BS71" s="83">
        <f>AB84</f>
        <v>14</v>
      </c>
      <c r="BT71" s="83">
        <f t="shared" si="34"/>
        <v>15</v>
      </c>
      <c r="BU71" s="83">
        <f t="shared" si="34"/>
        <v>15</v>
      </c>
      <c r="BV71" s="83">
        <f t="shared" si="34"/>
        <v>16</v>
      </c>
      <c r="BW71" s="83">
        <f>B84</f>
        <v>0</v>
      </c>
    </row>
    <row r="72" spans="1:75" x14ac:dyDescent="0.25">
      <c r="A72" s="111" t="s">
        <v>191</v>
      </c>
      <c r="B72" s="70">
        <v>7.3</v>
      </c>
      <c r="C72" s="70">
        <v>7.3</v>
      </c>
      <c r="D72" s="70">
        <v>7.3</v>
      </c>
      <c r="E72" s="70">
        <v>7.3</v>
      </c>
      <c r="F72" s="70">
        <v>7.3</v>
      </c>
      <c r="G72" s="70">
        <v>7.3</v>
      </c>
      <c r="H72" s="70">
        <v>7.3</v>
      </c>
      <c r="I72" s="70">
        <v>7.3</v>
      </c>
      <c r="J72" s="70">
        <v>7.3</v>
      </c>
      <c r="K72" s="70">
        <v>7.3</v>
      </c>
      <c r="L72" s="70">
        <v>7.3</v>
      </c>
      <c r="M72" s="70">
        <v>7.3</v>
      </c>
      <c r="N72" s="70">
        <v>7.3</v>
      </c>
      <c r="O72" s="70">
        <v>8.1999999999999993</v>
      </c>
      <c r="P72" s="70">
        <v>8.1999999999999993</v>
      </c>
      <c r="Q72" s="70">
        <v>8.1999999999999993</v>
      </c>
      <c r="R72" s="70">
        <v>8.1999999999999993</v>
      </c>
      <c r="S72" s="70">
        <v>7</v>
      </c>
      <c r="T72" s="70">
        <v>7</v>
      </c>
      <c r="U72" s="70">
        <v>7</v>
      </c>
      <c r="V72" s="70">
        <v>6.8</v>
      </c>
      <c r="W72" s="70">
        <v>6.8</v>
      </c>
      <c r="X72" s="70">
        <v>6.9</v>
      </c>
      <c r="Y72" s="70">
        <v>6.9</v>
      </c>
      <c r="Z72" s="70">
        <v>6.9</v>
      </c>
      <c r="AA72" s="70">
        <v>7</v>
      </c>
      <c r="AB72" s="70">
        <v>7</v>
      </c>
      <c r="AC72" s="70">
        <v>7</v>
      </c>
      <c r="AD72" s="70">
        <v>7</v>
      </c>
      <c r="AE72" s="70">
        <v>7</v>
      </c>
      <c r="AF72" s="70">
        <v>7</v>
      </c>
      <c r="AG72" s="86">
        <v>14</v>
      </c>
      <c r="AH72" s="12">
        <f t="shared" si="8"/>
        <v>8.1999999999999993</v>
      </c>
      <c r="AI72" s="11">
        <f t="shared" si="9"/>
        <v>6.8</v>
      </c>
      <c r="AK72" s="19"/>
      <c r="AY72" s="1" t="s">
        <v>190</v>
      </c>
      <c r="AZ72" s="78">
        <f>ROUND(C85,0)</f>
        <v>0</v>
      </c>
      <c r="BA72" s="83">
        <f t="shared" si="32"/>
        <v>0</v>
      </c>
      <c r="BB72" s="83">
        <f t="shared" si="32"/>
        <v>0</v>
      </c>
      <c r="BC72" s="83">
        <f t="shared" si="32"/>
        <v>0</v>
      </c>
      <c r="BD72" s="83">
        <f t="shared" si="32"/>
        <v>0</v>
      </c>
      <c r="BE72" s="78">
        <f>I85</f>
        <v>0</v>
      </c>
      <c r="BF72" s="78">
        <f>K85</f>
        <v>125</v>
      </c>
      <c r="BG72" s="78">
        <f t="shared" si="33"/>
        <v>23.3</v>
      </c>
      <c r="BH72" s="78">
        <f t="shared" si="33"/>
        <v>129.6</v>
      </c>
      <c r="BI72" s="78">
        <f t="shared" si="33"/>
        <v>145</v>
      </c>
      <c r="BJ72" s="78">
        <f t="shared" si="33"/>
        <v>138.30000000000001</v>
      </c>
      <c r="BK72" s="78">
        <f t="shared" si="33"/>
        <v>106</v>
      </c>
      <c r="BL72" s="78">
        <f t="shared" si="33"/>
        <v>106</v>
      </c>
      <c r="BM72" s="78">
        <f t="shared" si="33"/>
        <v>128.9</v>
      </c>
      <c r="BN72" s="78">
        <f t="shared" si="33"/>
        <v>140</v>
      </c>
      <c r="BO72" s="78">
        <f t="shared" si="33"/>
        <v>132</v>
      </c>
      <c r="BP72" s="78">
        <f t="shared" si="33"/>
        <v>129.5</v>
      </c>
      <c r="BQ72" s="78">
        <f>X85</f>
        <v>80.599999999999994</v>
      </c>
      <c r="BR72" s="78">
        <f>Z85</f>
        <v>0</v>
      </c>
      <c r="BS72" s="83">
        <f>AB85</f>
        <v>0</v>
      </c>
      <c r="BT72" s="83">
        <f t="shared" si="34"/>
        <v>0</v>
      </c>
      <c r="BU72" s="83">
        <f t="shared" si="34"/>
        <v>0</v>
      </c>
      <c r="BV72" s="83">
        <f t="shared" si="34"/>
        <v>0</v>
      </c>
      <c r="BW72" s="83">
        <f>B85</f>
        <v>0</v>
      </c>
    </row>
    <row r="73" spans="1:75" x14ac:dyDescent="0.25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8"/>
        <v>4</v>
      </c>
      <c r="AI73" s="11">
        <f t="shared" si="9"/>
        <v>4</v>
      </c>
      <c r="AK73" s="19"/>
      <c r="AY73" s="1" t="s">
        <v>188</v>
      </c>
      <c r="AZ73" s="78">
        <f>ROUND(C91,0)</f>
        <v>48</v>
      </c>
      <c r="BA73" s="78">
        <f>D91</f>
        <v>46.5</v>
      </c>
      <c r="BB73" s="78">
        <f>E91</f>
        <v>46.4</v>
      </c>
      <c r="BC73" s="78">
        <f>F91</f>
        <v>46.1</v>
      </c>
      <c r="BD73" s="78">
        <f>G91</f>
        <v>45.2</v>
      </c>
      <c r="BE73" s="78">
        <f>I91</f>
        <v>41.9</v>
      </c>
      <c r="BF73" s="78">
        <f>K91</f>
        <v>39.4</v>
      </c>
      <c r="BG73" s="78">
        <f t="shared" ref="BG73:BP73" si="35">M91</f>
        <v>51.5</v>
      </c>
      <c r="BH73" s="78">
        <f t="shared" si="35"/>
        <v>50.1</v>
      </c>
      <c r="BI73" s="78">
        <f t="shared" si="35"/>
        <v>46.8</v>
      </c>
      <c r="BJ73" s="78">
        <f t="shared" si="35"/>
        <v>48.5</v>
      </c>
      <c r="BK73" s="78">
        <f t="shared" si="35"/>
        <v>46</v>
      </c>
      <c r="BL73" s="78">
        <f t="shared" si="35"/>
        <v>46</v>
      </c>
      <c r="BM73" s="78">
        <f t="shared" si="35"/>
        <v>50.3</v>
      </c>
      <c r="BN73" s="78">
        <f t="shared" si="35"/>
        <v>50</v>
      </c>
      <c r="BO73" s="78">
        <f t="shared" si="35"/>
        <v>52</v>
      </c>
      <c r="BP73" s="78">
        <f t="shared" si="35"/>
        <v>50.5</v>
      </c>
      <c r="BQ73" s="78">
        <f>X91</f>
        <v>43.6</v>
      </c>
      <c r="BR73" s="78">
        <f>Z91</f>
        <v>48.4</v>
      </c>
      <c r="BS73" s="78">
        <f>AB91</f>
        <v>46.9</v>
      </c>
      <c r="BT73" s="78">
        <f>AD91</f>
        <v>47.4</v>
      </c>
      <c r="BU73" s="78">
        <f>AE91</f>
        <v>46</v>
      </c>
      <c r="BV73" s="78">
        <f>AF91</f>
        <v>50</v>
      </c>
      <c r="BW73" s="78">
        <f>B91</f>
        <v>47.5</v>
      </c>
    </row>
    <row r="74" spans="1:75" x14ac:dyDescent="0.25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.75" thickBot="1" x14ac:dyDescent="0.3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5.5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5.5</v>
      </c>
      <c r="AI75" s="11">
        <f t="shared" si="9"/>
        <v>3.5</v>
      </c>
      <c r="AK75" s="19"/>
      <c r="AZ75" s="78">
        <f t="shared" ref="AZ75:BW80" si="36">VALUE(AZ68)</f>
        <v>29</v>
      </c>
      <c r="BA75" s="78">
        <f t="shared" si="36"/>
        <v>25</v>
      </c>
      <c r="BB75" s="78">
        <f t="shared" si="36"/>
        <v>23.5</v>
      </c>
      <c r="BC75" s="78">
        <f t="shared" si="36"/>
        <v>23.4</v>
      </c>
      <c r="BD75" s="78">
        <f t="shared" si="36"/>
        <v>25.1</v>
      </c>
      <c r="BE75" s="78">
        <f t="shared" si="36"/>
        <v>10.3</v>
      </c>
      <c r="BF75" s="78">
        <f t="shared" si="36"/>
        <v>58.4</v>
      </c>
      <c r="BG75" s="78">
        <f t="shared" si="36"/>
        <v>72.599999999999994</v>
      </c>
      <c r="BH75" s="78">
        <f t="shared" si="36"/>
        <v>74.599999999999994</v>
      </c>
      <c r="BI75" s="78">
        <f t="shared" si="36"/>
        <v>77.2</v>
      </c>
      <c r="BJ75" s="78">
        <f t="shared" si="36"/>
        <v>55.8</v>
      </c>
      <c r="BK75" s="78">
        <f t="shared" si="36"/>
        <v>59</v>
      </c>
      <c r="BL75" s="78">
        <f t="shared" si="36"/>
        <v>59</v>
      </c>
      <c r="BM75" s="78">
        <f t="shared" si="36"/>
        <v>76</v>
      </c>
      <c r="BN75" s="78">
        <f t="shared" si="36"/>
        <v>75.5</v>
      </c>
      <c r="BO75" s="78">
        <f t="shared" si="36"/>
        <v>72.900000000000006</v>
      </c>
      <c r="BP75" s="78">
        <f t="shared" si="36"/>
        <v>75</v>
      </c>
      <c r="BQ75" s="78">
        <f t="shared" si="36"/>
        <v>68.5</v>
      </c>
      <c r="BR75" s="78">
        <f t="shared" si="36"/>
        <v>51.9</v>
      </c>
      <c r="BS75" s="78">
        <f t="shared" si="36"/>
        <v>75.8</v>
      </c>
      <c r="BT75" s="78">
        <f t="shared" si="36"/>
        <v>69</v>
      </c>
      <c r="BU75" s="78">
        <f t="shared" si="36"/>
        <v>42</v>
      </c>
      <c r="BV75" s="78">
        <f t="shared" si="36"/>
        <v>28</v>
      </c>
      <c r="BW75" s="78">
        <f t="shared" si="36"/>
        <v>29</v>
      </c>
    </row>
    <row r="76" spans="1:75" ht="15.75" thickBot="1" x14ac:dyDescent="0.3">
      <c r="A76" s="77" t="s">
        <v>186</v>
      </c>
      <c r="B76" s="76">
        <v>311.33999999999997</v>
      </c>
      <c r="C76" s="76">
        <f t="shared" ref="C76:AG76" si="37">SUM(C63:C75)</f>
        <v>259.24</v>
      </c>
      <c r="D76" s="76">
        <f t="shared" si="37"/>
        <v>275.24</v>
      </c>
      <c r="E76" s="76">
        <f t="shared" si="37"/>
        <v>284.14000000000004</v>
      </c>
      <c r="F76" s="76">
        <f t="shared" si="37"/>
        <v>283.64000000000004</v>
      </c>
      <c r="G76" s="76">
        <f t="shared" si="37"/>
        <v>273.94000000000005</v>
      </c>
      <c r="H76" s="76">
        <f t="shared" si="37"/>
        <v>274.24</v>
      </c>
      <c r="I76" s="76">
        <f t="shared" si="37"/>
        <v>270.54000000000002</v>
      </c>
      <c r="J76" s="76">
        <f t="shared" si="37"/>
        <v>272.24</v>
      </c>
      <c r="K76" s="76">
        <f t="shared" si="37"/>
        <v>236.54</v>
      </c>
      <c r="L76" s="76">
        <f t="shared" si="37"/>
        <v>286.94</v>
      </c>
      <c r="M76" s="76">
        <f t="shared" si="37"/>
        <v>324.33999999999997</v>
      </c>
      <c r="N76" s="76">
        <f t="shared" si="37"/>
        <v>281.24</v>
      </c>
      <c r="O76" s="76">
        <f t="shared" si="37"/>
        <v>302.44</v>
      </c>
      <c r="P76" s="76">
        <f t="shared" si="37"/>
        <v>307.44</v>
      </c>
      <c r="Q76" s="76">
        <f t="shared" si="37"/>
        <v>307.44</v>
      </c>
      <c r="R76" s="76">
        <f t="shared" si="37"/>
        <v>288.44</v>
      </c>
      <c r="S76" s="76">
        <f t="shared" si="37"/>
        <v>268.839</v>
      </c>
      <c r="T76" s="76">
        <f t="shared" si="37"/>
        <v>264.54000000000002</v>
      </c>
      <c r="U76" s="76">
        <f t="shared" si="37"/>
        <v>272.04000000000002</v>
      </c>
      <c r="V76" s="76">
        <f t="shared" si="37"/>
        <v>282.24000000000007</v>
      </c>
      <c r="W76" s="76">
        <f t="shared" si="37"/>
        <v>308.04000000000008</v>
      </c>
      <c r="X76" s="76">
        <f t="shared" si="37"/>
        <v>299.64</v>
      </c>
      <c r="Y76" s="76">
        <f t="shared" si="37"/>
        <v>316.79999999999995</v>
      </c>
      <c r="Z76" s="76">
        <f t="shared" si="37"/>
        <v>356.49999999999994</v>
      </c>
      <c r="AA76" s="76">
        <f t="shared" si="37"/>
        <v>375.34000000000003</v>
      </c>
      <c r="AB76" s="76">
        <f t="shared" ref="AB76:AC76" si="38">SUM(AB63:AB75)</f>
        <v>375.34000000000003</v>
      </c>
      <c r="AC76" s="76">
        <f t="shared" si="38"/>
        <v>379.04</v>
      </c>
      <c r="AD76" s="76">
        <f t="shared" ref="AD76:AE76" si="39">SUM(AD63:AD75)</f>
        <v>368.54</v>
      </c>
      <c r="AE76" s="76">
        <f t="shared" si="39"/>
        <v>364.54</v>
      </c>
      <c r="AF76" s="76">
        <f t="shared" si="37"/>
        <v>327.74</v>
      </c>
      <c r="AG76" s="93">
        <f t="shared" si="37"/>
        <v>489.91</v>
      </c>
      <c r="AH76" s="12">
        <f t="shared" si="8"/>
        <v>379.04</v>
      </c>
      <c r="AI76" s="11">
        <f t="shared" si="9"/>
        <v>236.54</v>
      </c>
      <c r="AK76" s="19"/>
      <c r="AZ76" s="78">
        <f t="shared" si="36"/>
        <v>0</v>
      </c>
      <c r="BA76" s="78">
        <f t="shared" si="36"/>
        <v>0</v>
      </c>
      <c r="BB76" s="78">
        <f t="shared" si="36"/>
        <v>0</v>
      </c>
      <c r="BC76" s="78">
        <f t="shared" si="36"/>
        <v>0</v>
      </c>
      <c r="BD76" s="78">
        <f t="shared" si="36"/>
        <v>0</v>
      </c>
      <c r="BE76" s="78">
        <f t="shared" si="36"/>
        <v>0</v>
      </c>
      <c r="BF76" s="78">
        <f t="shared" si="36"/>
        <v>110</v>
      </c>
      <c r="BG76" s="78">
        <f t="shared" si="36"/>
        <v>123.4</v>
      </c>
      <c r="BH76" s="78">
        <f t="shared" si="36"/>
        <v>117</v>
      </c>
      <c r="BI76" s="78">
        <f t="shared" si="36"/>
        <v>120.2</v>
      </c>
      <c r="BJ76" s="78">
        <f t="shared" si="36"/>
        <v>122.4</v>
      </c>
      <c r="BK76" s="78">
        <f t="shared" si="36"/>
        <v>121</v>
      </c>
      <c r="BL76" s="78">
        <f t="shared" si="36"/>
        <v>121</v>
      </c>
      <c r="BM76" s="78">
        <f t="shared" si="36"/>
        <v>121.6</v>
      </c>
      <c r="BN76" s="78">
        <f t="shared" si="36"/>
        <v>120.4</v>
      </c>
      <c r="BO76" s="78">
        <f t="shared" si="36"/>
        <v>116.7</v>
      </c>
      <c r="BP76" s="78">
        <f t="shared" si="36"/>
        <v>119.1</v>
      </c>
      <c r="BQ76" s="78">
        <f t="shared" si="36"/>
        <v>118.8</v>
      </c>
      <c r="BR76" s="78">
        <f t="shared" si="36"/>
        <v>0</v>
      </c>
      <c r="BS76" s="78">
        <f t="shared" si="36"/>
        <v>0</v>
      </c>
      <c r="BT76" s="78">
        <f t="shared" si="36"/>
        <v>0</v>
      </c>
      <c r="BU76" s="78">
        <f t="shared" si="36"/>
        <v>0</v>
      </c>
      <c r="BV76" s="78">
        <f t="shared" si="36"/>
        <v>0</v>
      </c>
      <c r="BW76" s="78">
        <f t="shared" si="36"/>
        <v>0</v>
      </c>
    </row>
    <row r="77" spans="1:75" x14ac:dyDescent="0.25">
      <c r="A77" s="89" t="s">
        <v>185</v>
      </c>
      <c r="B77" s="102">
        <v>58.9</v>
      </c>
      <c r="C77" s="102">
        <v>58.9</v>
      </c>
      <c r="D77" s="102">
        <v>50</v>
      </c>
      <c r="E77" s="102">
        <v>33.299999999999997</v>
      </c>
      <c r="F77" s="102">
        <v>38.799999999999997</v>
      </c>
      <c r="G77" s="102">
        <v>59.3</v>
      </c>
      <c r="H77" s="102">
        <v>59.3</v>
      </c>
      <c r="I77" s="102">
        <v>59.3</v>
      </c>
      <c r="J77" s="102">
        <v>14</v>
      </c>
      <c r="K77" s="102">
        <v>10.4</v>
      </c>
      <c r="L77" s="102">
        <v>0</v>
      </c>
      <c r="M77" s="102">
        <v>13.4</v>
      </c>
      <c r="N77" s="102">
        <v>19.7</v>
      </c>
      <c r="O77" s="102">
        <v>25.4</v>
      </c>
      <c r="P77" s="102">
        <v>44.2</v>
      </c>
      <c r="Q77" s="102">
        <v>44.2</v>
      </c>
      <c r="R77" s="102">
        <v>44.2</v>
      </c>
      <c r="S77" s="102">
        <v>59.2</v>
      </c>
      <c r="T77" s="102">
        <v>59.1</v>
      </c>
      <c r="U77" s="102">
        <v>59</v>
      </c>
      <c r="V77" s="102">
        <v>45</v>
      </c>
      <c r="W77" s="102">
        <v>40</v>
      </c>
      <c r="X77" s="102">
        <v>21.1</v>
      </c>
      <c r="Y77" s="102">
        <v>35.799999999999997</v>
      </c>
      <c r="Z77" s="102">
        <v>49.8</v>
      </c>
      <c r="AA77" s="102">
        <v>50.1</v>
      </c>
      <c r="AB77" s="102">
        <v>50.1</v>
      </c>
      <c r="AC77" s="102">
        <v>50.1</v>
      </c>
      <c r="AD77" s="102">
        <v>50.1</v>
      </c>
      <c r="AE77" s="102">
        <v>59</v>
      </c>
      <c r="AF77" s="102">
        <v>59</v>
      </c>
      <c r="AG77" s="88">
        <v>60</v>
      </c>
      <c r="AH77" s="12">
        <f t="shared" si="8"/>
        <v>59.3</v>
      </c>
      <c r="AI77" s="11">
        <f t="shared" si="9"/>
        <v>0</v>
      </c>
      <c r="AK77" s="19"/>
      <c r="AZ77" s="78">
        <f t="shared" si="36"/>
        <v>61</v>
      </c>
      <c r="BA77" s="78">
        <f t="shared" si="36"/>
        <v>50</v>
      </c>
      <c r="BB77" s="78">
        <f t="shared" si="36"/>
        <v>43.8</v>
      </c>
      <c r="BC77" s="78">
        <f t="shared" si="36"/>
        <v>104.8</v>
      </c>
      <c r="BD77" s="78">
        <f t="shared" si="36"/>
        <v>108.5</v>
      </c>
      <c r="BE77" s="78">
        <f t="shared" si="36"/>
        <v>243.2</v>
      </c>
      <c r="BF77" s="78">
        <f t="shared" si="36"/>
        <v>465</v>
      </c>
      <c r="BG77" s="78">
        <f t="shared" si="36"/>
        <v>464</v>
      </c>
      <c r="BH77" s="78">
        <f t="shared" si="36"/>
        <v>489</v>
      </c>
      <c r="BI77" s="78">
        <f t="shared" si="36"/>
        <v>487</v>
      </c>
      <c r="BJ77" s="78">
        <f t="shared" si="36"/>
        <v>466</v>
      </c>
      <c r="BK77" s="78">
        <f t="shared" si="36"/>
        <v>502</v>
      </c>
      <c r="BL77" s="78">
        <f t="shared" si="36"/>
        <v>502</v>
      </c>
      <c r="BM77" s="78">
        <f t="shared" si="36"/>
        <v>522.5</v>
      </c>
      <c r="BN77" s="78">
        <f t="shared" si="36"/>
        <v>517.9</v>
      </c>
      <c r="BO77" s="78">
        <f t="shared" si="36"/>
        <v>511.8</v>
      </c>
      <c r="BP77" s="78">
        <f t="shared" si="36"/>
        <v>500.5</v>
      </c>
      <c r="BQ77" s="78">
        <f t="shared" si="36"/>
        <v>366.6</v>
      </c>
      <c r="BR77" s="78">
        <f t="shared" si="36"/>
        <v>190</v>
      </c>
      <c r="BS77" s="78">
        <f t="shared" si="36"/>
        <v>146.6</v>
      </c>
      <c r="BT77" s="78">
        <f t="shared" si="36"/>
        <v>103</v>
      </c>
      <c r="BU77" s="78">
        <f t="shared" si="36"/>
        <v>40</v>
      </c>
      <c r="BV77" s="78">
        <f t="shared" si="36"/>
        <v>35</v>
      </c>
      <c r="BW77" s="78">
        <f t="shared" si="36"/>
        <v>55</v>
      </c>
    </row>
    <row r="78" spans="1:75" x14ac:dyDescent="0.25">
      <c r="A78" s="87" t="s">
        <v>184</v>
      </c>
      <c r="B78" s="70">
        <v>28</v>
      </c>
      <c r="C78" s="70">
        <v>27</v>
      </c>
      <c r="D78" s="70">
        <v>26.7</v>
      </c>
      <c r="E78" s="70">
        <v>12.7</v>
      </c>
      <c r="F78" s="70">
        <v>14.8</v>
      </c>
      <c r="G78" s="70">
        <v>27.5</v>
      </c>
      <c r="H78" s="70">
        <v>27.5</v>
      </c>
      <c r="I78" s="70">
        <v>27.5</v>
      </c>
      <c r="J78" s="70">
        <v>5</v>
      </c>
      <c r="K78" s="70">
        <v>4.9000000000000004</v>
      </c>
      <c r="L78" s="70">
        <v>3.5</v>
      </c>
      <c r="M78" s="70">
        <v>0</v>
      </c>
      <c r="N78" s="70">
        <v>7.5</v>
      </c>
      <c r="O78" s="70">
        <v>11.7</v>
      </c>
      <c r="P78" s="70">
        <v>17.5</v>
      </c>
      <c r="Q78" s="70">
        <v>17.5</v>
      </c>
      <c r="R78" s="70">
        <v>17.5</v>
      </c>
      <c r="S78" s="70">
        <v>27.4</v>
      </c>
      <c r="T78" s="70">
        <v>27</v>
      </c>
      <c r="U78" s="70">
        <v>27</v>
      </c>
      <c r="V78" s="70">
        <v>19.100000000000001</v>
      </c>
      <c r="W78" s="70">
        <v>19</v>
      </c>
      <c r="X78" s="70">
        <v>9.5</v>
      </c>
      <c r="Y78" s="70">
        <v>10</v>
      </c>
      <c r="Z78" s="70">
        <v>22.3</v>
      </c>
      <c r="AA78" s="70">
        <v>21.4</v>
      </c>
      <c r="AB78" s="70">
        <v>21.4</v>
      </c>
      <c r="AC78" s="70">
        <v>21.4</v>
      </c>
      <c r="AD78" s="70">
        <v>21.4</v>
      </c>
      <c r="AE78" s="70">
        <v>27</v>
      </c>
      <c r="AF78" s="70">
        <v>27</v>
      </c>
      <c r="AG78" s="86">
        <v>32</v>
      </c>
      <c r="AH78" s="12">
        <f t="shared" si="8"/>
        <v>28</v>
      </c>
      <c r="AI78" s="11">
        <f t="shared" si="9"/>
        <v>0</v>
      </c>
      <c r="AK78" s="19"/>
      <c r="AZ78" s="78">
        <f t="shared" si="36"/>
        <v>0</v>
      </c>
      <c r="BA78" s="78">
        <f t="shared" si="36"/>
        <v>0</v>
      </c>
      <c r="BB78" s="78">
        <f t="shared" si="36"/>
        <v>0</v>
      </c>
      <c r="BC78" s="78">
        <f t="shared" si="36"/>
        <v>0</v>
      </c>
      <c r="BD78" s="78">
        <f t="shared" si="36"/>
        <v>0</v>
      </c>
      <c r="BE78" s="78">
        <f t="shared" si="36"/>
        <v>0</v>
      </c>
      <c r="BF78" s="78">
        <f t="shared" si="36"/>
        <v>45.3</v>
      </c>
      <c r="BG78" s="78">
        <f t="shared" si="36"/>
        <v>23.3</v>
      </c>
      <c r="BH78" s="78">
        <f t="shared" si="36"/>
        <v>51.9</v>
      </c>
      <c r="BI78" s="78">
        <f t="shared" si="36"/>
        <v>35.799999999999997</v>
      </c>
      <c r="BJ78" s="78">
        <f t="shared" si="36"/>
        <v>42.4</v>
      </c>
      <c r="BK78" s="78">
        <f t="shared" si="36"/>
        <v>52</v>
      </c>
      <c r="BL78" s="78">
        <f t="shared" si="36"/>
        <v>52</v>
      </c>
      <c r="BM78" s="78">
        <f t="shared" si="36"/>
        <v>50.3</v>
      </c>
      <c r="BN78" s="78">
        <f t="shared" si="36"/>
        <v>59.6</v>
      </c>
      <c r="BO78" s="78">
        <f t="shared" si="36"/>
        <v>43.7</v>
      </c>
      <c r="BP78" s="78">
        <f t="shared" si="36"/>
        <v>37.9</v>
      </c>
      <c r="BQ78" s="78">
        <f t="shared" si="36"/>
        <v>47.2</v>
      </c>
      <c r="BR78" s="78">
        <f t="shared" si="36"/>
        <v>14.3</v>
      </c>
      <c r="BS78" s="78">
        <f t="shared" si="36"/>
        <v>14</v>
      </c>
      <c r="BT78" s="78">
        <f t="shared" si="36"/>
        <v>15</v>
      </c>
      <c r="BU78" s="78">
        <f t="shared" si="36"/>
        <v>15</v>
      </c>
      <c r="BV78" s="78">
        <f t="shared" si="36"/>
        <v>16</v>
      </c>
      <c r="BW78" s="78">
        <f t="shared" si="36"/>
        <v>0</v>
      </c>
    </row>
    <row r="79" spans="1:75" ht="15.75" thickBot="1" x14ac:dyDescent="0.3">
      <c r="A79" s="111" t="s">
        <v>183</v>
      </c>
      <c r="B79" s="110">
        <v>10.3</v>
      </c>
      <c r="C79" s="110">
        <v>9.9</v>
      </c>
      <c r="D79" s="110">
        <v>9.8000000000000007</v>
      </c>
      <c r="E79" s="110">
        <v>4.5999999999999996</v>
      </c>
      <c r="F79" s="110">
        <v>5.4</v>
      </c>
      <c r="G79" s="110">
        <v>10</v>
      </c>
      <c r="H79" s="110">
        <v>10</v>
      </c>
      <c r="I79" s="110">
        <v>10</v>
      </c>
      <c r="J79" s="110">
        <v>2</v>
      </c>
      <c r="K79" s="110">
        <v>1.8</v>
      </c>
      <c r="L79" s="110">
        <v>1.3</v>
      </c>
      <c r="M79" s="110">
        <v>0</v>
      </c>
      <c r="N79" s="110">
        <v>2.7</v>
      </c>
      <c r="O79" s="110">
        <v>4.3</v>
      </c>
      <c r="P79" s="110">
        <v>6.4</v>
      </c>
      <c r="Q79" s="110">
        <v>6.4</v>
      </c>
      <c r="R79" s="110">
        <v>6.4</v>
      </c>
      <c r="S79" s="110">
        <v>10.199999999999999</v>
      </c>
      <c r="T79" s="110">
        <v>9.9</v>
      </c>
      <c r="U79" s="110">
        <v>9.9</v>
      </c>
      <c r="V79" s="110">
        <v>7</v>
      </c>
      <c r="W79" s="110">
        <v>6.9</v>
      </c>
      <c r="X79" s="110">
        <v>3.4</v>
      </c>
      <c r="Y79" s="110">
        <v>3.5</v>
      </c>
      <c r="Z79" s="110">
        <v>8.1</v>
      </c>
      <c r="AA79" s="110">
        <v>7.8</v>
      </c>
      <c r="AB79" s="110">
        <v>7.8</v>
      </c>
      <c r="AC79" s="110">
        <v>7.8</v>
      </c>
      <c r="AD79" s="110">
        <v>7.8</v>
      </c>
      <c r="AE79" s="110">
        <v>10</v>
      </c>
      <c r="AF79" s="110">
        <v>10</v>
      </c>
      <c r="AG79" s="109">
        <v>14</v>
      </c>
      <c r="AH79" s="12">
        <f t="shared" si="8"/>
        <v>10.3</v>
      </c>
      <c r="AI79" s="11">
        <f t="shared" si="9"/>
        <v>0</v>
      </c>
      <c r="AK79" s="19"/>
      <c r="AZ79" s="78">
        <f t="shared" si="36"/>
        <v>0</v>
      </c>
      <c r="BA79" s="78">
        <f t="shared" si="36"/>
        <v>0</v>
      </c>
      <c r="BB79" s="78">
        <f t="shared" si="36"/>
        <v>0</v>
      </c>
      <c r="BC79" s="78">
        <f t="shared" si="36"/>
        <v>0</v>
      </c>
      <c r="BD79" s="78">
        <f t="shared" si="36"/>
        <v>0</v>
      </c>
      <c r="BE79" s="78">
        <f t="shared" si="36"/>
        <v>0</v>
      </c>
      <c r="BF79" s="78">
        <f t="shared" si="36"/>
        <v>125</v>
      </c>
      <c r="BG79" s="78">
        <f t="shared" si="36"/>
        <v>23.3</v>
      </c>
      <c r="BH79" s="78">
        <f t="shared" si="36"/>
        <v>129.6</v>
      </c>
      <c r="BI79" s="78">
        <f t="shared" si="36"/>
        <v>145</v>
      </c>
      <c r="BJ79" s="78">
        <f t="shared" si="36"/>
        <v>138.30000000000001</v>
      </c>
      <c r="BK79" s="78">
        <f t="shared" si="36"/>
        <v>106</v>
      </c>
      <c r="BL79" s="78">
        <f t="shared" si="36"/>
        <v>106</v>
      </c>
      <c r="BM79" s="78">
        <f t="shared" si="36"/>
        <v>128.9</v>
      </c>
      <c r="BN79" s="78">
        <f t="shared" si="36"/>
        <v>140</v>
      </c>
      <c r="BO79" s="78">
        <f t="shared" si="36"/>
        <v>132</v>
      </c>
      <c r="BP79" s="78">
        <f t="shared" si="36"/>
        <v>129.5</v>
      </c>
      <c r="BQ79" s="78">
        <f t="shared" si="36"/>
        <v>80.599999999999994</v>
      </c>
      <c r="BR79" s="78">
        <f t="shared" si="36"/>
        <v>0</v>
      </c>
      <c r="BS79" s="78">
        <f t="shared" si="36"/>
        <v>0</v>
      </c>
      <c r="BT79" s="78">
        <f t="shared" si="36"/>
        <v>0</v>
      </c>
      <c r="BU79" s="78">
        <f t="shared" si="36"/>
        <v>0</v>
      </c>
      <c r="BV79" s="78">
        <f t="shared" si="36"/>
        <v>0</v>
      </c>
      <c r="BW79" s="78">
        <f t="shared" si="36"/>
        <v>0</v>
      </c>
    </row>
    <row r="80" spans="1:75" ht="15.75" thickBot="1" x14ac:dyDescent="0.3">
      <c r="A80" s="77" t="s">
        <v>182</v>
      </c>
      <c r="B80" s="76">
        <v>97.2</v>
      </c>
      <c r="C80" s="76">
        <f t="shared" ref="C80:AF80" si="40">C77+C78+C79</f>
        <v>95.800000000000011</v>
      </c>
      <c r="D80" s="76">
        <f t="shared" si="40"/>
        <v>86.5</v>
      </c>
      <c r="E80" s="76">
        <f t="shared" si="40"/>
        <v>50.6</v>
      </c>
      <c r="F80" s="76">
        <f t="shared" si="40"/>
        <v>58.999999999999993</v>
      </c>
      <c r="G80" s="76">
        <f t="shared" si="40"/>
        <v>96.8</v>
      </c>
      <c r="H80" s="76">
        <f t="shared" si="40"/>
        <v>96.8</v>
      </c>
      <c r="I80" s="76">
        <f t="shared" si="40"/>
        <v>96.8</v>
      </c>
      <c r="J80" s="76">
        <f t="shared" si="40"/>
        <v>21</v>
      </c>
      <c r="K80" s="76">
        <f t="shared" si="40"/>
        <v>17.100000000000001</v>
      </c>
      <c r="L80" s="76">
        <f t="shared" si="40"/>
        <v>4.8</v>
      </c>
      <c r="M80" s="76">
        <f t="shared" si="40"/>
        <v>13.4</v>
      </c>
      <c r="N80" s="76">
        <f t="shared" si="40"/>
        <v>29.9</v>
      </c>
      <c r="O80" s="76">
        <f t="shared" si="40"/>
        <v>41.399999999999991</v>
      </c>
      <c r="P80" s="76">
        <f t="shared" si="40"/>
        <v>68.100000000000009</v>
      </c>
      <c r="Q80" s="76">
        <f t="shared" si="40"/>
        <v>68.100000000000009</v>
      </c>
      <c r="R80" s="76">
        <f t="shared" si="40"/>
        <v>68.100000000000009</v>
      </c>
      <c r="S80" s="76">
        <f t="shared" si="40"/>
        <v>96.8</v>
      </c>
      <c r="T80" s="76">
        <f t="shared" si="40"/>
        <v>96</v>
      </c>
      <c r="U80" s="76">
        <f t="shared" si="40"/>
        <v>95.9</v>
      </c>
      <c r="V80" s="76">
        <f t="shared" si="40"/>
        <v>71.099999999999994</v>
      </c>
      <c r="W80" s="76">
        <f t="shared" si="40"/>
        <v>65.900000000000006</v>
      </c>
      <c r="X80" s="76">
        <f t="shared" si="40"/>
        <v>34</v>
      </c>
      <c r="Y80" s="76">
        <f t="shared" si="40"/>
        <v>49.3</v>
      </c>
      <c r="Z80" s="76">
        <f t="shared" si="40"/>
        <v>80.199999999999989</v>
      </c>
      <c r="AA80" s="76">
        <f t="shared" si="40"/>
        <v>79.3</v>
      </c>
      <c r="AB80" s="76">
        <f t="shared" ref="AB80:AC80" si="41">AB77+AB78+AB79</f>
        <v>79.3</v>
      </c>
      <c r="AC80" s="76">
        <f t="shared" si="41"/>
        <v>79.3</v>
      </c>
      <c r="AD80" s="76">
        <f t="shared" ref="AD80:AE80" si="42">AD77+AD78+AD79</f>
        <v>79.3</v>
      </c>
      <c r="AE80" s="76">
        <f t="shared" si="42"/>
        <v>96</v>
      </c>
      <c r="AF80" s="76">
        <f t="shared" si="40"/>
        <v>96</v>
      </c>
      <c r="AG80" s="93">
        <f>SUM(AG77:AG79)</f>
        <v>106</v>
      </c>
      <c r="AH80" s="12">
        <f t="shared" si="8"/>
        <v>97.2</v>
      </c>
      <c r="AI80" s="11">
        <f t="shared" si="9"/>
        <v>4.8</v>
      </c>
      <c r="AK80" s="19"/>
      <c r="AZ80" s="78">
        <f t="shared" si="36"/>
        <v>48</v>
      </c>
      <c r="BA80" s="78">
        <f t="shared" si="36"/>
        <v>46.5</v>
      </c>
      <c r="BB80" s="78">
        <f t="shared" si="36"/>
        <v>46.4</v>
      </c>
      <c r="BC80" s="78">
        <f t="shared" si="36"/>
        <v>46.1</v>
      </c>
      <c r="BD80" s="78">
        <f t="shared" si="36"/>
        <v>45.2</v>
      </c>
      <c r="BE80" s="78">
        <f t="shared" si="36"/>
        <v>41.9</v>
      </c>
      <c r="BF80" s="78">
        <f t="shared" si="36"/>
        <v>39.4</v>
      </c>
      <c r="BG80" s="78">
        <f t="shared" si="36"/>
        <v>51.5</v>
      </c>
      <c r="BH80" s="78">
        <f t="shared" si="36"/>
        <v>50.1</v>
      </c>
      <c r="BI80" s="78">
        <f t="shared" si="36"/>
        <v>46.8</v>
      </c>
      <c r="BJ80" s="78">
        <f t="shared" si="36"/>
        <v>48.5</v>
      </c>
      <c r="BK80" s="78">
        <f t="shared" si="36"/>
        <v>46</v>
      </c>
      <c r="BL80" s="78">
        <f t="shared" si="36"/>
        <v>46</v>
      </c>
      <c r="BM80" s="78">
        <f t="shared" si="36"/>
        <v>50.3</v>
      </c>
      <c r="BN80" s="78">
        <f t="shared" si="36"/>
        <v>50</v>
      </c>
      <c r="BO80" s="78">
        <f t="shared" si="36"/>
        <v>52</v>
      </c>
      <c r="BP80" s="78">
        <f t="shared" si="36"/>
        <v>50.5</v>
      </c>
      <c r="BQ80" s="78">
        <f t="shared" si="36"/>
        <v>43.6</v>
      </c>
      <c r="BR80" s="78">
        <f t="shared" si="36"/>
        <v>48.4</v>
      </c>
      <c r="BS80" s="78">
        <f t="shared" si="36"/>
        <v>46.9</v>
      </c>
      <c r="BT80" s="78">
        <f t="shared" si="36"/>
        <v>47.4</v>
      </c>
      <c r="BU80" s="78">
        <f t="shared" si="36"/>
        <v>46</v>
      </c>
      <c r="BV80" s="78">
        <f t="shared" si="36"/>
        <v>50</v>
      </c>
      <c r="BW80" s="78">
        <f t="shared" si="36"/>
        <v>47.5</v>
      </c>
    </row>
    <row r="81" spans="1:64" x14ac:dyDescent="0.25">
      <c r="A81" s="89" t="s">
        <v>157</v>
      </c>
      <c r="B81" s="102">
        <v>29</v>
      </c>
      <c r="C81" s="102">
        <v>29.1</v>
      </c>
      <c r="D81" s="102">
        <v>25</v>
      </c>
      <c r="E81" s="102">
        <v>23.5</v>
      </c>
      <c r="F81" s="102">
        <v>23.4</v>
      </c>
      <c r="G81" s="102">
        <v>25.1</v>
      </c>
      <c r="H81" s="102">
        <v>22.4</v>
      </c>
      <c r="I81" s="102">
        <v>10.3</v>
      </c>
      <c r="J81" s="102">
        <v>44</v>
      </c>
      <c r="K81" s="102">
        <v>58.4</v>
      </c>
      <c r="L81" s="102">
        <v>50.9</v>
      </c>
      <c r="M81" s="102">
        <v>72.599999999999994</v>
      </c>
      <c r="N81" s="102">
        <v>74.599999999999994</v>
      </c>
      <c r="O81" s="102">
        <v>77.2</v>
      </c>
      <c r="P81" s="102">
        <v>55.8</v>
      </c>
      <c r="Q81" s="102">
        <v>59</v>
      </c>
      <c r="R81" s="102">
        <v>59</v>
      </c>
      <c r="S81" s="102">
        <v>76</v>
      </c>
      <c r="T81" s="102">
        <v>75.5</v>
      </c>
      <c r="U81" s="102">
        <v>72.900000000000006</v>
      </c>
      <c r="V81" s="102">
        <v>75</v>
      </c>
      <c r="W81" s="102">
        <v>72.7</v>
      </c>
      <c r="X81" s="102">
        <v>68.5</v>
      </c>
      <c r="Y81" s="102">
        <v>67.3</v>
      </c>
      <c r="Z81" s="102">
        <v>51.9</v>
      </c>
      <c r="AA81" s="102">
        <v>75.8</v>
      </c>
      <c r="AB81" s="102">
        <v>75.8</v>
      </c>
      <c r="AC81" s="102">
        <v>70</v>
      </c>
      <c r="AD81" s="102">
        <v>69</v>
      </c>
      <c r="AE81" s="102">
        <v>42</v>
      </c>
      <c r="AF81" s="102">
        <v>28</v>
      </c>
      <c r="AG81" s="88"/>
      <c r="AH81" s="12">
        <f t="shared" si="8"/>
        <v>77.2</v>
      </c>
      <c r="AI81" s="11">
        <f t="shared" si="9"/>
        <v>10.3</v>
      </c>
      <c r="AK81" s="19"/>
      <c r="AY81" s="78"/>
    </row>
    <row r="82" spans="1:64" x14ac:dyDescent="0.25">
      <c r="A82" s="87" t="s">
        <v>160</v>
      </c>
      <c r="B82" s="70"/>
      <c r="C82" s="70"/>
      <c r="D82" s="70"/>
      <c r="E82" s="70"/>
      <c r="F82" s="70"/>
      <c r="G82" s="70"/>
      <c r="H82" s="70"/>
      <c r="I82" s="70"/>
      <c r="J82" s="70">
        <v>102</v>
      </c>
      <c r="K82" s="70">
        <v>110</v>
      </c>
      <c r="L82" s="70">
        <v>121.8</v>
      </c>
      <c r="M82" s="70">
        <v>123.4</v>
      </c>
      <c r="N82" s="70">
        <v>117</v>
      </c>
      <c r="O82" s="70">
        <v>120.2</v>
      </c>
      <c r="P82" s="70">
        <v>122.4</v>
      </c>
      <c r="Q82" s="70">
        <v>121</v>
      </c>
      <c r="R82" s="70">
        <v>121</v>
      </c>
      <c r="S82" s="70">
        <v>121.6</v>
      </c>
      <c r="T82" s="70">
        <v>120.4</v>
      </c>
      <c r="U82" s="70">
        <v>116.7</v>
      </c>
      <c r="V82" s="70">
        <v>119.1</v>
      </c>
      <c r="W82" s="70">
        <v>122</v>
      </c>
      <c r="X82" s="70">
        <v>118.8</v>
      </c>
      <c r="Y82" s="70">
        <v>115</v>
      </c>
      <c r="Z82" s="70">
        <v>0</v>
      </c>
      <c r="AA82" s="70">
        <v>0</v>
      </c>
      <c r="AB82" s="70">
        <v>0</v>
      </c>
      <c r="AC82" s="70">
        <v>0</v>
      </c>
      <c r="AD82" s="70">
        <v>0</v>
      </c>
      <c r="AE82" s="70">
        <v>0</v>
      </c>
      <c r="AF82" s="70">
        <v>0</v>
      </c>
      <c r="AG82" s="86"/>
      <c r="AH82" s="12">
        <f t="shared" ref="AH82:AH125" si="43">MAX(B82:AF82)</f>
        <v>123.4</v>
      </c>
      <c r="AI82" s="11">
        <f t="shared" ref="AI82:AI125" si="44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25">
      <c r="A83" s="87" t="s">
        <v>181</v>
      </c>
      <c r="B83" s="70">
        <v>55</v>
      </c>
      <c r="C83" s="70">
        <v>60.6</v>
      </c>
      <c r="D83" s="70">
        <v>50</v>
      </c>
      <c r="E83" s="70">
        <v>43.8</v>
      </c>
      <c r="F83" s="70">
        <v>104.8</v>
      </c>
      <c r="G83" s="70">
        <v>108.5</v>
      </c>
      <c r="H83" s="70">
        <v>134.19999999999999</v>
      </c>
      <c r="I83" s="70">
        <v>243.2</v>
      </c>
      <c r="J83" s="70">
        <v>294</v>
      </c>
      <c r="K83" s="70">
        <v>465</v>
      </c>
      <c r="L83" s="70">
        <v>478.3</v>
      </c>
      <c r="M83" s="70">
        <v>464</v>
      </c>
      <c r="N83" s="70">
        <v>489</v>
      </c>
      <c r="O83" s="70">
        <v>487</v>
      </c>
      <c r="P83" s="70">
        <v>466</v>
      </c>
      <c r="Q83" s="70">
        <v>502</v>
      </c>
      <c r="R83" s="70">
        <v>502</v>
      </c>
      <c r="S83" s="70">
        <v>522.5</v>
      </c>
      <c r="T83" s="70">
        <v>517.9</v>
      </c>
      <c r="U83" s="70">
        <v>511.8</v>
      </c>
      <c r="V83" s="70">
        <v>500.5</v>
      </c>
      <c r="W83" s="70">
        <v>442.6</v>
      </c>
      <c r="X83" s="70">
        <v>366.6</v>
      </c>
      <c r="Y83" s="70">
        <v>208</v>
      </c>
      <c r="Z83" s="70">
        <v>190</v>
      </c>
      <c r="AA83" s="70">
        <v>146.6</v>
      </c>
      <c r="AB83" s="70">
        <v>146.6</v>
      </c>
      <c r="AC83" s="70">
        <v>46</v>
      </c>
      <c r="AD83" s="70">
        <v>103</v>
      </c>
      <c r="AE83" s="70">
        <v>40</v>
      </c>
      <c r="AF83" s="70">
        <v>35</v>
      </c>
      <c r="AG83" s="96"/>
      <c r="AH83" s="12">
        <f t="shared" si="43"/>
        <v>522.5</v>
      </c>
      <c r="AI83" s="11">
        <f t="shared" si="44"/>
        <v>35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25">
      <c r="A84" s="87" t="s">
        <v>161</v>
      </c>
      <c r="B84" s="70"/>
      <c r="C84" s="70"/>
      <c r="D84" s="70"/>
      <c r="E84" s="85"/>
      <c r="F84" s="85"/>
      <c r="G84" s="85"/>
      <c r="H84" s="85"/>
      <c r="I84" s="85"/>
      <c r="J84" s="85">
        <v>35</v>
      </c>
      <c r="K84" s="85">
        <v>45.3</v>
      </c>
      <c r="L84" s="85">
        <v>50</v>
      </c>
      <c r="M84" s="85">
        <v>23.3</v>
      </c>
      <c r="N84" s="85">
        <v>51.9</v>
      </c>
      <c r="O84" s="85">
        <v>35.799999999999997</v>
      </c>
      <c r="P84" s="85">
        <v>42.4</v>
      </c>
      <c r="Q84" s="85">
        <v>52</v>
      </c>
      <c r="R84" s="85">
        <v>52</v>
      </c>
      <c r="S84" s="85">
        <v>50.3</v>
      </c>
      <c r="T84" s="85">
        <v>59.6</v>
      </c>
      <c r="U84" s="85">
        <v>43.7</v>
      </c>
      <c r="V84" s="85">
        <v>37.9</v>
      </c>
      <c r="W84" s="85">
        <v>51.2</v>
      </c>
      <c r="X84" s="85">
        <v>47.2</v>
      </c>
      <c r="Y84" s="85">
        <v>17.399999999999999</v>
      </c>
      <c r="Z84" s="85">
        <v>14.3</v>
      </c>
      <c r="AA84" s="85">
        <v>14</v>
      </c>
      <c r="AB84" s="85">
        <v>14</v>
      </c>
      <c r="AC84" s="85">
        <v>14</v>
      </c>
      <c r="AD84" s="85">
        <v>15</v>
      </c>
      <c r="AE84" s="85">
        <v>15</v>
      </c>
      <c r="AF84" s="85">
        <v>16</v>
      </c>
      <c r="AG84" s="96"/>
      <c r="AH84" s="12">
        <f t="shared" si="43"/>
        <v>59.6</v>
      </c>
      <c r="AI84" s="11">
        <f t="shared" si="44"/>
        <v>14</v>
      </c>
      <c r="AK84" s="19"/>
      <c r="AY84" s="78"/>
      <c r="BF84" s="83"/>
      <c r="BG84" s="78">
        <f t="array" ref="BG84:BL107">TRANSPOSE(AZ68:BW73)</f>
        <v>29</v>
      </c>
      <c r="BH84" s="78">
        <v>0</v>
      </c>
      <c r="BI84" s="78">
        <v>61</v>
      </c>
      <c r="BJ84" s="78">
        <v>0</v>
      </c>
      <c r="BK84" s="78">
        <v>0</v>
      </c>
      <c r="BL84" s="78">
        <v>48</v>
      </c>
    </row>
    <row r="85" spans="1:64" x14ac:dyDescent="0.25">
      <c r="A85" s="87" t="s">
        <v>180</v>
      </c>
      <c r="B85" s="102"/>
      <c r="C85" s="102"/>
      <c r="D85" s="102"/>
      <c r="E85" s="102"/>
      <c r="F85" s="102"/>
      <c r="G85" s="102"/>
      <c r="H85" s="102"/>
      <c r="I85" s="102"/>
      <c r="J85" s="102">
        <v>102</v>
      </c>
      <c r="K85" s="102">
        <v>125</v>
      </c>
      <c r="L85" s="102">
        <v>108.1</v>
      </c>
      <c r="M85" s="102">
        <v>23.3</v>
      </c>
      <c r="N85" s="102">
        <v>129.6</v>
      </c>
      <c r="O85" s="102">
        <v>145</v>
      </c>
      <c r="P85" s="102">
        <v>138.30000000000001</v>
      </c>
      <c r="Q85" s="102">
        <v>106</v>
      </c>
      <c r="R85" s="102">
        <v>106</v>
      </c>
      <c r="S85" s="102">
        <v>128.9</v>
      </c>
      <c r="T85" s="102">
        <v>140</v>
      </c>
      <c r="U85" s="102">
        <v>132</v>
      </c>
      <c r="V85" s="102">
        <v>129.5</v>
      </c>
      <c r="W85" s="102">
        <v>114.9</v>
      </c>
      <c r="X85" s="102">
        <v>80.599999999999994</v>
      </c>
      <c r="Y85" s="102">
        <v>0</v>
      </c>
      <c r="Z85" s="102">
        <v>0</v>
      </c>
      <c r="AA85" s="102">
        <v>0</v>
      </c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43"/>
        <v>145</v>
      </c>
      <c r="AI85" s="11">
        <f t="shared" si="44"/>
        <v>0</v>
      </c>
      <c r="AK85" s="19"/>
      <c r="AY85" s="78"/>
      <c r="BF85" s="83"/>
      <c r="BG85" s="78">
        <v>25</v>
      </c>
      <c r="BH85" s="78">
        <v>0</v>
      </c>
      <c r="BI85" s="78">
        <v>50</v>
      </c>
      <c r="BJ85" s="78">
        <v>0</v>
      </c>
      <c r="BK85" s="78">
        <v>0</v>
      </c>
      <c r="BL85" s="78">
        <v>46.5</v>
      </c>
    </row>
    <row r="86" spans="1:64" x14ac:dyDescent="0.25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43"/>
        <v>0</v>
      </c>
      <c r="AI86" s="11">
        <f t="shared" si="44"/>
        <v>0</v>
      </c>
      <c r="AK86" s="19"/>
      <c r="AY86" s="78"/>
      <c r="BF86" s="83"/>
      <c r="BG86" s="78">
        <v>23.5</v>
      </c>
      <c r="BH86" s="78">
        <v>0</v>
      </c>
      <c r="BI86" s="78">
        <v>43.8</v>
      </c>
      <c r="BJ86" s="78">
        <v>0</v>
      </c>
      <c r="BK86" s="78">
        <v>0</v>
      </c>
      <c r="BL86" s="78">
        <v>46.4</v>
      </c>
    </row>
    <row r="87" spans="1:64" ht="15.75" thickBot="1" x14ac:dyDescent="0.3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43"/>
        <v>0</v>
      </c>
      <c r="AI87" s="11">
        <f t="shared" si="44"/>
        <v>0</v>
      </c>
      <c r="AK87" s="19"/>
      <c r="AL87" s="108" t="s">
        <v>177</v>
      </c>
      <c r="AM87" s="108"/>
      <c r="AY87" s="78"/>
      <c r="BF87" s="78"/>
      <c r="BG87" s="78">
        <v>23.4</v>
      </c>
      <c r="BH87" s="78">
        <v>0</v>
      </c>
      <c r="BI87" s="78">
        <v>104.8</v>
      </c>
      <c r="BJ87" s="78">
        <v>0</v>
      </c>
      <c r="BK87" s="78">
        <v>0</v>
      </c>
      <c r="BL87" s="78">
        <v>46.1</v>
      </c>
    </row>
    <row r="88" spans="1:64" x14ac:dyDescent="0.25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43"/>
        <v>0</v>
      </c>
      <c r="AI88" s="11">
        <f t="shared" si="44"/>
        <v>0</v>
      </c>
      <c r="AK88" s="107"/>
      <c r="AL88" s="106"/>
      <c r="AM88" s="106"/>
      <c r="AN88" s="105"/>
      <c r="AY88" s="78"/>
      <c r="BF88" s="78"/>
      <c r="BG88" s="78">
        <v>25.1</v>
      </c>
      <c r="BH88" s="78">
        <v>0</v>
      </c>
      <c r="BI88" s="78">
        <v>108.5</v>
      </c>
      <c r="BJ88" s="78">
        <v>0</v>
      </c>
      <c r="BK88" s="78">
        <v>0</v>
      </c>
      <c r="BL88" s="78">
        <v>45.2</v>
      </c>
    </row>
    <row r="89" spans="1:64" x14ac:dyDescent="0.25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43"/>
        <v>0</v>
      </c>
      <c r="AI89" s="11">
        <f t="shared" si="44"/>
        <v>0</v>
      </c>
      <c r="AK89" s="104" t="s">
        <v>174</v>
      </c>
      <c r="AL89" s="70"/>
      <c r="AM89" s="85"/>
      <c r="AN89" s="103"/>
      <c r="AY89" s="78"/>
      <c r="BF89" s="78"/>
      <c r="BG89" s="78">
        <v>10.3</v>
      </c>
      <c r="BH89" s="78">
        <v>0</v>
      </c>
      <c r="BI89" s="78">
        <v>243.2</v>
      </c>
      <c r="BJ89" s="78">
        <v>0</v>
      </c>
      <c r="BK89" s="78">
        <v>0</v>
      </c>
      <c r="BL89" s="78">
        <v>41.9</v>
      </c>
    </row>
    <row r="90" spans="1:64" x14ac:dyDescent="0.25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43"/>
        <v>0</v>
      </c>
      <c r="AI90" s="11">
        <f t="shared" si="44"/>
        <v>0</v>
      </c>
      <c r="AK90" s="104" t="s">
        <v>172</v>
      </c>
      <c r="AL90" s="85"/>
      <c r="AM90" s="85"/>
      <c r="AN90" s="103"/>
      <c r="AY90" s="78"/>
      <c r="BF90" s="78"/>
      <c r="BG90" s="78">
        <v>58.4</v>
      </c>
      <c r="BH90" s="78">
        <v>110</v>
      </c>
      <c r="BI90" s="78">
        <v>465</v>
      </c>
      <c r="BJ90" s="78">
        <v>45.3</v>
      </c>
      <c r="BK90" s="78">
        <v>125</v>
      </c>
      <c r="BL90" s="78">
        <v>39.4</v>
      </c>
    </row>
    <row r="91" spans="1:64" ht="15.75" thickBot="1" x14ac:dyDescent="0.3">
      <c r="A91" s="82" t="s">
        <v>171</v>
      </c>
      <c r="B91" s="97">
        <v>47.5</v>
      </c>
      <c r="C91" s="97">
        <v>47.6</v>
      </c>
      <c r="D91" s="97">
        <v>46.5</v>
      </c>
      <c r="E91" s="97">
        <f>46.4</f>
        <v>46.4</v>
      </c>
      <c r="F91" s="97">
        <f>46.1</f>
        <v>46.1</v>
      </c>
      <c r="G91" s="97">
        <v>45.2</v>
      </c>
      <c r="H91" s="97">
        <v>42.9</v>
      </c>
      <c r="I91" s="97">
        <v>41.9</v>
      </c>
      <c r="J91" s="97">
        <v>46.6</v>
      </c>
      <c r="K91" s="97">
        <v>39.4</v>
      </c>
      <c r="L91" s="97">
        <v>50.1</v>
      </c>
      <c r="M91" s="97">
        <v>51.5</v>
      </c>
      <c r="N91" s="97">
        <v>50.1</v>
      </c>
      <c r="O91" s="97">
        <v>46.8</v>
      </c>
      <c r="P91" s="97">
        <v>48.5</v>
      </c>
      <c r="Q91" s="97">
        <v>46</v>
      </c>
      <c r="R91" s="97">
        <v>46</v>
      </c>
      <c r="S91" s="97">
        <v>50.3</v>
      </c>
      <c r="T91" s="97">
        <v>50</v>
      </c>
      <c r="U91" s="97">
        <v>52</v>
      </c>
      <c r="V91" s="97">
        <v>50.5</v>
      </c>
      <c r="W91" s="97">
        <v>51.2</v>
      </c>
      <c r="X91" s="97">
        <v>43.6</v>
      </c>
      <c r="Y91" s="97">
        <v>45.7</v>
      </c>
      <c r="Z91" s="97">
        <v>48.4</v>
      </c>
      <c r="AA91" s="97">
        <v>46.9</v>
      </c>
      <c r="AB91" s="97">
        <v>46.9</v>
      </c>
      <c r="AC91" s="97">
        <v>45.7</v>
      </c>
      <c r="AD91" s="97">
        <v>47.4</v>
      </c>
      <c r="AE91" s="97">
        <v>46</v>
      </c>
      <c r="AF91" s="97">
        <v>50</v>
      </c>
      <c r="AG91" s="80"/>
      <c r="AH91" s="12">
        <f t="shared" si="43"/>
        <v>52</v>
      </c>
      <c r="AI91" s="11">
        <f t="shared" si="44"/>
        <v>39.4</v>
      </c>
      <c r="AK91" s="98"/>
      <c r="AL91" s="102"/>
      <c r="AM91" s="102"/>
      <c r="AN91" s="101"/>
      <c r="AY91" s="78"/>
      <c r="BF91" s="78"/>
      <c r="BG91" s="78">
        <v>72.599999999999994</v>
      </c>
      <c r="BH91" s="78">
        <v>123.4</v>
      </c>
      <c r="BI91" s="78">
        <v>464</v>
      </c>
      <c r="BJ91" s="78">
        <v>23.3</v>
      </c>
      <c r="BK91" s="78">
        <v>23.3</v>
      </c>
      <c r="BL91" s="78">
        <v>51.5</v>
      </c>
    </row>
    <row r="92" spans="1:64" ht="15.75" thickBot="1" x14ac:dyDescent="0.3">
      <c r="A92" s="77" t="s">
        <v>170</v>
      </c>
      <c r="B92" s="76">
        <v>93.800000000000011</v>
      </c>
      <c r="C92" s="76">
        <f t="shared" ref="C92:AF92" si="45">SUMIF(C81:C91,"&gt;0")</f>
        <v>137.30000000000001</v>
      </c>
      <c r="D92" s="76">
        <f t="shared" si="45"/>
        <v>121.5</v>
      </c>
      <c r="E92" s="76">
        <f t="shared" si="45"/>
        <v>113.69999999999999</v>
      </c>
      <c r="F92" s="76">
        <f t="shared" si="45"/>
        <v>174.29999999999998</v>
      </c>
      <c r="G92" s="76">
        <f t="shared" si="45"/>
        <v>178.8</v>
      </c>
      <c r="H92" s="76">
        <f t="shared" si="45"/>
        <v>199.5</v>
      </c>
      <c r="I92" s="76">
        <f t="shared" si="45"/>
        <v>295.39999999999998</v>
      </c>
      <c r="J92" s="76">
        <f t="shared" si="45"/>
        <v>623.6</v>
      </c>
      <c r="K92" s="76">
        <f t="shared" si="45"/>
        <v>843.09999999999991</v>
      </c>
      <c r="L92" s="76">
        <f t="shared" si="45"/>
        <v>859.2</v>
      </c>
      <c r="M92" s="76">
        <f t="shared" si="45"/>
        <v>758.09999999999991</v>
      </c>
      <c r="N92" s="76">
        <f t="shared" si="45"/>
        <v>912.2</v>
      </c>
      <c r="O92" s="76">
        <f t="shared" si="45"/>
        <v>911.99999999999989</v>
      </c>
      <c r="P92" s="76">
        <f t="shared" si="45"/>
        <v>873.40000000000009</v>
      </c>
      <c r="Q92" s="76">
        <f t="shared" si="45"/>
        <v>886</v>
      </c>
      <c r="R92" s="76">
        <f t="shared" si="45"/>
        <v>886</v>
      </c>
      <c r="S92" s="76">
        <f t="shared" si="45"/>
        <v>949.59999999999991</v>
      </c>
      <c r="T92" s="76">
        <f t="shared" si="45"/>
        <v>963.4</v>
      </c>
      <c r="U92" s="76">
        <f t="shared" si="45"/>
        <v>929.10000000000014</v>
      </c>
      <c r="V92" s="76">
        <f t="shared" si="45"/>
        <v>912.5</v>
      </c>
      <c r="W92" s="76">
        <f t="shared" si="45"/>
        <v>854.6</v>
      </c>
      <c r="X92" s="76">
        <f t="shared" si="45"/>
        <v>725.30000000000018</v>
      </c>
      <c r="Y92" s="76">
        <f t="shared" si="45"/>
        <v>453.4</v>
      </c>
      <c r="Z92" s="76">
        <f t="shared" si="45"/>
        <v>304.59999999999997</v>
      </c>
      <c r="AA92" s="76">
        <f t="shared" si="45"/>
        <v>283.29999999999995</v>
      </c>
      <c r="AB92" s="76">
        <f t="shared" ref="AB92:AC92" si="46">SUMIF(AB81:AB91,"&gt;0")</f>
        <v>283.29999999999995</v>
      </c>
      <c r="AC92" s="76">
        <f t="shared" si="46"/>
        <v>175.7</v>
      </c>
      <c r="AD92" s="76">
        <f t="shared" ref="AD92:AE92" si="47">SUMIF(AD81:AD91,"&gt;0")</f>
        <v>234.4</v>
      </c>
      <c r="AE92" s="76">
        <f t="shared" si="47"/>
        <v>143</v>
      </c>
      <c r="AF92" s="76">
        <f t="shared" si="45"/>
        <v>129</v>
      </c>
      <c r="AG92" s="75">
        <f>SUM(AG81:AG91)</f>
        <v>0</v>
      </c>
      <c r="AH92" s="12">
        <f t="shared" si="43"/>
        <v>963.4</v>
      </c>
      <c r="AI92" s="11">
        <f t="shared" si="44"/>
        <v>93.800000000000011</v>
      </c>
      <c r="AK92" s="98"/>
      <c r="AL92" s="97"/>
      <c r="AM92" s="100"/>
      <c r="AN92" s="220"/>
      <c r="AY92" s="78"/>
      <c r="BF92" s="78"/>
      <c r="BG92" s="78">
        <v>74.599999999999994</v>
      </c>
      <c r="BH92" s="78">
        <v>117</v>
      </c>
      <c r="BI92" s="78">
        <v>489</v>
      </c>
      <c r="BJ92" s="78">
        <v>51.9</v>
      </c>
      <c r="BK92" s="78">
        <v>129.6</v>
      </c>
      <c r="BL92" s="78">
        <v>50.1</v>
      </c>
    </row>
    <row r="93" spans="1:64" x14ac:dyDescent="0.25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43"/>
        <v>0</v>
      </c>
      <c r="AI93" s="11">
        <f t="shared" si="44"/>
        <v>0</v>
      </c>
      <c r="AK93" s="98"/>
      <c r="AL93" s="97"/>
      <c r="AM93" s="97"/>
      <c r="AN93" s="221"/>
      <c r="BF93" s="78"/>
      <c r="BG93" s="78">
        <v>77.2</v>
      </c>
      <c r="BH93" s="78">
        <v>120.2</v>
      </c>
      <c r="BI93" s="78">
        <v>487</v>
      </c>
      <c r="BJ93" s="78">
        <v>35.799999999999997</v>
      </c>
      <c r="BK93" s="78">
        <v>145</v>
      </c>
      <c r="BL93" s="78">
        <v>46.8</v>
      </c>
    </row>
    <row r="94" spans="1:64" ht="15.75" thickBot="1" x14ac:dyDescent="0.3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43"/>
        <v>0</v>
      </c>
      <c r="AI94" s="11">
        <f t="shared" si="44"/>
        <v>0</v>
      </c>
      <c r="AK94" s="95"/>
      <c r="AL94" s="67"/>
      <c r="AM94" s="67"/>
      <c r="AN94" s="94"/>
      <c r="BF94" s="78"/>
      <c r="BG94" s="78">
        <v>55.8</v>
      </c>
      <c r="BH94" s="78">
        <v>122.4</v>
      </c>
      <c r="BI94" s="78">
        <v>466</v>
      </c>
      <c r="BJ94" s="78">
        <v>42.4</v>
      </c>
      <c r="BK94" s="78">
        <v>138.30000000000001</v>
      </c>
      <c r="BL94" s="78">
        <v>48.5</v>
      </c>
    </row>
    <row r="95" spans="1:64" ht="15.75" thickBot="1" x14ac:dyDescent="0.3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43"/>
        <v>0</v>
      </c>
      <c r="AI95" s="11">
        <f t="shared" si="44"/>
        <v>0</v>
      </c>
      <c r="BF95" s="78"/>
      <c r="BG95" s="78">
        <v>59</v>
      </c>
      <c r="BH95" s="78">
        <v>121</v>
      </c>
      <c r="BI95" s="78">
        <v>502</v>
      </c>
      <c r="BJ95" s="78">
        <v>52</v>
      </c>
      <c r="BK95" s="78">
        <v>106</v>
      </c>
      <c r="BL95" s="78">
        <v>46</v>
      </c>
    </row>
    <row r="96" spans="1:64" ht="15.75" thickBot="1" x14ac:dyDescent="0.3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>
        <v>0</v>
      </c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43"/>
        <v>0</v>
      </c>
      <c r="AI96" s="11">
        <f t="shared" si="44"/>
        <v>0</v>
      </c>
      <c r="BF96" s="78"/>
      <c r="BG96" s="78">
        <v>59</v>
      </c>
      <c r="BH96" s="78">
        <v>121</v>
      </c>
      <c r="BI96" s="78">
        <v>502</v>
      </c>
      <c r="BJ96" s="78">
        <v>52</v>
      </c>
      <c r="BK96" s="78">
        <v>106</v>
      </c>
      <c r="BL96" s="78">
        <v>46</v>
      </c>
    </row>
    <row r="97" spans="1:64" ht="15.75" thickBot="1" x14ac:dyDescent="0.3">
      <c r="A97" s="77" t="s">
        <v>165</v>
      </c>
      <c r="B97" s="90">
        <v>1304.8399999999999</v>
      </c>
      <c r="C97" s="90">
        <f t="shared" ref="C97:AG97" si="48">C58+C62+C80+C76+C92+C96</f>
        <v>1221.04</v>
      </c>
      <c r="D97" s="90">
        <f t="shared" si="48"/>
        <v>1194.54</v>
      </c>
      <c r="E97" s="90">
        <f t="shared" si="48"/>
        <v>1160.54</v>
      </c>
      <c r="F97" s="90">
        <f t="shared" si="48"/>
        <v>1207.1399999999999</v>
      </c>
      <c r="G97" s="90">
        <f t="shared" si="48"/>
        <v>1218.74</v>
      </c>
      <c r="H97" s="90">
        <f t="shared" si="48"/>
        <v>1241.54</v>
      </c>
      <c r="I97" s="90">
        <f t="shared" si="48"/>
        <v>1335.04</v>
      </c>
      <c r="J97" s="90">
        <f t="shared" si="48"/>
        <v>1487.1399999999999</v>
      </c>
      <c r="K97" s="90">
        <f t="shared" si="48"/>
        <v>1667.04</v>
      </c>
      <c r="L97" s="90">
        <f t="shared" si="48"/>
        <v>1721.1399999999999</v>
      </c>
      <c r="M97" s="90">
        <f t="shared" si="48"/>
        <v>1666.0399999999997</v>
      </c>
      <c r="N97" s="90">
        <f t="shared" si="48"/>
        <v>1793.54</v>
      </c>
      <c r="O97" s="90">
        <f t="shared" si="48"/>
        <v>1826.04</v>
      </c>
      <c r="P97" s="90">
        <f t="shared" si="48"/>
        <v>1819.14</v>
      </c>
      <c r="Q97" s="90">
        <f t="shared" si="48"/>
        <v>1831.74</v>
      </c>
      <c r="R97" s="90">
        <f t="shared" si="48"/>
        <v>1812.74</v>
      </c>
      <c r="S97" s="90">
        <f t="shared" si="48"/>
        <v>1856.8389999999999</v>
      </c>
      <c r="T97" s="90">
        <f t="shared" si="48"/>
        <v>1870.04</v>
      </c>
      <c r="U97" s="90">
        <f t="shared" si="48"/>
        <v>1843.14</v>
      </c>
      <c r="V97" s="90">
        <f t="shared" si="48"/>
        <v>1811.8400000000001</v>
      </c>
      <c r="W97" s="90">
        <f t="shared" si="48"/>
        <v>1776.04</v>
      </c>
      <c r="X97" s="90">
        <f t="shared" si="48"/>
        <v>1606.04</v>
      </c>
      <c r="Y97" s="90">
        <f t="shared" si="48"/>
        <v>1567.6</v>
      </c>
      <c r="Z97" s="90">
        <f t="shared" si="48"/>
        <v>1592.1</v>
      </c>
      <c r="AA97" s="90">
        <f t="shared" si="48"/>
        <v>1619.5399999999997</v>
      </c>
      <c r="AB97" s="90">
        <f t="shared" ref="AB97:AC97" si="49">AB58+AB62+AB80+AB76+AB92+AB96</f>
        <v>1619.5399999999997</v>
      </c>
      <c r="AC97" s="90">
        <f t="shared" si="49"/>
        <v>1534.1399999999999</v>
      </c>
      <c r="AD97" s="90">
        <f t="shared" ref="AD97:AE97" si="50">AD58+AD62+AD80+AD76+AD92+AD96</f>
        <v>1473.34</v>
      </c>
      <c r="AE97" s="90">
        <f t="shared" si="50"/>
        <v>1413.6399999999999</v>
      </c>
      <c r="AF97" s="90">
        <f t="shared" si="48"/>
        <v>1302.8399999999999</v>
      </c>
      <c r="AG97" s="93">
        <f t="shared" si="48"/>
        <v>2231.81</v>
      </c>
      <c r="AH97" s="12">
        <f t="shared" si="43"/>
        <v>1870.04</v>
      </c>
      <c r="AI97" s="11">
        <f t="shared" si="44"/>
        <v>1160.54</v>
      </c>
      <c r="BF97" s="78"/>
      <c r="BG97" s="78">
        <v>76</v>
      </c>
      <c r="BH97" s="78">
        <v>121.6</v>
      </c>
      <c r="BI97" s="78">
        <v>522.5</v>
      </c>
      <c r="BJ97" s="78">
        <v>50.3</v>
      </c>
      <c r="BK97" s="78">
        <v>128.9</v>
      </c>
      <c r="BL97" s="78">
        <v>50.3</v>
      </c>
    </row>
    <row r="98" spans="1:64" ht="15.75" thickBot="1" x14ac:dyDescent="0.3">
      <c r="A98" s="92" t="s">
        <v>164</v>
      </c>
      <c r="B98" s="91">
        <v>250</v>
      </c>
      <c r="C98" s="91">
        <v>250</v>
      </c>
      <c r="D98" s="91">
        <v>250</v>
      </c>
      <c r="E98" s="91">
        <v>250</v>
      </c>
      <c r="F98" s="91">
        <v>210</v>
      </c>
      <c r="G98" s="91">
        <v>210</v>
      </c>
      <c r="H98" s="91">
        <v>210</v>
      </c>
      <c r="I98" s="91">
        <v>180</v>
      </c>
      <c r="J98" s="91">
        <v>50</v>
      </c>
      <c r="K98" s="91">
        <v>0</v>
      </c>
      <c r="L98" s="91">
        <v>0</v>
      </c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>
        <v>250</v>
      </c>
      <c r="Z98" s="91">
        <v>280</v>
      </c>
      <c r="AA98" s="91">
        <v>280</v>
      </c>
      <c r="AB98" s="91">
        <v>281</v>
      </c>
      <c r="AC98" s="91">
        <v>282</v>
      </c>
      <c r="AD98" s="91">
        <v>283</v>
      </c>
      <c r="AE98" s="91">
        <v>280</v>
      </c>
      <c r="AF98" s="91">
        <v>280</v>
      </c>
      <c r="AG98" s="75"/>
      <c r="AH98" s="12">
        <f t="shared" si="43"/>
        <v>283</v>
      </c>
      <c r="AI98" s="11">
        <f t="shared" si="44"/>
        <v>0</v>
      </c>
      <c r="BF98" s="78"/>
      <c r="BG98" s="78">
        <v>75.5</v>
      </c>
      <c r="BH98" s="78">
        <v>120.4</v>
      </c>
      <c r="BI98" s="78">
        <v>517.9</v>
      </c>
      <c r="BJ98" s="78">
        <v>59.6</v>
      </c>
      <c r="BK98" s="78">
        <v>140</v>
      </c>
      <c r="BL98" s="78">
        <v>50</v>
      </c>
    </row>
    <row r="99" spans="1:64" ht="15.75" thickBot="1" x14ac:dyDescent="0.3">
      <c r="A99" s="77" t="s">
        <v>163</v>
      </c>
      <c r="B99" s="90">
        <v>1554.84</v>
      </c>
      <c r="C99" s="90">
        <f t="shared" ref="C99:AF99" si="51">C97+C98</f>
        <v>1471.04</v>
      </c>
      <c r="D99" s="90">
        <f t="shared" si="51"/>
        <v>1444.54</v>
      </c>
      <c r="E99" s="90">
        <f t="shared" si="51"/>
        <v>1410.54</v>
      </c>
      <c r="F99" s="90">
        <f t="shared" si="51"/>
        <v>1417.1399999999999</v>
      </c>
      <c r="G99" s="90">
        <f t="shared" si="51"/>
        <v>1428.74</v>
      </c>
      <c r="H99" s="90">
        <f t="shared" si="51"/>
        <v>1451.54</v>
      </c>
      <c r="I99" s="90">
        <f t="shared" si="51"/>
        <v>1515.04</v>
      </c>
      <c r="J99" s="90">
        <f t="shared" si="51"/>
        <v>1537.1399999999999</v>
      </c>
      <c r="K99" s="90">
        <f t="shared" si="51"/>
        <v>1667.04</v>
      </c>
      <c r="L99" s="90">
        <f t="shared" si="51"/>
        <v>1721.1399999999999</v>
      </c>
      <c r="M99" s="90">
        <f t="shared" si="51"/>
        <v>1666.0399999999997</v>
      </c>
      <c r="N99" s="90">
        <f t="shared" si="51"/>
        <v>1793.54</v>
      </c>
      <c r="O99" s="90">
        <f t="shared" si="51"/>
        <v>1826.04</v>
      </c>
      <c r="P99" s="90">
        <f t="shared" si="51"/>
        <v>1819.14</v>
      </c>
      <c r="Q99" s="90">
        <f t="shared" si="51"/>
        <v>1831.74</v>
      </c>
      <c r="R99" s="90">
        <f t="shared" si="51"/>
        <v>1812.74</v>
      </c>
      <c r="S99" s="90">
        <f t="shared" si="51"/>
        <v>1856.8389999999999</v>
      </c>
      <c r="T99" s="90">
        <f t="shared" si="51"/>
        <v>1870.04</v>
      </c>
      <c r="U99" s="90">
        <f t="shared" si="51"/>
        <v>1843.14</v>
      </c>
      <c r="V99" s="90">
        <f t="shared" si="51"/>
        <v>1811.8400000000001</v>
      </c>
      <c r="W99" s="90">
        <f t="shared" si="51"/>
        <v>1776.04</v>
      </c>
      <c r="X99" s="90">
        <f t="shared" si="51"/>
        <v>1606.04</v>
      </c>
      <c r="Y99" s="90">
        <f t="shared" si="51"/>
        <v>1817.6</v>
      </c>
      <c r="Z99" s="90">
        <f t="shared" si="51"/>
        <v>1872.1</v>
      </c>
      <c r="AA99" s="90">
        <f t="shared" si="51"/>
        <v>1899.5399999999997</v>
      </c>
      <c r="AB99" s="90">
        <f t="shared" ref="AB99:AC99" si="52">AB97+AB98</f>
        <v>1900.5399999999997</v>
      </c>
      <c r="AC99" s="90">
        <f t="shared" si="52"/>
        <v>1816.1399999999999</v>
      </c>
      <c r="AD99" s="90">
        <f t="shared" ref="AD99:AE99" si="53">AD97+AD98</f>
        <v>1756.34</v>
      </c>
      <c r="AE99" s="90">
        <f t="shared" si="53"/>
        <v>1693.6399999999999</v>
      </c>
      <c r="AF99" s="90">
        <f t="shared" si="51"/>
        <v>1582.84</v>
      </c>
      <c r="AG99" s="75">
        <f>AG96+AG92+AG80+AG76+AG58+AG98</f>
        <v>1693.71</v>
      </c>
      <c r="AH99" s="12">
        <f t="shared" si="43"/>
        <v>1900.5399999999997</v>
      </c>
      <c r="AI99" s="11">
        <f t="shared" si="44"/>
        <v>1410.54</v>
      </c>
      <c r="BF99" s="78"/>
      <c r="BG99" s="78">
        <v>72.900000000000006</v>
      </c>
      <c r="BH99" s="78">
        <v>116.7</v>
      </c>
      <c r="BI99" s="78">
        <v>511.8</v>
      </c>
      <c r="BJ99" s="78">
        <v>43.7</v>
      </c>
      <c r="BK99" s="78">
        <v>132</v>
      </c>
      <c r="BL99" s="78">
        <v>52</v>
      </c>
    </row>
    <row r="100" spans="1:64" ht="15.75" thickBot="1" x14ac:dyDescent="0.3">
      <c r="A100" s="77" t="s">
        <v>162</v>
      </c>
      <c r="B100" s="90">
        <v>1554.84</v>
      </c>
      <c r="C100" s="90">
        <f t="shared" ref="C100:AF100" si="54">C99-(C107)</f>
        <v>1471.04</v>
      </c>
      <c r="D100" s="90">
        <f t="shared" si="54"/>
        <v>1444.54</v>
      </c>
      <c r="E100" s="90">
        <f t="shared" si="54"/>
        <v>1410.54</v>
      </c>
      <c r="F100" s="90">
        <f t="shared" si="54"/>
        <v>1417.1399999999999</v>
      </c>
      <c r="G100" s="90">
        <f t="shared" si="54"/>
        <v>1428.74</v>
      </c>
      <c r="H100" s="90">
        <f t="shared" si="54"/>
        <v>1451.54</v>
      </c>
      <c r="I100" s="90">
        <f t="shared" si="54"/>
        <v>1515.04</v>
      </c>
      <c r="J100" s="90">
        <f t="shared" si="54"/>
        <v>1537.1399999999999</v>
      </c>
      <c r="K100" s="90">
        <f t="shared" si="54"/>
        <v>1667.04</v>
      </c>
      <c r="L100" s="90">
        <f t="shared" si="54"/>
        <v>1721.1399999999999</v>
      </c>
      <c r="M100" s="90">
        <f t="shared" si="54"/>
        <v>1666.0399999999997</v>
      </c>
      <c r="N100" s="90">
        <f t="shared" si="54"/>
        <v>1793.54</v>
      </c>
      <c r="O100" s="90">
        <f t="shared" si="54"/>
        <v>1826.04</v>
      </c>
      <c r="P100" s="90">
        <f t="shared" si="54"/>
        <v>1819.14</v>
      </c>
      <c r="Q100" s="90">
        <f t="shared" si="54"/>
        <v>1831.74</v>
      </c>
      <c r="R100" s="90">
        <f t="shared" si="54"/>
        <v>1812.74</v>
      </c>
      <c r="S100" s="90">
        <f t="shared" si="54"/>
        <v>1856.8389999999999</v>
      </c>
      <c r="T100" s="90">
        <f t="shared" si="54"/>
        <v>1870.04</v>
      </c>
      <c r="U100" s="90">
        <f t="shared" si="54"/>
        <v>1843.14</v>
      </c>
      <c r="V100" s="90">
        <f t="shared" si="54"/>
        <v>1811.8400000000001</v>
      </c>
      <c r="W100" s="90">
        <f t="shared" si="54"/>
        <v>1776.04</v>
      </c>
      <c r="X100" s="90">
        <f t="shared" si="54"/>
        <v>1606.04</v>
      </c>
      <c r="Y100" s="90">
        <f t="shared" si="54"/>
        <v>1817.6</v>
      </c>
      <c r="Z100" s="90">
        <f t="shared" si="54"/>
        <v>1872.1</v>
      </c>
      <c r="AA100" s="90">
        <f t="shared" si="54"/>
        <v>1899.5399999999997</v>
      </c>
      <c r="AB100" s="90">
        <f t="shared" ref="AB100:AC100" si="55">AB99-(AB107)</f>
        <v>1900.5399999999997</v>
      </c>
      <c r="AC100" s="90">
        <f t="shared" si="55"/>
        <v>1816.1399999999999</v>
      </c>
      <c r="AD100" s="90">
        <f t="shared" ref="AD100:AE100" si="56">AD99-(AD107)</f>
        <v>1756.34</v>
      </c>
      <c r="AE100" s="90">
        <f t="shared" si="56"/>
        <v>1693.6399999999999</v>
      </c>
      <c r="AF100" s="90">
        <f t="shared" si="54"/>
        <v>1582.84</v>
      </c>
      <c r="AG100" s="75"/>
      <c r="AH100" s="12">
        <f t="shared" si="43"/>
        <v>1900.5399999999997</v>
      </c>
      <c r="AI100" s="11">
        <f t="shared" si="44"/>
        <v>1410.54</v>
      </c>
      <c r="BF100" s="78"/>
      <c r="BG100" s="78">
        <v>75</v>
      </c>
      <c r="BH100" s="78">
        <v>119.1</v>
      </c>
      <c r="BI100" s="78">
        <v>500.5</v>
      </c>
      <c r="BJ100" s="78">
        <v>37.9</v>
      </c>
      <c r="BK100" s="78">
        <v>129.5</v>
      </c>
      <c r="BL100" s="78">
        <v>50.5</v>
      </c>
    </row>
    <row r="101" spans="1:64" x14ac:dyDescent="0.25">
      <c r="A101" s="89" t="s">
        <v>161</v>
      </c>
      <c r="B101" s="85">
        <v>0</v>
      </c>
      <c r="C101" s="85">
        <f t="shared" ref="C101:AF101" si="57">IF(C84&lt;0,C84*-1,0)</f>
        <v>0</v>
      </c>
      <c r="D101" s="85">
        <f t="shared" si="57"/>
        <v>0</v>
      </c>
      <c r="E101" s="85">
        <f t="shared" si="57"/>
        <v>0</v>
      </c>
      <c r="F101" s="85">
        <f t="shared" si="57"/>
        <v>0</v>
      </c>
      <c r="G101" s="85">
        <f t="shared" si="57"/>
        <v>0</v>
      </c>
      <c r="H101" s="85">
        <f t="shared" si="57"/>
        <v>0</v>
      </c>
      <c r="I101" s="85">
        <f t="shared" si="57"/>
        <v>0</v>
      </c>
      <c r="J101" s="85">
        <f t="shared" si="57"/>
        <v>0</v>
      </c>
      <c r="K101" s="85">
        <f t="shared" si="57"/>
        <v>0</v>
      </c>
      <c r="L101" s="85">
        <f t="shared" si="57"/>
        <v>0</v>
      </c>
      <c r="M101" s="85">
        <f t="shared" si="57"/>
        <v>0</v>
      </c>
      <c r="N101" s="85">
        <f t="shared" si="57"/>
        <v>0</v>
      </c>
      <c r="O101" s="85">
        <f t="shared" si="57"/>
        <v>0</v>
      </c>
      <c r="P101" s="85">
        <f t="shared" si="57"/>
        <v>0</v>
      </c>
      <c r="Q101" s="85">
        <f t="shared" si="57"/>
        <v>0</v>
      </c>
      <c r="R101" s="85">
        <f t="shared" si="57"/>
        <v>0</v>
      </c>
      <c r="S101" s="85">
        <f t="shared" si="57"/>
        <v>0</v>
      </c>
      <c r="T101" s="85">
        <f t="shared" si="57"/>
        <v>0</v>
      </c>
      <c r="U101" s="85">
        <f t="shared" si="57"/>
        <v>0</v>
      </c>
      <c r="V101" s="85">
        <f t="shared" si="57"/>
        <v>0</v>
      </c>
      <c r="W101" s="85">
        <f t="shared" si="57"/>
        <v>0</v>
      </c>
      <c r="X101" s="85">
        <f t="shared" si="57"/>
        <v>0</v>
      </c>
      <c r="Y101" s="85">
        <f t="shared" si="57"/>
        <v>0</v>
      </c>
      <c r="Z101" s="85">
        <f t="shared" si="57"/>
        <v>0</v>
      </c>
      <c r="AA101" s="85">
        <f t="shared" si="57"/>
        <v>0</v>
      </c>
      <c r="AB101" s="85">
        <f t="shared" ref="AB101:AC101" si="58">IF(AB84&lt;0,AB84*-1,0)</f>
        <v>0</v>
      </c>
      <c r="AC101" s="85">
        <f t="shared" si="58"/>
        <v>0</v>
      </c>
      <c r="AD101" s="85">
        <f t="shared" ref="AD101:AE101" si="59">IF(AD84&lt;0,AD84*-1,0)</f>
        <v>0</v>
      </c>
      <c r="AE101" s="85">
        <f t="shared" si="59"/>
        <v>0</v>
      </c>
      <c r="AF101" s="85">
        <f t="shared" si="57"/>
        <v>0</v>
      </c>
      <c r="AG101" s="88"/>
      <c r="AH101" s="12">
        <f t="shared" si="43"/>
        <v>0</v>
      </c>
      <c r="AI101" s="11">
        <f t="shared" si="44"/>
        <v>0</v>
      </c>
      <c r="BF101" s="83"/>
      <c r="BG101" s="78">
        <v>68.5</v>
      </c>
      <c r="BH101" s="78">
        <v>118.8</v>
      </c>
      <c r="BI101" s="78">
        <v>366.6</v>
      </c>
      <c r="BJ101" s="78">
        <v>47.2</v>
      </c>
      <c r="BK101" s="78">
        <v>80.599999999999994</v>
      </c>
      <c r="BL101" s="78">
        <v>43.6</v>
      </c>
    </row>
    <row r="102" spans="1:64" x14ac:dyDescent="0.25">
      <c r="A102" s="87" t="s">
        <v>160</v>
      </c>
      <c r="B102" s="85">
        <v>0</v>
      </c>
      <c r="C102" s="85">
        <f t="shared" ref="C102:AF102" si="60">IF(C82&lt;0,C82*-1,0)</f>
        <v>0</v>
      </c>
      <c r="D102" s="85">
        <f t="shared" si="60"/>
        <v>0</v>
      </c>
      <c r="E102" s="85">
        <f t="shared" si="60"/>
        <v>0</v>
      </c>
      <c r="F102" s="85">
        <f t="shared" si="60"/>
        <v>0</v>
      </c>
      <c r="G102" s="85">
        <f t="shared" si="60"/>
        <v>0</v>
      </c>
      <c r="H102" s="85">
        <f t="shared" si="60"/>
        <v>0</v>
      </c>
      <c r="I102" s="85">
        <f t="shared" si="60"/>
        <v>0</v>
      </c>
      <c r="J102" s="85">
        <f t="shared" si="60"/>
        <v>0</v>
      </c>
      <c r="K102" s="85">
        <f t="shared" si="60"/>
        <v>0</v>
      </c>
      <c r="L102" s="85">
        <f t="shared" si="60"/>
        <v>0</v>
      </c>
      <c r="M102" s="85">
        <f t="shared" si="60"/>
        <v>0</v>
      </c>
      <c r="N102" s="85">
        <f t="shared" si="60"/>
        <v>0</v>
      </c>
      <c r="O102" s="85">
        <f t="shared" si="60"/>
        <v>0</v>
      </c>
      <c r="P102" s="85">
        <f t="shared" si="60"/>
        <v>0</v>
      </c>
      <c r="Q102" s="85">
        <f t="shared" si="60"/>
        <v>0</v>
      </c>
      <c r="R102" s="85">
        <f t="shared" si="60"/>
        <v>0</v>
      </c>
      <c r="S102" s="85">
        <f t="shared" si="60"/>
        <v>0</v>
      </c>
      <c r="T102" s="85">
        <f t="shared" si="60"/>
        <v>0</v>
      </c>
      <c r="U102" s="85">
        <f t="shared" si="60"/>
        <v>0</v>
      </c>
      <c r="V102" s="85">
        <f t="shared" si="60"/>
        <v>0</v>
      </c>
      <c r="W102" s="85">
        <f t="shared" si="60"/>
        <v>0</v>
      </c>
      <c r="X102" s="85">
        <f t="shared" si="60"/>
        <v>0</v>
      </c>
      <c r="Y102" s="85">
        <f t="shared" si="60"/>
        <v>0</v>
      </c>
      <c r="Z102" s="85">
        <f t="shared" si="60"/>
        <v>0</v>
      </c>
      <c r="AA102" s="85">
        <f t="shared" si="60"/>
        <v>0</v>
      </c>
      <c r="AB102" s="85">
        <f t="shared" ref="AB102:AC102" si="61">IF(AB82&lt;0,AB82*-1,0)</f>
        <v>0</v>
      </c>
      <c r="AC102" s="85">
        <f t="shared" si="61"/>
        <v>0</v>
      </c>
      <c r="AD102" s="85">
        <f t="shared" ref="AD102:AE102" si="62">IF(AD82&lt;0,AD82*-1,0)</f>
        <v>0</v>
      </c>
      <c r="AE102" s="85">
        <f t="shared" si="62"/>
        <v>0</v>
      </c>
      <c r="AF102" s="85">
        <f t="shared" si="60"/>
        <v>0</v>
      </c>
      <c r="AG102" s="86"/>
      <c r="AH102" s="12">
        <f t="shared" si="43"/>
        <v>0</v>
      </c>
      <c r="AI102" s="11">
        <f t="shared" si="44"/>
        <v>0</v>
      </c>
      <c r="BF102" s="83"/>
      <c r="BG102" s="78">
        <v>51.9</v>
      </c>
      <c r="BH102" s="78">
        <v>0</v>
      </c>
      <c r="BI102" s="78">
        <v>190</v>
      </c>
      <c r="BJ102" s="78">
        <v>14.3</v>
      </c>
      <c r="BK102" s="78">
        <v>0</v>
      </c>
      <c r="BL102" s="78">
        <v>48.4</v>
      </c>
    </row>
    <row r="103" spans="1:64" x14ac:dyDescent="0.25">
      <c r="A103" s="82" t="s">
        <v>159</v>
      </c>
      <c r="B103" s="85">
        <v>0</v>
      </c>
      <c r="C103" s="85">
        <f t="shared" ref="C103:AF103" si="63">IF(C85&lt;0,C85*-1,0)</f>
        <v>0</v>
      </c>
      <c r="D103" s="85">
        <f t="shared" si="63"/>
        <v>0</v>
      </c>
      <c r="E103" s="85">
        <f t="shared" si="63"/>
        <v>0</v>
      </c>
      <c r="F103" s="85">
        <f t="shared" si="63"/>
        <v>0</v>
      </c>
      <c r="G103" s="85">
        <f t="shared" si="63"/>
        <v>0</v>
      </c>
      <c r="H103" s="85">
        <f t="shared" si="63"/>
        <v>0</v>
      </c>
      <c r="I103" s="85">
        <f t="shared" si="63"/>
        <v>0</v>
      </c>
      <c r="J103" s="85">
        <f t="shared" si="63"/>
        <v>0</v>
      </c>
      <c r="K103" s="85">
        <f t="shared" si="63"/>
        <v>0</v>
      </c>
      <c r="L103" s="85">
        <f t="shared" si="63"/>
        <v>0</v>
      </c>
      <c r="M103" s="85">
        <f t="shared" si="63"/>
        <v>0</v>
      </c>
      <c r="N103" s="85">
        <f t="shared" si="63"/>
        <v>0</v>
      </c>
      <c r="O103" s="85">
        <f t="shared" si="63"/>
        <v>0</v>
      </c>
      <c r="P103" s="85">
        <f t="shared" si="63"/>
        <v>0</v>
      </c>
      <c r="Q103" s="85">
        <f t="shared" si="63"/>
        <v>0</v>
      </c>
      <c r="R103" s="85">
        <f t="shared" si="63"/>
        <v>0</v>
      </c>
      <c r="S103" s="85">
        <f t="shared" si="63"/>
        <v>0</v>
      </c>
      <c r="T103" s="85">
        <f t="shared" si="63"/>
        <v>0</v>
      </c>
      <c r="U103" s="85">
        <f t="shared" si="63"/>
        <v>0</v>
      </c>
      <c r="V103" s="85">
        <f t="shared" si="63"/>
        <v>0</v>
      </c>
      <c r="W103" s="85">
        <f t="shared" si="63"/>
        <v>0</v>
      </c>
      <c r="X103" s="85">
        <f t="shared" si="63"/>
        <v>0</v>
      </c>
      <c r="Y103" s="85">
        <f t="shared" si="63"/>
        <v>0</v>
      </c>
      <c r="Z103" s="85">
        <f t="shared" si="63"/>
        <v>0</v>
      </c>
      <c r="AA103" s="85">
        <f t="shared" si="63"/>
        <v>0</v>
      </c>
      <c r="AB103" s="85">
        <f t="shared" ref="AB103:AC103" si="64">IF(AB85&lt;0,AB85*-1,0)</f>
        <v>0</v>
      </c>
      <c r="AC103" s="85">
        <f t="shared" si="64"/>
        <v>0</v>
      </c>
      <c r="AD103" s="85">
        <f t="shared" ref="AD103:AE103" si="65">IF(AD85&lt;0,AD85*-1,0)</f>
        <v>0</v>
      </c>
      <c r="AE103" s="85">
        <f t="shared" si="65"/>
        <v>0</v>
      </c>
      <c r="AF103" s="85">
        <f t="shared" si="63"/>
        <v>0</v>
      </c>
      <c r="AG103" s="84"/>
      <c r="AH103" s="12">
        <f t="shared" si="43"/>
        <v>0</v>
      </c>
      <c r="AI103" s="11">
        <f t="shared" si="44"/>
        <v>0</v>
      </c>
      <c r="BF103" s="83"/>
      <c r="BG103" s="78">
        <v>75.8</v>
      </c>
      <c r="BH103" s="78">
        <v>0</v>
      </c>
      <c r="BI103" s="78">
        <v>146.6</v>
      </c>
      <c r="BJ103" s="78">
        <v>14</v>
      </c>
      <c r="BK103" s="78">
        <v>0</v>
      </c>
      <c r="BL103" s="78">
        <v>46.9</v>
      </c>
    </row>
    <row r="104" spans="1:64" x14ac:dyDescent="0.25">
      <c r="A104" s="82" t="s">
        <v>158</v>
      </c>
      <c r="B104" s="85">
        <v>0</v>
      </c>
      <c r="C104" s="85">
        <f t="shared" ref="C104:AF104" si="66">IF(C83&lt;0,C83*-1,0)</f>
        <v>0</v>
      </c>
      <c r="D104" s="85">
        <f t="shared" si="66"/>
        <v>0</v>
      </c>
      <c r="E104" s="85">
        <f t="shared" si="66"/>
        <v>0</v>
      </c>
      <c r="F104" s="85">
        <f t="shared" si="66"/>
        <v>0</v>
      </c>
      <c r="G104" s="85">
        <f t="shared" si="66"/>
        <v>0</v>
      </c>
      <c r="H104" s="85">
        <f t="shared" si="66"/>
        <v>0</v>
      </c>
      <c r="I104" s="85">
        <f t="shared" si="66"/>
        <v>0</v>
      </c>
      <c r="J104" s="85">
        <f t="shared" si="66"/>
        <v>0</v>
      </c>
      <c r="K104" s="85">
        <f t="shared" si="66"/>
        <v>0</v>
      </c>
      <c r="L104" s="85">
        <f t="shared" si="66"/>
        <v>0</v>
      </c>
      <c r="M104" s="85">
        <f t="shared" si="66"/>
        <v>0</v>
      </c>
      <c r="N104" s="85">
        <f t="shared" si="66"/>
        <v>0</v>
      </c>
      <c r="O104" s="85">
        <f t="shared" si="66"/>
        <v>0</v>
      </c>
      <c r="P104" s="85">
        <f t="shared" si="66"/>
        <v>0</v>
      </c>
      <c r="Q104" s="85">
        <f t="shared" si="66"/>
        <v>0</v>
      </c>
      <c r="R104" s="85">
        <f t="shared" si="66"/>
        <v>0</v>
      </c>
      <c r="S104" s="85">
        <f t="shared" si="66"/>
        <v>0</v>
      </c>
      <c r="T104" s="85">
        <f t="shared" si="66"/>
        <v>0</v>
      </c>
      <c r="U104" s="85">
        <f t="shared" si="66"/>
        <v>0</v>
      </c>
      <c r="V104" s="85">
        <f t="shared" si="66"/>
        <v>0</v>
      </c>
      <c r="W104" s="85">
        <f t="shared" si="66"/>
        <v>0</v>
      </c>
      <c r="X104" s="85">
        <f t="shared" si="66"/>
        <v>0</v>
      </c>
      <c r="Y104" s="85">
        <f t="shared" si="66"/>
        <v>0</v>
      </c>
      <c r="Z104" s="85">
        <f t="shared" si="66"/>
        <v>0</v>
      </c>
      <c r="AA104" s="85">
        <f t="shared" si="66"/>
        <v>0</v>
      </c>
      <c r="AB104" s="85">
        <f t="shared" ref="AB104:AC104" si="67">IF(AB83&lt;0,AB83*-1,0)</f>
        <v>0</v>
      </c>
      <c r="AC104" s="85">
        <f t="shared" si="67"/>
        <v>0</v>
      </c>
      <c r="AD104" s="85">
        <f t="shared" ref="AD104:AE104" si="68">IF(AD83&lt;0,AD83*-1,0)</f>
        <v>0</v>
      </c>
      <c r="AE104" s="85">
        <f t="shared" si="68"/>
        <v>0</v>
      </c>
      <c r="AF104" s="85">
        <f t="shared" si="66"/>
        <v>0</v>
      </c>
      <c r="AG104" s="84"/>
      <c r="AH104" s="12">
        <f t="shared" si="43"/>
        <v>0</v>
      </c>
      <c r="AI104" s="11">
        <f t="shared" si="44"/>
        <v>0</v>
      </c>
      <c r="BF104" s="83"/>
      <c r="BG104" s="78">
        <v>69</v>
      </c>
      <c r="BH104" s="78">
        <v>0</v>
      </c>
      <c r="BI104" s="78">
        <v>103</v>
      </c>
      <c r="BJ104" s="78">
        <v>15</v>
      </c>
      <c r="BK104" s="78">
        <v>0</v>
      </c>
      <c r="BL104" s="78">
        <v>47.4</v>
      </c>
    </row>
    <row r="105" spans="1:64" x14ac:dyDescent="0.25">
      <c r="A105" s="82" t="s">
        <v>157</v>
      </c>
      <c r="B105" s="85">
        <v>0</v>
      </c>
      <c r="C105" s="85">
        <f t="shared" ref="C105:AF105" si="69">IF(C81&lt;0,C81*-1,0)</f>
        <v>0</v>
      </c>
      <c r="D105" s="85">
        <f t="shared" si="69"/>
        <v>0</v>
      </c>
      <c r="E105" s="85">
        <f t="shared" si="69"/>
        <v>0</v>
      </c>
      <c r="F105" s="85">
        <f t="shared" si="69"/>
        <v>0</v>
      </c>
      <c r="G105" s="85">
        <f t="shared" si="69"/>
        <v>0</v>
      </c>
      <c r="H105" s="85">
        <f t="shared" si="69"/>
        <v>0</v>
      </c>
      <c r="I105" s="85">
        <f t="shared" si="69"/>
        <v>0</v>
      </c>
      <c r="J105" s="85">
        <f t="shared" si="69"/>
        <v>0</v>
      </c>
      <c r="K105" s="85">
        <f t="shared" si="69"/>
        <v>0</v>
      </c>
      <c r="L105" s="85">
        <f t="shared" si="69"/>
        <v>0</v>
      </c>
      <c r="M105" s="85">
        <f t="shared" si="69"/>
        <v>0</v>
      </c>
      <c r="N105" s="85">
        <f t="shared" si="69"/>
        <v>0</v>
      </c>
      <c r="O105" s="85">
        <f t="shared" si="69"/>
        <v>0</v>
      </c>
      <c r="P105" s="85">
        <f t="shared" si="69"/>
        <v>0</v>
      </c>
      <c r="Q105" s="85">
        <f t="shared" si="69"/>
        <v>0</v>
      </c>
      <c r="R105" s="85">
        <f t="shared" si="69"/>
        <v>0</v>
      </c>
      <c r="S105" s="85">
        <f t="shared" si="69"/>
        <v>0</v>
      </c>
      <c r="T105" s="85">
        <f t="shared" si="69"/>
        <v>0</v>
      </c>
      <c r="U105" s="85">
        <f t="shared" si="69"/>
        <v>0</v>
      </c>
      <c r="V105" s="85">
        <f t="shared" si="69"/>
        <v>0</v>
      </c>
      <c r="W105" s="85">
        <f t="shared" si="69"/>
        <v>0</v>
      </c>
      <c r="X105" s="85">
        <f t="shared" si="69"/>
        <v>0</v>
      </c>
      <c r="Y105" s="85">
        <f t="shared" si="69"/>
        <v>0</v>
      </c>
      <c r="Z105" s="85">
        <f t="shared" si="69"/>
        <v>0</v>
      </c>
      <c r="AA105" s="85">
        <f t="shared" si="69"/>
        <v>0</v>
      </c>
      <c r="AB105" s="85">
        <f t="shared" ref="AB105:AC105" si="70">IF(AB81&lt;0,AB81*-1,0)</f>
        <v>0</v>
      </c>
      <c r="AC105" s="85">
        <f t="shared" si="70"/>
        <v>0</v>
      </c>
      <c r="AD105" s="85">
        <f t="shared" ref="AD105:AE105" si="71">IF(AD81&lt;0,AD81*-1,0)</f>
        <v>0</v>
      </c>
      <c r="AE105" s="85">
        <f t="shared" si="71"/>
        <v>0</v>
      </c>
      <c r="AF105" s="85">
        <f t="shared" si="69"/>
        <v>0</v>
      </c>
      <c r="AG105" s="84"/>
      <c r="AH105" s="12">
        <f t="shared" si="43"/>
        <v>0</v>
      </c>
      <c r="AI105" s="11">
        <f t="shared" si="44"/>
        <v>0</v>
      </c>
      <c r="BF105" s="83"/>
      <c r="BG105" s="78">
        <v>42</v>
      </c>
      <c r="BH105" s="78">
        <v>0</v>
      </c>
      <c r="BI105" s="78">
        <v>40</v>
      </c>
      <c r="BJ105" s="78">
        <v>15</v>
      </c>
      <c r="BK105" s="78">
        <v>0</v>
      </c>
      <c r="BL105" s="78">
        <v>46</v>
      </c>
    </row>
    <row r="106" spans="1:64" ht="15.75" thickBot="1" x14ac:dyDescent="0.3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43"/>
        <v>0</v>
      </c>
      <c r="AI106" s="11">
        <f t="shared" si="44"/>
        <v>0</v>
      </c>
      <c r="BG106" s="78">
        <v>28</v>
      </c>
      <c r="BH106" s="78">
        <v>0</v>
      </c>
      <c r="BI106" s="78">
        <v>35</v>
      </c>
      <c r="BJ106" s="78">
        <v>16</v>
      </c>
      <c r="BK106" s="78">
        <v>0</v>
      </c>
      <c r="BL106" s="78">
        <v>50</v>
      </c>
    </row>
    <row r="107" spans="1:64" ht="15.75" thickBot="1" x14ac:dyDescent="0.3">
      <c r="A107" s="79" t="s">
        <v>155</v>
      </c>
      <c r="B107" s="76">
        <v>0</v>
      </c>
      <c r="C107" s="76">
        <f t="shared" ref="C107:AF107" si="72">SUM(C101:C106)</f>
        <v>0</v>
      </c>
      <c r="D107" s="76">
        <f t="shared" si="72"/>
        <v>0</v>
      </c>
      <c r="E107" s="76">
        <f t="shared" si="72"/>
        <v>0</v>
      </c>
      <c r="F107" s="76">
        <f t="shared" si="72"/>
        <v>0</v>
      </c>
      <c r="G107" s="76">
        <f t="shared" si="72"/>
        <v>0</v>
      </c>
      <c r="H107" s="76">
        <f t="shared" si="72"/>
        <v>0</v>
      </c>
      <c r="I107" s="76">
        <f t="shared" si="72"/>
        <v>0</v>
      </c>
      <c r="J107" s="76">
        <f t="shared" si="72"/>
        <v>0</v>
      </c>
      <c r="K107" s="76">
        <f t="shared" si="72"/>
        <v>0</v>
      </c>
      <c r="L107" s="76">
        <f t="shared" si="72"/>
        <v>0</v>
      </c>
      <c r="M107" s="76">
        <f t="shared" si="72"/>
        <v>0</v>
      </c>
      <c r="N107" s="76">
        <f t="shared" si="72"/>
        <v>0</v>
      </c>
      <c r="O107" s="76">
        <f t="shared" si="72"/>
        <v>0</v>
      </c>
      <c r="P107" s="76">
        <f t="shared" si="72"/>
        <v>0</v>
      </c>
      <c r="Q107" s="76">
        <f t="shared" si="72"/>
        <v>0</v>
      </c>
      <c r="R107" s="76">
        <f t="shared" si="72"/>
        <v>0</v>
      </c>
      <c r="S107" s="76">
        <f t="shared" si="72"/>
        <v>0</v>
      </c>
      <c r="T107" s="76">
        <f t="shared" si="72"/>
        <v>0</v>
      </c>
      <c r="U107" s="76">
        <f t="shared" si="72"/>
        <v>0</v>
      </c>
      <c r="V107" s="76">
        <f t="shared" si="72"/>
        <v>0</v>
      </c>
      <c r="W107" s="76">
        <f t="shared" si="72"/>
        <v>0</v>
      </c>
      <c r="X107" s="76">
        <f t="shared" si="72"/>
        <v>0</v>
      </c>
      <c r="Y107" s="76">
        <f t="shared" si="72"/>
        <v>0</v>
      </c>
      <c r="Z107" s="76">
        <f t="shared" si="72"/>
        <v>0</v>
      </c>
      <c r="AA107" s="76">
        <f t="shared" si="72"/>
        <v>0</v>
      </c>
      <c r="AB107" s="76">
        <v>0</v>
      </c>
      <c r="AC107" s="76">
        <v>0</v>
      </c>
      <c r="AD107" s="76">
        <v>0</v>
      </c>
      <c r="AE107" s="76">
        <v>0</v>
      </c>
      <c r="AF107" s="76">
        <f t="shared" si="72"/>
        <v>0</v>
      </c>
      <c r="AG107" s="75"/>
      <c r="AH107" s="12">
        <f t="shared" si="43"/>
        <v>0</v>
      </c>
      <c r="AI107" s="11">
        <f t="shared" si="44"/>
        <v>0</v>
      </c>
      <c r="AK107" s="19"/>
      <c r="BG107" s="78">
        <v>29</v>
      </c>
      <c r="BH107" s="78">
        <v>0</v>
      </c>
      <c r="BI107" s="78">
        <v>55</v>
      </c>
      <c r="BJ107" s="78">
        <v>0</v>
      </c>
      <c r="BK107" s="78">
        <v>0</v>
      </c>
      <c r="BL107" s="78">
        <v>47.5</v>
      </c>
    </row>
    <row r="108" spans="1:64" ht="15.75" thickBot="1" x14ac:dyDescent="0.3">
      <c r="A108" s="77" t="s">
        <v>154</v>
      </c>
      <c r="B108" s="76">
        <f t="shared" ref="B108:AF108" si="73">B92-B107</f>
        <v>93.800000000000011</v>
      </c>
      <c r="C108" s="76">
        <f t="shared" si="73"/>
        <v>137.30000000000001</v>
      </c>
      <c r="D108" s="76">
        <f t="shared" si="73"/>
        <v>121.5</v>
      </c>
      <c r="E108" s="76">
        <f t="shared" si="73"/>
        <v>113.69999999999999</v>
      </c>
      <c r="F108" s="76">
        <f t="shared" si="73"/>
        <v>174.29999999999998</v>
      </c>
      <c r="G108" s="76">
        <f t="shared" si="73"/>
        <v>178.8</v>
      </c>
      <c r="H108" s="76">
        <f t="shared" si="73"/>
        <v>199.5</v>
      </c>
      <c r="I108" s="76">
        <f t="shared" si="73"/>
        <v>295.39999999999998</v>
      </c>
      <c r="J108" s="76">
        <f t="shared" si="73"/>
        <v>623.6</v>
      </c>
      <c r="K108" s="76">
        <f t="shared" si="73"/>
        <v>843.09999999999991</v>
      </c>
      <c r="L108" s="76">
        <f t="shared" si="73"/>
        <v>859.2</v>
      </c>
      <c r="M108" s="76">
        <f t="shared" si="73"/>
        <v>758.09999999999991</v>
      </c>
      <c r="N108" s="76">
        <f t="shared" si="73"/>
        <v>912.2</v>
      </c>
      <c r="O108" s="76">
        <f t="shared" si="73"/>
        <v>911.99999999999989</v>
      </c>
      <c r="P108" s="76">
        <f t="shared" si="73"/>
        <v>873.40000000000009</v>
      </c>
      <c r="Q108" s="76">
        <f t="shared" si="73"/>
        <v>886</v>
      </c>
      <c r="R108" s="76">
        <f t="shared" si="73"/>
        <v>886</v>
      </c>
      <c r="S108" s="76">
        <f t="shared" si="73"/>
        <v>949.59999999999991</v>
      </c>
      <c r="T108" s="76">
        <f t="shared" si="73"/>
        <v>963.4</v>
      </c>
      <c r="U108" s="76">
        <f t="shared" si="73"/>
        <v>929.10000000000014</v>
      </c>
      <c r="V108" s="76">
        <f t="shared" si="73"/>
        <v>912.5</v>
      </c>
      <c r="W108" s="76">
        <f t="shared" si="73"/>
        <v>854.6</v>
      </c>
      <c r="X108" s="76">
        <f t="shared" si="73"/>
        <v>725.30000000000018</v>
      </c>
      <c r="Y108" s="76">
        <f t="shared" si="73"/>
        <v>453.4</v>
      </c>
      <c r="Z108" s="76">
        <f t="shared" si="73"/>
        <v>304.59999999999997</v>
      </c>
      <c r="AA108" s="76">
        <f t="shared" si="73"/>
        <v>283.29999999999995</v>
      </c>
      <c r="AB108" s="76">
        <f t="shared" ref="AB108:AC108" si="74">AB92-AB107</f>
        <v>283.29999999999995</v>
      </c>
      <c r="AC108" s="76">
        <f t="shared" si="74"/>
        <v>175.7</v>
      </c>
      <c r="AD108" s="76">
        <f t="shared" ref="AD108:AE108" si="75">AD92-AD107</f>
        <v>234.4</v>
      </c>
      <c r="AE108" s="76">
        <f t="shared" si="75"/>
        <v>143</v>
      </c>
      <c r="AF108" s="76">
        <f t="shared" si="73"/>
        <v>129</v>
      </c>
      <c r="AG108" s="75"/>
      <c r="AH108" s="12">
        <f t="shared" si="43"/>
        <v>963.4</v>
      </c>
      <c r="AI108" s="11">
        <f t="shared" si="44"/>
        <v>93.800000000000011</v>
      </c>
    </row>
    <row r="109" spans="1:64" x14ac:dyDescent="0.25">
      <c r="A109" s="25" t="s">
        <v>153</v>
      </c>
      <c r="B109" s="74">
        <v>49.856000000000002</v>
      </c>
      <c r="C109" s="74">
        <v>50.029000000000003</v>
      </c>
      <c r="D109" s="74">
        <v>50.05</v>
      </c>
      <c r="E109" s="74">
        <v>49.972999999999999</v>
      </c>
      <c r="F109" s="74">
        <v>49.987000000000002</v>
      </c>
      <c r="G109" s="74">
        <v>50.003</v>
      </c>
      <c r="H109" s="74">
        <v>49.978000000000002</v>
      </c>
      <c r="I109" s="74">
        <v>50.026000000000003</v>
      </c>
      <c r="J109" s="74">
        <v>49.991999999999997</v>
      </c>
      <c r="K109" s="74">
        <v>50.064</v>
      </c>
      <c r="L109" s="74">
        <v>50.008000000000003</v>
      </c>
      <c r="M109" s="74">
        <v>50.024999999999999</v>
      </c>
      <c r="N109" s="74">
        <v>50.003999999999998</v>
      </c>
      <c r="O109" s="74">
        <v>49.978999999999999</v>
      </c>
      <c r="P109" s="74">
        <v>49.933999999999997</v>
      </c>
      <c r="Q109" s="74">
        <v>50.029000000000003</v>
      </c>
      <c r="R109" s="74">
        <v>50.029000000000003</v>
      </c>
      <c r="S109" s="74">
        <v>50.08</v>
      </c>
      <c r="T109" s="74">
        <v>49.963999999999999</v>
      </c>
      <c r="U109" s="74">
        <v>49.920999999999999</v>
      </c>
      <c r="V109" s="74">
        <v>49.988</v>
      </c>
      <c r="W109" s="74">
        <v>49.932000000000002</v>
      </c>
      <c r="X109" s="74">
        <v>49.978000000000002</v>
      </c>
      <c r="Y109" s="74">
        <v>50.107999999999997</v>
      </c>
      <c r="Z109" s="74">
        <v>50.054000000000002</v>
      </c>
      <c r="AA109" s="74">
        <v>50.008000000000003</v>
      </c>
      <c r="AB109" s="74">
        <v>50.008000000000003</v>
      </c>
      <c r="AC109" s="74">
        <v>49.97</v>
      </c>
      <c r="AD109" s="74">
        <v>50.02</v>
      </c>
      <c r="AE109" s="74">
        <v>50.05</v>
      </c>
      <c r="AF109" s="74">
        <v>50</v>
      </c>
      <c r="AG109" s="73"/>
      <c r="AH109" s="12">
        <f t="shared" si="43"/>
        <v>50.107999999999997</v>
      </c>
      <c r="AI109" s="11">
        <f t="shared" si="44"/>
        <v>49.856000000000002</v>
      </c>
    </row>
    <row r="110" spans="1:64" x14ac:dyDescent="0.25">
      <c r="A110" s="22" t="s">
        <v>152</v>
      </c>
      <c r="B110" s="70">
        <v>130.1</v>
      </c>
      <c r="C110" s="70">
        <v>131.30000000000001</v>
      </c>
      <c r="D110" s="70">
        <v>130.9</v>
      </c>
      <c r="E110" s="70">
        <v>130.69999999999999</v>
      </c>
      <c r="F110" s="70">
        <v>130.6</v>
      </c>
      <c r="G110" s="70">
        <v>130.4</v>
      </c>
      <c r="H110" s="70">
        <v>129.5</v>
      </c>
      <c r="I110" s="70">
        <v>128.80000000000001</v>
      </c>
      <c r="J110" s="70">
        <v>125.9</v>
      </c>
      <c r="K110" s="70">
        <v>125.6</v>
      </c>
      <c r="L110" s="70">
        <v>121.7</v>
      </c>
      <c r="M110" s="70">
        <v>123.4</v>
      </c>
      <c r="N110" s="70">
        <v>123.3</v>
      </c>
      <c r="O110" s="70">
        <v>122.5</v>
      </c>
      <c r="P110" s="70">
        <v>124.9</v>
      </c>
      <c r="Q110" s="70">
        <v>124.6</v>
      </c>
      <c r="R110" s="70">
        <v>124.6</v>
      </c>
      <c r="S110" s="70">
        <v>124.2</v>
      </c>
      <c r="T110" s="70">
        <v>125.3</v>
      </c>
      <c r="U110" s="70">
        <v>124.9</v>
      </c>
      <c r="V110" s="70">
        <v>125.1</v>
      </c>
      <c r="W110" s="70">
        <v>127.2</v>
      </c>
      <c r="X110" s="70">
        <v>128.69999999999999</v>
      </c>
      <c r="Y110" s="70">
        <v>128</v>
      </c>
      <c r="Z110" s="70">
        <v>129.19999999999999</v>
      </c>
      <c r="AA110" s="70">
        <v>129.1</v>
      </c>
      <c r="AB110" s="70">
        <v>129.1</v>
      </c>
      <c r="AC110" s="70">
        <v>129.6</v>
      </c>
      <c r="AD110" s="70">
        <v>129.6</v>
      </c>
      <c r="AE110" s="70">
        <v>129.6</v>
      </c>
      <c r="AF110" s="70">
        <v>129.6</v>
      </c>
      <c r="AG110" s="69"/>
      <c r="AH110" s="12">
        <f t="shared" si="43"/>
        <v>131.30000000000001</v>
      </c>
      <c r="AI110" s="11">
        <f t="shared" si="44"/>
        <v>121.7</v>
      </c>
    </row>
    <row r="111" spans="1:64" x14ac:dyDescent="0.25">
      <c r="A111" s="22" t="s">
        <v>151</v>
      </c>
      <c r="B111" s="70">
        <v>134.80000000000001</v>
      </c>
      <c r="C111" s="70">
        <v>134.69999999999999</v>
      </c>
      <c r="D111" s="70">
        <v>134.4</v>
      </c>
      <c r="E111" s="70">
        <v>134.30000000000001</v>
      </c>
      <c r="F111" s="70">
        <v>134.1</v>
      </c>
      <c r="G111" s="70">
        <v>133.9</v>
      </c>
      <c r="H111" s="70">
        <v>133</v>
      </c>
      <c r="I111" s="70">
        <v>132.30000000000001</v>
      </c>
      <c r="J111" s="70">
        <v>128.6</v>
      </c>
      <c r="K111" s="70">
        <v>128.5</v>
      </c>
      <c r="L111" s="70">
        <v>125.9</v>
      </c>
      <c r="M111" s="70">
        <v>126.6</v>
      </c>
      <c r="N111" s="70">
        <v>126.6</v>
      </c>
      <c r="O111" s="70">
        <v>125.9</v>
      </c>
      <c r="P111" s="70">
        <v>127.8</v>
      </c>
      <c r="Q111" s="70">
        <v>127.7</v>
      </c>
      <c r="R111" s="70">
        <v>127.7</v>
      </c>
      <c r="S111" s="70">
        <v>127.7</v>
      </c>
      <c r="T111" s="70">
        <v>128.5</v>
      </c>
      <c r="U111" s="70">
        <v>128.69999999999999</v>
      </c>
      <c r="V111" s="70">
        <v>128.9</v>
      </c>
      <c r="W111" s="70">
        <v>130.6</v>
      </c>
      <c r="X111" s="70">
        <v>131.69999999999999</v>
      </c>
      <c r="Y111" s="70">
        <v>130.5</v>
      </c>
      <c r="Z111" s="70">
        <v>131.4</v>
      </c>
      <c r="AA111" s="70">
        <v>131.19999999999999</v>
      </c>
      <c r="AB111" s="70">
        <v>131.19999999999999</v>
      </c>
      <c r="AC111" s="70">
        <v>131.69999999999999</v>
      </c>
      <c r="AD111" s="70">
        <v>132</v>
      </c>
      <c r="AE111" s="70">
        <v>132</v>
      </c>
      <c r="AF111" s="70">
        <v>132</v>
      </c>
      <c r="AG111" s="69"/>
      <c r="AH111" s="12">
        <f t="shared" si="43"/>
        <v>134.80000000000001</v>
      </c>
      <c r="AI111" s="11">
        <f t="shared" si="44"/>
        <v>125.9</v>
      </c>
    </row>
    <row r="112" spans="1:64" x14ac:dyDescent="0.25">
      <c r="A112" s="22" t="s">
        <v>150</v>
      </c>
      <c r="B112" s="70">
        <v>132.6</v>
      </c>
      <c r="C112" s="70">
        <v>133.30000000000001</v>
      </c>
      <c r="D112" s="70">
        <v>130.80000000000001</v>
      </c>
      <c r="E112" s="70">
        <v>132</v>
      </c>
      <c r="F112" s="70">
        <v>130.80000000000001</v>
      </c>
      <c r="G112" s="70">
        <v>129.9</v>
      </c>
      <c r="H112" s="70">
        <v>128.1</v>
      </c>
      <c r="I112" s="70">
        <v>130</v>
      </c>
      <c r="J112" s="70">
        <v>128.5</v>
      </c>
      <c r="K112" s="70">
        <v>128.19999999999999</v>
      </c>
      <c r="L112" s="70">
        <v>126.3</v>
      </c>
      <c r="M112" s="70">
        <v>127.4</v>
      </c>
      <c r="N112" s="70">
        <v>127</v>
      </c>
      <c r="O112" s="70">
        <v>125.9</v>
      </c>
      <c r="P112" s="70">
        <v>128.19999999999999</v>
      </c>
      <c r="Q112" s="70">
        <v>126.6</v>
      </c>
      <c r="R112" s="70">
        <v>126.6</v>
      </c>
      <c r="S112" s="70">
        <v>126.3</v>
      </c>
      <c r="T112" s="70">
        <v>127.2</v>
      </c>
      <c r="U112" s="70">
        <v>128.4</v>
      </c>
      <c r="V112" s="70">
        <v>129.4</v>
      </c>
      <c r="W112" s="70">
        <v>128.30000000000001</v>
      </c>
      <c r="X112" s="70">
        <v>129.9</v>
      </c>
      <c r="Y112" s="70">
        <v>131.30000000000001</v>
      </c>
      <c r="Z112" s="70">
        <v>128.69999999999999</v>
      </c>
      <c r="AA112" s="70">
        <v>129.9</v>
      </c>
      <c r="AB112" s="70">
        <v>129.9</v>
      </c>
      <c r="AC112" s="70">
        <v>129.30000000000001</v>
      </c>
      <c r="AD112" s="70">
        <v>130</v>
      </c>
      <c r="AE112" s="70">
        <v>130</v>
      </c>
      <c r="AF112" s="70">
        <v>130</v>
      </c>
      <c r="AG112" s="69"/>
      <c r="AH112" s="12">
        <f t="shared" si="43"/>
        <v>133.30000000000001</v>
      </c>
      <c r="AI112" s="11">
        <f t="shared" si="44"/>
        <v>125.9</v>
      </c>
    </row>
    <row r="113" spans="1:35" x14ac:dyDescent="0.25">
      <c r="A113" s="72" t="s">
        <v>149</v>
      </c>
      <c r="B113" s="70">
        <v>131.9</v>
      </c>
      <c r="C113" s="70">
        <v>133.19999999999999</v>
      </c>
      <c r="D113" s="70">
        <v>130.69999999999999</v>
      </c>
      <c r="E113" s="70">
        <v>132.19999999999999</v>
      </c>
      <c r="F113" s="70">
        <v>131.4</v>
      </c>
      <c r="G113" s="70">
        <v>130.5</v>
      </c>
      <c r="H113" s="70">
        <v>128.1</v>
      </c>
      <c r="I113" s="70">
        <v>129.69999999999999</v>
      </c>
      <c r="J113" s="70">
        <v>126.6</v>
      </c>
      <c r="K113" s="70">
        <v>126.3</v>
      </c>
      <c r="L113" s="70">
        <v>124.6</v>
      </c>
      <c r="M113" s="70">
        <v>125.3</v>
      </c>
      <c r="N113" s="70">
        <v>125.7</v>
      </c>
      <c r="O113" s="70">
        <v>123.9</v>
      </c>
      <c r="P113" s="70">
        <v>126.5</v>
      </c>
      <c r="Q113" s="70">
        <v>124.2</v>
      </c>
      <c r="R113" s="70">
        <v>124.2</v>
      </c>
      <c r="S113" s="70">
        <v>123.8</v>
      </c>
      <c r="T113" s="70">
        <v>125.2</v>
      </c>
      <c r="U113" s="70">
        <v>125.8</v>
      </c>
      <c r="V113" s="70">
        <v>127</v>
      </c>
      <c r="W113" s="70">
        <v>126.3</v>
      </c>
      <c r="X113" s="70">
        <v>128.19999999999999</v>
      </c>
      <c r="Y113" s="70">
        <v>129</v>
      </c>
      <c r="Z113" s="70">
        <v>127.5</v>
      </c>
      <c r="AA113" s="70">
        <v>129.19999999999999</v>
      </c>
      <c r="AB113" s="70">
        <v>129.19999999999999</v>
      </c>
      <c r="AC113" s="70">
        <v>127.9</v>
      </c>
      <c r="AD113" s="70">
        <v>130</v>
      </c>
      <c r="AE113" s="70">
        <v>130</v>
      </c>
      <c r="AF113" s="70">
        <v>130</v>
      </c>
      <c r="AG113" s="69"/>
      <c r="AH113" s="12">
        <f t="shared" si="43"/>
        <v>133.19999999999999</v>
      </c>
      <c r="AI113" s="11">
        <f t="shared" si="44"/>
        <v>123.8</v>
      </c>
    </row>
    <row r="114" spans="1:35" x14ac:dyDescent="0.25">
      <c r="A114" s="72" t="s">
        <v>148</v>
      </c>
      <c r="B114" s="56">
        <v>134.9</v>
      </c>
      <c r="C114" s="56">
        <v>135.1</v>
      </c>
      <c r="D114" s="56">
        <v>134.69999999999999</v>
      </c>
      <c r="E114" s="56">
        <v>134.1</v>
      </c>
      <c r="F114" s="56">
        <v>134.19999999999999</v>
      </c>
      <c r="G114" s="56">
        <v>133.9</v>
      </c>
      <c r="H114" s="56">
        <v>133.1</v>
      </c>
      <c r="I114" s="56">
        <v>133.5</v>
      </c>
      <c r="J114" s="56">
        <v>131.9</v>
      </c>
      <c r="K114" s="56">
        <v>131.6</v>
      </c>
      <c r="L114" s="56">
        <v>131.1</v>
      </c>
      <c r="M114" s="56">
        <v>130.96</v>
      </c>
      <c r="N114" s="56">
        <v>133.6</v>
      </c>
      <c r="O114" s="56">
        <v>133.30000000000001</v>
      </c>
      <c r="P114" s="56">
        <v>132.9</v>
      </c>
      <c r="Q114" s="56">
        <v>133.6</v>
      </c>
      <c r="R114" s="56">
        <v>133.6</v>
      </c>
      <c r="S114" s="56">
        <v>130.4</v>
      </c>
      <c r="T114" s="56">
        <v>131.69999999999999</v>
      </c>
      <c r="U114" s="56">
        <v>130.80000000000001</v>
      </c>
      <c r="V114" s="56">
        <v>132.4</v>
      </c>
      <c r="W114" s="56">
        <v>134.4</v>
      </c>
      <c r="X114" s="56">
        <v>134.30000000000001</v>
      </c>
      <c r="Y114" s="56">
        <v>133.30000000000001</v>
      </c>
      <c r="Z114" s="56">
        <v>132.5</v>
      </c>
      <c r="AA114" s="56">
        <v>131</v>
      </c>
      <c r="AB114" s="56">
        <v>131</v>
      </c>
      <c r="AC114" s="56">
        <v>132</v>
      </c>
      <c r="AD114" s="56">
        <v>130</v>
      </c>
      <c r="AE114" s="56">
        <v>130</v>
      </c>
      <c r="AF114" s="56">
        <v>130</v>
      </c>
      <c r="AG114" s="71"/>
      <c r="AH114" s="12">
        <f t="shared" si="43"/>
        <v>135.1</v>
      </c>
      <c r="AI114" s="11">
        <f t="shared" si="44"/>
        <v>130</v>
      </c>
    </row>
    <row r="115" spans="1:35" x14ac:dyDescent="0.25">
      <c r="A115" s="22" t="s">
        <v>147</v>
      </c>
      <c r="B115" s="70">
        <v>132.80000000000001</v>
      </c>
      <c r="C115" s="70">
        <v>135.5</v>
      </c>
      <c r="D115" s="70">
        <v>131.5</v>
      </c>
      <c r="E115" s="70">
        <v>133.69999999999999</v>
      </c>
      <c r="F115" s="70">
        <v>133.69999999999999</v>
      </c>
      <c r="G115" s="70">
        <v>133.4</v>
      </c>
      <c r="H115" s="70">
        <v>133</v>
      </c>
      <c r="I115" s="70">
        <v>131.19999999999999</v>
      </c>
      <c r="J115" s="70">
        <v>129.6</v>
      </c>
      <c r="K115" s="70">
        <v>128.80000000000001</v>
      </c>
      <c r="L115" s="70">
        <v>133</v>
      </c>
      <c r="M115" s="70">
        <v>124.9</v>
      </c>
      <c r="N115" s="70">
        <v>127</v>
      </c>
      <c r="O115" s="70">
        <v>123</v>
      </c>
      <c r="P115" s="70">
        <v>131.1</v>
      </c>
      <c r="Q115" s="70">
        <v>130</v>
      </c>
      <c r="R115" s="70">
        <v>130</v>
      </c>
      <c r="S115" s="70">
        <v>125.9</v>
      </c>
      <c r="T115" s="70">
        <v>126.2</v>
      </c>
      <c r="U115" s="70">
        <v>125.1</v>
      </c>
      <c r="V115" s="70">
        <v>123.6</v>
      </c>
      <c r="W115" s="70">
        <v>127.7</v>
      </c>
      <c r="X115" s="70">
        <v>128.80000000000001</v>
      </c>
      <c r="Y115" s="70">
        <v>131.1</v>
      </c>
      <c r="Z115" s="70">
        <v>133.80000000000001</v>
      </c>
      <c r="AA115" s="70">
        <v>131.19999999999999</v>
      </c>
      <c r="AB115" s="70">
        <v>131.19999999999999</v>
      </c>
      <c r="AC115" s="70">
        <v>134</v>
      </c>
      <c r="AD115" s="70">
        <v>126.5</v>
      </c>
      <c r="AE115" s="70">
        <v>126.5</v>
      </c>
      <c r="AF115" s="70">
        <v>126.5</v>
      </c>
      <c r="AG115" s="69"/>
      <c r="AH115" s="12">
        <f t="shared" si="43"/>
        <v>135.5</v>
      </c>
      <c r="AI115" s="11">
        <f t="shared" si="44"/>
        <v>123</v>
      </c>
    </row>
    <row r="116" spans="1:35" ht="15.75" thickBot="1" x14ac:dyDescent="0.3">
      <c r="A116" s="22" t="s">
        <v>146</v>
      </c>
      <c r="B116" s="67">
        <v>66</v>
      </c>
      <c r="C116" s="67">
        <v>67.7</v>
      </c>
      <c r="D116" s="67">
        <v>67.599999999999994</v>
      </c>
      <c r="E116" s="67">
        <v>67.599999999999994</v>
      </c>
      <c r="F116" s="67">
        <v>67.5</v>
      </c>
      <c r="G116" s="67">
        <v>67.3</v>
      </c>
      <c r="H116" s="67">
        <v>66.8</v>
      </c>
      <c r="I116" s="67">
        <v>66.3</v>
      </c>
      <c r="J116" s="67">
        <v>64.400000000000006</v>
      </c>
      <c r="K116" s="67">
        <v>64.400000000000006</v>
      </c>
      <c r="L116" s="67">
        <v>63.2</v>
      </c>
      <c r="M116" s="67">
        <v>63.2</v>
      </c>
      <c r="N116" s="67">
        <v>63.2</v>
      </c>
      <c r="O116" s="67">
        <v>62.6</v>
      </c>
      <c r="P116" s="67">
        <v>63.5</v>
      </c>
      <c r="Q116" s="67">
        <v>63.3</v>
      </c>
      <c r="R116" s="67">
        <v>63.3</v>
      </c>
      <c r="S116" s="67">
        <v>63.6</v>
      </c>
      <c r="T116" s="67">
        <v>64</v>
      </c>
      <c r="U116" s="67">
        <v>64.099999999999994</v>
      </c>
      <c r="V116" s="67">
        <v>64.099999999999994</v>
      </c>
      <c r="W116" s="67">
        <v>65</v>
      </c>
      <c r="X116" s="67">
        <v>65.400000000000006</v>
      </c>
      <c r="Y116" s="67">
        <v>65.3</v>
      </c>
      <c r="Z116" s="67">
        <v>65.599999999999994</v>
      </c>
      <c r="AA116" s="67">
        <v>65.5</v>
      </c>
      <c r="AB116" s="67">
        <v>65.5</v>
      </c>
      <c r="AC116" s="67">
        <v>65.7</v>
      </c>
      <c r="AD116" s="67">
        <v>66.599999999999994</v>
      </c>
      <c r="AE116" s="67">
        <v>66.599999999999994</v>
      </c>
      <c r="AF116" s="67">
        <v>66.599999999999994</v>
      </c>
      <c r="AG116" s="66"/>
      <c r="AH116" s="12">
        <f t="shared" si="43"/>
        <v>67.7</v>
      </c>
      <c r="AI116" s="11">
        <f t="shared" si="44"/>
        <v>62.6</v>
      </c>
    </row>
    <row r="117" spans="1:35" ht="15.75" thickBot="1" x14ac:dyDescent="0.3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43"/>
        <v>0</v>
      </c>
      <c r="AI117" s="11">
        <f t="shared" si="44"/>
        <v>0</v>
      </c>
    </row>
    <row r="118" spans="1:35" ht="15.75" thickBot="1" x14ac:dyDescent="0.3">
      <c r="A118" s="65" t="s">
        <v>144</v>
      </c>
      <c r="B118" s="64">
        <f t="shared" ref="B118:O118" si="76">SUM(B22,B28,B31:B32,B66,B68:B69,B71,B73,B119:B123,B155,B161,B167,B176,B178,B190,B197,B200:B201,B208,B210,B212,B216:B218,B220:B222,B227,B233:B234,B236:B238,B246,B251)</f>
        <v>137.84000000000003</v>
      </c>
      <c r="C118" s="64">
        <f t="shared" si="76"/>
        <v>130.74</v>
      </c>
      <c r="D118" s="64">
        <f t="shared" si="76"/>
        <v>125.94000000000001</v>
      </c>
      <c r="E118" s="64">
        <f t="shared" si="76"/>
        <v>122.64</v>
      </c>
      <c r="F118" s="64">
        <f t="shared" si="76"/>
        <v>126.54000000000002</v>
      </c>
      <c r="G118" s="64">
        <f t="shared" si="76"/>
        <v>146.94000000000003</v>
      </c>
      <c r="H118" s="64">
        <f t="shared" si="76"/>
        <v>174.94</v>
      </c>
      <c r="I118" s="64">
        <f t="shared" si="76"/>
        <v>212.14000000000001</v>
      </c>
      <c r="J118" s="64">
        <f t="shared" si="76"/>
        <v>285.84000000000003</v>
      </c>
      <c r="K118" s="64">
        <f t="shared" si="76"/>
        <v>291.24</v>
      </c>
      <c r="L118" s="64">
        <f t="shared" si="76"/>
        <v>321.54000000000002</v>
      </c>
      <c r="M118" s="64">
        <f t="shared" si="76"/>
        <v>317.54000000000002</v>
      </c>
      <c r="N118" s="64">
        <f t="shared" si="76"/>
        <v>309.64000000000004</v>
      </c>
      <c r="O118" s="64">
        <f t="shared" si="76"/>
        <v>315.24</v>
      </c>
      <c r="P118" s="64">
        <v>42</v>
      </c>
      <c r="Q118" s="64">
        <f t="shared" ref="Q118:X118" si="77">SUM(Q22,Q28,Q31:Q32,Q66,Q68:Q69,Q71,Q73,Q119:Q123,Q155,Q161,Q167,Q176,Q178,Q190,Q197,Q200:Q201,Q208,Q210,Q212,Q216:Q218,Q220:Q222,Q227,Q233:Q234,Q236:Q238,Q246,Q251)</f>
        <v>312.44</v>
      </c>
      <c r="R118" s="64">
        <f t="shared" si="77"/>
        <v>312.44</v>
      </c>
      <c r="S118" s="64">
        <f t="shared" si="77"/>
        <v>274.83999999999997</v>
      </c>
      <c r="T118" s="64">
        <f t="shared" si="77"/>
        <v>271.64000000000004</v>
      </c>
      <c r="U118" s="64">
        <f t="shared" si="77"/>
        <v>300.64</v>
      </c>
      <c r="V118" s="64">
        <f t="shared" si="77"/>
        <v>310.04000000000002</v>
      </c>
      <c r="W118" s="64">
        <f t="shared" si="77"/>
        <v>313.13999999999993</v>
      </c>
      <c r="X118" s="64">
        <f t="shared" si="77"/>
        <v>319.94</v>
      </c>
      <c r="Y118" s="64">
        <f>SUM(Y20,Y26,Y37:Y38,Y66,Y68:Y69,Y71,Y73,Y119:Y123,Y148,Y154,Y160,Y169,Y171,Y183,Y190,Y193:Y194,Y201,Y203,Y205,Y209:Y211,Y213:Y215,Y220,Y226:Y227,Y229:Y231,Y239,Y244)</f>
        <v>369.4</v>
      </c>
      <c r="Z118" s="64">
        <f>SUM(Z20,Z26,Z37:Z38,Z66,Z68:Z69,Z71,Z73,Z119:Z123,Z148,Z154,Z160,Z169,Z171,Z183,Z190,Z193:Z194,Z201,Z203,Z205,Z209:Z211,Z213:Z215,Z220,Z226:Z227,Z229:Z231,Z239,Z244)</f>
        <v>359.8</v>
      </c>
      <c r="AA118" s="64">
        <f t="shared" ref="AA118:AF118" si="78">SUM(AA22,AA28,AA31:AA32,AA66,AA68:AA69,AA71,AA73,AA119:AA123,AA155,AA161,AA167,AA176,AA178,AA190,AA197,AA200:AA201,AA208,AA210,AA212,AA216:AA218,AA220:AA222,AA227,AA233:AA234,AA236:AA238,AA246,AA251)</f>
        <v>316.54000000000002</v>
      </c>
      <c r="AB118" s="64">
        <f t="shared" ref="AB118:AC118" si="79">SUM(AB22,AB28,AB31:AB32,AB66,AB68:AB69,AB71,AB73,AB119:AB123,AB155,AB161,AB167,AB176,AB178,AB190,AB197,AB200:AB201,AB208,AB210,AB212,AB216:AB218,AB220:AB222,AB227,AB233:AB234,AB236:AB238,AB246,AB251)</f>
        <v>316.54000000000002</v>
      </c>
      <c r="AC118" s="64">
        <f t="shared" si="79"/>
        <v>280.24</v>
      </c>
      <c r="AD118" s="64">
        <f t="shared" ref="AD118:AE118" si="80">SUM(AD22,AD28,AD31:AD32,AD66,AD68:AD69,AD71,AD73,AD119:AD123,AD155,AD161,AD167,AD176,AD178,AD190,AD197,AD200:AD201,AD208,AD210,AD212,AD216:AD218,AD220:AD222,AD227,AD233:AD234,AD236:AD238,AD246,AD251)</f>
        <v>220.34</v>
      </c>
      <c r="AE118" s="64">
        <f t="shared" si="80"/>
        <v>188.34</v>
      </c>
      <c r="AF118" s="64">
        <f t="shared" si="78"/>
        <v>188.34</v>
      </c>
      <c r="AG118" s="63"/>
      <c r="AH118" s="12">
        <f t="shared" si="43"/>
        <v>369.4</v>
      </c>
      <c r="AI118" s="11">
        <f t="shared" si="44"/>
        <v>42</v>
      </c>
    </row>
    <row r="119" spans="1:35" x14ac:dyDescent="0.25">
      <c r="A119" s="59" t="s">
        <v>143</v>
      </c>
      <c r="B119" s="62">
        <v>17.100000000000001</v>
      </c>
      <c r="C119" s="62">
        <v>23.5</v>
      </c>
      <c r="D119" s="62">
        <v>37.4</v>
      </c>
      <c r="E119" s="62">
        <v>27.5</v>
      </c>
      <c r="F119" s="62">
        <v>25.1</v>
      </c>
      <c r="G119" s="62">
        <v>21.2</v>
      </c>
      <c r="H119" s="62">
        <v>20.399999999999999</v>
      </c>
      <c r="I119" s="62">
        <v>14.8</v>
      </c>
      <c r="J119" s="62">
        <v>12.9</v>
      </c>
      <c r="K119" s="62">
        <v>14</v>
      </c>
      <c r="L119" s="62">
        <v>24.5</v>
      </c>
      <c r="M119" s="62">
        <v>31.6</v>
      </c>
      <c r="N119" s="62">
        <v>18.3</v>
      </c>
      <c r="O119" s="62">
        <v>17.399999999999999</v>
      </c>
      <c r="P119" s="62">
        <v>20.5</v>
      </c>
      <c r="Q119" s="62">
        <v>14.6</v>
      </c>
      <c r="R119" s="62">
        <v>14.6</v>
      </c>
      <c r="S119" s="62">
        <v>10.199999999999999</v>
      </c>
      <c r="T119" s="62">
        <v>12.6</v>
      </c>
      <c r="U119" s="62">
        <v>12.8</v>
      </c>
      <c r="V119" s="62">
        <v>16.3</v>
      </c>
      <c r="W119" s="62">
        <v>24.1</v>
      </c>
      <c r="X119" s="62">
        <v>27.5</v>
      </c>
      <c r="Y119" s="62">
        <v>28</v>
      </c>
      <c r="Z119" s="62">
        <v>43.3</v>
      </c>
      <c r="AA119" s="62">
        <v>46.8</v>
      </c>
      <c r="AB119" s="62">
        <v>46.8</v>
      </c>
      <c r="AC119" s="62">
        <v>48.7</v>
      </c>
      <c r="AD119" s="62">
        <v>54</v>
      </c>
      <c r="AE119" s="62">
        <v>40</v>
      </c>
      <c r="AF119" s="62">
        <v>40</v>
      </c>
      <c r="AG119" s="55">
        <v>75</v>
      </c>
      <c r="AH119" s="12">
        <f t="shared" si="43"/>
        <v>54</v>
      </c>
      <c r="AI119" s="11">
        <f t="shared" si="44"/>
        <v>10.199999999999999</v>
      </c>
    </row>
    <row r="120" spans="1:35" x14ac:dyDescent="0.25">
      <c r="A120" s="57" t="s">
        <v>142</v>
      </c>
      <c r="B120" s="61">
        <v>31.8</v>
      </c>
      <c r="C120" s="61">
        <v>41.8</v>
      </c>
      <c r="D120" s="61">
        <v>59.5</v>
      </c>
      <c r="E120" s="61">
        <v>46.2</v>
      </c>
      <c r="F120" s="61">
        <v>42.5</v>
      </c>
      <c r="G120" s="61">
        <v>37.1</v>
      </c>
      <c r="H120" s="61">
        <v>35.1</v>
      </c>
      <c r="I120" s="61">
        <v>24.2</v>
      </c>
      <c r="J120" s="61">
        <v>14.8</v>
      </c>
      <c r="K120" s="61">
        <v>16.399999999999999</v>
      </c>
      <c r="L120" s="61">
        <v>30.5</v>
      </c>
      <c r="M120" s="61">
        <v>40.9</v>
      </c>
      <c r="N120" s="61">
        <v>24.3</v>
      </c>
      <c r="O120" s="61">
        <v>23.8</v>
      </c>
      <c r="P120" s="61">
        <v>25.2</v>
      </c>
      <c r="Q120" s="61">
        <v>17.899999999999999</v>
      </c>
      <c r="R120" s="61">
        <v>17.899999999999999</v>
      </c>
      <c r="S120" s="61">
        <v>12.2</v>
      </c>
      <c r="T120" s="61">
        <v>14.8</v>
      </c>
      <c r="U120" s="61">
        <v>15.2</v>
      </c>
      <c r="V120" s="61">
        <v>19.600000000000001</v>
      </c>
      <c r="W120" s="61">
        <v>34.5</v>
      </c>
      <c r="X120" s="61">
        <v>43.5</v>
      </c>
      <c r="Y120" s="61">
        <v>47.7</v>
      </c>
      <c r="Z120" s="61">
        <v>65.599999999999994</v>
      </c>
      <c r="AA120" s="61">
        <v>71.900000000000006</v>
      </c>
      <c r="AB120" s="61">
        <v>71.900000000000006</v>
      </c>
      <c r="AC120" s="61">
        <v>74</v>
      </c>
      <c r="AD120" s="61">
        <v>82</v>
      </c>
      <c r="AE120" s="61">
        <v>64</v>
      </c>
      <c r="AF120" s="61">
        <v>64</v>
      </c>
      <c r="AG120" s="55">
        <v>240</v>
      </c>
      <c r="AH120" s="12">
        <f t="shared" si="43"/>
        <v>82</v>
      </c>
      <c r="AI120" s="11">
        <f t="shared" si="44"/>
        <v>12.2</v>
      </c>
    </row>
    <row r="121" spans="1:35" x14ac:dyDescent="0.25">
      <c r="A121" s="57" t="s">
        <v>141</v>
      </c>
      <c r="B121" s="61">
        <f>-31-42</f>
        <v>-73</v>
      </c>
      <c r="C121" s="61">
        <f>-39.5-50.1</f>
        <v>-89.6</v>
      </c>
      <c r="D121" s="61">
        <f>-52-63</f>
        <v>-115</v>
      </c>
      <c r="E121" s="61">
        <f>-41.4-47.9</f>
        <v>-89.3</v>
      </c>
      <c r="F121" s="61">
        <f>-38.3-45.7</f>
        <v>-84</v>
      </c>
      <c r="G121" s="61">
        <f>-34.3-44.9</f>
        <v>-79.199999999999989</v>
      </c>
      <c r="H121" s="61">
        <f>-28.8-39.8</f>
        <v>-68.599999999999994</v>
      </c>
      <c r="I121" s="61">
        <f>-15-25.7</f>
        <v>-40.700000000000003</v>
      </c>
      <c r="J121" s="61">
        <f>6.4+5.3</f>
        <v>11.7</v>
      </c>
      <c r="K121" s="61">
        <f>6.4+5.5</f>
        <v>11.9</v>
      </c>
      <c r="L121" s="61">
        <f>5.5+3.8</f>
        <v>9.3000000000000007</v>
      </c>
      <c r="M121" s="61">
        <v>-7.5</v>
      </c>
      <c r="N121" s="61">
        <v>9.3000000000000007</v>
      </c>
      <c r="O121" s="61">
        <v>14</v>
      </c>
      <c r="P121" s="61">
        <v>15</v>
      </c>
      <c r="Q121" s="61">
        <v>19</v>
      </c>
      <c r="R121" s="61">
        <v>19</v>
      </c>
      <c r="S121" s="61">
        <v>-20</v>
      </c>
      <c r="T121" s="61">
        <v>-22</v>
      </c>
      <c r="U121" s="61">
        <f>--4</f>
        <v>4</v>
      </c>
      <c r="V121" s="61">
        <f>--4</f>
        <v>4</v>
      </c>
      <c r="W121" s="61">
        <v>-17</v>
      </c>
      <c r="X121" s="61">
        <v>-15.2</v>
      </c>
      <c r="Y121" s="61">
        <v>-15.3</v>
      </c>
      <c r="Z121" s="61">
        <v>-54</v>
      </c>
      <c r="AA121" s="61">
        <v>-82.6</v>
      </c>
      <c r="AB121" s="61">
        <v>-82.6</v>
      </c>
      <c r="AC121" s="61">
        <v>-77</v>
      </c>
      <c r="AD121" s="61">
        <v>-150</v>
      </c>
      <c r="AE121" s="61">
        <v>-150</v>
      </c>
      <c r="AF121" s="61">
        <v>-150</v>
      </c>
      <c r="AG121" s="55">
        <v>240</v>
      </c>
      <c r="AH121" s="12">
        <f t="shared" si="43"/>
        <v>19</v>
      </c>
      <c r="AI121" s="11">
        <f t="shared" si="44"/>
        <v>-150</v>
      </c>
    </row>
    <row r="122" spans="1:35" ht="15.75" thickBot="1" x14ac:dyDescent="0.3">
      <c r="A122" s="57" t="s">
        <v>140</v>
      </c>
      <c r="B122" s="61">
        <v>24.5</v>
      </c>
      <c r="C122" s="61">
        <v>22.1</v>
      </c>
      <c r="D122" s="61">
        <v>14.9</v>
      </c>
      <c r="E122" s="61">
        <v>10.9</v>
      </c>
      <c r="F122" s="61">
        <v>13</v>
      </c>
      <c r="G122" s="61">
        <v>23.7</v>
      </c>
      <c r="H122" s="61">
        <v>25.5</v>
      </c>
      <c r="I122" s="61">
        <v>29.2</v>
      </c>
      <c r="J122" s="61">
        <v>9.3000000000000007</v>
      </c>
      <c r="K122" s="61">
        <v>10</v>
      </c>
      <c r="L122" s="61">
        <v>5.2</v>
      </c>
      <c r="M122" s="61">
        <v>10.199999999999999</v>
      </c>
      <c r="N122" s="61">
        <v>10.6</v>
      </c>
      <c r="O122" s="61">
        <v>11</v>
      </c>
      <c r="P122" s="61">
        <v>18</v>
      </c>
      <c r="Q122" s="61">
        <v>17</v>
      </c>
      <c r="R122" s="61">
        <v>17</v>
      </c>
      <c r="S122" s="61">
        <v>26.7</v>
      </c>
      <c r="T122" s="61">
        <v>25.8</v>
      </c>
      <c r="U122" s="61">
        <v>24.1</v>
      </c>
      <c r="V122" s="61">
        <v>24.1</v>
      </c>
      <c r="W122" s="61">
        <v>28.7</v>
      </c>
      <c r="X122" s="61">
        <v>24.8</v>
      </c>
      <c r="Y122" s="61">
        <v>30.7</v>
      </c>
      <c r="Z122" s="61">
        <v>36.1</v>
      </c>
      <c r="AA122" s="61">
        <v>34.5</v>
      </c>
      <c r="AB122" s="61">
        <v>34.5</v>
      </c>
      <c r="AC122" s="61">
        <v>33</v>
      </c>
      <c r="AD122" s="61">
        <v>33</v>
      </c>
      <c r="AE122" s="61">
        <v>33</v>
      </c>
      <c r="AF122" s="61">
        <v>33</v>
      </c>
      <c r="AG122" s="55">
        <v>60</v>
      </c>
      <c r="AH122" s="12">
        <f t="shared" si="43"/>
        <v>36.1</v>
      </c>
      <c r="AI122" s="11">
        <f t="shared" si="44"/>
        <v>5.2</v>
      </c>
    </row>
    <row r="123" spans="1:35" x14ac:dyDescent="0.25">
      <c r="A123" s="59" t="s">
        <v>139</v>
      </c>
      <c r="B123" s="58">
        <v>24.5</v>
      </c>
      <c r="C123" s="58">
        <v>20</v>
      </c>
      <c r="D123" s="58">
        <v>16.2</v>
      </c>
      <c r="E123" s="58">
        <v>14.4</v>
      </c>
      <c r="F123" s="58">
        <v>17</v>
      </c>
      <c r="G123" s="58">
        <v>31.2</v>
      </c>
      <c r="H123" s="58">
        <v>49.6</v>
      </c>
      <c r="I123" s="58">
        <v>71.400000000000006</v>
      </c>
      <c r="J123" s="58">
        <v>122.8</v>
      </c>
      <c r="K123" s="58">
        <v>124.6</v>
      </c>
      <c r="L123" s="58">
        <v>136.19999999999999</v>
      </c>
      <c r="M123" s="58">
        <v>124.3</v>
      </c>
      <c r="N123" s="58">
        <v>127</v>
      </c>
      <c r="O123" s="58">
        <v>127</v>
      </c>
      <c r="P123" s="58">
        <v>118.3</v>
      </c>
      <c r="Q123" s="58">
        <v>120</v>
      </c>
      <c r="R123" s="58">
        <v>120</v>
      </c>
      <c r="S123" s="58">
        <v>126.3</v>
      </c>
      <c r="T123" s="58">
        <v>129.4</v>
      </c>
      <c r="U123" s="58">
        <v>136.9</v>
      </c>
      <c r="V123" s="58">
        <v>136.9</v>
      </c>
      <c r="W123" s="58">
        <v>130.1</v>
      </c>
      <c r="X123" s="58">
        <v>124.5</v>
      </c>
      <c r="Y123" s="58">
        <v>148.80000000000001</v>
      </c>
      <c r="Z123" s="58">
        <v>137.30000000000001</v>
      </c>
      <c r="AA123" s="58">
        <v>127.4</v>
      </c>
      <c r="AB123" s="58">
        <v>127.4</v>
      </c>
      <c r="AC123" s="58">
        <v>83</v>
      </c>
      <c r="AD123" s="58">
        <v>84</v>
      </c>
      <c r="AE123" s="58">
        <v>84</v>
      </c>
      <c r="AF123" s="58">
        <v>84</v>
      </c>
      <c r="AG123" s="60">
        <v>120</v>
      </c>
      <c r="AH123" s="12">
        <f t="shared" si="43"/>
        <v>148.80000000000001</v>
      </c>
      <c r="AI123" s="11">
        <f t="shared" si="44"/>
        <v>14.4</v>
      </c>
    </row>
    <row r="124" spans="1:35" x14ac:dyDescent="0.25">
      <c r="A124" s="57" t="s">
        <v>138</v>
      </c>
      <c r="B124" s="58">
        <v>27.5</v>
      </c>
      <c r="C124" s="58">
        <v>25.4</v>
      </c>
      <c r="D124" s="58">
        <v>23</v>
      </c>
      <c r="E124" s="58">
        <v>22.5</v>
      </c>
      <c r="F124" s="58">
        <v>23.4</v>
      </c>
      <c r="G124" s="58">
        <v>30.9</v>
      </c>
      <c r="H124" s="58">
        <v>40.6</v>
      </c>
      <c r="I124" s="58">
        <v>51.5</v>
      </c>
      <c r="J124" s="58">
        <v>76.099999999999994</v>
      </c>
      <c r="K124" s="58">
        <v>77.099999999999994</v>
      </c>
      <c r="L124" s="58">
        <v>82.7</v>
      </c>
      <c r="M124" s="58">
        <v>76</v>
      </c>
      <c r="N124" s="58">
        <v>78</v>
      </c>
      <c r="O124" s="58">
        <v>78</v>
      </c>
      <c r="P124" s="58">
        <v>73.599999999999994</v>
      </c>
      <c r="Q124" s="58">
        <v>74</v>
      </c>
      <c r="R124" s="58">
        <v>74</v>
      </c>
      <c r="S124" s="58">
        <v>77</v>
      </c>
      <c r="T124" s="58">
        <v>80.400000000000006</v>
      </c>
      <c r="U124" s="58">
        <v>86</v>
      </c>
      <c r="V124" s="58">
        <v>86</v>
      </c>
      <c r="W124" s="58">
        <v>82.9</v>
      </c>
      <c r="X124" s="58">
        <v>80.900000000000006</v>
      </c>
      <c r="Y124" s="58">
        <v>92</v>
      </c>
      <c r="Z124" s="58">
        <v>86.4</v>
      </c>
      <c r="AA124" s="58">
        <v>80.599999999999994</v>
      </c>
      <c r="AB124" s="58">
        <v>80.599999999999994</v>
      </c>
      <c r="AC124" s="58">
        <v>60</v>
      </c>
      <c r="AD124" s="58">
        <v>60</v>
      </c>
      <c r="AE124" s="58">
        <v>60</v>
      </c>
      <c r="AF124" s="58">
        <v>60</v>
      </c>
      <c r="AG124" s="60"/>
      <c r="AH124" s="12">
        <f t="shared" si="43"/>
        <v>92</v>
      </c>
      <c r="AI124" s="11">
        <f t="shared" si="44"/>
        <v>22.5</v>
      </c>
    </row>
    <row r="125" spans="1:35" x14ac:dyDescent="0.25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43"/>
        <v>0</v>
      </c>
      <c r="AI125" s="11">
        <f t="shared" si="44"/>
        <v>0</v>
      </c>
    </row>
    <row r="126" spans="1:35" ht="15.75" thickBot="1" x14ac:dyDescent="0.3">
      <c r="A126" s="57" t="s">
        <v>136</v>
      </c>
      <c r="B126" s="58">
        <v>30</v>
      </c>
      <c r="C126" s="58">
        <v>-10</v>
      </c>
      <c r="D126" s="58">
        <v>-11</v>
      </c>
      <c r="E126" s="58">
        <v>0.4</v>
      </c>
      <c r="F126" s="58">
        <v>24.7</v>
      </c>
      <c r="G126" s="58">
        <v>0.1</v>
      </c>
      <c r="H126" s="58">
        <v>22.2</v>
      </c>
      <c r="I126" s="58">
        <v>56.1</v>
      </c>
      <c r="J126" s="58">
        <v>93.7</v>
      </c>
      <c r="K126" s="58">
        <v>94.3</v>
      </c>
      <c r="L126" s="58">
        <v>98.5</v>
      </c>
      <c r="M126" s="58">
        <v>85</v>
      </c>
      <c r="N126" s="58">
        <v>101</v>
      </c>
      <c r="O126" s="58">
        <v>107</v>
      </c>
      <c r="P126" s="58">
        <v>96</v>
      </c>
      <c r="Q126" s="58">
        <v>102</v>
      </c>
      <c r="R126" s="58">
        <v>102</v>
      </c>
      <c r="S126" s="58">
        <v>97.2</v>
      </c>
      <c r="T126" s="58">
        <v>91.3</v>
      </c>
      <c r="U126" s="58">
        <v>100.7</v>
      </c>
      <c r="V126" s="58">
        <v>100.7</v>
      </c>
      <c r="W126" s="58">
        <v>85.9</v>
      </c>
      <c r="X126" s="58">
        <v>70.8</v>
      </c>
      <c r="Y126" s="58">
        <v>82.3</v>
      </c>
      <c r="Z126" s="58">
        <v>57.3</v>
      </c>
      <c r="AA126" s="58">
        <v>51.3</v>
      </c>
      <c r="AB126" s="58">
        <v>51.3</v>
      </c>
      <c r="AC126" s="58">
        <v>40</v>
      </c>
      <c r="AD126" s="58">
        <v>16</v>
      </c>
      <c r="AE126" s="58">
        <v>16</v>
      </c>
      <c r="AF126" s="58">
        <v>16</v>
      </c>
      <c r="AG126" s="55"/>
      <c r="AH126" s="12">
        <f>MAX(B126:AF126)</f>
        <v>107</v>
      </c>
      <c r="AI126" s="11">
        <f>MIN(B126:AF126)</f>
        <v>-11</v>
      </c>
    </row>
    <row r="127" spans="1:35" x14ac:dyDescent="0.25">
      <c r="A127" s="59" t="s">
        <v>135</v>
      </c>
      <c r="B127" s="58">
        <v>-102</v>
      </c>
      <c r="C127" s="58">
        <v>-93.9</v>
      </c>
      <c r="D127" s="58">
        <v>-87</v>
      </c>
      <c r="E127" s="58">
        <v>-86.5</v>
      </c>
      <c r="F127" s="58">
        <v>-75</v>
      </c>
      <c r="G127" s="58">
        <v>-56.2</v>
      </c>
      <c r="H127" s="58">
        <v>-47.6</v>
      </c>
      <c r="I127" s="58">
        <v>-36.700000000000003</v>
      </c>
      <c r="J127" s="58">
        <v>39.1</v>
      </c>
      <c r="K127" s="58">
        <v>39.4</v>
      </c>
      <c r="L127" s="58">
        <v>45.3</v>
      </c>
      <c r="M127" s="58">
        <v>38.200000000000003</v>
      </c>
      <c r="N127" s="58">
        <v>41</v>
      </c>
      <c r="O127" s="58">
        <v>41</v>
      </c>
      <c r="P127" s="58">
        <v>36</v>
      </c>
      <c r="Q127" s="58">
        <v>37</v>
      </c>
      <c r="R127" s="58">
        <v>37</v>
      </c>
      <c r="S127" s="58">
        <v>38.9</v>
      </c>
      <c r="T127" s="58">
        <v>38.299999999999997</v>
      </c>
      <c r="U127" s="58">
        <v>45.1</v>
      </c>
      <c r="V127" s="58">
        <v>45.1</v>
      </c>
      <c r="W127" s="58">
        <v>41.6</v>
      </c>
      <c r="X127" s="58">
        <v>39.1</v>
      </c>
      <c r="Y127" s="58">
        <v>-95.5</v>
      </c>
      <c r="Z127" s="58">
        <v>-102</v>
      </c>
      <c r="AA127" s="58">
        <v>-122.2</v>
      </c>
      <c r="AB127" s="58">
        <v>-122.2</v>
      </c>
      <c r="AC127" s="58">
        <v>-151</v>
      </c>
      <c r="AD127" s="58">
        <v>-100</v>
      </c>
      <c r="AE127" s="58">
        <v>-100</v>
      </c>
      <c r="AF127" s="58">
        <v>-100</v>
      </c>
      <c r="AG127" s="55"/>
      <c r="AH127" s="12">
        <f>MAX(B127:AF127)</f>
        <v>45.3</v>
      </c>
      <c r="AI127" s="11">
        <f>MIN(B127:AF127)</f>
        <v>-151</v>
      </c>
    </row>
    <row r="128" spans="1:35" x14ac:dyDescent="0.25">
      <c r="A128" s="57" t="s">
        <v>134</v>
      </c>
      <c r="B128" s="56">
        <v>-45.6</v>
      </c>
      <c r="C128" s="56">
        <v>-43.8</v>
      </c>
      <c r="D128" s="56">
        <v>-45</v>
      </c>
      <c r="E128" s="56">
        <v>-42.1</v>
      </c>
      <c r="F128" s="56">
        <v>-38.5</v>
      </c>
      <c r="G128" s="56">
        <v>-36.1</v>
      </c>
      <c r="H128" s="56">
        <v>-41.9</v>
      </c>
      <c r="I128" s="56">
        <v>-47.6</v>
      </c>
      <c r="J128" s="56">
        <v>-58.4</v>
      </c>
      <c r="K128" s="56">
        <v>-58.7</v>
      </c>
      <c r="L128" s="56">
        <v>-66.599999999999994</v>
      </c>
      <c r="M128" s="56"/>
      <c r="N128" s="56">
        <v>-60.5</v>
      </c>
      <c r="O128" s="56">
        <v>-61.4</v>
      </c>
      <c r="P128" s="56">
        <v>-61</v>
      </c>
      <c r="Q128" s="56">
        <v>-59</v>
      </c>
      <c r="R128" s="56">
        <v>-59</v>
      </c>
      <c r="S128" s="56">
        <v>-57.8</v>
      </c>
      <c r="T128" s="56">
        <v>-63.1</v>
      </c>
      <c r="U128" s="56">
        <v>-60.5</v>
      </c>
      <c r="V128" s="56">
        <v>-60.5</v>
      </c>
      <c r="W128" s="56">
        <v>-65.400000000000006</v>
      </c>
      <c r="X128" s="56">
        <v>-66.3</v>
      </c>
      <c r="Y128" s="56">
        <v>-68.5</v>
      </c>
      <c r="Z128" s="56">
        <v>-68.5</v>
      </c>
      <c r="AA128" s="56">
        <v>-64.8</v>
      </c>
      <c r="AB128" s="56">
        <v>-64.8</v>
      </c>
      <c r="AC128" s="56">
        <v>-53</v>
      </c>
      <c r="AD128" s="56">
        <v>-50</v>
      </c>
      <c r="AE128" s="56">
        <v>-50</v>
      </c>
      <c r="AF128" s="56">
        <v>-50</v>
      </c>
      <c r="AG128" s="55"/>
      <c r="AH128" s="12">
        <f>MAX(B128:AF128)</f>
        <v>-36.1</v>
      </c>
      <c r="AI128" s="11">
        <f>MIN(B128:AF128)</f>
        <v>-68.5</v>
      </c>
    </row>
    <row r="129" spans="1:37" x14ac:dyDescent="0.25">
      <c r="A129" s="57" t="s">
        <v>133</v>
      </c>
      <c r="B129" s="56">
        <v>80</v>
      </c>
      <c r="C129" s="56">
        <v>75.8</v>
      </c>
      <c r="D129" s="56">
        <v>72.5</v>
      </c>
      <c r="E129" s="56">
        <v>68.3</v>
      </c>
      <c r="F129" s="56">
        <v>74.5</v>
      </c>
      <c r="G129" s="56">
        <v>73.8</v>
      </c>
      <c r="H129" s="56">
        <v>73</v>
      </c>
      <c r="I129" s="56">
        <v>80.3</v>
      </c>
      <c r="J129" s="56">
        <v>64.599999999999994</v>
      </c>
      <c r="K129" s="56">
        <v>67.7</v>
      </c>
      <c r="L129" s="56">
        <v>73.7</v>
      </c>
      <c r="M129" s="56">
        <v>81</v>
      </c>
      <c r="N129" s="56">
        <v>79.5</v>
      </c>
      <c r="O129" s="56">
        <v>82</v>
      </c>
      <c r="P129" s="56">
        <v>82.1</v>
      </c>
      <c r="Q129" s="56">
        <v>84</v>
      </c>
      <c r="R129" s="56">
        <v>84</v>
      </c>
      <c r="S129" s="56">
        <v>89.4</v>
      </c>
      <c r="T129" s="56">
        <v>94.4</v>
      </c>
      <c r="U129" s="56">
        <v>85.4</v>
      </c>
      <c r="V129" s="56">
        <v>85.4</v>
      </c>
      <c r="W129" s="56">
        <v>55.1</v>
      </c>
      <c r="X129" s="56">
        <v>43.1</v>
      </c>
      <c r="Y129" s="56">
        <v>106.8</v>
      </c>
      <c r="Z129" s="56">
        <v>108</v>
      </c>
      <c r="AA129" s="56">
        <v>106.5</v>
      </c>
      <c r="AB129" s="56">
        <v>106.5</v>
      </c>
      <c r="AC129" s="56">
        <v>97</v>
      </c>
      <c r="AD129" s="56">
        <v>95</v>
      </c>
      <c r="AE129" s="56">
        <v>87</v>
      </c>
      <c r="AF129" s="56">
        <v>87</v>
      </c>
      <c r="AG129" s="55"/>
      <c r="AH129" s="12">
        <f>MAX(B129:AF129)</f>
        <v>108</v>
      </c>
      <c r="AI129" s="11">
        <f>MIN(B129:AF129)</f>
        <v>43.1</v>
      </c>
    </row>
    <row r="130" spans="1:37" ht="15.75" thickBot="1" x14ac:dyDescent="0.3">
      <c r="A130" s="57" t="s">
        <v>132</v>
      </c>
      <c r="B130" s="56">
        <v>88</v>
      </c>
      <c r="C130" s="56">
        <v>86.3</v>
      </c>
      <c r="D130" s="56">
        <v>81.8</v>
      </c>
      <c r="E130" s="56">
        <v>79.7</v>
      </c>
      <c r="F130" s="56">
        <v>84.3</v>
      </c>
      <c r="G130" s="56">
        <v>84.1</v>
      </c>
      <c r="H130" s="56">
        <v>83.2</v>
      </c>
      <c r="I130" s="56">
        <v>90.5</v>
      </c>
      <c r="J130" s="56">
        <v>65.099999999999994</v>
      </c>
      <c r="K130" s="56">
        <v>68.2</v>
      </c>
      <c r="L130" s="56">
        <v>73.2</v>
      </c>
      <c r="M130" s="56">
        <v>78.900000000000006</v>
      </c>
      <c r="N130" s="56">
        <v>80.3</v>
      </c>
      <c r="O130" s="56">
        <v>80</v>
      </c>
      <c r="P130" s="56">
        <v>86</v>
      </c>
      <c r="Q130" s="56">
        <v>82</v>
      </c>
      <c r="R130" s="56">
        <v>82</v>
      </c>
      <c r="S130" s="56">
        <v>84.8</v>
      </c>
      <c r="T130" s="56">
        <v>91.4</v>
      </c>
      <c r="U130" s="56">
        <v>86.6</v>
      </c>
      <c r="V130" s="56">
        <v>86.6</v>
      </c>
      <c r="W130" s="56">
        <v>64.8</v>
      </c>
      <c r="X130" s="56">
        <v>59.2</v>
      </c>
      <c r="Y130" s="56">
        <v>115.6</v>
      </c>
      <c r="Z130" s="56">
        <v>116.5</v>
      </c>
      <c r="AA130" s="56">
        <v>115.3</v>
      </c>
      <c r="AB130" s="56">
        <v>115.3</v>
      </c>
      <c r="AC130" s="56">
        <v>108</v>
      </c>
      <c r="AD130" s="56">
        <v>105</v>
      </c>
      <c r="AE130" s="56">
        <v>97</v>
      </c>
      <c r="AF130" s="56">
        <v>97</v>
      </c>
      <c r="AG130" s="55"/>
      <c r="AH130" s="12">
        <f>MAX(B130:AF130)</f>
        <v>116.5</v>
      </c>
      <c r="AI130" s="11">
        <f>MIN(B130:AF130)</f>
        <v>59.2</v>
      </c>
    </row>
    <row r="131" spans="1:37" x14ac:dyDescent="0.25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25">
      <c r="A132" s="47" t="s">
        <v>130</v>
      </c>
      <c r="B132" s="51">
        <v>1983.3</v>
      </c>
      <c r="C132" s="51">
        <v>1983.02</v>
      </c>
      <c r="D132" s="51">
        <v>1982.91</v>
      </c>
      <c r="E132" s="51">
        <v>1982.86</v>
      </c>
      <c r="F132" s="51">
        <v>1982.75</v>
      </c>
      <c r="G132" s="51">
        <v>1982.79</v>
      </c>
      <c r="H132" s="51"/>
      <c r="I132" s="51">
        <v>1982.85</v>
      </c>
      <c r="J132" s="51"/>
      <c r="K132" s="51" t="s">
        <v>123</v>
      </c>
      <c r="L132" s="51"/>
      <c r="M132" s="51">
        <v>1983.58</v>
      </c>
      <c r="N132" s="51">
        <v>1983.95</v>
      </c>
      <c r="O132" s="51">
        <v>1984.3</v>
      </c>
      <c r="P132" s="51">
        <v>1984.6</v>
      </c>
      <c r="Q132" s="51">
        <v>1984.9</v>
      </c>
      <c r="R132" s="51"/>
      <c r="S132" s="51">
        <v>1985.45</v>
      </c>
      <c r="T132" s="51">
        <v>1985.7</v>
      </c>
      <c r="U132" s="51">
        <v>1985.98</v>
      </c>
      <c r="V132" s="51">
        <v>1986.2</v>
      </c>
      <c r="W132" s="51"/>
      <c r="X132" s="51">
        <v>1986.5</v>
      </c>
      <c r="Y132" s="51"/>
      <c r="Z132" s="51">
        <v>1986.35</v>
      </c>
      <c r="AA132" s="51"/>
      <c r="AB132" s="51">
        <v>1985.5</v>
      </c>
      <c r="AC132" s="51"/>
      <c r="AD132" s="51">
        <v>1985.15</v>
      </c>
      <c r="AE132" s="51"/>
      <c r="AF132" s="50">
        <v>1984.33</v>
      </c>
      <c r="AG132" s="44"/>
      <c r="AH132" s="12"/>
      <c r="AI132" s="11"/>
    </row>
    <row r="133" spans="1:37" x14ac:dyDescent="0.25">
      <c r="A133" s="47" t="s">
        <v>129</v>
      </c>
      <c r="B133" s="49">
        <v>521.38</v>
      </c>
      <c r="C133" s="49">
        <v>521.5</v>
      </c>
      <c r="D133" s="49">
        <v>521.54</v>
      </c>
      <c r="E133" s="49">
        <v>521.54999999999995</v>
      </c>
      <c r="F133" s="49">
        <v>521.54</v>
      </c>
      <c r="G133" s="49">
        <v>521.58000000000004</v>
      </c>
      <c r="H133" s="49"/>
      <c r="I133" s="49">
        <v>521.65</v>
      </c>
      <c r="J133" s="49"/>
      <c r="K133" s="49">
        <v>521.75</v>
      </c>
      <c r="L133" s="49"/>
      <c r="M133" s="49">
        <v>521.79</v>
      </c>
      <c r="N133" s="49">
        <v>521.76</v>
      </c>
      <c r="O133" s="49">
        <v>521.78</v>
      </c>
      <c r="P133" s="49">
        <v>521.80999999999995</v>
      </c>
      <c r="Q133" s="49">
        <v>521.82000000000005</v>
      </c>
      <c r="R133" s="49"/>
      <c r="S133" s="49">
        <v>521.88</v>
      </c>
      <c r="T133" s="49">
        <v>521.92999999999995</v>
      </c>
      <c r="U133" s="49">
        <v>521.95000000000005</v>
      </c>
      <c r="V133" s="49">
        <v>521.87</v>
      </c>
      <c r="W133" s="49"/>
      <c r="X133" s="49">
        <v>521.79999999999995</v>
      </c>
      <c r="Y133" s="49"/>
      <c r="Z133" s="49">
        <v>521.72</v>
      </c>
      <c r="AA133" s="49"/>
      <c r="AB133" s="49">
        <v>521.44000000000005</v>
      </c>
      <c r="AC133" s="49"/>
      <c r="AD133" s="49">
        <v>521.14</v>
      </c>
      <c r="AE133" s="49"/>
      <c r="AF133" s="48">
        <v>520.58000000000004</v>
      </c>
      <c r="AG133" s="44"/>
      <c r="AH133" s="12"/>
      <c r="AI133" s="11"/>
    </row>
    <row r="134" spans="1:37" x14ac:dyDescent="0.25">
      <c r="A134" s="47" t="s">
        <v>128</v>
      </c>
      <c r="B134" s="49">
        <v>623.20000000000005</v>
      </c>
      <c r="C134" s="49">
        <v>623.4</v>
      </c>
      <c r="D134" s="49">
        <v>623.6</v>
      </c>
      <c r="E134" s="49">
        <v>623.79</v>
      </c>
      <c r="F134" s="49">
        <v>623.99</v>
      </c>
      <c r="G134" s="49">
        <v>624.29</v>
      </c>
      <c r="H134" s="49"/>
      <c r="I134" s="49">
        <v>624.64</v>
      </c>
      <c r="J134" s="49"/>
      <c r="K134" s="49">
        <v>624.92999999999995</v>
      </c>
      <c r="L134" s="49"/>
      <c r="M134" s="49">
        <v>624.92999999999995</v>
      </c>
      <c r="N134" s="49">
        <v>624.86</v>
      </c>
      <c r="O134" s="49">
        <v>624.79999999999995</v>
      </c>
      <c r="P134" s="49">
        <v>624.79999999999995</v>
      </c>
      <c r="Q134" s="49">
        <v>624.83000000000004</v>
      </c>
      <c r="R134" s="49">
        <v>624.80999999999995</v>
      </c>
      <c r="S134" s="49">
        <v>624.79999999999995</v>
      </c>
      <c r="T134" s="49">
        <v>624.79999999999995</v>
      </c>
      <c r="U134" s="49">
        <v>624.79999999999995</v>
      </c>
      <c r="V134" s="49">
        <v>624.75</v>
      </c>
      <c r="W134" s="49"/>
      <c r="X134" s="49">
        <v>624.6</v>
      </c>
      <c r="Y134" s="49"/>
      <c r="Z134" s="49">
        <v>624.5</v>
      </c>
      <c r="AA134" s="49"/>
      <c r="AB134" s="49">
        <v>624.24</v>
      </c>
      <c r="AC134" s="49"/>
      <c r="AD134" s="49">
        <v>623.98</v>
      </c>
      <c r="AE134" s="49">
        <v>623.83000000000004</v>
      </c>
      <c r="AF134" s="48">
        <v>623.63</v>
      </c>
      <c r="AG134" s="44"/>
      <c r="AH134" s="12"/>
      <c r="AI134" s="11"/>
    </row>
    <row r="135" spans="1:37" x14ac:dyDescent="0.25">
      <c r="A135" s="47" t="s">
        <v>127</v>
      </c>
      <c r="B135" s="49">
        <v>336.82</v>
      </c>
      <c r="C135" s="49">
        <v>336.94</v>
      </c>
      <c r="D135" s="49">
        <v>336.92</v>
      </c>
      <c r="E135" s="49">
        <v>336.76</v>
      </c>
      <c r="F135" s="49">
        <v>336.55</v>
      </c>
      <c r="G135" s="49">
        <v>336.33</v>
      </c>
      <c r="H135" s="49"/>
      <c r="I135" s="49">
        <v>336.06</v>
      </c>
      <c r="J135" s="49"/>
      <c r="K135" s="49">
        <v>335.93</v>
      </c>
      <c r="L135" s="49"/>
      <c r="M135" s="49">
        <v>335.9</v>
      </c>
      <c r="N135" s="49">
        <v>335.87</v>
      </c>
      <c r="O135" s="49">
        <v>335.98</v>
      </c>
      <c r="P135" s="49">
        <v>336.01</v>
      </c>
      <c r="Q135" s="49">
        <v>335.91</v>
      </c>
      <c r="R135" s="49">
        <v>335.89</v>
      </c>
      <c r="S135" s="49">
        <v>336.09</v>
      </c>
      <c r="T135" s="49">
        <v>336.31</v>
      </c>
      <c r="U135" s="49">
        <v>336.44</v>
      </c>
      <c r="V135" s="49">
        <v>336.56</v>
      </c>
      <c r="W135" s="49"/>
      <c r="X135" s="49">
        <v>336.6</v>
      </c>
      <c r="Y135" s="49"/>
      <c r="Z135" s="49">
        <v>336.7</v>
      </c>
      <c r="AA135" s="49"/>
      <c r="AB135" s="49">
        <v>336.48</v>
      </c>
      <c r="AC135" s="49"/>
      <c r="AD135" s="49">
        <v>336.25</v>
      </c>
      <c r="AE135" s="49"/>
      <c r="AF135" s="48">
        <v>335.88</v>
      </c>
      <c r="AG135" s="44"/>
      <c r="AH135" s="12"/>
      <c r="AI135" s="11"/>
    </row>
    <row r="136" spans="1:37" x14ac:dyDescent="0.25">
      <c r="A136" s="47" t="s">
        <v>126</v>
      </c>
      <c r="B136" s="49">
        <v>882.9</v>
      </c>
      <c r="C136" s="49">
        <v>883.9</v>
      </c>
      <c r="D136" s="49">
        <v>884.8</v>
      </c>
      <c r="E136" s="49">
        <v>885.6</v>
      </c>
      <c r="F136" s="49">
        <v>886.4</v>
      </c>
      <c r="G136" s="49">
        <v>887</v>
      </c>
      <c r="H136" s="49"/>
      <c r="I136" s="49">
        <v>887.5</v>
      </c>
      <c r="J136" s="49"/>
      <c r="K136" s="49">
        <v>887.5</v>
      </c>
      <c r="L136" s="49"/>
      <c r="M136" s="49">
        <v>887.5</v>
      </c>
      <c r="N136" s="49">
        <v>887.4</v>
      </c>
      <c r="O136" s="49">
        <v>886.9</v>
      </c>
      <c r="P136" s="49">
        <v>886</v>
      </c>
      <c r="Q136" s="49">
        <v>885.3</v>
      </c>
      <c r="R136" s="49">
        <v>885.2</v>
      </c>
      <c r="S136" s="49">
        <v>885.2</v>
      </c>
      <c r="T136" s="49">
        <v>885.1</v>
      </c>
      <c r="U136" s="49">
        <v>884.9</v>
      </c>
      <c r="V136" s="49">
        <v>884.8</v>
      </c>
      <c r="W136" s="49"/>
      <c r="X136" s="49">
        <v>884.2</v>
      </c>
      <c r="Y136" s="49"/>
      <c r="Z136" s="49">
        <v>883.2</v>
      </c>
      <c r="AA136" s="49"/>
      <c r="AB136" s="49">
        <v>882.9</v>
      </c>
      <c r="AC136" s="49"/>
      <c r="AD136" s="49"/>
      <c r="AE136" s="49"/>
      <c r="AF136" s="48"/>
      <c r="AG136" s="44"/>
      <c r="AH136" s="12"/>
      <c r="AI136" s="11"/>
    </row>
    <row r="137" spans="1:37" ht="15.75" thickBot="1" x14ac:dyDescent="0.3">
      <c r="A137" s="47" t="s">
        <v>125</v>
      </c>
      <c r="B137" s="46">
        <v>1502.4</v>
      </c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>
        <v>502.05</v>
      </c>
      <c r="T137" s="46"/>
      <c r="U137" s="46"/>
      <c r="V137" s="46"/>
      <c r="W137" s="46"/>
      <c r="X137" s="46"/>
      <c r="Y137" s="46"/>
      <c r="Z137" s="46"/>
      <c r="AA137" s="46"/>
      <c r="AB137" s="46">
        <v>1501.86</v>
      </c>
      <c r="AC137" s="46"/>
      <c r="AD137" s="46"/>
      <c r="AE137" s="46"/>
      <c r="AF137" s="45"/>
      <c r="AG137" s="44"/>
      <c r="AH137" s="12"/>
      <c r="AI137" s="11"/>
    </row>
    <row r="138" spans="1:37" ht="15.75" thickBot="1" x14ac:dyDescent="0.3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25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25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25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25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25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25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25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25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25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25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25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25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25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25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25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25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25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25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25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25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25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25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25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25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25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25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25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25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25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25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25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25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25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25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25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25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25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25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25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25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25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25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25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25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25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25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25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25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25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25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25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25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25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25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25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25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25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25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25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25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25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25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25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25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25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25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25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25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25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25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25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25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25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25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25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25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25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25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25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25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25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25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25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25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25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25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25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25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25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25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25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25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25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25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25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25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25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25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25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25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25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25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25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25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.75" thickBot="1" x14ac:dyDescent="0.3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.75" thickBot="1" x14ac:dyDescent="0.3">
      <c r="A244" s="31" t="s">
        <v>17</v>
      </c>
      <c r="B244" s="30">
        <f t="shared" ref="B244:AG244" si="81">SUM(B139:B243)</f>
        <v>0</v>
      </c>
      <c r="C244" s="14">
        <f t="shared" si="81"/>
        <v>0</v>
      </c>
      <c r="D244" s="14">
        <f t="shared" si="81"/>
        <v>0</v>
      </c>
      <c r="E244" s="14">
        <f t="shared" si="81"/>
        <v>0</v>
      </c>
      <c r="F244" s="14">
        <f t="shared" si="81"/>
        <v>0</v>
      </c>
      <c r="G244" s="14">
        <f t="shared" si="81"/>
        <v>0</v>
      </c>
      <c r="H244" s="14">
        <f t="shared" si="81"/>
        <v>0</v>
      </c>
      <c r="I244" s="14">
        <f t="shared" si="81"/>
        <v>0</v>
      </c>
      <c r="J244" s="14">
        <f t="shared" si="81"/>
        <v>0</v>
      </c>
      <c r="K244" s="14">
        <f t="shared" si="81"/>
        <v>0</v>
      </c>
      <c r="L244" s="14">
        <f t="shared" si="81"/>
        <v>0</v>
      </c>
      <c r="M244" s="14">
        <f t="shared" si="81"/>
        <v>0</v>
      </c>
      <c r="N244" s="14">
        <f t="shared" si="81"/>
        <v>0</v>
      </c>
      <c r="O244" s="14">
        <f t="shared" si="81"/>
        <v>0</v>
      </c>
      <c r="P244" s="14">
        <f t="shared" si="81"/>
        <v>0</v>
      </c>
      <c r="Q244" s="14">
        <f t="shared" si="81"/>
        <v>0</v>
      </c>
      <c r="R244" s="14">
        <f t="shared" si="81"/>
        <v>0</v>
      </c>
      <c r="S244" s="14">
        <f t="shared" si="81"/>
        <v>0</v>
      </c>
      <c r="T244" s="14">
        <f t="shared" si="81"/>
        <v>0</v>
      </c>
      <c r="U244" s="14">
        <f t="shared" si="81"/>
        <v>0</v>
      </c>
      <c r="V244" s="14">
        <f t="shared" si="81"/>
        <v>0</v>
      </c>
      <c r="W244" s="14">
        <f t="shared" si="81"/>
        <v>0</v>
      </c>
      <c r="X244" s="14">
        <f t="shared" si="81"/>
        <v>0</v>
      </c>
      <c r="Y244" s="14">
        <f t="shared" si="81"/>
        <v>0</v>
      </c>
      <c r="Z244" s="14">
        <f t="shared" si="81"/>
        <v>0</v>
      </c>
      <c r="AA244" s="14">
        <f t="shared" si="81"/>
        <v>0</v>
      </c>
      <c r="AB244" s="14">
        <f t="shared" si="81"/>
        <v>0</v>
      </c>
      <c r="AC244" s="14">
        <f t="shared" si="81"/>
        <v>0</v>
      </c>
      <c r="AD244" s="14">
        <f t="shared" si="81"/>
        <v>0</v>
      </c>
      <c r="AE244" s="14">
        <f t="shared" si="81"/>
        <v>0</v>
      </c>
      <c r="AF244" s="29">
        <f t="shared" si="81"/>
        <v>0</v>
      </c>
      <c r="AG244" s="28">
        <f t="shared" si="81"/>
        <v>412.72299999999984</v>
      </c>
      <c r="AH244" s="12"/>
      <c r="AI244" s="11"/>
      <c r="AK244" s="19"/>
    </row>
    <row r="245" spans="1:37" ht="15.75" thickBot="1" x14ac:dyDescent="0.3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25">
      <c r="A246" s="25" t="s">
        <v>16</v>
      </c>
      <c r="B246" s="24">
        <f t="shared" ref="B246:B251" si="82">AF246</f>
        <v>0.3</v>
      </c>
      <c r="C246" s="24">
        <v>0.3</v>
      </c>
      <c r="D246" s="24">
        <f t="shared" ref="D246:AF251" si="83">C246</f>
        <v>0.3</v>
      </c>
      <c r="E246" s="24">
        <f t="shared" si="83"/>
        <v>0.3</v>
      </c>
      <c r="F246" s="24">
        <f t="shared" si="83"/>
        <v>0.3</v>
      </c>
      <c r="G246" s="24">
        <f t="shared" si="83"/>
        <v>0.3</v>
      </c>
      <c r="H246" s="24">
        <f t="shared" si="83"/>
        <v>0.3</v>
      </c>
      <c r="I246" s="24">
        <f t="shared" si="83"/>
        <v>0.3</v>
      </c>
      <c r="J246" s="24">
        <f t="shared" si="83"/>
        <v>0.3</v>
      </c>
      <c r="K246" s="24">
        <f t="shared" si="83"/>
        <v>0.3</v>
      </c>
      <c r="L246" s="24">
        <f t="shared" si="83"/>
        <v>0.3</v>
      </c>
      <c r="M246" s="24">
        <f t="shared" si="83"/>
        <v>0.3</v>
      </c>
      <c r="N246" s="24">
        <f t="shared" si="83"/>
        <v>0.3</v>
      </c>
      <c r="O246" s="24">
        <f t="shared" si="83"/>
        <v>0.3</v>
      </c>
      <c r="P246" s="24">
        <f t="shared" si="83"/>
        <v>0.3</v>
      </c>
      <c r="Q246" s="24">
        <f t="shared" si="83"/>
        <v>0.3</v>
      </c>
      <c r="R246" s="24">
        <f t="shared" si="83"/>
        <v>0.3</v>
      </c>
      <c r="S246" s="24">
        <f t="shared" si="83"/>
        <v>0.3</v>
      </c>
      <c r="T246" s="24">
        <f t="shared" si="83"/>
        <v>0.3</v>
      </c>
      <c r="U246" s="24">
        <f t="shared" si="83"/>
        <v>0.3</v>
      </c>
      <c r="V246" s="24">
        <f t="shared" si="83"/>
        <v>0.3</v>
      </c>
      <c r="W246" s="24">
        <f t="shared" si="83"/>
        <v>0.3</v>
      </c>
      <c r="X246" s="24">
        <f t="shared" si="83"/>
        <v>0.3</v>
      </c>
      <c r="Y246" s="24">
        <f t="shared" si="83"/>
        <v>0.3</v>
      </c>
      <c r="Z246" s="24">
        <f t="shared" si="83"/>
        <v>0.3</v>
      </c>
      <c r="AA246" s="24">
        <f t="shared" si="83"/>
        <v>0.3</v>
      </c>
      <c r="AB246" s="24">
        <f t="shared" si="83"/>
        <v>0.3</v>
      </c>
      <c r="AC246" s="24">
        <f t="shared" si="83"/>
        <v>0.3</v>
      </c>
      <c r="AD246" s="24">
        <f t="shared" si="83"/>
        <v>0.3</v>
      </c>
      <c r="AE246" s="24">
        <f t="shared" si="83"/>
        <v>0.3</v>
      </c>
      <c r="AF246" s="24">
        <f t="shared" si="83"/>
        <v>0.3</v>
      </c>
      <c r="AG246" s="23">
        <v>2.4</v>
      </c>
      <c r="AH246" s="12"/>
      <c r="AI246" s="11"/>
      <c r="AK246" s="19"/>
    </row>
    <row r="247" spans="1:37" x14ac:dyDescent="0.25">
      <c r="A247" s="22" t="s">
        <v>15</v>
      </c>
      <c r="B247" s="21">
        <f t="shared" si="82"/>
        <v>0.4</v>
      </c>
      <c r="C247" s="21">
        <v>0.4</v>
      </c>
      <c r="D247" s="21">
        <f t="shared" si="83"/>
        <v>0.4</v>
      </c>
      <c r="E247" s="21">
        <f t="shared" si="83"/>
        <v>0.4</v>
      </c>
      <c r="F247" s="21">
        <f t="shared" si="83"/>
        <v>0.4</v>
      </c>
      <c r="G247" s="21">
        <f t="shared" si="83"/>
        <v>0.4</v>
      </c>
      <c r="H247" s="21">
        <f t="shared" si="83"/>
        <v>0.4</v>
      </c>
      <c r="I247" s="21">
        <f t="shared" si="83"/>
        <v>0.4</v>
      </c>
      <c r="J247" s="21">
        <f t="shared" si="83"/>
        <v>0.4</v>
      </c>
      <c r="K247" s="21">
        <f t="shared" si="83"/>
        <v>0.4</v>
      </c>
      <c r="L247" s="21">
        <f t="shared" si="83"/>
        <v>0.4</v>
      </c>
      <c r="M247" s="21">
        <f t="shared" si="83"/>
        <v>0.4</v>
      </c>
      <c r="N247" s="21">
        <f t="shared" si="83"/>
        <v>0.4</v>
      </c>
      <c r="O247" s="21">
        <f t="shared" si="83"/>
        <v>0.4</v>
      </c>
      <c r="P247" s="21">
        <f t="shared" si="83"/>
        <v>0.4</v>
      </c>
      <c r="Q247" s="21">
        <f t="shared" si="83"/>
        <v>0.4</v>
      </c>
      <c r="R247" s="21">
        <f t="shared" si="83"/>
        <v>0.4</v>
      </c>
      <c r="S247" s="21">
        <f t="shared" si="83"/>
        <v>0.4</v>
      </c>
      <c r="T247" s="21">
        <f t="shared" si="83"/>
        <v>0.4</v>
      </c>
      <c r="U247" s="21">
        <f t="shared" si="83"/>
        <v>0.4</v>
      </c>
      <c r="V247" s="21">
        <f t="shared" si="83"/>
        <v>0.4</v>
      </c>
      <c r="W247" s="21">
        <f t="shared" si="83"/>
        <v>0.4</v>
      </c>
      <c r="X247" s="21">
        <f t="shared" si="83"/>
        <v>0.4</v>
      </c>
      <c r="Y247" s="21">
        <f t="shared" si="83"/>
        <v>0.4</v>
      </c>
      <c r="Z247" s="21">
        <f t="shared" si="83"/>
        <v>0.4</v>
      </c>
      <c r="AA247" s="21">
        <f t="shared" si="83"/>
        <v>0.4</v>
      </c>
      <c r="AB247" s="21">
        <f t="shared" si="83"/>
        <v>0.4</v>
      </c>
      <c r="AC247" s="21">
        <f t="shared" si="83"/>
        <v>0.4</v>
      </c>
      <c r="AD247" s="21">
        <f t="shared" si="83"/>
        <v>0.4</v>
      </c>
      <c r="AE247" s="21">
        <f t="shared" si="83"/>
        <v>0.4</v>
      </c>
      <c r="AF247" s="21">
        <f t="shared" si="83"/>
        <v>0.4</v>
      </c>
      <c r="AG247" s="20">
        <v>2</v>
      </c>
      <c r="AH247" s="12"/>
      <c r="AI247" s="11"/>
      <c r="AK247" s="19"/>
    </row>
    <row r="248" spans="1:37" x14ac:dyDescent="0.25">
      <c r="A248" s="22" t="s">
        <v>14</v>
      </c>
      <c r="B248" s="21">
        <f t="shared" si="82"/>
        <v>1.5</v>
      </c>
      <c r="C248" s="21">
        <v>1.5</v>
      </c>
      <c r="D248" s="21">
        <f t="shared" si="83"/>
        <v>1.5</v>
      </c>
      <c r="E248" s="21">
        <f t="shared" si="83"/>
        <v>1.5</v>
      </c>
      <c r="F248" s="21">
        <f t="shared" si="83"/>
        <v>1.5</v>
      </c>
      <c r="G248" s="21">
        <f t="shared" si="83"/>
        <v>1.5</v>
      </c>
      <c r="H248" s="21">
        <f t="shared" si="83"/>
        <v>1.5</v>
      </c>
      <c r="I248" s="21">
        <f t="shared" si="83"/>
        <v>1.5</v>
      </c>
      <c r="J248" s="21">
        <f t="shared" si="83"/>
        <v>1.5</v>
      </c>
      <c r="K248" s="21">
        <f t="shared" si="83"/>
        <v>1.5</v>
      </c>
      <c r="L248" s="21">
        <f t="shared" si="83"/>
        <v>1.5</v>
      </c>
      <c r="M248" s="21">
        <f t="shared" si="83"/>
        <v>1.5</v>
      </c>
      <c r="N248" s="21">
        <f t="shared" si="83"/>
        <v>1.5</v>
      </c>
      <c r="O248" s="21">
        <f t="shared" si="83"/>
        <v>1.5</v>
      </c>
      <c r="P248" s="21">
        <f t="shared" si="83"/>
        <v>1.5</v>
      </c>
      <c r="Q248" s="21">
        <f t="shared" si="83"/>
        <v>1.5</v>
      </c>
      <c r="R248" s="21">
        <f t="shared" si="83"/>
        <v>1.5</v>
      </c>
      <c r="S248" s="21">
        <f t="shared" si="83"/>
        <v>1.5</v>
      </c>
      <c r="T248" s="21">
        <f t="shared" si="83"/>
        <v>1.5</v>
      </c>
      <c r="U248" s="21">
        <f t="shared" si="83"/>
        <v>1.5</v>
      </c>
      <c r="V248" s="21">
        <f t="shared" si="83"/>
        <v>1.5</v>
      </c>
      <c r="W248" s="21">
        <f t="shared" si="83"/>
        <v>1.5</v>
      </c>
      <c r="X248" s="21">
        <f t="shared" si="83"/>
        <v>1.5</v>
      </c>
      <c r="Y248" s="21">
        <f t="shared" si="83"/>
        <v>1.5</v>
      </c>
      <c r="Z248" s="21">
        <f t="shared" si="83"/>
        <v>1.5</v>
      </c>
      <c r="AA248" s="21">
        <f t="shared" si="83"/>
        <v>1.5</v>
      </c>
      <c r="AB248" s="21">
        <f t="shared" si="83"/>
        <v>1.5</v>
      </c>
      <c r="AC248" s="21">
        <f t="shared" si="83"/>
        <v>1.5</v>
      </c>
      <c r="AD248" s="21">
        <f t="shared" si="83"/>
        <v>1.5</v>
      </c>
      <c r="AE248" s="21">
        <f t="shared" si="83"/>
        <v>1.5</v>
      </c>
      <c r="AF248" s="21">
        <f t="shared" si="83"/>
        <v>1.5</v>
      </c>
      <c r="AG248" s="20">
        <v>1.5</v>
      </c>
      <c r="AH248" s="12"/>
      <c r="AI248" s="11"/>
      <c r="AK248" s="19"/>
    </row>
    <row r="249" spans="1:37" x14ac:dyDescent="0.25">
      <c r="A249" s="22" t="s">
        <v>13</v>
      </c>
      <c r="B249" s="21">
        <f t="shared" si="82"/>
        <v>0.3</v>
      </c>
      <c r="C249" s="21">
        <v>0.3</v>
      </c>
      <c r="D249" s="21">
        <f t="shared" si="83"/>
        <v>0.3</v>
      </c>
      <c r="E249" s="21">
        <f t="shared" si="83"/>
        <v>0.3</v>
      </c>
      <c r="F249" s="21">
        <f t="shared" si="83"/>
        <v>0.3</v>
      </c>
      <c r="G249" s="21">
        <f t="shared" si="83"/>
        <v>0.3</v>
      </c>
      <c r="H249" s="21">
        <f t="shared" si="83"/>
        <v>0.3</v>
      </c>
      <c r="I249" s="21">
        <f t="shared" si="83"/>
        <v>0.3</v>
      </c>
      <c r="J249" s="21">
        <f t="shared" si="83"/>
        <v>0.3</v>
      </c>
      <c r="K249" s="21">
        <f t="shared" si="83"/>
        <v>0.3</v>
      </c>
      <c r="L249" s="21">
        <f t="shared" si="83"/>
        <v>0.3</v>
      </c>
      <c r="M249" s="21">
        <f t="shared" si="83"/>
        <v>0.3</v>
      </c>
      <c r="N249" s="21">
        <f t="shared" si="83"/>
        <v>0.3</v>
      </c>
      <c r="O249" s="21">
        <f t="shared" si="83"/>
        <v>0.3</v>
      </c>
      <c r="P249" s="21">
        <f t="shared" si="83"/>
        <v>0.3</v>
      </c>
      <c r="Q249" s="21">
        <f t="shared" si="83"/>
        <v>0.3</v>
      </c>
      <c r="R249" s="21">
        <f t="shared" si="83"/>
        <v>0.3</v>
      </c>
      <c r="S249" s="21">
        <f t="shared" si="83"/>
        <v>0.3</v>
      </c>
      <c r="T249" s="21">
        <f t="shared" si="83"/>
        <v>0.3</v>
      </c>
      <c r="U249" s="21">
        <f t="shared" si="83"/>
        <v>0.3</v>
      </c>
      <c r="V249" s="21">
        <f t="shared" si="83"/>
        <v>0.3</v>
      </c>
      <c r="W249" s="21">
        <f t="shared" si="83"/>
        <v>0.3</v>
      </c>
      <c r="X249" s="21">
        <f t="shared" si="83"/>
        <v>0.3</v>
      </c>
      <c r="Y249" s="21">
        <f t="shared" si="83"/>
        <v>0.3</v>
      </c>
      <c r="Z249" s="21">
        <f t="shared" si="83"/>
        <v>0.3</v>
      </c>
      <c r="AA249" s="21">
        <f t="shared" si="83"/>
        <v>0.3</v>
      </c>
      <c r="AB249" s="21">
        <f t="shared" si="83"/>
        <v>0.3</v>
      </c>
      <c r="AC249" s="21">
        <f t="shared" si="83"/>
        <v>0.3</v>
      </c>
      <c r="AD249" s="21">
        <f t="shared" si="83"/>
        <v>0.3</v>
      </c>
      <c r="AE249" s="21">
        <f t="shared" si="83"/>
        <v>0.3</v>
      </c>
      <c r="AF249" s="21">
        <f t="shared" si="83"/>
        <v>0.3</v>
      </c>
      <c r="AG249" s="20">
        <v>1</v>
      </c>
      <c r="AH249" s="12"/>
      <c r="AI249" s="11"/>
      <c r="AK249" s="19"/>
    </row>
    <row r="250" spans="1:37" x14ac:dyDescent="0.25">
      <c r="A250" s="22" t="s">
        <v>12</v>
      </c>
      <c r="B250" s="21">
        <f t="shared" si="82"/>
        <v>0.4</v>
      </c>
      <c r="C250" s="21">
        <v>0.4</v>
      </c>
      <c r="D250" s="21">
        <f t="shared" si="83"/>
        <v>0.4</v>
      </c>
      <c r="E250" s="21">
        <f t="shared" si="83"/>
        <v>0.4</v>
      </c>
      <c r="F250" s="21">
        <f t="shared" si="83"/>
        <v>0.4</v>
      </c>
      <c r="G250" s="21">
        <f t="shared" si="83"/>
        <v>0.4</v>
      </c>
      <c r="H250" s="21">
        <f t="shared" si="83"/>
        <v>0.4</v>
      </c>
      <c r="I250" s="21">
        <f t="shared" si="83"/>
        <v>0.4</v>
      </c>
      <c r="J250" s="21">
        <f t="shared" si="83"/>
        <v>0.4</v>
      </c>
      <c r="K250" s="21">
        <f t="shared" si="83"/>
        <v>0.4</v>
      </c>
      <c r="L250" s="21">
        <f t="shared" si="83"/>
        <v>0.4</v>
      </c>
      <c r="M250" s="21">
        <f t="shared" si="83"/>
        <v>0.4</v>
      </c>
      <c r="N250" s="21">
        <f t="shared" si="83"/>
        <v>0.4</v>
      </c>
      <c r="O250" s="21">
        <f t="shared" si="83"/>
        <v>0.4</v>
      </c>
      <c r="P250" s="21">
        <f t="shared" si="83"/>
        <v>0.4</v>
      </c>
      <c r="Q250" s="21">
        <f t="shared" si="83"/>
        <v>0.4</v>
      </c>
      <c r="R250" s="21">
        <f t="shared" si="83"/>
        <v>0.4</v>
      </c>
      <c r="S250" s="21">
        <f t="shared" si="83"/>
        <v>0.4</v>
      </c>
      <c r="T250" s="21">
        <f t="shared" si="83"/>
        <v>0.4</v>
      </c>
      <c r="U250" s="21">
        <f t="shared" si="83"/>
        <v>0.4</v>
      </c>
      <c r="V250" s="21">
        <f t="shared" si="83"/>
        <v>0.4</v>
      </c>
      <c r="W250" s="21">
        <f t="shared" si="83"/>
        <v>0.4</v>
      </c>
      <c r="X250" s="21">
        <f t="shared" si="83"/>
        <v>0.4</v>
      </c>
      <c r="Y250" s="21">
        <f t="shared" si="83"/>
        <v>0.4</v>
      </c>
      <c r="Z250" s="21">
        <f t="shared" si="83"/>
        <v>0.4</v>
      </c>
      <c r="AA250" s="21">
        <f t="shared" si="83"/>
        <v>0.4</v>
      </c>
      <c r="AB250" s="21">
        <f t="shared" si="83"/>
        <v>0.4</v>
      </c>
      <c r="AC250" s="21">
        <f t="shared" si="83"/>
        <v>0.4</v>
      </c>
      <c r="AD250" s="21">
        <f t="shared" si="83"/>
        <v>0.4</v>
      </c>
      <c r="AE250" s="21">
        <f t="shared" si="83"/>
        <v>0.4</v>
      </c>
      <c r="AF250" s="21">
        <f t="shared" si="83"/>
        <v>0.4</v>
      </c>
      <c r="AG250" s="20">
        <v>1</v>
      </c>
      <c r="AH250" s="12"/>
      <c r="AI250" s="11"/>
      <c r="AK250" s="19"/>
    </row>
    <row r="251" spans="1:37" ht="15.75" thickBot="1" x14ac:dyDescent="0.3">
      <c r="A251" s="18" t="s">
        <v>11</v>
      </c>
      <c r="B251" s="17">
        <f t="shared" si="82"/>
        <v>0.64</v>
      </c>
      <c r="C251" s="17">
        <v>0.64</v>
      </c>
      <c r="D251" s="17">
        <f t="shared" si="83"/>
        <v>0.64</v>
      </c>
      <c r="E251" s="17">
        <f t="shared" si="83"/>
        <v>0.64</v>
      </c>
      <c r="F251" s="17">
        <f t="shared" si="83"/>
        <v>0.64</v>
      </c>
      <c r="G251" s="17">
        <f t="shared" si="83"/>
        <v>0.64</v>
      </c>
      <c r="H251" s="17">
        <f t="shared" si="83"/>
        <v>0.64</v>
      </c>
      <c r="I251" s="17">
        <f t="shared" si="83"/>
        <v>0.64</v>
      </c>
      <c r="J251" s="17">
        <f t="shared" si="83"/>
        <v>0.64</v>
      </c>
      <c r="K251" s="17">
        <f t="shared" si="83"/>
        <v>0.64</v>
      </c>
      <c r="L251" s="17">
        <f t="shared" si="83"/>
        <v>0.64</v>
      </c>
      <c r="M251" s="17">
        <f t="shared" si="83"/>
        <v>0.64</v>
      </c>
      <c r="N251" s="17">
        <f t="shared" si="83"/>
        <v>0.64</v>
      </c>
      <c r="O251" s="17">
        <f t="shared" si="83"/>
        <v>0.64</v>
      </c>
      <c r="P251" s="17">
        <f t="shared" si="83"/>
        <v>0.64</v>
      </c>
      <c r="Q251" s="17">
        <f t="shared" si="83"/>
        <v>0.64</v>
      </c>
      <c r="R251" s="17">
        <f t="shared" si="83"/>
        <v>0.64</v>
      </c>
      <c r="S251" s="17">
        <f t="shared" si="83"/>
        <v>0.64</v>
      </c>
      <c r="T251" s="17">
        <f t="shared" si="83"/>
        <v>0.64</v>
      </c>
      <c r="U251" s="17">
        <f t="shared" si="83"/>
        <v>0.64</v>
      </c>
      <c r="V251" s="17">
        <f t="shared" si="83"/>
        <v>0.64</v>
      </c>
      <c r="W251" s="17">
        <f t="shared" si="83"/>
        <v>0.64</v>
      </c>
      <c r="X251" s="17">
        <f t="shared" si="83"/>
        <v>0.64</v>
      </c>
      <c r="Y251" s="17">
        <f t="shared" si="83"/>
        <v>0.64</v>
      </c>
      <c r="Z251" s="17">
        <f t="shared" si="83"/>
        <v>0.64</v>
      </c>
      <c r="AA251" s="17">
        <f t="shared" si="83"/>
        <v>0.64</v>
      </c>
      <c r="AB251" s="17">
        <f t="shared" si="83"/>
        <v>0.64</v>
      </c>
      <c r="AC251" s="17">
        <f t="shared" si="83"/>
        <v>0.64</v>
      </c>
      <c r="AD251" s="17">
        <f t="shared" si="83"/>
        <v>0.64</v>
      </c>
      <c r="AE251" s="17">
        <f t="shared" si="83"/>
        <v>0.64</v>
      </c>
      <c r="AF251" s="17">
        <f t="shared" si="83"/>
        <v>0.64</v>
      </c>
      <c r="AG251" s="16">
        <v>0.66</v>
      </c>
      <c r="AH251" s="12"/>
      <c r="AI251" s="11"/>
    </row>
    <row r="252" spans="1:37" ht="15.75" thickBot="1" x14ac:dyDescent="0.3">
      <c r="A252" s="15" t="s">
        <v>10</v>
      </c>
      <c r="B252" s="14">
        <f t="shared" ref="B252:AG252" si="84">SUM(B246:B251)</f>
        <v>3.54</v>
      </c>
      <c r="C252" s="14">
        <f t="shared" si="84"/>
        <v>3.54</v>
      </c>
      <c r="D252" s="14">
        <f t="shared" si="84"/>
        <v>3.54</v>
      </c>
      <c r="E252" s="14">
        <f t="shared" si="84"/>
        <v>3.54</v>
      </c>
      <c r="F252" s="14">
        <f t="shared" si="84"/>
        <v>3.54</v>
      </c>
      <c r="G252" s="14">
        <f t="shared" si="84"/>
        <v>3.54</v>
      </c>
      <c r="H252" s="14">
        <f t="shared" si="84"/>
        <v>3.54</v>
      </c>
      <c r="I252" s="14">
        <f t="shared" si="84"/>
        <v>3.54</v>
      </c>
      <c r="J252" s="14">
        <f t="shared" si="84"/>
        <v>3.54</v>
      </c>
      <c r="K252" s="14">
        <f t="shared" si="84"/>
        <v>3.54</v>
      </c>
      <c r="L252" s="14">
        <f t="shared" si="84"/>
        <v>3.54</v>
      </c>
      <c r="M252" s="14">
        <f t="shared" si="84"/>
        <v>3.54</v>
      </c>
      <c r="N252" s="14">
        <f t="shared" si="84"/>
        <v>3.54</v>
      </c>
      <c r="O252" s="14">
        <f t="shared" si="84"/>
        <v>3.54</v>
      </c>
      <c r="P252" s="14">
        <f t="shared" si="84"/>
        <v>3.54</v>
      </c>
      <c r="Q252" s="14">
        <f t="shared" si="84"/>
        <v>3.54</v>
      </c>
      <c r="R252" s="14">
        <f t="shared" si="84"/>
        <v>3.54</v>
      </c>
      <c r="S252" s="14">
        <f t="shared" si="84"/>
        <v>3.54</v>
      </c>
      <c r="T252" s="14">
        <f t="shared" si="84"/>
        <v>3.54</v>
      </c>
      <c r="U252" s="14">
        <f t="shared" si="84"/>
        <v>3.54</v>
      </c>
      <c r="V252" s="14">
        <f t="shared" si="84"/>
        <v>3.54</v>
      </c>
      <c r="W252" s="14">
        <f t="shared" si="84"/>
        <v>3.54</v>
      </c>
      <c r="X252" s="14">
        <f t="shared" si="84"/>
        <v>3.54</v>
      </c>
      <c r="Y252" s="14">
        <f t="shared" si="84"/>
        <v>3.54</v>
      </c>
      <c r="Z252" s="14">
        <f t="shared" si="84"/>
        <v>3.54</v>
      </c>
      <c r="AA252" s="14">
        <f t="shared" si="84"/>
        <v>3.54</v>
      </c>
      <c r="AB252" s="14">
        <f t="shared" si="84"/>
        <v>3.54</v>
      </c>
      <c r="AC252" s="14">
        <f t="shared" si="84"/>
        <v>3.54</v>
      </c>
      <c r="AD252" s="14">
        <f t="shared" si="84"/>
        <v>3.54</v>
      </c>
      <c r="AE252" s="14">
        <f t="shared" si="84"/>
        <v>3.54</v>
      </c>
      <c r="AF252" s="14">
        <f t="shared" si="84"/>
        <v>3.54</v>
      </c>
      <c r="AG252" s="13">
        <f t="shared" si="84"/>
        <v>8.56</v>
      </c>
      <c r="AH252" s="12"/>
      <c r="AI252" s="11"/>
    </row>
    <row r="253" spans="1:37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25">
      <c r="A256" s="9" t="s">
        <v>9</v>
      </c>
      <c r="B256" s="8">
        <f>MAX(G99:N99)</f>
        <v>1793.54</v>
      </c>
      <c r="C256" s="7">
        <f>INDEX(G9:N9,1,MATCH(MAX(G99:N99),G99:N99,0))</f>
        <v>0.375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25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2080/10/23)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25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25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25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25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25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25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25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25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25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25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25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25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25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25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1313" priority="89">
      <formula>$AH11=0</formula>
    </cfRule>
  </conditionalFormatting>
  <conditionalFormatting sqref="A132:A253">
    <cfRule type="expression" dxfId="1312" priority="90">
      <formula>$AH132=0</formula>
    </cfRule>
  </conditionalFormatting>
  <conditionalFormatting sqref="B8">
    <cfRule type="expression" dxfId="1311" priority="144">
      <formula>AND(C$9&gt;=14/24,C$9&lt;20/24)</formula>
    </cfRule>
    <cfRule type="expression" dxfId="1310" priority="145">
      <formula>AND(C$9&gt;=8/24,C$9&lt;14/24)</formula>
    </cfRule>
    <cfRule type="expression" dxfId="1309" priority="146">
      <formula>C$9&lt;8/24</formula>
    </cfRule>
    <cfRule type="expression" dxfId="1308" priority="147">
      <formula>C$9&gt;=20/24</formula>
    </cfRule>
  </conditionalFormatting>
  <conditionalFormatting sqref="B9:AF52 B59:D72 E68:H72 E69:S72 T69:AF74 B73:S74 B77:AF99 B101:AF117 B119:AF137 B244:AF244 B246:B252">
    <cfRule type="expression" dxfId="1307" priority="41">
      <formula>B$9&gt;=20/24</formula>
    </cfRule>
    <cfRule type="expression" dxfId="1306" priority="42">
      <formula>AND(B$9&gt;=14/24,B$9&lt;20/24)</formula>
    </cfRule>
    <cfRule type="expression" dxfId="1305" priority="43">
      <formula>AND(B$9&gt;=8/24,B$9&lt;14/24)</formula>
    </cfRule>
    <cfRule type="expression" dxfId="1304" priority="44">
      <formula>B$9&lt;8/24</formula>
    </cfRule>
  </conditionalFormatting>
  <conditionalFormatting sqref="B53:AF57">
    <cfRule type="expression" dxfId="1303" priority="53">
      <formula>B$9&lt;8/24</formula>
    </cfRule>
  </conditionalFormatting>
  <conditionalFormatting sqref="D246:AF252">
    <cfRule type="expression" dxfId="1302" priority="131">
      <formula>AND(D$9&gt;=8/24,D$9&lt;14/24)</formula>
    </cfRule>
    <cfRule type="expression" dxfId="1301" priority="132">
      <formula>D$9&lt;8/24</formula>
    </cfRule>
    <cfRule type="expression" dxfId="1300" priority="130">
      <formula>AND(D$9&gt;=14/24,D$9&lt;20/24)</formula>
    </cfRule>
    <cfRule type="expression" dxfId="1299" priority="129">
      <formula>D$9&gt;=20/24</formula>
    </cfRule>
  </conditionalFormatting>
  <conditionalFormatting sqref="E63:I67 J64:K67">
    <cfRule type="expression" dxfId="1298" priority="57">
      <formula>E$9&lt;8/24</formula>
    </cfRule>
    <cfRule type="expression" dxfId="1297" priority="54">
      <formula>E$9&gt;=20/24</formula>
    </cfRule>
    <cfRule type="expression" dxfId="1296" priority="55">
      <formula>AND(E$9&gt;=14/24,E$9&lt;20/24)</formula>
    </cfRule>
    <cfRule type="expression" dxfId="1295" priority="56">
      <formula>AND(E$9&gt;=8/24,E$9&lt;14/24)</formula>
    </cfRule>
  </conditionalFormatting>
  <conditionalFormatting sqref="E68:K68">
    <cfRule type="expression" dxfId="1294" priority="49">
      <formula>E$9&gt;=20/24</formula>
    </cfRule>
    <cfRule type="expression" dxfId="1293" priority="50">
      <formula>AND(E$9&gt;=14/24,E$9&lt;20/24)</formula>
    </cfRule>
    <cfRule type="expression" dxfId="1292" priority="51">
      <formula>AND(E$9&gt;=8/24,E$9&lt;14/24)</formula>
    </cfRule>
    <cfRule type="expression" dxfId="1291" priority="52">
      <formula>E$9&lt;8/24</formula>
    </cfRule>
  </conditionalFormatting>
  <conditionalFormatting sqref="E11:Y56 Z11:AA57 AF11:AF61 B11:D72 AB11:AE80 L57:Y57 E57:K72 L58:AA62 AF62:AG62 L63:S72 T63:W74 X63:AA75 AF63:AF80 B73:S74 B75:W75 B76:AA80 AG80">
    <cfRule type="expression" dxfId="1290" priority="40">
      <formula>B11&gt;$AG11</formula>
    </cfRule>
  </conditionalFormatting>
  <conditionalFormatting sqref="E53:AF55 B53:D57">
    <cfRule type="expression" dxfId="1289" priority="39">
      <formula>AND(B$9&gt;=8/24,B$9&lt;14/24)</formula>
    </cfRule>
    <cfRule type="expression" dxfId="1288" priority="38">
      <formula>AND(B$9&gt;=14/24,B$9&lt;20/24)</formula>
    </cfRule>
    <cfRule type="expression" dxfId="1287" priority="37">
      <formula>B$9&gt;=20/24</formula>
    </cfRule>
  </conditionalFormatting>
  <conditionalFormatting sqref="E56:AF57">
    <cfRule type="expression" dxfId="1286" priority="48">
      <formula>AND(E$9&gt;=8/24,E$9&lt;14/24)</formula>
    </cfRule>
    <cfRule type="expression" dxfId="1285" priority="47">
      <formula>AND(E$9&gt;=14/24,E$9&lt;20/24)</formula>
    </cfRule>
    <cfRule type="expression" dxfId="1284" priority="46">
      <formula>E$9&gt;=20/24</formula>
    </cfRule>
  </conditionalFormatting>
  <conditionalFormatting sqref="E59:AF62">
    <cfRule type="expression" dxfId="1283" priority="68">
      <formula>AND(E$9&gt;=14/24,E$9&lt;20/24)</formula>
    </cfRule>
    <cfRule type="expression" dxfId="1282" priority="69">
      <formula>AND(E$9&gt;=8/24,E$9&lt;14/24)</formula>
    </cfRule>
    <cfRule type="expression" dxfId="1281" priority="70">
      <formula>E$9&lt;8/24</formula>
    </cfRule>
    <cfRule type="expression" dxfId="1280" priority="67">
      <formula>E$9&gt;=20/24</formula>
    </cfRule>
  </conditionalFormatting>
  <conditionalFormatting sqref="F63:R65">
    <cfRule type="expression" dxfId="1279" priority="84">
      <formula>F$9&lt;8/24</formula>
    </cfRule>
    <cfRule type="expression" dxfId="1278" priority="83">
      <formula>AND(F$9&gt;=8/24,F$9&lt;14/24)</formula>
    </cfRule>
    <cfRule type="expression" dxfId="1277" priority="82">
      <formula>AND(F$9&gt;=14/24,F$9&lt;20/24)</formula>
    </cfRule>
    <cfRule type="expression" dxfId="1276" priority="81">
      <formula>F$9&gt;=20/24</formula>
    </cfRule>
  </conditionalFormatting>
  <conditionalFormatting sqref="L68:V68">
    <cfRule type="expression" dxfId="1275" priority="79">
      <formula>AND(L$9&gt;=8/24,L$9&lt;14/24)</formula>
    </cfRule>
    <cfRule type="expression" dxfId="1274" priority="80">
      <formula>L$9&lt;8/24</formula>
    </cfRule>
    <cfRule type="expression" dxfId="1273" priority="77">
      <formula>L$9&gt;=20/24</formula>
    </cfRule>
    <cfRule type="expression" dxfId="1272" priority="78">
      <formula>AND(L$9&gt;=14/24,L$9&lt;20/24)</formula>
    </cfRule>
  </conditionalFormatting>
  <conditionalFormatting sqref="M8 S8 AB8">
    <cfRule type="expression" dxfId="1271" priority="138">
      <formula>N$9&lt;8/24</formula>
    </cfRule>
    <cfRule type="expression" dxfId="1270" priority="137">
      <formula>AND(N$9&gt;=8/24,N$9&lt;14/24)</formula>
    </cfRule>
    <cfRule type="expression" dxfId="1269" priority="136">
      <formula>AND(N$9&gt;=14/24,N$9&lt;20/24)</formula>
    </cfRule>
  </conditionalFormatting>
  <conditionalFormatting sqref="M63:V67">
    <cfRule type="expression" dxfId="1268" priority="85">
      <formula>M$9&gt;=20/24</formula>
    </cfRule>
    <cfRule type="expression" dxfId="1267" priority="86">
      <formula>AND(M$9&gt;=14/24,M$9&lt;20/24)</formula>
    </cfRule>
    <cfRule type="expression" dxfId="1266" priority="87">
      <formula>AND(M$9&gt;=8/24,M$9&lt;14/24)</formula>
    </cfRule>
    <cfRule type="expression" dxfId="1265" priority="88">
      <formula>M$9&lt;8/24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264" priority="135">
      <formula>N$9&gt;=20/24</formula>
    </cfRule>
  </conditionalFormatting>
  <conditionalFormatting sqref="S8">
    <cfRule type="expression" dxfId="1263" priority="125">
      <formula>U$9&lt;8/24</formula>
    </cfRule>
    <cfRule type="expression" dxfId="1262" priority="124">
      <formula>AND(U$9&gt;=8/24,U$9&lt;14/24)</formula>
    </cfRule>
    <cfRule type="expression" dxfId="1261" priority="123">
      <formula>AND(U$9&gt;=14/24,U$9&lt;20/24)</formula>
    </cfRule>
    <cfRule type="expression" dxfId="1260" priority="122">
      <formula>U$9&gt;=20/24</formula>
    </cfRule>
  </conditionalFormatting>
  <conditionalFormatting sqref="U63:AF68">
    <cfRule type="expression" dxfId="1259" priority="74">
      <formula>U$9&lt;8/24</formula>
    </cfRule>
    <cfRule type="expression" dxfId="1258" priority="73">
      <formula>AND(U$9&gt;=8/24,U$9&lt;14/24)</formula>
    </cfRule>
    <cfRule type="expression" dxfId="1257" priority="72">
      <formula>AND(U$9&gt;=14/24,U$9&lt;20/24)</formula>
    </cfRule>
    <cfRule type="expression" dxfId="1256" priority="71">
      <formula>U$9&gt;=20/24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255" priority="119">
      <formula>AND(AD$9&gt;=14/24,AD$9&lt;20/24)</formula>
    </cfRule>
    <cfRule type="expression" dxfId="1254" priority="118">
      <formula>AD$9&gt;=20/24</formula>
    </cfRule>
    <cfRule type="expression" dxfId="1253" priority="121">
      <formula>AD$9&lt;8/24</formula>
    </cfRule>
    <cfRule type="expression" dxfId="1252" priority="120">
      <formula>AND(AD$9&gt;=8/24,AD$9&lt;14/24)</formula>
    </cfRule>
  </conditionalFormatting>
  <conditionalFormatting sqref="AG58">
    <cfRule type="expression" dxfId="1251" priority="113">
      <formula>AG58&gt;$AG58</formula>
    </cfRule>
  </conditionalFormatting>
  <conditionalFormatting sqref="AG62">
    <cfRule type="expression" dxfId="1250" priority="96">
      <formula>AG$9&gt;=20/24</formula>
    </cfRule>
    <cfRule type="expression" dxfId="1249" priority="97">
      <formula>AND(AG$9&gt;=14/24,AG$9&lt;20/24)</formula>
    </cfRule>
    <cfRule type="expression" dxfId="1248" priority="98">
      <formula>AND(AG$9&gt;=8/24,AG$9&lt;14/24)</formula>
    </cfRule>
    <cfRule type="expression" dxfId="1247" priority="99">
      <formula>AG$9&lt;8/24</formula>
    </cfRule>
  </conditionalFormatting>
  <conditionalFormatting sqref="AG75:AG76">
    <cfRule type="expression" dxfId="1246" priority="91">
      <formula>AG75&gt;$AG75</formula>
    </cfRule>
  </conditionalFormatting>
  <conditionalFormatting sqref="AG80">
    <cfRule type="expression" dxfId="1245" priority="95">
      <formula>AG$9&lt;8/24</formula>
    </cfRule>
    <cfRule type="expression" dxfId="1244" priority="92">
      <formula>AG$9&gt;=20/24</formula>
    </cfRule>
    <cfRule type="expression" dxfId="1243" priority="93">
      <formula>AND(AG$9&gt;=14/24,AG$9&lt;20/24)</formula>
    </cfRule>
    <cfRule type="expression" dxfId="1242" priority="94">
      <formula>AND(AG$9&gt;=8/24,AG$9&lt;14/24)</formula>
    </cfRule>
  </conditionalFormatting>
  <conditionalFormatting sqref="AG97">
    <cfRule type="expression" dxfId="1241" priority="117">
      <formula>AG$9&lt;8/24</formula>
    </cfRule>
    <cfRule type="expression" dxfId="1240" priority="116">
      <formula>AND(AG$9&gt;=8/24,AG$9&lt;14/24)</formula>
    </cfRule>
    <cfRule type="expression" dxfId="1239" priority="114">
      <formula>AG$9&gt;=20/24</formula>
    </cfRule>
    <cfRule type="expression" dxfId="1238" priority="115">
      <formula>AND(AG$9&gt;=14/24,AG$9&lt;20/24)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237" priority="142">
      <formula>AJ$9&lt;8/24</formula>
    </cfRule>
    <cfRule type="expression" dxfId="1236" priority="140">
      <formula>AND(AJ$9&gt;=14/24,AJ$9&lt;20/24)</formula>
    </cfRule>
    <cfRule type="expression" dxfId="1235" priority="139">
      <formula>AJ$9&gt;=20/24</formula>
    </cfRule>
    <cfRule type="expression" dxfId="1234" priority="141">
      <formula>AND(AJ$9&gt;=8/24,AJ$9&lt;14/24)</formula>
    </cfRule>
  </conditionalFormatting>
  <conditionalFormatting sqref="AL88:AN88 AL94:AN94">
    <cfRule type="expression" dxfId="1233" priority="108">
      <formula>AND(AL$9&gt;=8/24,AL$9&lt;14/24)</formula>
    </cfRule>
    <cfRule type="expression" dxfId="1232" priority="106">
      <formula>AL$9&gt;=20/24</formula>
    </cfRule>
    <cfRule type="expression" dxfId="1231" priority="107">
      <formula>AND(AL$9&gt;=14/24,AL$9&lt;20/24)</formula>
    </cfRule>
    <cfRule type="expression" dxfId="1230" priority="109">
      <formula>AL$9&lt;8/24</formula>
    </cfRule>
  </conditionalFormatting>
  <conditionalFormatting sqref="AM15:AM21 AN16:AR21">
    <cfRule type="expression" dxfId="1229" priority="15">
      <formula>AND(AX$9&gt;=8/24,AX$9&lt;14/24)</formula>
    </cfRule>
    <cfRule type="expression" dxfId="1228" priority="16">
      <formula>AX$9&lt;8/24</formula>
    </cfRule>
    <cfRule type="expression" dxfId="1227" priority="14">
      <formula>AND(AX$9&gt;=14/24,AX$9&lt;20/24)</formula>
    </cfRule>
    <cfRule type="expression" dxfId="1226" priority="13">
      <formula>AX$9&gt;=20/24</formula>
    </cfRule>
  </conditionalFormatting>
  <conditionalFormatting sqref="AN89:AN92">
    <cfRule type="expression" dxfId="1225" priority="102">
      <formula>AN$9&gt;=20/24</formula>
    </cfRule>
    <cfRule type="expression" dxfId="1224" priority="103">
      <formula>AND(AN$9&gt;=14/24,AN$9&lt;20/24)</formula>
    </cfRule>
    <cfRule type="expression" dxfId="1223" priority="104">
      <formula>AND(AN$9&gt;=8/24,AN$9&lt;14/24)</formula>
    </cfRule>
    <cfRule type="expression" dxfId="1222" priority="105">
      <formula>AN$9&lt;8/24</formula>
    </cfRule>
  </conditionalFormatting>
  <conditionalFormatting sqref="AN15:AR15">
    <cfRule type="expression" dxfId="1221" priority="2">
      <formula>AND(U$9&gt;=14/24,U$9&lt;20/24)</formula>
    </cfRule>
    <cfRule type="expression" dxfId="1220" priority="3">
      <formula>AND(U$9&gt;=8/24,U$9&lt;14/24)</formula>
    </cfRule>
    <cfRule type="expression" dxfId="1219" priority="4">
      <formula>U$9&lt;8/24</formula>
    </cfRule>
    <cfRule type="expression" dxfId="1218" priority="1">
      <formula>U$9&gt;=20/24</formula>
    </cfRule>
  </conditionalFormatting>
  <conditionalFormatting sqref="AS15">
    <cfRule type="expression" dxfId="1217" priority="12">
      <formula>AA$9&lt;8/24</formula>
    </cfRule>
    <cfRule type="expression" dxfId="1216" priority="9">
      <formula>AA$9&gt;=20/24</formula>
    </cfRule>
    <cfRule type="expression" dxfId="1215" priority="10">
      <formula>AND(AA$9&gt;=14/24,AA$9&lt;20/24)</formula>
    </cfRule>
    <cfRule type="expression" dxfId="1214" priority="11">
      <formula>AND(AA$9&gt;=8/24,AA$9&lt;14/24)</formula>
    </cfRule>
  </conditionalFormatting>
  <conditionalFormatting sqref="AS16:AS21">
    <cfRule type="expression" dxfId="1213" priority="17">
      <formula>BE$9&gt;=20/24</formula>
    </cfRule>
    <cfRule type="expression" dxfId="1212" priority="18">
      <formula>AND(BE$9&gt;=14/24,BE$9&lt;20/24)</formula>
    </cfRule>
    <cfRule type="expression" dxfId="1211" priority="20">
      <formula>BE$9&lt;8/24</formula>
    </cfRule>
    <cfRule type="expression" dxfId="1210" priority="19">
      <formula>AND(BE$9&gt;=8/24,BE$9&lt;14/24)</formula>
    </cfRule>
  </conditionalFormatting>
  <conditionalFormatting sqref="AT15 AX15:BJ15">
    <cfRule type="expression" dxfId="1209" priority="22">
      <formula>AND(AC$9&gt;=14/24,AC$9&lt;20/24)</formula>
    </cfRule>
    <cfRule type="expression" dxfId="1208" priority="23">
      <formula>AND(AC$9&gt;=8/24,AC$9&lt;14/24)</formula>
    </cfRule>
    <cfRule type="expression" dxfId="1207" priority="24">
      <formula>AC$9&lt;8/24</formula>
    </cfRule>
    <cfRule type="expression" dxfId="1206" priority="21">
      <formula>AC$9&gt;=20/24</formula>
    </cfRule>
  </conditionalFormatting>
  <conditionalFormatting sqref="AT16:AT21">
    <cfRule type="expression" dxfId="1205" priority="25">
      <formula>BG$9&gt;=20/24</formula>
    </cfRule>
    <cfRule type="expression" dxfId="1204" priority="26">
      <formula>AND(BG$9&gt;=14/24,BG$9&lt;20/24)</formula>
    </cfRule>
    <cfRule type="expression" dxfId="1203" priority="27">
      <formula>AND(BG$9&gt;=8/24,BG$9&lt;14/24)</formula>
    </cfRule>
    <cfRule type="expression" dxfId="1202" priority="28">
      <formula>BG$9&lt;8/24</formula>
    </cfRule>
  </conditionalFormatting>
  <conditionalFormatting sqref="AU15:AV15">
    <cfRule type="expression" dxfId="1201" priority="32">
      <formula>AE$9&lt;8/24</formula>
    </cfRule>
    <cfRule type="expression" dxfId="1200" priority="31">
      <formula>AND(AE$9&gt;=8/24,AE$9&lt;14/24)</formula>
    </cfRule>
    <cfRule type="expression" dxfId="1199" priority="30">
      <formula>AND(AE$9&gt;=14/24,AE$9&lt;20/24)</formula>
    </cfRule>
    <cfRule type="expression" dxfId="1198" priority="29">
      <formula>AE$9&gt;=20/24</formula>
    </cfRule>
  </conditionalFormatting>
  <conditionalFormatting sqref="AU16:BJ21">
    <cfRule type="expression" dxfId="1197" priority="33">
      <formula>BI$9&gt;=20/24</formula>
    </cfRule>
    <cfRule type="expression" dxfId="1196" priority="34">
      <formula>AND(BI$9&gt;=14/24,BI$9&lt;20/24)</formula>
    </cfRule>
    <cfRule type="expression" dxfId="1195" priority="35">
      <formula>AND(BI$9&gt;=8/24,BI$9&lt;14/24)</formula>
    </cfRule>
    <cfRule type="expression" dxfId="1194" priority="36">
      <formula>BI$9&lt;8/24</formula>
    </cfRule>
  </conditionalFormatting>
  <conditionalFormatting sqref="AW15">
    <cfRule type="expression" dxfId="1193" priority="5">
      <formula>B$9&gt;=20/24</formula>
    </cfRule>
    <cfRule type="expression" dxfId="1192" priority="6">
      <formula>AND(B$9&gt;=14/24,B$9&lt;20/24)</formula>
    </cfRule>
    <cfRule type="expression" dxfId="1191" priority="8">
      <formula>B$9&lt;8/24</formula>
    </cfRule>
    <cfRule type="expression" dxfId="1190" priority="7">
      <formula>AND(B$9&gt;=8/24,B$9&lt;14/24)</formula>
    </cfRule>
  </conditionalFormatting>
  <pageMargins left="0.7" right="0.7" top="0.75" bottom="0.75" header="0.3" footer="0.3"/>
  <drawing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57454-C241-41B1-AD92-4085B4DCD317}">
  <dimension ref="A1:CJ294"/>
  <sheetViews>
    <sheetView zoomScaleNormal="100" workbookViewId="0">
      <pane xSplit="1" ySplit="10" topLeftCell="K79" activePane="bottomRight" state="frozen"/>
      <selection activeCell="B83" sqref="B83:J83"/>
      <selection pane="topRight" activeCell="B83" sqref="B83:J83"/>
      <selection pane="bottomLeft" activeCell="B83" sqref="B83:J83"/>
      <selection pane="bottomRight" activeCell="B83" sqref="B83:J83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20.25" hidden="1" x14ac:dyDescent="0.2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9.5" hidden="1" thickBot="1" x14ac:dyDescent="0.3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3">
      <c r="A4" s="162" t="s">
        <v>273</v>
      </c>
      <c r="B4" s="205" t="str">
        <f ca="1">"2080/"&amp;"10/"&amp;INT(MID(CELL("filename",D6),FIND("]",CELL("filename",D6))+1,200))</f>
        <v>2080/10/24</v>
      </c>
      <c r="C4" s="205"/>
      <c r="D4" s="205"/>
      <c r="E4" s="206" t="str">
        <f ca="1">"2080/"&amp;"10/"&amp;INT(MID(CELL("filename",G6),FIND("]",CELL("filename",G6))+1,200))</f>
        <v>2080/10/24</v>
      </c>
      <c r="F4" s="206"/>
      <c r="G4" s="206"/>
      <c r="H4" s="206" t="str">
        <f ca="1">TEXT(E4,"dddd")</f>
        <v>Thursday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3">
      <c r="A5" s="158"/>
      <c r="B5" s="161">
        <f t="shared" ref="B5:AE5" si="0">C92</f>
        <v>112</v>
      </c>
      <c r="C5" s="161">
        <f t="shared" si="0"/>
        <v>109</v>
      </c>
      <c r="D5" s="161">
        <f t="shared" si="0"/>
        <v>69</v>
      </c>
      <c r="E5" s="161">
        <f t="shared" si="0"/>
        <v>77.099999999999994</v>
      </c>
      <c r="F5" s="161">
        <f t="shared" si="0"/>
        <v>96.5</v>
      </c>
      <c r="G5" s="161">
        <f t="shared" si="0"/>
        <v>100.6</v>
      </c>
      <c r="H5" s="161">
        <f t="shared" si="0"/>
        <v>112</v>
      </c>
      <c r="I5" s="161">
        <f t="shared" si="0"/>
        <v>687.5</v>
      </c>
      <c r="J5" s="161">
        <f t="shared" si="0"/>
        <v>803.4</v>
      </c>
      <c r="K5" s="161">
        <f t="shared" si="0"/>
        <v>850.7</v>
      </c>
      <c r="L5" s="161">
        <f t="shared" si="0"/>
        <v>834.83</v>
      </c>
      <c r="M5" s="161">
        <f t="shared" si="0"/>
        <v>825.6</v>
      </c>
      <c r="N5" s="161">
        <f t="shared" si="0"/>
        <v>842</v>
      </c>
      <c r="O5" s="161">
        <f t="shared" si="0"/>
        <v>755.40000000000009</v>
      </c>
      <c r="P5" s="161">
        <f t="shared" si="0"/>
        <v>837.40000000000009</v>
      </c>
      <c r="Q5" s="161">
        <f t="shared" si="0"/>
        <v>839.5</v>
      </c>
      <c r="R5" s="161">
        <f t="shared" si="0"/>
        <v>864.09999999999991</v>
      </c>
      <c r="S5" s="161">
        <f t="shared" si="0"/>
        <v>866.9</v>
      </c>
      <c r="T5" s="161">
        <f t="shared" si="0"/>
        <v>870.6</v>
      </c>
      <c r="U5" s="161">
        <f t="shared" si="0"/>
        <v>870.6</v>
      </c>
      <c r="V5" s="161">
        <f t="shared" si="0"/>
        <v>724.7</v>
      </c>
      <c r="W5" s="161">
        <f t="shared" si="0"/>
        <v>450.79999999999995</v>
      </c>
      <c r="X5" s="161">
        <f t="shared" si="0"/>
        <v>348.20000000000005</v>
      </c>
      <c r="Y5" s="161">
        <f t="shared" si="0"/>
        <v>254.2</v>
      </c>
      <c r="Z5" s="161">
        <f t="shared" si="0"/>
        <v>123.89999999999999</v>
      </c>
      <c r="AA5" s="161">
        <f t="shared" si="0"/>
        <v>138.5</v>
      </c>
      <c r="AB5" s="161">
        <f t="shared" si="0"/>
        <v>147.80000000000001</v>
      </c>
      <c r="AC5" s="161">
        <f t="shared" si="0"/>
        <v>128.5</v>
      </c>
      <c r="AD5" s="161">
        <f t="shared" si="0"/>
        <v>153.4</v>
      </c>
      <c r="AE5" s="161">
        <f t="shared" si="0"/>
        <v>165.9</v>
      </c>
      <c r="AF5" s="161">
        <f>B92</f>
        <v>100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3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1728MW at 8:00hr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5" thickBot="1" x14ac:dyDescent="0.3">
      <c r="A7" s="151" t="str">
        <f>"Base Load="&amp;ROUND(MIN($B$7:$AF$7),0)</f>
        <v>Base Load=1400</v>
      </c>
      <c r="B7" s="150">
        <f t="shared" ref="B7:AF7" si="1">B100</f>
        <v>1543.84</v>
      </c>
      <c r="C7" s="150">
        <f t="shared" si="1"/>
        <v>1495.84</v>
      </c>
      <c r="D7" s="150">
        <f t="shared" si="1"/>
        <v>1452.84</v>
      </c>
      <c r="E7" s="150">
        <f t="shared" si="1"/>
        <v>1441.3</v>
      </c>
      <c r="F7" s="150">
        <f t="shared" si="1"/>
        <v>1418.94</v>
      </c>
      <c r="G7" s="150">
        <f t="shared" si="1"/>
        <v>1458.54</v>
      </c>
      <c r="H7" s="150">
        <f t="shared" si="1"/>
        <v>1491.04</v>
      </c>
      <c r="I7" s="150">
        <f t="shared" si="1"/>
        <v>1421.04</v>
      </c>
      <c r="J7" s="150">
        <f t="shared" si="1"/>
        <v>1536.24</v>
      </c>
      <c r="K7" s="150">
        <f t="shared" si="1"/>
        <v>1646.04</v>
      </c>
      <c r="L7" s="150">
        <f t="shared" si="1"/>
        <v>1726.94</v>
      </c>
      <c r="M7" s="150">
        <f t="shared" si="1"/>
        <v>1728.17</v>
      </c>
      <c r="N7" s="150">
        <f t="shared" si="1"/>
        <v>1653.7399999999998</v>
      </c>
      <c r="O7" s="150">
        <f t="shared" si="1"/>
        <v>1705.84</v>
      </c>
      <c r="P7" s="150">
        <f t="shared" si="1"/>
        <v>1695.54</v>
      </c>
      <c r="Q7" s="150">
        <f t="shared" si="1"/>
        <v>1777.54</v>
      </c>
      <c r="R7" s="150">
        <f t="shared" si="1"/>
        <v>1761.6399999999999</v>
      </c>
      <c r="S7" s="150">
        <f t="shared" si="1"/>
        <v>1810.5699999999997</v>
      </c>
      <c r="T7" s="150">
        <f t="shared" si="1"/>
        <v>1815.6399999999999</v>
      </c>
      <c r="U7" s="150">
        <f t="shared" si="1"/>
        <v>1799.7399999999998</v>
      </c>
      <c r="V7" s="150">
        <f t="shared" si="1"/>
        <v>1745.2399999999998</v>
      </c>
      <c r="W7" s="150">
        <f t="shared" si="1"/>
        <v>1602.6399999999999</v>
      </c>
      <c r="X7" s="150">
        <f t="shared" si="1"/>
        <v>1410.2399999999998</v>
      </c>
      <c r="Y7" s="150">
        <f t="shared" si="1"/>
        <v>1399.9399999999998</v>
      </c>
      <c r="Z7" s="150">
        <f t="shared" si="1"/>
        <v>1793.84</v>
      </c>
      <c r="AA7" s="150">
        <f t="shared" si="1"/>
        <v>1672.24</v>
      </c>
      <c r="AB7" s="150">
        <f t="shared" si="1"/>
        <v>1622.24</v>
      </c>
      <c r="AC7" s="150">
        <f t="shared" si="1"/>
        <v>1615.1399999999996</v>
      </c>
      <c r="AD7" s="150">
        <f t="shared" si="1"/>
        <v>1608.24</v>
      </c>
      <c r="AE7" s="150">
        <f t="shared" si="1"/>
        <v>1575.8400000000001</v>
      </c>
      <c r="AF7" s="150">
        <f t="shared" si="1"/>
        <v>1545.04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7.25" thickTop="1" thickBot="1" x14ac:dyDescent="0.3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1815.64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2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1815.64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.75" thickBot="1" x14ac:dyDescent="0.3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25">
      <c r="A11" s="89" t="s">
        <v>264</v>
      </c>
      <c r="B11" s="102">
        <v>18.899999999999999</v>
      </c>
      <c r="C11" s="102">
        <v>18.899999999999999</v>
      </c>
      <c r="D11" s="102">
        <v>18.899999999999999</v>
      </c>
      <c r="E11" s="102">
        <v>20.6</v>
      </c>
      <c r="F11" s="102">
        <v>21</v>
      </c>
      <c r="G11" s="102">
        <v>20.9</v>
      </c>
      <c r="H11" s="102">
        <v>20.7</v>
      </c>
      <c r="I11" s="102">
        <v>20.7</v>
      </c>
      <c r="J11" s="102">
        <v>20.7</v>
      </c>
      <c r="K11" s="102">
        <v>20.7</v>
      </c>
      <c r="L11" s="102">
        <v>20.7</v>
      </c>
      <c r="M11" s="102">
        <v>20.9</v>
      </c>
      <c r="N11" s="102">
        <v>20.9</v>
      </c>
      <c r="O11" s="102">
        <v>20.9</v>
      </c>
      <c r="P11" s="102">
        <v>20.9</v>
      </c>
      <c r="Q11" s="102">
        <v>20.9</v>
      </c>
      <c r="R11" s="102">
        <v>20.9</v>
      </c>
      <c r="S11" s="102">
        <v>20.9</v>
      </c>
      <c r="T11" s="102">
        <v>20.9</v>
      </c>
      <c r="U11" s="102">
        <v>20.9</v>
      </c>
      <c r="V11" s="102">
        <v>20.9</v>
      </c>
      <c r="W11" s="102">
        <v>20.9</v>
      </c>
      <c r="X11" s="102">
        <v>20.9</v>
      </c>
      <c r="Y11" s="102">
        <v>20.9</v>
      </c>
      <c r="Z11" s="102">
        <v>20.9</v>
      </c>
      <c r="AA11" s="102">
        <v>20.9</v>
      </c>
      <c r="AB11" s="102">
        <v>19.3</v>
      </c>
      <c r="AC11" s="102">
        <v>20.399999999999999</v>
      </c>
      <c r="AD11" s="102">
        <v>20.399999999999999</v>
      </c>
      <c r="AE11" s="102">
        <v>20.399999999999999</v>
      </c>
      <c r="AF11" s="102">
        <v>20.399999999999999</v>
      </c>
      <c r="AG11" s="140">
        <v>86</v>
      </c>
      <c r="AH11" s="12">
        <f t="shared" ref="AH11:AH16" si="2">MAX(B11:AF11)</f>
        <v>21</v>
      </c>
      <c r="AI11" s="11">
        <f t="shared" ref="AI11:AI16" si="3">MIN(B11:AF11)</f>
        <v>18.899999999999999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25">
      <c r="A12" s="89" t="s">
        <v>263</v>
      </c>
      <c r="B12" s="102">
        <v>11</v>
      </c>
      <c r="C12" s="102">
        <v>11</v>
      </c>
      <c r="D12" s="102">
        <v>11</v>
      </c>
      <c r="E12" s="102">
        <v>11</v>
      </c>
      <c r="F12" s="102">
        <v>11</v>
      </c>
      <c r="G12" s="102">
        <v>11</v>
      </c>
      <c r="H12" s="102">
        <v>11</v>
      </c>
      <c r="I12" s="102">
        <v>11</v>
      </c>
      <c r="J12" s="102">
        <v>11</v>
      </c>
      <c r="K12" s="102">
        <v>11</v>
      </c>
      <c r="L12" s="102">
        <v>11</v>
      </c>
      <c r="M12" s="102">
        <v>11</v>
      </c>
      <c r="N12" s="102">
        <v>11</v>
      </c>
      <c r="O12" s="102">
        <v>11</v>
      </c>
      <c r="P12" s="102">
        <v>11</v>
      </c>
      <c r="Q12" s="102">
        <v>11</v>
      </c>
      <c r="R12" s="102">
        <v>11</v>
      </c>
      <c r="S12" s="102">
        <v>11</v>
      </c>
      <c r="T12" s="102">
        <v>11</v>
      </c>
      <c r="U12" s="102">
        <v>11</v>
      </c>
      <c r="V12" s="102">
        <v>11</v>
      </c>
      <c r="W12" s="102">
        <v>11</v>
      </c>
      <c r="X12" s="102">
        <v>11</v>
      </c>
      <c r="Y12" s="102">
        <v>11</v>
      </c>
      <c r="Z12" s="102">
        <v>11</v>
      </c>
      <c r="AA12" s="102">
        <v>11</v>
      </c>
      <c r="AB12" s="102">
        <v>11</v>
      </c>
      <c r="AC12" s="102">
        <v>11</v>
      </c>
      <c r="AD12" s="102">
        <v>11</v>
      </c>
      <c r="AE12" s="102">
        <v>11</v>
      </c>
      <c r="AF12" s="102">
        <v>11</v>
      </c>
      <c r="AG12" s="130">
        <v>54</v>
      </c>
      <c r="AH12" s="12">
        <f t="shared" si="2"/>
        <v>11</v>
      </c>
      <c r="AI12" s="11">
        <f t="shared" si="3"/>
        <v>11</v>
      </c>
      <c r="AK12" s="19"/>
      <c r="AL12" s="6" t="str">
        <f ca="1">MID(CELL("filename",C7),FIND("]",CELL("filename",C7))+1,600)</f>
        <v>24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25">
      <c r="A13" s="89" t="s">
        <v>262</v>
      </c>
      <c r="B13" s="102">
        <v>22.2</v>
      </c>
      <c r="C13" s="102">
        <v>22.2</v>
      </c>
      <c r="D13" s="102">
        <v>22.2</v>
      </c>
      <c r="E13" s="102">
        <v>22.2</v>
      </c>
      <c r="F13" s="102">
        <v>22.2</v>
      </c>
      <c r="G13" s="102">
        <v>22.2</v>
      </c>
      <c r="H13" s="102">
        <v>22.2</v>
      </c>
      <c r="I13" s="102">
        <v>22.2</v>
      </c>
      <c r="J13" s="102">
        <v>22.2</v>
      </c>
      <c r="K13" s="102">
        <v>18</v>
      </c>
      <c r="L13" s="102">
        <v>22.2</v>
      </c>
      <c r="M13" s="102">
        <v>22</v>
      </c>
      <c r="N13" s="102">
        <v>22</v>
      </c>
      <c r="O13" s="102">
        <v>22</v>
      </c>
      <c r="P13" s="102">
        <v>22</v>
      </c>
      <c r="Q13" s="102">
        <v>22</v>
      </c>
      <c r="R13" s="102">
        <v>22</v>
      </c>
      <c r="S13" s="102">
        <v>22</v>
      </c>
      <c r="T13" s="102">
        <v>22</v>
      </c>
      <c r="U13" s="102">
        <v>22</v>
      </c>
      <c r="V13" s="102">
        <v>22</v>
      </c>
      <c r="W13" s="102">
        <v>22</v>
      </c>
      <c r="X13" s="102">
        <v>22</v>
      </c>
      <c r="Y13" s="102">
        <v>22</v>
      </c>
      <c r="Z13" s="102">
        <v>22</v>
      </c>
      <c r="AA13" s="102">
        <v>22</v>
      </c>
      <c r="AB13" s="102">
        <v>19</v>
      </c>
      <c r="AC13" s="102">
        <v>19</v>
      </c>
      <c r="AD13" s="102">
        <v>19</v>
      </c>
      <c r="AE13" s="102">
        <v>19</v>
      </c>
      <c r="AF13" s="102">
        <v>19</v>
      </c>
      <c r="AG13" s="130">
        <v>54</v>
      </c>
      <c r="AH13" s="12">
        <f t="shared" si="2"/>
        <v>22.2</v>
      </c>
      <c r="AI13" s="11">
        <f t="shared" si="3"/>
        <v>18</v>
      </c>
      <c r="AK13" s="19"/>
      <c r="AL13" s="6" t="str">
        <f ca="1">"Daily Load Curve(Excluding of Export) of Nepal ("&amp;A4&amp;" "&amp;B4&amp;")"</f>
        <v>Daily Load Curve(Excluding of Export) of Nepal (Nepali Date: 2080/10/24)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.75" thickBot="1" x14ac:dyDescent="0.3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.75" thickTop="1" x14ac:dyDescent="0.25">
      <c r="A15" s="89" t="s">
        <v>260</v>
      </c>
      <c r="B15" s="102">
        <v>50</v>
      </c>
      <c r="C15" s="102">
        <v>50</v>
      </c>
      <c r="D15" s="102">
        <v>50</v>
      </c>
      <c r="E15" s="102">
        <v>50</v>
      </c>
      <c r="F15" s="102">
        <v>50</v>
      </c>
      <c r="G15" s="102">
        <v>50</v>
      </c>
      <c r="H15" s="102">
        <v>50</v>
      </c>
      <c r="I15" s="102">
        <v>50</v>
      </c>
      <c r="J15" s="102">
        <v>50</v>
      </c>
      <c r="K15" s="102">
        <v>50</v>
      </c>
      <c r="L15" s="102">
        <v>50</v>
      </c>
      <c r="M15" s="102">
        <v>50.6</v>
      </c>
      <c r="N15" s="102">
        <v>50.6</v>
      </c>
      <c r="O15" s="102">
        <v>50.6</v>
      </c>
      <c r="P15" s="102">
        <v>50.6</v>
      </c>
      <c r="Q15" s="102">
        <v>50.6</v>
      </c>
      <c r="R15" s="102">
        <v>50.6</v>
      </c>
      <c r="S15" s="102">
        <v>50.6</v>
      </c>
      <c r="T15" s="102">
        <v>50.6</v>
      </c>
      <c r="U15" s="102">
        <v>50.6</v>
      </c>
      <c r="V15" s="102">
        <v>50.6</v>
      </c>
      <c r="W15" s="102">
        <v>50.6</v>
      </c>
      <c r="X15" s="102">
        <v>50.6</v>
      </c>
      <c r="Y15" s="102">
        <v>50.6</v>
      </c>
      <c r="Z15" s="123">
        <v>50.6</v>
      </c>
      <c r="AA15" s="123">
        <v>50.6</v>
      </c>
      <c r="AB15" s="123">
        <v>50.4</v>
      </c>
      <c r="AC15" s="123">
        <v>50.4</v>
      </c>
      <c r="AD15" s="123">
        <v>50.4</v>
      </c>
      <c r="AE15" s="123">
        <v>50.4</v>
      </c>
      <c r="AF15" s="123">
        <v>50.4</v>
      </c>
      <c r="AG15" s="130">
        <v>50</v>
      </c>
      <c r="AH15" s="12">
        <f t="shared" si="2"/>
        <v>50.6</v>
      </c>
      <c r="AI15" s="11">
        <f t="shared" si="3"/>
        <v>50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25">
      <c r="A16" s="89" t="s">
        <v>258</v>
      </c>
      <c r="B16" s="102">
        <v>15.1</v>
      </c>
      <c r="C16" s="102">
        <v>15.1</v>
      </c>
      <c r="D16" s="102">
        <v>15.1</v>
      </c>
      <c r="E16" s="102">
        <v>15.1</v>
      </c>
      <c r="F16" s="102">
        <v>15.1</v>
      </c>
      <c r="G16" s="102">
        <v>15.1</v>
      </c>
      <c r="H16" s="102">
        <v>15.1</v>
      </c>
      <c r="I16" s="102">
        <v>15.1</v>
      </c>
      <c r="J16" s="102">
        <v>15.1</v>
      </c>
      <c r="K16" s="102">
        <v>15.1</v>
      </c>
      <c r="L16" s="102">
        <v>15.1</v>
      </c>
      <c r="M16" s="102">
        <v>15.1</v>
      </c>
      <c r="N16" s="102">
        <v>15.1</v>
      </c>
      <c r="O16" s="102">
        <v>15.1</v>
      </c>
      <c r="P16" s="102">
        <v>15.1</v>
      </c>
      <c r="Q16" s="102">
        <v>15.1</v>
      </c>
      <c r="R16" s="102">
        <v>15.1</v>
      </c>
      <c r="S16" s="102">
        <v>15.1</v>
      </c>
      <c r="T16" s="102">
        <v>15.1</v>
      </c>
      <c r="U16" s="102">
        <v>15.1</v>
      </c>
      <c r="V16" s="102">
        <v>15.1</v>
      </c>
      <c r="W16" s="102">
        <v>15.1</v>
      </c>
      <c r="X16" s="102">
        <v>15.1</v>
      </c>
      <c r="Y16" s="102">
        <v>15.1</v>
      </c>
      <c r="Z16" s="102">
        <v>15.1</v>
      </c>
      <c r="AA16" s="102">
        <v>15.1</v>
      </c>
      <c r="AB16" s="102">
        <v>15.2</v>
      </c>
      <c r="AC16" s="102">
        <v>15.2</v>
      </c>
      <c r="AD16" s="102">
        <v>15.2</v>
      </c>
      <c r="AE16" s="102">
        <v>15.2</v>
      </c>
      <c r="AF16" s="102">
        <v>15.2</v>
      </c>
      <c r="AG16" s="130">
        <v>45</v>
      </c>
      <c r="AH16" s="12">
        <f t="shared" si="2"/>
        <v>15.2</v>
      </c>
      <c r="AI16" s="11">
        <f t="shared" si="3"/>
        <v>15.1</v>
      </c>
      <c r="AK16" s="19"/>
      <c r="AL16" s="135" t="s">
        <v>7</v>
      </c>
      <c r="AM16" s="134">
        <f t="shared" ref="AM16:AR16" si="4">B58</f>
        <v>510.19999999999993</v>
      </c>
      <c r="AN16" s="134">
        <f t="shared" si="4"/>
        <v>510.19999999999993</v>
      </c>
      <c r="AO16" s="134">
        <f t="shared" si="4"/>
        <v>510.19999999999993</v>
      </c>
      <c r="AP16" s="134">
        <f t="shared" si="4"/>
        <v>511.9</v>
      </c>
      <c r="AQ16" s="134">
        <f t="shared" si="4"/>
        <v>512.29999999999995</v>
      </c>
      <c r="AR16" s="134">
        <f t="shared" si="4"/>
        <v>512.19999999999993</v>
      </c>
      <c r="AS16" s="134">
        <f>I58</f>
        <v>512</v>
      </c>
      <c r="AT16" s="134">
        <f>K58</f>
        <v>510.4</v>
      </c>
      <c r="AU16" s="134">
        <f t="shared" ref="AU16:BD16" si="5">M58</f>
        <v>516.59999999999991</v>
      </c>
      <c r="AV16" s="134">
        <f t="shared" si="5"/>
        <v>516.59999999999991</v>
      </c>
      <c r="AW16" s="134">
        <f t="shared" si="5"/>
        <v>516.59999999999991</v>
      </c>
      <c r="AX16" s="134">
        <f t="shared" si="5"/>
        <v>516.59999999999991</v>
      </c>
      <c r="AY16" s="134">
        <f t="shared" si="5"/>
        <v>516.59999999999991</v>
      </c>
      <c r="AZ16" s="134">
        <f t="shared" si="5"/>
        <v>516.59999999999991</v>
      </c>
      <c r="BA16" s="134">
        <f t="shared" si="5"/>
        <v>516.59999999999991</v>
      </c>
      <c r="BB16" s="134">
        <f t="shared" si="5"/>
        <v>516.59999999999991</v>
      </c>
      <c r="BC16" s="134">
        <f t="shared" si="5"/>
        <v>516.59999999999991</v>
      </c>
      <c r="BD16" s="134">
        <f t="shared" si="5"/>
        <v>516.59999999999991</v>
      </c>
      <c r="BE16" s="133">
        <f>X58</f>
        <v>516.59999999999991</v>
      </c>
      <c r="BF16" s="133">
        <f>Z58</f>
        <v>516.59999999999991</v>
      </c>
      <c r="BG16" s="133">
        <f>AB58</f>
        <v>517.09999999999991</v>
      </c>
      <c r="BH16" s="133">
        <f>AD58</f>
        <v>518.19999999999993</v>
      </c>
      <c r="BI16" s="133">
        <f>AE58</f>
        <v>518.19999999999993</v>
      </c>
      <c r="BJ16" s="133">
        <f>AF58</f>
        <v>518.19999999999993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25">
      <c r="A17" s="89" t="s">
        <v>257</v>
      </c>
      <c r="B17" s="102">
        <v>16</v>
      </c>
      <c r="C17" s="102">
        <v>16</v>
      </c>
      <c r="D17" s="102">
        <v>16</v>
      </c>
      <c r="E17" s="102">
        <v>16</v>
      </c>
      <c r="F17" s="102">
        <v>16</v>
      </c>
      <c r="G17" s="102">
        <v>16</v>
      </c>
      <c r="H17" s="102">
        <v>16</v>
      </c>
      <c r="I17" s="102">
        <v>16</v>
      </c>
      <c r="J17" s="102">
        <v>16</v>
      </c>
      <c r="K17" s="102">
        <v>16</v>
      </c>
      <c r="L17" s="102">
        <v>16</v>
      </c>
      <c r="M17" s="102">
        <v>20</v>
      </c>
      <c r="N17" s="102">
        <v>20</v>
      </c>
      <c r="O17" s="102">
        <v>20</v>
      </c>
      <c r="P17" s="102">
        <v>20</v>
      </c>
      <c r="Q17" s="102">
        <v>20</v>
      </c>
      <c r="R17" s="102">
        <v>20</v>
      </c>
      <c r="S17" s="102">
        <v>20</v>
      </c>
      <c r="T17" s="102">
        <v>20</v>
      </c>
      <c r="U17" s="102">
        <v>20</v>
      </c>
      <c r="V17" s="102">
        <v>20</v>
      </c>
      <c r="W17" s="102">
        <v>20</v>
      </c>
      <c r="X17" s="102">
        <v>20</v>
      </c>
      <c r="Y17" s="102">
        <v>20</v>
      </c>
      <c r="Z17" s="102">
        <v>20</v>
      </c>
      <c r="AA17" s="102">
        <v>20</v>
      </c>
      <c r="AB17" s="102">
        <v>20</v>
      </c>
      <c r="AC17" s="102">
        <v>20</v>
      </c>
      <c r="AD17" s="102">
        <v>20</v>
      </c>
      <c r="AE17" s="102">
        <v>20</v>
      </c>
      <c r="AF17" s="102">
        <v>20</v>
      </c>
      <c r="AG17" s="130">
        <v>44</v>
      </c>
      <c r="AH17" s="12">
        <f>MAX(B17:AG17)</f>
        <v>44</v>
      </c>
      <c r="AI17" s="11">
        <f>MIN(B17:AG17)</f>
        <v>16</v>
      </c>
      <c r="AK17" s="19"/>
      <c r="AL17" s="135" t="s">
        <v>256</v>
      </c>
      <c r="AM17" s="134">
        <f t="shared" ref="AM17:AR17" si="6">B62</f>
        <v>239.89999999999998</v>
      </c>
      <c r="AN17" s="134">
        <f t="shared" si="6"/>
        <v>199.89999999999998</v>
      </c>
      <c r="AO17" s="134">
        <f t="shared" si="6"/>
        <v>159.89999999999998</v>
      </c>
      <c r="AP17" s="134">
        <f t="shared" si="6"/>
        <v>171.1</v>
      </c>
      <c r="AQ17" s="134">
        <f t="shared" si="6"/>
        <v>161.1</v>
      </c>
      <c r="AR17" s="134">
        <f t="shared" si="6"/>
        <v>194.1</v>
      </c>
      <c r="AS17" s="134">
        <f>I62</f>
        <v>193.1</v>
      </c>
      <c r="AT17" s="134">
        <f>K62</f>
        <v>41.099999999999994</v>
      </c>
      <c r="AU17" s="134">
        <f t="shared" ref="AU17:BD17" si="7">M62</f>
        <v>40.9</v>
      </c>
      <c r="AV17" s="134">
        <f t="shared" si="7"/>
        <v>40.9</v>
      </c>
      <c r="AW17" s="134">
        <f t="shared" si="7"/>
        <v>40.9</v>
      </c>
      <c r="AX17" s="134">
        <f t="shared" si="7"/>
        <v>40.9</v>
      </c>
      <c r="AY17" s="134">
        <f t="shared" si="7"/>
        <v>40.9</v>
      </c>
      <c r="AZ17" s="134">
        <f t="shared" si="7"/>
        <v>40.9</v>
      </c>
      <c r="BA17" s="134">
        <f t="shared" si="7"/>
        <v>40.9</v>
      </c>
      <c r="BB17" s="134">
        <f t="shared" si="7"/>
        <v>40.9</v>
      </c>
      <c r="BC17" s="134">
        <f t="shared" si="7"/>
        <v>40.9</v>
      </c>
      <c r="BD17" s="134">
        <f t="shared" si="7"/>
        <v>40.9</v>
      </c>
      <c r="BE17" s="133">
        <f>X62</f>
        <v>172.5</v>
      </c>
      <c r="BF17" s="133">
        <f>Z62</f>
        <v>382.2</v>
      </c>
      <c r="BG17" s="133">
        <f>AB62</f>
        <v>318</v>
      </c>
      <c r="BH17" s="133">
        <f>AD62</f>
        <v>369.09999999999997</v>
      </c>
      <c r="BI17" s="133">
        <f>AE62</f>
        <v>339.59999999999997</v>
      </c>
      <c r="BJ17" s="133">
        <f>AF62</f>
        <v>298.5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25">
      <c r="A18" s="89" t="s">
        <v>255</v>
      </c>
      <c r="B18" s="102">
        <v>9.5</v>
      </c>
      <c r="C18" s="102">
        <v>9.5</v>
      </c>
      <c r="D18" s="102">
        <v>9.5</v>
      </c>
      <c r="E18" s="102">
        <v>9.5</v>
      </c>
      <c r="F18" s="102">
        <v>9.5</v>
      </c>
      <c r="G18" s="102">
        <v>9.5</v>
      </c>
      <c r="H18" s="102">
        <v>9.5</v>
      </c>
      <c r="I18" s="102">
        <v>9.5</v>
      </c>
      <c r="J18" s="102">
        <v>9.5</v>
      </c>
      <c r="K18" s="102">
        <v>10.5</v>
      </c>
      <c r="L18" s="102">
        <v>9.5</v>
      </c>
      <c r="M18" s="102">
        <v>9.5</v>
      </c>
      <c r="N18" s="102">
        <v>9.5</v>
      </c>
      <c r="O18" s="102">
        <v>9.5</v>
      </c>
      <c r="P18" s="102">
        <v>9.5</v>
      </c>
      <c r="Q18" s="102">
        <v>9.5</v>
      </c>
      <c r="R18" s="102">
        <v>9.5</v>
      </c>
      <c r="S18" s="102">
        <v>9.5</v>
      </c>
      <c r="T18" s="102">
        <v>9.5</v>
      </c>
      <c r="U18" s="102">
        <v>9.5</v>
      </c>
      <c r="V18" s="102">
        <v>9.5</v>
      </c>
      <c r="W18" s="102">
        <v>9.5</v>
      </c>
      <c r="X18" s="102">
        <v>9.5</v>
      </c>
      <c r="Y18" s="102">
        <v>9.5</v>
      </c>
      <c r="Z18" s="102">
        <v>9.5</v>
      </c>
      <c r="AA18" s="102">
        <v>9.5</v>
      </c>
      <c r="AB18" s="102">
        <v>12</v>
      </c>
      <c r="AC18" s="102">
        <v>12</v>
      </c>
      <c r="AD18" s="102">
        <v>12</v>
      </c>
      <c r="AE18" s="102">
        <v>12</v>
      </c>
      <c r="AF18" s="102">
        <v>12</v>
      </c>
      <c r="AG18" s="130">
        <v>42</v>
      </c>
      <c r="AH18" s="12">
        <f t="shared" ref="AH18:AH81" si="8">MAX(B18:AF18)</f>
        <v>12</v>
      </c>
      <c r="AI18" s="11">
        <f t="shared" ref="AI18:AI81" si="9">MIN(B18:AF18)</f>
        <v>9.5</v>
      </c>
      <c r="AK18" s="19"/>
      <c r="AL18" s="135" t="s">
        <v>254</v>
      </c>
      <c r="AM18" s="134">
        <f t="shared" ref="AM18:AR18" si="10">B76</f>
        <v>317.74</v>
      </c>
      <c r="AN18" s="134">
        <f t="shared" si="10"/>
        <v>297.74</v>
      </c>
      <c r="AO18" s="134">
        <f t="shared" si="10"/>
        <v>297.74</v>
      </c>
      <c r="AP18" s="134">
        <f t="shared" si="10"/>
        <v>311.39999999999998</v>
      </c>
      <c r="AQ18" s="134">
        <f t="shared" si="10"/>
        <v>290.84000000000003</v>
      </c>
      <c r="AR18" s="134">
        <f t="shared" si="10"/>
        <v>278.34000000000003</v>
      </c>
      <c r="AS18" s="134">
        <f>I76</f>
        <v>356.14</v>
      </c>
      <c r="AT18" s="134">
        <f>K76</f>
        <v>275.04000000000002</v>
      </c>
      <c r="AU18" s="134">
        <f t="shared" ref="AU18:BD18" si="11">M76</f>
        <v>286.84000000000009</v>
      </c>
      <c r="AV18" s="134">
        <f t="shared" si="11"/>
        <v>248.14</v>
      </c>
      <c r="AW18" s="134">
        <f t="shared" si="11"/>
        <v>282.14000000000004</v>
      </c>
      <c r="AX18" s="134">
        <f t="shared" si="11"/>
        <v>319.14000000000004</v>
      </c>
      <c r="AY18" s="134">
        <f t="shared" si="11"/>
        <v>319.14000000000004</v>
      </c>
      <c r="AZ18" s="134">
        <f t="shared" si="11"/>
        <v>281.14000000000004</v>
      </c>
      <c r="BA18" s="134">
        <f t="shared" si="11"/>
        <v>300.84000000000003</v>
      </c>
      <c r="BB18" s="134">
        <f t="shared" si="11"/>
        <v>293.44000000000005</v>
      </c>
      <c r="BC18" s="134">
        <f t="shared" si="11"/>
        <v>273.84000000000003</v>
      </c>
      <c r="BD18" s="134">
        <f t="shared" si="11"/>
        <v>219.33999999999997</v>
      </c>
      <c r="BE18" s="133">
        <f>X76</f>
        <v>219.03999999999996</v>
      </c>
      <c r="BF18" s="133">
        <f>Z76</f>
        <v>329.54</v>
      </c>
      <c r="BG18" s="133">
        <f>AB76</f>
        <v>348.44</v>
      </c>
      <c r="BH18" s="133">
        <f>AD76</f>
        <v>321.94000000000005</v>
      </c>
      <c r="BI18" s="133">
        <f>AE76</f>
        <v>294.14</v>
      </c>
      <c r="BJ18" s="133">
        <f>AF76</f>
        <v>291.84000000000003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25">
      <c r="A19" s="89" t="s">
        <v>253</v>
      </c>
      <c r="B19" s="102">
        <v>16.899999999999999</v>
      </c>
      <c r="C19" s="102">
        <v>16.899999999999999</v>
      </c>
      <c r="D19" s="102">
        <v>16.899999999999999</v>
      </c>
      <c r="E19" s="102">
        <v>16.899999999999999</v>
      </c>
      <c r="F19" s="102">
        <v>16.899999999999999</v>
      </c>
      <c r="G19" s="102">
        <v>16.899999999999999</v>
      </c>
      <c r="H19" s="102">
        <v>16.899999999999999</v>
      </c>
      <c r="I19" s="102">
        <v>16.899999999999999</v>
      </c>
      <c r="J19" s="102">
        <v>16.899999999999999</v>
      </c>
      <c r="K19" s="102">
        <v>20</v>
      </c>
      <c r="L19" s="102">
        <v>16.899999999999999</v>
      </c>
      <c r="M19" s="102">
        <v>16.899999999999999</v>
      </c>
      <c r="N19" s="102">
        <v>16.899999999999999</v>
      </c>
      <c r="O19" s="102">
        <v>16.899999999999999</v>
      </c>
      <c r="P19" s="102">
        <v>16.899999999999999</v>
      </c>
      <c r="Q19" s="102">
        <v>16.899999999999999</v>
      </c>
      <c r="R19" s="102">
        <v>16.899999999999999</v>
      </c>
      <c r="S19" s="102">
        <v>16.899999999999999</v>
      </c>
      <c r="T19" s="102">
        <v>16.899999999999999</v>
      </c>
      <c r="U19" s="102">
        <v>16.899999999999999</v>
      </c>
      <c r="V19" s="102">
        <v>16.899999999999999</v>
      </c>
      <c r="W19" s="102">
        <v>16.899999999999999</v>
      </c>
      <c r="X19" s="102">
        <v>16.899999999999999</v>
      </c>
      <c r="Y19" s="102">
        <v>16.899999999999999</v>
      </c>
      <c r="Z19" s="102">
        <v>16.899999999999999</v>
      </c>
      <c r="AA19" s="102">
        <v>16.899999999999999</v>
      </c>
      <c r="AB19" s="102">
        <v>17.2</v>
      </c>
      <c r="AC19" s="102">
        <v>17.2</v>
      </c>
      <c r="AD19" s="102">
        <v>17.2</v>
      </c>
      <c r="AE19" s="102">
        <v>17.2</v>
      </c>
      <c r="AF19" s="102">
        <v>17.2</v>
      </c>
      <c r="AG19" s="130">
        <v>38.46</v>
      </c>
      <c r="AH19" s="12">
        <f t="shared" si="8"/>
        <v>20</v>
      </c>
      <c r="AI19" s="11">
        <f t="shared" si="9"/>
        <v>16.899999999999999</v>
      </c>
      <c r="AK19" s="19"/>
      <c r="AL19" s="135" t="s">
        <v>252</v>
      </c>
      <c r="AM19" s="134">
        <f t="shared" ref="AM19:AR19" si="12">B92</f>
        <v>100</v>
      </c>
      <c r="AN19" s="134">
        <f t="shared" si="12"/>
        <v>112</v>
      </c>
      <c r="AO19" s="134">
        <f t="shared" si="12"/>
        <v>109</v>
      </c>
      <c r="AP19" s="134">
        <f t="shared" si="12"/>
        <v>69</v>
      </c>
      <c r="AQ19" s="134">
        <f t="shared" si="12"/>
        <v>77.099999999999994</v>
      </c>
      <c r="AR19" s="134">
        <f t="shared" si="12"/>
        <v>96.5</v>
      </c>
      <c r="AS19" s="134">
        <f>I92</f>
        <v>112</v>
      </c>
      <c r="AT19" s="134">
        <f>K92</f>
        <v>803.4</v>
      </c>
      <c r="AU19" s="134">
        <f t="shared" ref="AU19:BD19" si="13">M92</f>
        <v>834.83</v>
      </c>
      <c r="AV19" s="134">
        <f t="shared" si="13"/>
        <v>825.6</v>
      </c>
      <c r="AW19" s="134">
        <f t="shared" si="13"/>
        <v>842</v>
      </c>
      <c r="AX19" s="134">
        <f t="shared" si="13"/>
        <v>755.40000000000009</v>
      </c>
      <c r="AY19" s="134">
        <f t="shared" si="13"/>
        <v>837.40000000000009</v>
      </c>
      <c r="AZ19" s="134">
        <f t="shared" si="13"/>
        <v>839.5</v>
      </c>
      <c r="BA19" s="134">
        <f t="shared" si="13"/>
        <v>864.09999999999991</v>
      </c>
      <c r="BB19" s="134">
        <f t="shared" si="13"/>
        <v>866.9</v>
      </c>
      <c r="BC19" s="134">
        <f t="shared" si="13"/>
        <v>870.6</v>
      </c>
      <c r="BD19" s="134">
        <f t="shared" si="13"/>
        <v>870.6</v>
      </c>
      <c r="BE19" s="133">
        <f>X92</f>
        <v>450.79999999999995</v>
      </c>
      <c r="BF19" s="133">
        <f>Z92</f>
        <v>254.2</v>
      </c>
      <c r="BG19" s="133">
        <f>AB92</f>
        <v>138.5</v>
      </c>
      <c r="BH19" s="133">
        <f>AD92</f>
        <v>128.5</v>
      </c>
      <c r="BI19" s="133">
        <f>AE92</f>
        <v>153.4</v>
      </c>
      <c r="BJ19" s="133">
        <f>AF92</f>
        <v>165.9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25">
      <c r="A20" s="89" t="s">
        <v>251</v>
      </c>
      <c r="B20" s="102">
        <v>14</v>
      </c>
      <c r="C20" s="102">
        <v>14</v>
      </c>
      <c r="D20" s="102">
        <v>14</v>
      </c>
      <c r="E20" s="102">
        <v>14</v>
      </c>
      <c r="F20" s="102">
        <v>14</v>
      </c>
      <c r="G20" s="102">
        <v>14</v>
      </c>
      <c r="H20" s="102">
        <v>14</v>
      </c>
      <c r="I20" s="102">
        <v>14</v>
      </c>
      <c r="J20" s="102">
        <v>14</v>
      </c>
      <c r="K20" s="102">
        <v>14</v>
      </c>
      <c r="L20" s="102">
        <v>14</v>
      </c>
      <c r="M20" s="102">
        <v>14</v>
      </c>
      <c r="N20" s="102">
        <v>14</v>
      </c>
      <c r="O20" s="102">
        <v>14</v>
      </c>
      <c r="P20" s="102">
        <v>14</v>
      </c>
      <c r="Q20" s="102">
        <v>14</v>
      </c>
      <c r="R20" s="102">
        <v>14</v>
      </c>
      <c r="S20" s="102">
        <v>14</v>
      </c>
      <c r="T20" s="102">
        <v>14</v>
      </c>
      <c r="U20" s="102">
        <v>14</v>
      </c>
      <c r="V20" s="102">
        <v>14</v>
      </c>
      <c r="W20" s="102">
        <v>14</v>
      </c>
      <c r="X20" s="102">
        <v>14</v>
      </c>
      <c r="Y20" s="102">
        <v>14</v>
      </c>
      <c r="Z20" s="102">
        <v>14</v>
      </c>
      <c r="AA20" s="102">
        <v>14</v>
      </c>
      <c r="AB20" s="102">
        <v>14</v>
      </c>
      <c r="AC20" s="102">
        <v>14</v>
      </c>
      <c r="AD20" s="102">
        <v>14</v>
      </c>
      <c r="AE20" s="102">
        <v>14</v>
      </c>
      <c r="AF20" s="102">
        <v>14</v>
      </c>
      <c r="AG20" s="130">
        <v>38.46</v>
      </c>
      <c r="AH20" s="12">
        <f t="shared" si="8"/>
        <v>14</v>
      </c>
      <c r="AI20" s="11">
        <f t="shared" si="9"/>
        <v>14</v>
      </c>
      <c r="AK20" s="19"/>
      <c r="AL20" s="135" t="s">
        <v>250</v>
      </c>
      <c r="AM20" s="134">
        <f t="shared" ref="AM20:AR20" si="14">B80</f>
        <v>96</v>
      </c>
      <c r="AN20" s="134">
        <f t="shared" si="14"/>
        <v>96</v>
      </c>
      <c r="AO20" s="134">
        <f t="shared" si="14"/>
        <v>96</v>
      </c>
      <c r="AP20" s="134">
        <f t="shared" si="14"/>
        <v>97.899999999999991</v>
      </c>
      <c r="AQ20" s="134">
        <f t="shared" si="14"/>
        <v>97.600000000000009</v>
      </c>
      <c r="AR20" s="134">
        <f t="shared" si="14"/>
        <v>97.399999999999991</v>
      </c>
      <c r="AS20" s="134">
        <f>I80</f>
        <v>97.8</v>
      </c>
      <c r="AT20" s="134">
        <f>K80</f>
        <v>16.100000000000001</v>
      </c>
      <c r="AU20" s="134">
        <f t="shared" ref="AU20:BD20" si="15">M80</f>
        <v>49</v>
      </c>
      <c r="AV20" s="134">
        <f t="shared" si="15"/>
        <v>22.5</v>
      </c>
      <c r="AW20" s="134">
        <f t="shared" si="15"/>
        <v>24.2</v>
      </c>
      <c r="AX20" s="134">
        <f t="shared" si="15"/>
        <v>63.5</v>
      </c>
      <c r="AY20" s="134">
        <f t="shared" si="15"/>
        <v>63.5</v>
      </c>
      <c r="AZ20" s="134">
        <f t="shared" si="15"/>
        <v>83.5</v>
      </c>
      <c r="BA20" s="134">
        <f t="shared" si="15"/>
        <v>88.13000000000001</v>
      </c>
      <c r="BB20" s="134">
        <f t="shared" si="15"/>
        <v>97.8</v>
      </c>
      <c r="BC20" s="134">
        <f t="shared" si="15"/>
        <v>97.8</v>
      </c>
      <c r="BD20" s="134">
        <f t="shared" si="15"/>
        <v>97.8</v>
      </c>
      <c r="BE20" s="133">
        <f>X80</f>
        <v>51.300000000000004</v>
      </c>
      <c r="BF20" s="133">
        <f>Z80</f>
        <v>61.3</v>
      </c>
      <c r="BG20" s="133">
        <f>AB80</f>
        <v>20.2</v>
      </c>
      <c r="BH20" s="133">
        <f>AD80</f>
        <v>20.5</v>
      </c>
      <c r="BI20" s="133">
        <f>AE80</f>
        <v>20.5</v>
      </c>
      <c r="BJ20" s="133">
        <f>AF80</f>
        <v>20.6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25">
      <c r="A21" s="89" t="s">
        <v>249</v>
      </c>
      <c r="B21" s="102">
        <v>0</v>
      </c>
      <c r="C21" s="102">
        <v>0</v>
      </c>
      <c r="D21" s="102">
        <v>0</v>
      </c>
      <c r="E21" s="102">
        <v>0</v>
      </c>
      <c r="F21" s="102">
        <v>0</v>
      </c>
      <c r="G21" s="102">
        <v>0</v>
      </c>
      <c r="H21" s="102">
        <v>0</v>
      </c>
      <c r="I21" s="102">
        <v>0</v>
      </c>
      <c r="J21" s="102">
        <v>0</v>
      </c>
      <c r="K21" s="102">
        <v>0</v>
      </c>
      <c r="L21" s="102">
        <v>0</v>
      </c>
      <c r="M21" s="102">
        <v>0</v>
      </c>
      <c r="N21" s="102">
        <v>0</v>
      </c>
      <c r="O21" s="102">
        <v>0</v>
      </c>
      <c r="P21" s="102">
        <v>0</v>
      </c>
      <c r="Q21" s="102">
        <v>0</v>
      </c>
      <c r="R21" s="102">
        <v>0</v>
      </c>
      <c r="S21" s="102">
        <v>0</v>
      </c>
      <c r="T21" s="102">
        <v>0</v>
      </c>
      <c r="U21" s="102">
        <v>0</v>
      </c>
      <c r="V21" s="102">
        <v>0</v>
      </c>
      <c r="W21" s="102">
        <v>0</v>
      </c>
      <c r="X21" s="102">
        <v>0</v>
      </c>
      <c r="Y21" s="102">
        <v>0</v>
      </c>
      <c r="Z21" s="102">
        <v>0</v>
      </c>
      <c r="AA21" s="102">
        <v>0</v>
      </c>
      <c r="AB21" s="102">
        <v>0</v>
      </c>
      <c r="AC21" s="102">
        <v>0</v>
      </c>
      <c r="AD21" s="102">
        <v>0</v>
      </c>
      <c r="AE21" s="102">
        <v>0</v>
      </c>
      <c r="AF21" s="102">
        <v>0</v>
      </c>
      <c r="AG21" s="130">
        <v>36</v>
      </c>
      <c r="AH21" s="12">
        <f t="shared" si="8"/>
        <v>0</v>
      </c>
      <c r="AI21" s="11">
        <f t="shared" si="9"/>
        <v>0</v>
      </c>
      <c r="AK21" s="19"/>
      <c r="AL21" s="135" t="s">
        <v>248</v>
      </c>
      <c r="AM21" s="134">
        <f t="shared" ref="AM21:AR21" si="16">B98</f>
        <v>280</v>
      </c>
      <c r="AN21" s="134">
        <f t="shared" si="16"/>
        <v>280</v>
      </c>
      <c r="AO21" s="134">
        <f t="shared" si="16"/>
        <v>280</v>
      </c>
      <c r="AP21" s="134">
        <f t="shared" si="16"/>
        <v>280</v>
      </c>
      <c r="AQ21" s="134">
        <f t="shared" si="16"/>
        <v>280</v>
      </c>
      <c r="AR21" s="134">
        <f t="shared" si="16"/>
        <v>280</v>
      </c>
      <c r="AS21" s="134">
        <f>I98</f>
        <v>150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250</v>
      </c>
      <c r="BG21" s="133">
        <f>AB98</f>
        <v>280</v>
      </c>
      <c r="BH21" s="133">
        <f>AD98</f>
        <v>250</v>
      </c>
      <c r="BI21" s="133">
        <f>AE98</f>
        <v>250</v>
      </c>
      <c r="BJ21" s="133">
        <f>AF98</f>
        <v>250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25">
      <c r="A22" s="89" t="s">
        <v>247</v>
      </c>
      <c r="B22" s="102">
        <v>8.1999999999999993</v>
      </c>
      <c r="C22" s="102">
        <v>8.1999999999999993</v>
      </c>
      <c r="D22" s="102">
        <v>8.1999999999999993</v>
      </c>
      <c r="E22" s="102">
        <v>8.1999999999999993</v>
      </c>
      <c r="F22" s="102">
        <v>8.1999999999999993</v>
      </c>
      <c r="G22" s="102">
        <v>8.1999999999999993</v>
      </c>
      <c r="H22" s="102">
        <v>9</v>
      </c>
      <c r="I22" s="102">
        <v>8.1999999999999993</v>
      </c>
      <c r="J22" s="102">
        <v>8.1999999999999993</v>
      </c>
      <c r="K22" s="102">
        <v>8.8000000000000007</v>
      </c>
      <c r="L22" s="102">
        <v>8.1999999999999993</v>
      </c>
      <c r="M22" s="102">
        <v>8.1999999999999993</v>
      </c>
      <c r="N22" s="102">
        <v>8.1999999999999993</v>
      </c>
      <c r="O22" s="102">
        <v>8.1999999999999993</v>
      </c>
      <c r="P22" s="102">
        <v>8.1999999999999993</v>
      </c>
      <c r="Q22" s="102">
        <v>8.1999999999999993</v>
      </c>
      <c r="R22" s="102">
        <v>8.1999999999999993</v>
      </c>
      <c r="S22" s="102">
        <v>8.1999999999999993</v>
      </c>
      <c r="T22" s="102">
        <v>8.1999999999999993</v>
      </c>
      <c r="U22" s="102">
        <v>8.1999999999999993</v>
      </c>
      <c r="V22" s="102">
        <v>8.1999999999999993</v>
      </c>
      <c r="W22" s="102">
        <v>8.1999999999999993</v>
      </c>
      <c r="X22" s="102">
        <v>8.1999999999999993</v>
      </c>
      <c r="Y22" s="102">
        <v>8.1999999999999993</v>
      </c>
      <c r="Z22" s="102">
        <v>8.1999999999999993</v>
      </c>
      <c r="AA22" s="102">
        <v>8.1999999999999993</v>
      </c>
      <c r="AB22" s="102">
        <v>11.1</v>
      </c>
      <c r="AC22" s="102">
        <v>11.1</v>
      </c>
      <c r="AD22" s="102">
        <v>11.1</v>
      </c>
      <c r="AE22" s="102">
        <v>11.1</v>
      </c>
      <c r="AF22" s="102">
        <v>11.1</v>
      </c>
      <c r="AG22" s="88">
        <v>30</v>
      </c>
      <c r="AH22" s="12">
        <f t="shared" si="8"/>
        <v>11.1</v>
      </c>
      <c r="AI22" s="11">
        <f t="shared" si="9"/>
        <v>8.1999999999999993</v>
      </c>
      <c r="AK22" s="19"/>
      <c r="AL22" s="132" t="s">
        <v>246</v>
      </c>
      <c r="AM22" s="131">
        <f t="shared" ref="AM22:BJ22" si="18">SUM(AM16:AM21)</f>
        <v>1543.84</v>
      </c>
      <c r="AN22" s="131">
        <f t="shared" si="18"/>
        <v>1495.84</v>
      </c>
      <c r="AO22" s="131">
        <f t="shared" si="18"/>
        <v>1452.84</v>
      </c>
      <c r="AP22" s="131">
        <f t="shared" si="18"/>
        <v>1441.3000000000002</v>
      </c>
      <c r="AQ22" s="131">
        <f t="shared" si="18"/>
        <v>1418.9399999999998</v>
      </c>
      <c r="AR22" s="131">
        <f t="shared" si="18"/>
        <v>1458.54</v>
      </c>
      <c r="AS22" s="131">
        <f t="shared" si="18"/>
        <v>1421.04</v>
      </c>
      <c r="AT22" s="131">
        <f t="shared" si="18"/>
        <v>1646.04</v>
      </c>
      <c r="AU22" s="131">
        <f t="shared" si="18"/>
        <v>1728.17</v>
      </c>
      <c r="AV22" s="131">
        <f t="shared" si="18"/>
        <v>1653.7399999999998</v>
      </c>
      <c r="AW22" s="131">
        <f t="shared" si="18"/>
        <v>1705.84</v>
      </c>
      <c r="AX22" s="131">
        <f t="shared" si="18"/>
        <v>1695.54</v>
      </c>
      <c r="AY22" s="131">
        <f t="shared" si="18"/>
        <v>1777.54</v>
      </c>
      <c r="AZ22" s="131">
        <f t="shared" si="18"/>
        <v>1761.6399999999999</v>
      </c>
      <c r="BA22" s="131">
        <f t="shared" si="18"/>
        <v>1810.57</v>
      </c>
      <c r="BB22" s="131">
        <f t="shared" si="18"/>
        <v>1815.6399999999999</v>
      </c>
      <c r="BC22" s="131">
        <f t="shared" si="18"/>
        <v>1799.74</v>
      </c>
      <c r="BD22" s="131">
        <f t="shared" si="18"/>
        <v>1745.24</v>
      </c>
      <c r="BE22" s="131">
        <f t="shared" si="18"/>
        <v>1410.2399999999998</v>
      </c>
      <c r="BF22" s="131">
        <f t="shared" si="18"/>
        <v>1793.84</v>
      </c>
      <c r="BG22" s="131">
        <f t="shared" si="18"/>
        <v>1622.24</v>
      </c>
      <c r="BH22" s="131">
        <f t="shared" si="18"/>
        <v>1608.24</v>
      </c>
      <c r="BI22" s="131">
        <f t="shared" si="18"/>
        <v>1575.8400000000001</v>
      </c>
      <c r="BJ22" s="131">
        <f t="shared" si="18"/>
        <v>1545.04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25">
      <c r="A23" s="89" t="s">
        <v>245</v>
      </c>
      <c r="B23" s="102">
        <v>5.6</v>
      </c>
      <c r="C23" s="102">
        <v>5.6</v>
      </c>
      <c r="D23" s="102">
        <v>5.6</v>
      </c>
      <c r="E23" s="102">
        <v>5.6</v>
      </c>
      <c r="F23" s="102">
        <v>5.6</v>
      </c>
      <c r="G23" s="102">
        <v>5.6</v>
      </c>
      <c r="H23" s="102">
        <v>5.6</v>
      </c>
      <c r="I23" s="102">
        <v>5.6</v>
      </c>
      <c r="J23" s="102">
        <v>5.6</v>
      </c>
      <c r="K23" s="102">
        <v>5.6</v>
      </c>
      <c r="L23" s="102">
        <v>5.6</v>
      </c>
      <c r="M23" s="102">
        <v>5.6</v>
      </c>
      <c r="N23" s="102">
        <v>5.6</v>
      </c>
      <c r="O23" s="102">
        <v>5.6</v>
      </c>
      <c r="P23" s="102">
        <v>5.6</v>
      </c>
      <c r="Q23" s="102">
        <v>5.6</v>
      </c>
      <c r="R23" s="102">
        <v>5.6</v>
      </c>
      <c r="S23" s="102">
        <v>5.6</v>
      </c>
      <c r="T23" s="102">
        <v>5.6</v>
      </c>
      <c r="U23" s="102">
        <v>5.6</v>
      </c>
      <c r="V23" s="102">
        <v>5.6</v>
      </c>
      <c r="W23" s="102">
        <v>5.6</v>
      </c>
      <c r="X23" s="102">
        <v>5.6</v>
      </c>
      <c r="Y23" s="102">
        <v>5.6</v>
      </c>
      <c r="Z23" s="102">
        <v>5.6</v>
      </c>
      <c r="AA23" s="102">
        <v>5.6</v>
      </c>
      <c r="AB23" s="102">
        <v>7.1</v>
      </c>
      <c r="AC23" s="102">
        <v>7.1</v>
      </c>
      <c r="AD23" s="102">
        <v>7.1</v>
      </c>
      <c r="AE23" s="102">
        <v>7.1</v>
      </c>
      <c r="AF23" s="102">
        <v>7.1</v>
      </c>
      <c r="AG23" s="130">
        <v>24.2</v>
      </c>
      <c r="AH23" s="12">
        <f t="shared" si="8"/>
        <v>7.1</v>
      </c>
      <c r="AI23" s="11">
        <f t="shared" si="9"/>
        <v>5.6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25">
      <c r="A24" s="89" t="s">
        <v>244</v>
      </c>
      <c r="B24" s="102">
        <v>6</v>
      </c>
      <c r="C24" s="102">
        <v>6</v>
      </c>
      <c r="D24" s="102">
        <v>6</v>
      </c>
      <c r="E24" s="102">
        <v>6</v>
      </c>
      <c r="F24" s="102">
        <v>6</v>
      </c>
      <c r="G24" s="102">
        <v>6</v>
      </c>
      <c r="H24" s="102">
        <v>6</v>
      </c>
      <c r="I24" s="102">
        <v>6</v>
      </c>
      <c r="J24" s="102">
        <v>6</v>
      </c>
      <c r="K24" s="102">
        <v>6</v>
      </c>
      <c r="L24" s="102">
        <v>6</v>
      </c>
      <c r="M24" s="102">
        <v>6</v>
      </c>
      <c r="N24" s="102">
        <v>6</v>
      </c>
      <c r="O24" s="102">
        <v>6</v>
      </c>
      <c r="P24" s="102">
        <v>6</v>
      </c>
      <c r="Q24" s="102">
        <v>6</v>
      </c>
      <c r="R24" s="102">
        <v>6</v>
      </c>
      <c r="S24" s="102">
        <v>6</v>
      </c>
      <c r="T24" s="102">
        <v>6</v>
      </c>
      <c r="U24" s="102">
        <v>6</v>
      </c>
      <c r="V24" s="102">
        <v>6</v>
      </c>
      <c r="W24" s="102">
        <v>6</v>
      </c>
      <c r="X24" s="102">
        <v>6</v>
      </c>
      <c r="Y24" s="102">
        <v>6</v>
      </c>
      <c r="Z24" s="102">
        <v>6</v>
      </c>
      <c r="AA24" s="102">
        <v>6</v>
      </c>
      <c r="AB24" s="102">
        <v>7.5</v>
      </c>
      <c r="AC24" s="102">
        <v>7.5</v>
      </c>
      <c r="AD24" s="102">
        <v>7.5</v>
      </c>
      <c r="AE24" s="102">
        <v>7.5</v>
      </c>
      <c r="AF24" s="102">
        <v>7.5</v>
      </c>
      <c r="AG24" s="130">
        <v>28</v>
      </c>
      <c r="AH24" s="12">
        <f t="shared" si="8"/>
        <v>7.5</v>
      </c>
      <c r="AI24" s="11">
        <f t="shared" si="9"/>
        <v>6</v>
      </c>
      <c r="AK24" s="19"/>
      <c r="AL24" s="132" t="s">
        <v>243</v>
      </c>
      <c r="AM24" s="131">
        <f t="shared" ref="AM24:BJ24" si="21">AM22+AM23</f>
        <v>1543.84</v>
      </c>
      <c r="AN24" s="131">
        <f t="shared" si="21"/>
        <v>1495.84</v>
      </c>
      <c r="AO24" s="131">
        <f t="shared" si="21"/>
        <v>1452.84</v>
      </c>
      <c r="AP24" s="131">
        <f t="shared" si="21"/>
        <v>1441.3000000000002</v>
      </c>
      <c r="AQ24" s="131">
        <f t="shared" si="21"/>
        <v>1418.9399999999998</v>
      </c>
      <c r="AR24" s="131">
        <f t="shared" si="21"/>
        <v>1458.54</v>
      </c>
      <c r="AS24" s="131">
        <f t="shared" si="21"/>
        <v>1421.04</v>
      </c>
      <c r="AT24" s="131">
        <f t="shared" si="21"/>
        <v>1646.04</v>
      </c>
      <c r="AU24" s="131">
        <f t="shared" si="21"/>
        <v>1728.17</v>
      </c>
      <c r="AV24" s="131">
        <f t="shared" si="21"/>
        <v>1653.7399999999998</v>
      </c>
      <c r="AW24" s="131">
        <f t="shared" si="21"/>
        <v>1705.84</v>
      </c>
      <c r="AX24" s="131">
        <f t="shared" si="21"/>
        <v>1695.54</v>
      </c>
      <c r="AY24" s="131">
        <f t="shared" si="21"/>
        <v>1777.54</v>
      </c>
      <c r="AZ24" s="131">
        <f t="shared" si="21"/>
        <v>1761.6399999999999</v>
      </c>
      <c r="BA24" s="131">
        <f t="shared" si="21"/>
        <v>1810.57</v>
      </c>
      <c r="BB24" s="131">
        <f t="shared" si="21"/>
        <v>1815.6399999999999</v>
      </c>
      <c r="BC24" s="131">
        <f t="shared" si="21"/>
        <v>1799.74</v>
      </c>
      <c r="BD24" s="131">
        <f t="shared" si="21"/>
        <v>1745.24</v>
      </c>
      <c r="BE24" s="131">
        <f t="shared" si="21"/>
        <v>1410.2399999999998</v>
      </c>
      <c r="BF24" s="131">
        <f t="shared" si="21"/>
        <v>1793.84</v>
      </c>
      <c r="BG24" s="131">
        <f t="shared" si="21"/>
        <v>1622.24</v>
      </c>
      <c r="BH24" s="131">
        <f t="shared" si="21"/>
        <v>1608.24</v>
      </c>
      <c r="BI24" s="131">
        <f t="shared" si="21"/>
        <v>1575.8400000000001</v>
      </c>
      <c r="BJ24" s="131">
        <f t="shared" si="21"/>
        <v>1545.04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25">
      <c r="A25" s="89" t="s">
        <v>242</v>
      </c>
      <c r="B25" s="102">
        <v>10.7</v>
      </c>
      <c r="C25" s="102">
        <v>10.7</v>
      </c>
      <c r="D25" s="102">
        <v>10.7</v>
      </c>
      <c r="E25" s="102">
        <v>10.7</v>
      </c>
      <c r="F25" s="102">
        <v>10.7</v>
      </c>
      <c r="G25" s="102">
        <v>10.7</v>
      </c>
      <c r="H25" s="102">
        <v>10.7</v>
      </c>
      <c r="I25" s="102">
        <v>10.7</v>
      </c>
      <c r="J25" s="102">
        <v>10.7</v>
      </c>
      <c r="K25" s="102">
        <v>8.6</v>
      </c>
      <c r="L25" s="102">
        <v>10.7</v>
      </c>
      <c r="M25" s="102">
        <v>10.7</v>
      </c>
      <c r="N25" s="102">
        <v>10.7</v>
      </c>
      <c r="O25" s="102">
        <v>10.7</v>
      </c>
      <c r="P25" s="102">
        <v>10.7</v>
      </c>
      <c r="Q25" s="102">
        <v>10.7</v>
      </c>
      <c r="R25" s="102">
        <v>10.7</v>
      </c>
      <c r="S25" s="102">
        <v>10.7</v>
      </c>
      <c r="T25" s="102">
        <v>10.7</v>
      </c>
      <c r="U25" s="102">
        <v>10.7</v>
      </c>
      <c r="V25" s="102">
        <v>10.7</v>
      </c>
      <c r="W25" s="102">
        <v>10.7</v>
      </c>
      <c r="X25" s="102">
        <v>10.7</v>
      </c>
      <c r="Y25" s="102">
        <v>10.7</v>
      </c>
      <c r="Z25" s="102">
        <v>10.7</v>
      </c>
      <c r="AA25" s="102">
        <v>10.7</v>
      </c>
      <c r="AB25" s="102">
        <v>9</v>
      </c>
      <c r="AC25" s="102">
        <v>9</v>
      </c>
      <c r="AD25" s="102">
        <v>9</v>
      </c>
      <c r="AE25" s="102">
        <v>9</v>
      </c>
      <c r="AF25" s="102">
        <v>9</v>
      </c>
      <c r="AG25" s="88">
        <v>30</v>
      </c>
      <c r="AH25" s="12">
        <f t="shared" si="8"/>
        <v>10.7</v>
      </c>
      <c r="AI25" s="11">
        <f t="shared" si="9"/>
        <v>8.6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25">
      <c r="A26" s="89" t="s">
        <v>241</v>
      </c>
      <c r="B26" s="102">
        <v>14.9</v>
      </c>
      <c r="C26" s="102">
        <v>14.9</v>
      </c>
      <c r="D26" s="102">
        <v>14.9</v>
      </c>
      <c r="E26" s="102">
        <v>14.9</v>
      </c>
      <c r="F26" s="102">
        <v>14.9</v>
      </c>
      <c r="G26" s="102">
        <v>14.9</v>
      </c>
      <c r="H26" s="102">
        <v>14.9</v>
      </c>
      <c r="I26" s="102">
        <v>14.9</v>
      </c>
      <c r="J26" s="102">
        <v>14.9</v>
      </c>
      <c r="K26" s="102">
        <v>14.9</v>
      </c>
      <c r="L26" s="102">
        <v>14.9</v>
      </c>
      <c r="M26" s="102">
        <v>14.9</v>
      </c>
      <c r="N26" s="102">
        <v>14.9</v>
      </c>
      <c r="O26" s="102">
        <v>14.9</v>
      </c>
      <c r="P26" s="102">
        <v>14.9</v>
      </c>
      <c r="Q26" s="102">
        <v>14.9</v>
      </c>
      <c r="R26" s="102">
        <v>14.9</v>
      </c>
      <c r="S26" s="102">
        <v>14.9</v>
      </c>
      <c r="T26" s="102">
        <v>14.9</v>
      </c>
      <c r="U26" s="102">
        <v>14.9</v>
      </c>
      <c r="V26" s="102">
        <v>14.9</v>
      </c>
      <c r="W26" s="102">
        <v>14.9</v>
      </c>
      <c r="X26" s="102">
        <v>14.9</v>
      </c>
      <c r="Y26" s="102">
        <v>14.9</v>
      </c>
      <c r="Z26" s="102">
        <v>14.9</v>
      </c>
      <c r="AA26" s="102">
        <v>14.9</v>
      </c>
      <c r="AB26" s="102">
        <v>13.1</v>
      </c>
      <c r="AC26" s="102">
        <v>13.1</v>
      </c>
      <c r="AD26" s="102">
        <v>13.1</v>
      </c>
      <c r="AE26" s="102">
        <v>13.1</v>
      </c>
      <c r="AF26" s="102">
        <v>13.1</v>
      </c>
      <c r="AG26" s="130">
        <v>25</v>
      </c>
      <c r="AH26" s="12">
        <f t="shared" si="8"/>
        <v>14.9</v>
      </c>
      <c r="AI26" s="11">
        <f t="shared" si="9"/>
        <v>13.1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25">
      <c r="A27" s="89" t="s">
        <v>240</v>
      </c>
      <c r="B27" s="102">
        <v>8</v>
      </c>
      <c r="C27" s="102">
        <v>8</v>
      </c>
      <c r="D27" s="102">
        <v>8</v>
      </c>
      <c r="E27" s="102">
        <v>8</v>
      </c>
      <c r="F27" s="102">
        <v>8</v>
      </c>
      <c r="G27" s="102">
        <v>8</v>
      </c>
      <c r="H27" s="102">
        <v>8</v>
      </c>
      <c r="I27" s="102">
        <v>8</v>
      </c>
      <c r="J27" s="102">
        <v>8</v>
      </c>
      <c r="K27" s="102">
        <v>8</v>
      </c>
      <c r="L27" s="102">
        <v>8</v>
      </c>
      <c r="M27" s="102">
        <v>8</v>
      </c>
      <c r="N27" s="102">
        <v>8</v>
      </c>
      <c r="O27" s="102">
        <v>8</v>
      </c>
      <c r="P27" s="102">
        <v>8</v>
      </c>
      <c r="Q27" s="102">
        <v>8</v>
      </c>
      <c r="R27" s="102">
        <v>8</v>
      </c>
      <c r="S27" s="102">
        <v>8</v>
      </c>
      <c r="T27" s="102">
        <v>8</v>
      </c>
      <c r="U27" s="102">
        <v>8</v>
      </c>
      <c r="V27" s="102">
        <v>8</v>
      </c>
      <c r="W27" s="102">
        <v>8</v>
      </c>
      <c r="X27" s="102">
        <v>8</v>
      </c>
      <c r="Y27" s="102">
        <v>8</v>
      </c>
      <c r="Z27" s="102">
        <v>8</v>
      </c>
      <c r="AA27" s="102">
        <v>8</v>
      </c>
      <c r="AB27" s="102">
        <v>8</v>
      </c>
      <c r="AC27" s="102">
        <v>8</v>
      </c>
      <c r="AD27" s="102">
        <v>8</v>
      </c>
      <c r="AE27" s="102">
        <v>8</v>
      </c>
      <c r="AF27" s="102">
        <v>8</v>
      </c>
      <c r="AG27" s="130">
        <v>25</v>
      </c>
      <c r="AH27" s="12">
        <f t="shared" si="8"/>
        <v>8</v>
      </c>
      <c r="AI27" s="11">
        <f t="shared" si="9"/>
        <v>8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25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25">
      <c r="A29" s="89" t="s">
        <v>238</v>
      </c>
      <c r="B29" s="102">
        <v>13.4</v>
      </c>
      <c r="C29" s="102">
        <v>13.4</v>
      </c>
      <c r="D29" s="102">
        <v>13.4</v>
      </c>
      <c r="E29" s="102">
        <v>13.4</v>
      </c>
      <c r="F29" s="102">
        <v>13.4</v>
      </c>
      <c r="G29" s="102">
        <v>13.4</v>
      </c>
      <c r="H29" s="102">
        <v>13.4</v>
      </c>
      <c r="I29" s="102">
        <v>13.4</v>
      </c>
      <c r="J29" s="102">
        <v>13.4</v>
      </c>
      <c r="K29" s="102">
        <v>13.4</v>
      </c>
      <c r="L29" s="102">
        <v>13.4</v>
      </c>
      <c r="M29" s="102">
        <v>13.4</v>
      </c>
      <c r="N29" s="102">
        <v>13.4</v>
      </c>
      <c r="O29" s="102">
        <v>13.4</v>
      </c>
      <c r="P29" s="102">
        <v>13.4</v>
      </c>
      <c r="Q29" s="102">
        <v>13.4</v>
      </c>
      <c r="R29" s="102">
        <v>13.4</v>
      </c>
      <c r="S29" s="102">
        <v>13.4</v>
      </c>
      <c r="T29" s="102">
        <v>13.4</v>
      </c>
      <c r="U29" s="102">
        <v>13.4</v>
      </c>
      <c r="V29" s="102">
        <v>13.4</v>
      </c>
      <c r="W29" s="102">
        <v>13.4</v>
      </c>
      <c r="X29" s="102">
        <v>13.4</v>
      </c>
      <c r="Y29" s="102">
        <v>13.4</v>
      </c>
      <c r="Z29" s="102">
        <v>13.4</v>
      </c>
      <c r="AA29" s="102">
        <v>13.4</v>
      </c>
      <c r="AB29" s="102">
        <v>13.4</v>
      </c>
      <c r="AC29" s="102">
        <v>13.4</v>
      </c>
      <c r="AD29" s="102">
        <v>13.4</v>
      </c>
      <c r="AE29" s="102">
        <v>13.4</v>
      </c>
      <c r="AF29" s="102">
        <v>13.4</v>
      </c>
      <c r="AG29" s="130">
        <v>25</v>
      </c>
      <c r="AH29" s="12">
        <f t="shared" si="8"/>
        <v>13.4</v>
      </c>
      <c r="AI29" s="11">
        <f t="shared" si="9"/>
        <v>13.4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25">
      <c r="A30" s="89" t="s">
        <v>237</v>
      </c>
      <c r="B30" s="102">
        <v>4.4000000000000004</v>
      </c>
      <c r="C30" s="102">
        <v>4.4000000000000004</v>
      </c>
      <c r="D30" s="102">
        <v>4.4000000000000004</v>
      </c>
      <c r="E30" s="102">
        <v>4.4000000000000004</v>
      </c>
      <c r="F30" s="102">
        <v>4.4000000000000004</v>
      </c>
      <c r="G30" s="102">
        <v>4.4000000000000004</v>
      </c>
      <c r="H30" s="102">
        <v>4.4000000000000004</v>
      </c>
      <c r="I30" s="102">
        <v>4.4000000000000004</v>
      </c>
      <c r="J30" s="102">
        <v>4.4000000000000004</v>
      </c>
      <c r="K30" s="102">
        <v>4.4000000000000004</v>
      </c>
      <c r="L30" s="102">
        <v>4.4000000000000004</v>
      </c>
      <c r="M30" s="102">
        <v>4.4000000000000004</v>
      </c>
      <c r="N30" s="102">
        <v>4.4000000000000004</v>
      </c>
      <c r="O30" s="102">
        <v>4.4000000000000004</v>
      </c>
      <c r="P30" s="102">
        <v>4.4000000000000004</v>
      </c>
      <c r="Q30" s="102">
        <v>4.4000000000000004</v>
      </c>
      <c r="R30" s="102">
        <v>4.4000000000000004</v>
      </c>
      <c r="S30" s="102">
        <v>4.4000000000000004</v>
      </c>
      <c r="T30" s="102">
        <v>4.4000000000000004</v>
      </c>
      <c r="U30" s="102">
        <v>4.4000000000000004</v>
      </c>
      <c r="V30" s="102">
        <v>4.4000000000000004</v>
      </c>
      <c r="W30" s="102">
        <v>4.4000000000000004</v>
      </c>
      <c r="X30" s="102">
        <v>4.4000000000000004</v>
      </c>
      <c r="Y30" s="102">
        <v>4.4000000000000004</v>
      </c>
      <c r="Z30" s="102">
        <v>4.4000000000000004</v>
      </c>
      <c r="AA30" s="102">
        <v>4.4000000000000004</v>
      </c>
      <c r="AB30" s="102">
        <v>4.4000000000000004</v>
      </c>
      <c r="AC30" s="102">
        <v>4.4000000000000004</v>
      </c>
      <c r="AD30" s="102">
        <v>4.4000000000000004</v>
      </c>
      <c r="AE30" s="102">
        <v>4.4000000000000004</v>
      </c>
      <c r="AF30" s="102">
        <v>4.4000000000000004</v>
      </c>
      <c r="AG30" s="130">
        <v>23.5</v>
      </c>
      <c r="AH30" s="12">
        <f t="shared" si="8"/>
        <v>4.4000000000000004</v>
      </c>
      <c r="AI30" s="11">
        <f t="shared" si="9"/>
        <v>4.4000000000000004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25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25">
      <c r="A32" s="89" t="s">
        <v>235</v>
      </c>
      <c r="B32" s="102">
        <v>3</v>
      </c>
      <c r="C32" s="102">
        <v>3</v>
      </c>
      <c r="D32" s="102">
        <v>3</v>
      </c>
      <c r="E32" s="102">
        <v>3</v>
      </c>
      <c r="F32" s="102">
        <v>3</v>
      </c>
      <c r="G32" s="102">
        <v>3</v>
      </c>
      <c r="H32" s="102">
        <v>3</v>
      </c>
      <c r="I32" s="102">
        <v>3</v>
      </c>
      <c r="J32" s="102">
        <v>3</v>
      </c>
      <c r="K32" s="102">
        <v>3</v>
      </c>
      <c r="L32" s="102">
        <v>3</v>
      </c>
      <c r="M32" s="102">
        <v>3</v>
      </c>
      <c r="N32" s="102">
        <v>3</v>
      </c>
      <c r="O32" s="102">
        <v>3</v>
      </c>
      <c r="P32" s="102">
        <v>3</v>
      </c>
      <c r="Q32" s="102">
        <v>3</v>
      </c>
      <c r="R32" s="102">
        <v>3</v>
      </c>
      <c r="S32" s="102">
        <v>3</v>
      </c>
      <c r="T32" s="102">
        <v>3</v>
      </c>
      <c r="U32" s="102">
        <v>3</v>
      </c>
      <c r="V32" s="102">
        <v>3</v>
      </c>
      <c r="W32" s="102">
        <v>3</v>
      </c>
      <c r="X32" s="102">
        <v>3</v>
      </c>
      <c r="Y32" s="102">
        <v>3</v>
      </c>
      <c r="Z32" s="102">
        <v>3</v>
      </c>
      <c r="AA32" s="102">
        <v>3</v>
      </c>
      <c r="AB32" s="102">
        <v>3</v>
      </c>
      <c r="AC32" s="102">
        <v>3</v>
      </c>
      <c r="AD32" s="102">
        <v>3</v>
      </c>
      <c r="AE32" s="102">
        <v>3</v>
      </c>
      <c r="AF32" s="102">
        <v>3</v>
      </c>
      <c r="AG32" s="130">
        <v>22.1</v>
      </c>
      <c r="AH32" s="12">
        <f t="shared" si="8"/>
        <v>3</v>
      </c>
      <c r="AI32" s="11">
        <f t="shared" si="9"/>
        <v>3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25">
      <c r="A33" s="89" t="s">
        <v>234</v>
      </c>
      <c r="B33" s="102">
        <v>3.9</v>
      </c>
      <c r="C33" s="102">
        <v>3.9</v>
      </c>
      <c r="D33" s="102">
        <v>3.9</v>
      </c>
      <c r="E33" s="102">
        <v>3.9</v>
      </c>
      <c r="F33" s="102">
        <v>3.9</v>
      </c>
      <c r="G33" s="102">
        <v>3.9</v>
      </c>
      <c r="H33" s="102">
        <v>3.9</v>
      </c>
      <c r="I33" s="102">
        <v>3.9</v>
      </c>
      <c r="J33" s="102">
        <v>3.9</v>
      </c>
      <c r="K33" s="102">
        <v>3.9</v>
      </c>
      <c r="L33" s="102">
        <v>3.9</v>
      </c>
      <c r="M33" s="102">
        <v>3.9</v>
      </c>
      <c r="N33" s="102">
        <v>3.9</v>
      </c>
      <c r="O33" s="102">
        <v>3.9</v>
      </c>
      <c r="P33" s="102">
        <v>3.9</v>
      </c>
      <c r="Q33" s="102">
        <v>3.9</v>
      </c>
      <c r="R33" s="102">
        <v>3.9</v>
      </c>
      <c r="S33" s="102">
        <v>3.9</v>
      </c>
      <c r="T33" s="102">
        <v>3.9</v>
      </c>
      <c r="U33" s="102">
        <v>3.9</v>
      </c>
      <c r="V33" s="102">
        <v>3.9</v>
      </c>
      <c r="W33" s="102">
        <v>3.9</v>
      </c>
      <c r="X33" s="102">
        <v>3.9</v>
      </c>
      <c r="Y33" s="102">
        <v>3.9</v>
      </c>
      <c r="Z33" s="102">
        <v>3.9</v>
      </c>
      <c r="AA33" s="102">
        <v>3.9</v>
      </c>
      <c r="AB33" s="102">
        <v>3.9</v>
      </c>
      <c r="AC33" s="102">
        <v>3.9</v>
      </c>
      <c r="AD33" s="102">
        <v>3.9</v>
      </c>
      <c r="AE33" s="102">
        <v>3.9</v>
      </c>
      <c r="AF33" s="102">
        <v>3.9</v>
      </c>
      <c r="AG33" s="130">
        <v>22</v>
      </c>
      <c r="AH33" s="12">
        <f t="shared" si="8"/>
        <v>3.9</v>
      </c>
      <c r="AI33" s="11">
        <f t="shared" si="9"/>
        <v>3.9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25">
      <c r="A34" s="89" t="s">
        <v>233</v>
      </c>
      <c r="B34" s="102">
        <v>6.5</v>
      </c>
      <c r="C34" s="102">
        <v>6.5</v>
      </c>
      <c r="D34" s="102">
        <v>6.5</v>
      </c>
      <c r="E34" s="102">
        <v>6.5</v>
      </c>
      <c r="F34" s="102">
        <v>6.5</v>
      </c>
      <c r="G34" s="102">
        <v>6.5</v>
      </c>
      <c r="H34" s="102">
        <v>6.5</v>
      </c>
      <c r="I34" s="102">
        <v>6.5</v>
      </c>
      <c r="J34" s="102">
        <v>6.5</v>
      </c>
      <c r="K34" s="102">
        <v>6.5</v>
      </c>
      <c r="L34" s="102">
        <v>6.5</v>
      </c>
      <c r="M34" s="102">
        <v>6.5</v>
      </c>
      <c r="N34" s="102">
        <v>6.5</v>
      </c>
      <c r="O34" s="102">
        <v>6.5</v>
      </c>
      <c r="P34" s="102">
        <v>6.5</v>
      </c>
      <c r="Q34" s="102">
        <v>6.5</v>
      </c>
      <c r="R34" s="102">
        <v>6.5</v>
      </c>
      <c r="S34" s="102">
        <v>6.5</v>
      </c>
      <c r="T34" s="102">
        <v>6.5</v>
      </c>
      <c r="U34" s="102">
        <v>6.5</v>
      </c>
      <c r="V34" s="102">
        <v>6.5</v>
      </c>
      <c r="W34" s="102">
        <v>6.5</v>
      </c>
      <c r="X34" s="102">
        <v>6.5</v>
      </c>
      <c r="Y34" s="102">
        <v>6.5</v>
      </c>
      <c r="Z34" s="102">
        <v>6.5</v>
      </c>
      <c r="AA34" s="102">
        <v>6.5</v>
      </c>
      <c r="AB34" s="102">
        <v>6.5</v>
      </c>
      <c r="AC34" s="102">
        <v>6.5</v>
      </c>
      <c r="AD34" s="102">
        <v>6.5</v>
      </c>
      <c r="AE34" s="102">
        <v>6.5</v>
      </c>
      <c r="AF34" s="102">
        <v>6.5</v>
      </c>
      <c r="AG34" s="130">
        <v>22</v>
      </c>
      <c r="AH34" s="12">
        <f t="shared" si="8"/>
        <v>6.5</v>
      </c>
      <c r="AI34" s="11">
        <f t="shared" si="9"/>
        <v>6.5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25">
      <c r="A35" s="89" t="s">
        <v>232</v>
      </c>
      <c r="B35" s="102">
        <v>16.2</v>
      </c>
      <c r="C35" s="102">
        <v>16.2</v>
      </c>
      <c r="D35" s="102">
        <v>16.2</v>
      </c>
      <c r="E35" s="102">
        <v>16.2</v>
      </c>
      <c r="F35" s="102">
        <v>16.2</v>
      </c>
      <c r="G35" s="102">
        <v>16.2</v>
      </c>
      <c r="H35" s="102">
        <v>16.2</v>
      </c>
      <c r="I35" s="102">
        <v>16.2</v>
      </c>
      <c r="J35" s="102">
        <v>16.2</v>
      </c>
      <c r="K35" s="102">
        <v>16.2</v>
      </c>
      <c r="L35" s="102">
        <v>16.2</v>
      </c>
      <c r="M35" s="102">
        <v>16.2</v>
      </c>
      <c r="N35" s="102">
        <v>16.2</v>
      </c>
      <c r="O35" s="102">
        <v>16.2</v>
      </c>
      <c r="P35" s="102">
        <v>16.2</v>
      </c>
      <c r="Q35" s="102">
        <v>16.2</v>
      </c>
      <c r="R35" s="102">
        <v>16.2</v>
      </c>
      <c r="S35" s="102">
        <v>16.2</v>
      </c>
      <c r="T35" s="102">
        <v>16.2</v>
      </c>
      <c r="U35" s="102">
        <v>16.2</v>
      </c>
      <c r="V35" s="102">
        <v>16.2</v>
      </c>
      <c r="W35" s="102">
        <v>16.2</v>
      </c>
      <c r="X35" s="102">
        <v>16.2</v>
      </c>
      <c r="Y35" s="102">
        <v>16.2</v>
      </c>
      <c r="Z35" s="102">
        <v>16.2</v>
      </c>
      <c r="AA35" s="102">
        <v>16.2</v>
      </c>
      <c r="AB35" s="102">
        <v>16.2</v>
      </c>
      <c r="AC35" s="102">
        <v>16.2</v>
      </c>
      <c r="AD35" s="102">
        <v>16.2</v>
      </c>
      <c r="AE35" s="102">
        <v>16.2</v>
      </c>
      <c r="AF35" s="102">
        <v>16.2</v>
      </c>
      <c r="AG35" s="130">
        <v>20</v>
      </c>
      <c r="AH35" s="12">
        <f t="shared" si="8"/>
        <v>16.2</v>
      </c>
      <c r="AI35" s="11">
        <f t="shared" si="9"/>
        <v>16.2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25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25">
      <c r="A37" s="89" t="s">
        <v>230</v>
      </c>
      <c r="B37" s="102">
        <v>5.8</v>
      </c>
      <c r="C37" s="102">
        <v>5.8</v>
      </c>
      <c r="D37" s="102">
        <v>5.8</v>
      </c>
      <c r="E37" s="102">
        <v>5.8</v>
      </c>
      <c r="F37" s="102">
        <v>5.8</v>
      </c>
      <c r="G37" s="102">
        <v>5.8</v>
      </c>
      <c r="H37" s="102">
        <v>5.8</v>
      </c>
      <c r="I37" s="102">
        <v>5.8</v>
      </c>
      <c r="J37" s="102">
        <v>5.8</v>
      </c>
      <c r="K37" s="102">
        <v>5.8</v>
      </c>
      <c r="L37" s="102">
        <v>5.8</v>
      </c>
      <c r="M37" s="102">
        <v>5.8</v>
      </c>
      <c r="N37" s="102">
        <v>5.8</v>
      </c>
      <c r="O37" s="102">
        <v>5.8</v>
      </c>
      <c r="P37" s="102">
        <v>5.8</v>
      </c>
      <c r="Q37" s="102">
        <v>5.8</v>
      </c>
      <c r="R37" s="102">
        <v>5.8</v>
      </c>
      <c r="S37" s="102">
        <v>5.8</v>
      </c>
      <c r="T37" s="102">
        <v>5.8</v>
      </c>
      <c r="U37" s="102">
        <v>5.8</v>
      </c>
      <c r="V37" s="102">
        <v>5.8</v>
      </c>
      <c r="W37" s="102">
        <v>5.8</v>
      </c>
      <c r="X37" s="102">
        <v>5.8</v>
      </c>
      <c r="Y37" s="102">
        <v>5.8</v>
      </c>
      <c r="Z37" s="102">
        <v>5.8</v>
      </c>
      <c r="AA37" s="102">
        <v>5.8</v>
      </c>
      <c r="AB37" s="102">
        <v>5.8</v>
      </c>
      <c r="AC37" s="102">
        <v>5.8</v>
      </c>
      <c r="AD37" s="102">
        <v>5.8</v>
      </c>
      <c r="AE37" s="102">
        <v>5.8</v>
      </c>
      <c r="AF37" s="102">
        <v>5.8</v>
      </c>
      <c r="AG37" s="130">
        <v>18</v>
      </c>
      <c r="AH37" s="12">
        <f t="shared" si="8"/>
        <v>5.8</v>
      </c>
      <c r="AI37" s="11">
        <f t="shared" si="9"/>
        <v>5.8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25">
      <c r="A38" s="89" t="s">
        <v>229</v>
      </c>
      <c r="B38" s="102">
        <v>5.0999999999999996</v>
      </c>
      <c r="C38" s="102">
        <v>5.0999999999999996</v>
      </c>
      <c r="D38" s="102">
        <v>5.0999999999999996</v>
      </c>
      <c r="E38" s="102">
        <v>5.0999999999999996</v>
      </c>
      <c r="F38" s="102">
        <v>5.0999999999999996</v>
      </c>
      <c r="G38" s="102">
        <v>5.0999999999999996</v>
      </c>
      <c r="H38" s="102">
        <v>5.0999999999999996</v>
      </c>
      <c r="I38" s="102">
        <v>5.0999999999999996</v>
      </c>
      <c r="J38" s="102">
        <v>5.0999999999999996</v>
      </c>
      <c r="K38" s="102">
        <v>5.0999999999999996</v>
      </c>
      <c r="L38" s="102">
        <v>5.0999999999999996</v>
      </c>
      <c r="M38" s="102">
        <v>5.0999999999999996</v>
      </c>
      <c r="N38" s="102">
        <v>5.0999999999999996</v>
      </c>
      <c r="O38" s="102">
        <v>5.0999999999999996</v>
      </c>
      <c r="P38" s="102">
        <v>5.0999999999999996</v>
      </c>
      <c r="Q38" s="102">
        <v>5.0999999999999996</v>
      </c>
      <c r="R38" s="102">
        <v>5.0999999999999996</v>
      </c>
      <c r="S38" s="102">
        <v>5.0999999999999996</v>
      </c>
      <c r="T38" s="102">
        <v>5.0999999999999996</v>
      </c>
      <c r="U38" s="102">
        <v>5.0999999999999996</v>
      </c>
      <c r="V38" s="102">
        <v>5.0999999999999996</v>
      </c>
      <c r="W38" s="102">
        <v>5.0999999999999996</v>
      </c>
      <c r="X38" s="102">
        <v>5.0999999999999996</v>
      </c>
      <c r="Y38" s="102">
        <v>5.0999999999999996</v>
      </c>
      <c r="Z38" s="102">
        <v>5.0999999999999996</v>
      </c>
      <c r="AA38" s="102">
        <v>5.0999999999999996</v>
      </c>
      <c r="AB38" s="102">
        <v>5.0999999999999996</v>
      </c>
      <c r="AC38" s="102">
        <v>5.0999999999999996</v>
      </c>
      <c r="AD38" s="102">
        <v>5.0999999999999996</v>
      </c>
      <c r="AE38" s="102">
        <v>5.0999999999999996</v>
      </c>
      <c r="AF38" s="102">
        <v>5.0999999999999996</v>
      </c>
      <c r="AG38" s="130">
        <v>14.9</v>
      </c>
      <c r="AH38" s="12">
        <f t="shared" si="8"/>
        <v>5.0999999999999996</v>
      </c>
      <c r="AI38" s="11">
        <f t="shared" si="9"/>
        <v>5.0999999999999996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25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25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25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25">
      <c r="A42" s="89" t="s">
        <v>225</v>
      </c>
      <c r="B42" s="102">
        <v>5.2</v>
      </c>
      <c r="C42" s="102">
        <v>5.2</v>
      </c>
      <c r="D42" s="102">
        <v>5.2</v>
      </c>
      <c r="E42" s="102">
        <v>5.2</v>
      </c>
      <c r="F42" s="102">
        <v>5.2</v>
      </c>
      <c r="G42" s="102">
        <v>5.2</v>
      </c>
      <c r="H42" s="102">
        <v>5.2</v>
      </c>
      <c r="I42" s="102">
        <v>5.2</v>
      </c>
      <c r="J42" s="102">
        <v>5.2</v>
      </c>
      <c r="K42" s="102">
        <v>5.2</v>
      </c>
      <c r="L42" s="102">
        <v>5.2</v>
      </c>
      <c r="M42" s="102">
        <v>5.2</v>
      </c>
      <c r="N42" s="102">
        <v>5.2</v>
      </c>
      <c r="O42" s="102">
        <v>5.2</v>
      </c>
      <c r="P42" s="102">
        <v>5.2</v>
      </c>
      <c r="Q42" s="102">
        <v>5.2</v>
      </c>
      <c r="R42" s="102">
        <v>5.2</v>
      </c>
      <c r="S42" s="102">
        <v>5.2</v>
      </c>
      <c r="T42" s="102">
        <v>5.2</v>
      </c>
      <c r="U42" s="102">
        <v>5.2</v>
      </c>
      <c r="V42" s="102">
        <v>5.2</v>
      </c>
      <c r="W42" s="102">
        <v>5.2</v>
      </c>
      <c r="X42" s="102">
        <v>5.2</v>
      </c>
      <c r="Y42" s="102">
        <v>5.2</v>
      </c>
      <c r="Z42" s="102">
        <v>5.2</v>
      </c>
      <c r="AA42" s="102">
        <v>5.2</v>
      </c>
      <c r="AB42" s="102">
        <v>5.2</v>
      </c>
      <c r="AC42" s="102">
        <v>5.2</v>
      </c>
      <c r="AD42" s="102">
        <v>5.2</v>
      </c>
      <c r="AE42" s="102">
        <v>5.2</v>
      </c>
      <c r="AF42" s="102">
        <v>5.2</v>
      </c>
      <c r="AG42" s="130">
        <v>13.6</v>
      </c>
      <c r="AH42" s="12">
        <f t="shared" si="8"/>
        <v>5.2</v>
      </c>
      <c r="AI42" s="11">
        <f t="shared" si="9"/>
        <v>5.2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25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25">
      <c r="A44" s="89" t="s">
        <v>223</v>
      </c>
      <c r="B44" s="102">
        <v>0</v>
      </c>
      <c r="C44" s="102">
        <v>0</v>
      </c>
      <c r="D44" s="102">
        <v>0</v>
      </c>
      <c r="E44" s="102">
        <v>0</v>
      </c>
      <c r="F44" s="102">
        <v>0</v>
      </c>
      <c r="G44" s="102">
        <v>0</v>
      </c>
      <c r="H44" s="102">
        <v>0</v>
      </c>
      <c r="I44" s="102">
        <v>0</v>
      </c>
      <c r="J44" s="102">
        <v>0</v>
      </c>
      <c r="K44" s="102">
        <v>0</v>
      </c>
      <c r="L44" s="102">
        <v>0</v>
      </c>
      <c r="M44" s="102">
        <v>0</v>
      </c>
      <c r="N44" s="102">
        <v>0</v>
      </c>
      <c r="O44" s="102">
        <v>0</v>
      </c>
      <c r="P44" s="102">
        <v>0</v>
      </c>
      <c r="Q44" s="102">
        <v>0</v>
      </c>
      <c r="R44" s="102">
        <v>0</v>
      </c>
      <c r="S44" s="102">
        <v>0</v>
      </c>
      <c r="T44" s="102">
        <v>0</v>
      </c>
      <c r="U44" s="102">
        <v>0</v>
      </c>
      <c r="V44" s="102">
        <v>0</v>
      </c>
      <c r="W44" s="102">
        <v>0</v>
      </c>
      <c r="X44" s="102">
        <v>0</v>
      </c>
      <c r="Y44" s="102">
        <v>0</v>
      </c>
      <c r="Z44" s="102">
        <v>0</v>
      </c>
      <c r="AA44" s="102">
        <v>0</v>
      </c>
      <c r="AB44" s="102">
        <v>0</v>
      </c>
      <c r="AC44" s="102">
        <v>0</v>
      </c>
      <c r="AD44" s="102">
        <v>0</v>
      </c>
      <c r="AE44" s="102">
        <v>0</v>
      </c>
      <c r="AF44" s="102">
        <v>0</v>
      </c>
      <c r="AG44" s="130">
        <v>12</v>
      </c>
      <c r="AH44" s="12">
        <f t="shared" si="8"/>
        <v>0</v>
      </c>
      <c r="AI44" s="11">
        <f t="shared" si="9"/>
        <v>0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25">
      <c r="A45" s="89" t="s">
        <v>222</v>
      </c>
      <c r="B45" s="102">
        <v>3.5</v>
      </c>
      <c r="C45" s="102">
        <v>3.5</v>
      </c>
      <c r="D45" s="102">
        <v>3.5</v>
      </c>
      <c r="E45" s="102">
        <v>3.5</v>
      </c>
      <c r="F45" s="102">
        <v>3.5</v>
      </c>
      <c r="G45" s="102">
        <v>3.5</v>
      </c>
      <c r="H45" s="102">
        <v>3.5</v>
      </c>
      <c r="I45" s="102">
        <v>3.5</v>
      </c>
      <c r="J45" s="102">
        <v>3.5</v>
      </c>
      <c r="K45" s="102">
        <v>3.5</v>
      </c>
      <c r="L45" s="102">
        <v>3.5</v>
      </c>
      <c r="M45" s="102">
        <v>3.5</v>
      </c>
      <c r="N45" s="102">
        <v>3.5</v>
      </c>
      <c r="O45" s="102">
        <v>3.5</v>
      </c>
      <c r="P45" s="102">
        <v>3.5</v>
      </c>
      <c r="Q45" s="102">
        <v>3.5</v>
      </c>
      <c r="R45" s="102">
        <v>3.5</v>
      </c>
      <c r="S45" s="102">
        <v>3.5</v>
      </c>
      <c r="T45" s="102">
        <v>3.5</v>
      </c>
      <c r="U45" s="102">
        <v>3.5</v>
      </c>
      <c r="V45" s="102">
        <v>3.5</v>
      </c>
      <c r="W45" s="102">
        <v>3.5</v>
      </c>
      <c r="X45" s="102">
        <v>3.5</v>
      </c>
      <c r="Y45" s="102">
        <v>3.5</v>
      </c>
      <c r="Z45" s="102">
        <v>3.5</v>
      </c>
      <c r="AA45" s="102">
        <v>3.5</v>
      </c>
      <c r="AB45" s="102">
        <v>3.5</v>
      </c>
      <c r="AC45" s="102">
        <v>3.5</v>
      </c>
      <c r="AD45" s="102">
        <v>3.5</v>
      </c>
      <c r="AE45" s="102">
        <v>3.5</v>
      </c>
      <c r="AF45" s="102">
        <v>3.5</v>
      </c>
      <c r="AG45" s="130">
        <v>12</v>
      </c>
      <c r="AH45" s="12">
        <f t="shared" si="8"/>
        <v>3.5</v>
      </c>
      <c r="AI45" s="11">
        <f t="shared" si="9"/>
        <v>3.5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25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25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25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25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25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25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25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25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25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25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25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.75" thickBot="1" x14ac:dyDescent="0.3">
      <c r="A57" s="124" t="s">
        <v>210</v>
      </c>
      <c r="B57" s="122">
        <v>22.7</v>
      </c>
      <c r="C57" s="122">
        <v>22.7</v>
      </c>
      <c r="D57" s="122">
        <v>22.7</v>
      </c>
      <c r="E57" s="122">
        <f>12+7.6</f>
        <v>19.600000000000001</v>
      </c>
      <c r="F57" s="122">
        <f>12.7+8.2</f>
        <v>20.9</v>
      </c>
      <c r="G57" s="122">
        <f>10.5+7.4</f>
        <v>17.899999999999999</v>
      </c>
      <c r="H57" s="122">
        <f>9.7+7.2</f>
        <v>16.899999999999999</v>
      </c>
      <c r="I57" s="122">
        <v>16</v>
      </c>
      <c r="J57" s="122">
        <v>21.2</v>
      </c>
      <c r="K57" s="123">
        <f>12.7+7.9</f>
        <v>20.6</v>
      </c>
      <c r="L57" s="123">
        <v>20.5</v>
      </c>
      <c r="M57" s="123">
        <v>21.2</v>
      </c>
      <c r="N57" s="123">
        <v>21.2</v>
      </c>
      <c r="O57" s="123">
        <f>14+8</f>
        <v>22</v>
      </c>
      <c r="P57" s="123">
        <f>14+8</f>
        <v>22</v>
      </c>
      <c r="Q57" s="123">
        <f t="shared" ref="Q57:W57" si="22">14+8</f>
        <v>22</v>
      </c>
      <c r="R57" s="123">
        <f t="shared" si="22"/>
        <v>22</v>
      </c>
      <c r="S57" s="123">
        <f t="shared" si="22"/>
        <v>22</v>
      </c>
      <c r="T57" s="123">
        <f t="shared" si="22"/>
        <v>22</v>
      </c>
      <c r="U57" s="123">
        <f t="shared" si="22"/>
        <v>22</v>
      </c>
      <c r="V57" s="123">
        <f t="shared" si="22"/>
        <v>22</v>
      </c>
      <c r="W57" s="123">
        <f t="shared" si="22"/>
        <v>22</v>
      </c>
      <c r="X57" s="123">
        <v>23.5</v>
      </c>
      <c r="Y57" s="123">
        <v>23.5</v>
      </c>
      <c r="Z57" s="122">
        <v>23.5</v>
      </c>
      <c r="AA57" s="122">
        <v>23.5</v>
      </c>
      <c r="AB57" s="122">
        <v>21.5</v>
      </c>
      <c r="AC57" s="122">
        <v>21.5</v>
      </c>
      <c r="AD57" s="122">
        <v>21.5</v>
      </c>
      <c r="AE57" s="122">
        <v>21.5</v>
      </c>
      <c r="AF57" s="122">
        <v>21.5</v>
      </c>
      <c r="AG57" s="86">
        <v>240</v>
      </c>
      <c r="AH57" s="12">
        <f t="shared" si="8"/>
        <v>23.5</v>
      </c>
      <c r="AI57" s="11">
        <f t="shared" si="9"/>
        <v>16</v>
      </c>
      <c r="AK57" s="19"/>
    </row>
    <row r="58" spans="1:88" ht="15.75" thickBot="1" x14ac:dyDescent="0.3">
      <c r="A58" s="121" t="s">
        <v>209</v>
      </c>
      <c r="B58" s="76">
        <f t="shared" ref="B58:C58" si="23">SUM(B11:B56)</f>
        <v>510.19999999999993</v>
      </c>
      <c r="C58" s="76">
        <f t="shared" si="23"/>
        <v>510.19999999999993</v>
      </c>
      <c r="D58" s="76">
        <f t="shared" ref="D58" si="24">SUM(D11:D56)</f>
        <v>510.19999999999993</v>
      </c>
      <c r="E58" s="76">
        <f t="shared" ref="E58:AF58" si="25">SUM(E11:E56)</f>
        <v>511.9</v>
      </c>
      <c r="F58" s="76">
        <f t="shared" si="25"/>
        <v>512.29999999999995</v>
      </c>
      <c r="G58" s="76">
        <f t="shared" si="25"/>
        <v>512.19999999999993</v>
      </c>
      <c r="H58" s="76">
        <f t="shared" si="25"/>
        <v>512.79999999999995</v>
      </c>
      <c r="I58" s="76">
        <f t="shared" si="25"/>
        <v>512</v>
      </c>
      <c r="J58" s="76">
        <f t="shared" si="25"/>
        <v>512</v>
      </c>
      <c r="K58" s="76">
        <f t="shared" si="25"/>
        <v>510.4</v>
      </c>
      <c r="L58" s="76">
        <f t="shared" si="25"/>
        <v>512</v>
      </c>
      <c r="M58" s="76">
        <f t="shared" si="25"/>
        <v>516.59999999999991</v>
      </c>
      <c r="N58" s="76">
        <f t="shared" si="25"/>
        <v>516.59999999999991</v>
      </c>
      <c r="O58" s="76">
        <f t="shared" si="25"/>
        <v>516.59999999999991</v>
      </c>
      <c r="P58" s="76">
        <f t="shared" si="25"/>
        <v>516.59999999999991</v>
      </c>
      <c r="Q58" s="76">
        <f t="shared" si="25"/>
        <v>516.59999999999991</v>
      </c>
      <c r="R58" s="76">
        <f t="shared" si="25"/>
        <v>516.59999999999991</v>
      </c>
      <c r="S58" s="76">
        <f t="shared" ref="S58:T58" si="26">SUM(S11:S56)</f>
        <v>516.59999999999991</v>
      </c>
      <c r="T58" s="76">
        <f t="shared" si="26"/>
        <v>516.59999999999991</v>
      </c>
      <c r="U58" s="76">
        <f t="shared" ref="U58:V58" si="27">SUM(U11:U56)</f>
        <v>516.59999999999991</v>
      </c>
      <c r="V58" s="76">
        <f t="shared" si="27"/>
        <v>516.59999999999991</v>
      </c>
      <c r="W58" s="76">
        <f t="shared" ref="W58:X58" si="28">SUM(W11:W56)</f>
        <v>516.59999999999991</v>
      </c>
      <c r="X58" s="76">
        <f t="shared" si="28"/>
        <v>516.59999999999991</v>
      </c>
      <c r="Y58" s="76">
        <f t="shared" ref="Y58:Z58" si="29">SUM(Y11:Y56)</f>
        <v>516.59999999999991</v>
      </c>
      <c r="Z58" s="76">
        <f t="shared" si="29"/>
        <v>516.59999999999991</v>
      </c>
      <c r="AA58" s="76">
        <f t="shared" ref="AA58" si="30">SUM(AA11:AA56)</f>
        <v>516.59999999999991</v>
      </c>
      <c r="AB58" s="76">
        <f t="shared" si="25"/>
        <v>517.09999999999991</v>
      </c>
      <c r="AC58" s="76">
        <f t="shared" si="25"/>
        <v>518.19999999999993</v>
      </c>
      <c r="AD58" s="76">
        <f t="shared" si="25"/>
        <v>518.19999999999993</v>
      </c>
      <c r="AE58" s="76">
        <f t="shared" si="25"/>
        <v>518.19999999999993</v>
      </c>
      <c r="AF58" s="76">
        <f t="shared" si="25"/>
        <v>518.19999999999993</v>
      </c>
      <c r="AG58" s="93">
        <f>SUM(AG14:AG56)</f>
        <v>1042.4000000000001</v>
      </c>
      <c r="AH58" s="12">
        <f t="shared" si="8"/>
        <v>518.19999999999993</v>
      </c>
      <c r="AI58" s="11">
        <f t="shared" si="9"/>
        <v>510.19999999999993</v>
      </c>
      <c r="AK58" s="19"/>
    </row>
    <row r="59" spans="1:88" x14ac:dyDescent="0.25">
      <c r="A59" s="120" t="s">
        <v>208</v>
      </c>
      <c r="B59" s="102">
        <v>200</v>
      </c>
      <c r="C59" s="102">
        <v>160</v>
      </c>
      <c r="D59" s="102">
        <v>120</v>
      </c>
      <c r="E59" s="102">
        <v>130</v>
      </c>
      <c r="F59" s="102">
        <v>120</v>
      </c>
      <c r="G59" s="102">
        <v>153</v>
      </c>
      <c r="H59" s="102">
        <v>152</v>
      </c>
      <c r="I59" s="102">
        <v>152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50.1</v>
      </c>
      <c r="X59" s="102">
        <v>152.69999999999999</v>
      </c>
      <c r="Y59" s="102">
        <v>150.69999999999999</v>
      </c>
      <c r="Z59" s="102">
        <v>351</v>
      </c>
      <c r="AA59" s="102">
        <v>351</v>
      </c>
      <c r="AB59" s="102">
        <v>301</v>
      </c>
      <c r="AC59" s="102">
        <v>301.5</v>
      </c>
      <c r="AD59" s="102">
        <v>351.4</v>
      </c>
      <c r="AE59" s="102">
        <v>321.7</v>
      </c>
      <c r="AF59" s="102">
        <v>280</v>
      </c>
      <c r="AG59" s="88">
        <v>456</v>
      </c>
      <c r="AH59" s="12">
        <f t="shared" si="8"/>
        <v>351.4</v>
      </c>
      <c r="AI59" s="11">
        <f t="shared" si="9"/>
        <v>0</v>
      </c>
      <c r="AK59" s="19"/>
    </row>
    <row r="60" spans="1:88" x14ac:dyDescent="0.25">
      <c r="A60" s="118" t="s">
        <v>207</v>
      </c>
      <c r="B60" s="70">
        <v>18.7</v>
      </c>
      <c r="C60" s="70">
        <v>18.7</v>
      </c>
      <c r="D60" s="70">
        <v>18.7</v>
      </c>
      <c r="E60" s="70">
        <v>18.7</v>
      </c>
      <c r="F60" s="70">
        <v>18.7</v>
      </c>
      <c r="G60" s="70">
        <v>18.7</v>
      </c>
      <c r="H60" s="70">
        <v>18.7</v>
      </c>
      <c r="I60" s="70">
        <v>18.7</v>
      </c>
      <c r="J60" s="70">
        <v>18.7</v>
      </c>
      <c r="K60" s="70">
        <v>18.7</v>
      </c>
      <c r="L60" s="70">
        <v>18.7</v>
      </c>
      <c r="M60" s="70">
        <v>18.5</v>
      </c>
      <c r="N60" s="70">
        <v>18.5</v>
      </c>
      <c r="O60" s="70">
        <v>18.5</v>
      </c>
      <c r="P60" s="70">
        <v>18.5</v>
      </c>
      <c r="Q60" s="70">
        <v>18.5</v>
      </c>
      <c r="R60" s="70">
        <v>18.5</v>
      </c>
      <c r="S60" s="70">
        <v>18.5</v>
      </c>
      <c r="T60" s="70">
        <v>18.5</v>
      </c>
      <c r="U60" s="70">
        <v>18.5</v>
      </c>
      <c r="V60" s="70">
        <v>18.5</v>
      </c>
      <c r="W60" s="70">
        <v>18.5</v>
      </c>
      <c r="X60" s="70">
        <v>14.5</v>
      </c>
      <c r="Y60" s="70">
        <v>14.5</v>
      </c>
      <c r="Z60" s="70">
        <v>14.5</v>
      </c>
      <c r="AA60" s="70">
        <v>14.5</v>
      </c>
      <c r="AB60" s="70">
        <v>17</v>
      </c>
      <c r="AC60" s="70">
        <v>17.5</v>
      </c>
      <c r="AD60" s="70">
        <v>17.7</v>
      </c>
      <c r="AE60" s="70">
        <v>17.899999999999999</v>
      </c>
      <c r="AF60" s="70">
        <v>18.5</v>
      </c>
      <c r="AG60" s="86">
        <v>60</v>
      </c>
      <c r="AH60" s="12">
        <f t="shared" si="8"/>
        <v>18.7</v>
      </c>
      <c r="AI60" s="11">
        <f t="shared" si="9"/>
        <v>14.5</v>
      </c>
      <c r="AK60" s="19"/>
    </row>
    <row r="61" spans="1:88" ht="15.75" thickBot="1" x14ac:dyDescent="0.3">
      <c r="A61" s="117" t="s">
        <v>206</v>
      </c>
      <c r="B61" s="110">
        <v>21.2</v>
      </c>
      <c r="C61" s="110">
        <v>21.2</v>
      </c>
      <c r="D61" s="110">
        <v>21.2</v>
      </c>
      <c r="E61" s="110">
        <v>22.4</v>
      </c>
      <c r="F61" s="110">
        <v>22.4</v>
      </c>
      <c r="G61" s="110">
        <v>22.4</v>
      </c>
      <c r="H61" s="110">
        <v>22.4</v>
      </c>
      <c r="I61" s="110">
        <v>22.4</v>
      </c>
      <c r="J61" s="110">
        <v>22.4</v>
      </c>
      <c r="K61" s="110">
        <v>22.4</v>
      </c>
      <c r="L61" s="110">
        <v>22.4</v>
      </c>
      <c r="M61" s="110">
        <v>22.4</v>
      </c>
      <c r="N61" s="110">
        <v>22.4</v>
      </c>
      <c r="O61" s="110">
        <v>22.4</v>
      </c>
      <c r="P61" s="110">
        <v>22.4</v>
      </c>
      <c r="Q61" s="110">
        <v>22.4</v>
      </c>
      <c r="R61" s="110">
        <v>22.4</v>
      </c>
      <c r="S61" s="110">
        <v>22.4</v>
      </c>
      <c r="T61" s="110">
        <v>22.4</v>
      </c>
      <c r="U61" s="110">
        <v>22.4</v>
      </c>
      <c r="V61" s="110">
        <v>22.4</v>
      </c>
      <c r="W61" s="110">
        <v>22.4</v>
      </c>
      <c r="X61" s="110">
        <v>5.3</v>
      </c>
      <c r="Y61" s="110">
        <v>5.3</v>
      </c>
      <c r="Z61" s="110">
        <v>16.7</v>
      </c>
      <c r="AA61" s="110">
        <v>16.7</v>
      </c>
      <c r="AB61" s="110">
        <v>0</v>
      </c>
      <c r="AC61" s="110">
        <v>14.2</v>
      </c>
      <c r="AD61" s="110">
        <v>0</v>
      </c>
      <c r="AE61" s="110">
        <v>0</v>
      </c>
      <c r="AF61" s="110">
        <v>0</v>
      </c>
      <c r="AG61" s="109">
        <v>22.1</v>
      </c>
      <c r="AH61" s="12">
        <f t="shared" si="8"/>
        <v>22.4</v>
      </c>
      <c r="AI61" s="11">
        <f t="shared" si="9"/>
        <v>0</v>
      </c>
      <c r="AK61" s="19"/>
    </row>
    <row r="62" spans="1:88" ht="15.75" thickBot="1" x14ac:dyDescent="0.3">
      <c r="A62" s="116" t="s">
        <v>205</v>
      </c>
      <c r="B62" s="76">
        <f t="shared" ref="B62:C62" si="31">SUM(B59:B61)</f>
        <v>239.89999999999998</v>
      </c>
      <c r="C62" s="76">
        <f t="shared" si="31"/>
        <v>199.89999999999998</v>
      </c>
      <c r="D62" s="76">
        <f t="shared" ref="D62" si="32">SUM(D59:D61)</f>
        <v>159.89999999999998</v>
      </c>
      <c r="E62" s="76">
        <f t="shared" ref="E62:AG62" si="33">SUM(E59:E61)</f>
        <v>171.1</v>
      </c>
      <c r="F62" s="76">
        <f t="shared" si="33"/>
        <v>161.1</v>
      </c>
      <c r="G62" s="76">
        <f t="shared" si="33"/>
        <v>194.1</v>
      </c>
      <c r="H62" s="76">
        <f t="shared" si="33"/>
        <v>193.1</v>
      </c>
      <c r="I62" s="76">
        <f t="shared" si="33"/>
        <v>193.1</v>
      </c>
      <c r="J62" s="76">
        <f t="shared" si="33"/>
        <v>41.099999999999994</v>
      </c>
      <c r="K62" s="76">
        <f t="shared" si="33"/>
        <v>41.099999999999994</v>
      </c>
      <c r="L62" s="76">
        <f t="shared" si="33"/>
        <v>41.099999999999994</v>
      </c>
      <c r="M62" s="76">
        <f t="shared" si="33"/>
        <v>40.9</v>
      </c>
      <c r="N62" s="76">
        <f t="shared" si="33"/>
        <v>40.9</v>
      </c>
      <c r="O62" s="76">
        <f t="shared" si="33"/>
        <v>40.9</v>
      </c>
      <c r="P62" s="76">
        <f t="shared" si="33"/>
        <v>40.9</v>
      </c>
      <c r="Q62" s="76">
        <f t="shared" si="33"/>
        <v>40.9</v>
      </c>
      <c r="R62" s="76">
        <f t="shared" si="33"/>
        <v>40.9</v>
      </c>
      <c r="S62" s="76">
        <f t="shared" ref="S62:T62" si="34">SUM(S59:S61)</f>
        <v>40.9</v>
      </c>
      <c r="T62" s="76">
        <f t="shared" si="34"/>
        <v>40.9</v>
      </c>
      <c r="U62" s="76">
        <f t="shared" ref="U62:V62" si="35">SUM(U59:U61)</f>
        <v>40.9</v>
      </c>
      <c r="V62" s="76">
        <f t="shared" si="35"/>
        <v>40.9</v>
      </c>
      <c r="W62" s="76">
        <f t="shared" ref="W62:X62" si="36">SUM(W59:W61)</f>
        <v>91</v>
      </c>
      <c r="X62" s="76">
        <f t="shared" si="36"/>
        <v>172.5</v>
      </c>
      <c r="Y62" s="76">
        <f t="shared" ref="Y62:Z62" si="37">SUM(Y59:Y61)</f>
        <v>170.5</v>
      </c>
      <c r="Z62" s="76">
        <f t="shared" si="37"/>
        <v>382.2</v>
      </c>
      <c r="AA62" s="76">
        <f t="shared" ref="AA62" si="38">SUM(AA59:AA61)</f>
        <v>382.2</v>
      </c>
      <c r="AB62" s="76">
        <f t="shared" si="33"/>
        <v>318</v>
      </c>
      <c r="AC62" s="76">
        <f t="shared" si="33"/>
        <v>333.2</v>
      </c>
      <c r="AD62" s="76">
        <f t="shared" si="33"/>
        <v>369.09999999999997</v>
      </c>
      <c r="AE62" s="76">
        <f t="shared" si="33"/>
        <v>339.59999999999997</v>
      </c>
      <c r="AF62" s="76">
        <f t="shared" si="33"/>
        <v>298.5</v>
      </c>
      <c r="AG62" s="93">
        <f t="shared" si="33"/>
        <v>538.1</v>
      </c>
      <c r="AH62" s="12">
        <f t="shared" si="8"/>
        <v>382.2</v>
      </c>
      <c r="AI62" s="11">
        <f t="shared" si="9"/>
        <v>40.9</v>
      </c>
      <c r="AK62" s="19"/>
    </row>
    <row r="63" spans="1:88" x14ac:dyDescent="0.25">
      <c r="A63" s="89" t="s">
        <v>204</v>
      </c>
      <c r="B63" s="102">
        <v>100</v>
      </c>
      <c r="C63" s="102">
        <v>90</v>
      </c>
      <c r="D63" s="102">
        <v>90</v>
      </c>
      <c r="E63" s="102">
        <v>90.96</v>
      </c>
      <c r="F63" s="102">
        <v>80</v>
      </c>
      <c r="G63" s="102">
        <v>70.7</v>
      </c>
      <c r="H63" s="102">
        <v>78.5</v>
      </c>
      <c r="I63" s="102">
        <v>96</v>
      </c>
      <c r="J63" s="102">
        <v>60</v>
      </c>
      <c r="K63" s="102">
        <v>61.7</v>
      </c>
      <c r="L63" s="102">
        <v>61.7</v>
      </c>
      <c r="M63" s="102">
        <v>61.8</v>
      </c>
      <c r="N63" s="102">
        <v>61.8</v>
      </c>
      <c r="O63" s="102">
        <v>61.8</v>
      </c>
      <c r="P63" s="102">
        <v>97</v>
      </c>
      <c r="Q63" s="102">
        <v>97</v>
      </c>
      <c r="R63" s="102">
        <v>97</v>
      </c>
      <c r="S63" s="102">
        <v>97</v>
      </c>
      <c r="T63" s="102">
        <v>92.7</v>
      </c>
      <c r="U63" s="102">
        <v>81.5</v>
      </c>
      <c r="V63" s="102">
        <v>61.9</v>
      </c>
      <c r="W63" s="102">
        <v>61.9</v>
      </c>
      <c r="X63" s="102">
        <v>61.9</v>
      </c>
      <c r="Y63" s="102">
        <v>82</v>
      </c>
      <c r="Z63" s="102">
        <v>91.4</v>
      </c>
      <c r="AA63" s="102">
        <v>91.4</v>
      </c>
      <c r="AB63" s="102">
        <v>100.9</v>
      </c>
      <c r="AC63" s="102">
        <v>78.099999999999994</v>
      </c>
      <c r="AD63" s="102">
        <v>64.7</v>
      </c>
      <c r="AE63" s="102">
        <v>64.7</v>
      </c>
      <c r="AF63" s="102">
        <v>64.8</v>
      </c>
      <c r="AG63" s="88">
        <v>144</v>
      </c>
      <c r="AH63" s="12">
        <f t="shared" si="8"/>
        <v>100.9</v>
      </c>
      <c r="AI63" s="11">
        <f t="shared" si="9"/>
        <v>60</v>
      </c>
      <c r="AK63" s="19"/>
    </row>
    <row r="64" spans="1:88" x14ac:dyDescent="0.25">
      <c r="A64" s="87" t="s">
        <v>203</v>
      </c>
      <c r="B64" s="70">
        <v>50</v>
      </c>
      <c r="C64" s="70">
        <v>50</v>
      </c>
      <c r="D64" s="70">
        <v>50</v>
      </c>
      <c r="E64" s="70">
        <v>53.9</v>
      </c>
      <c r="F64" s="70">
        <v>53.8</v>
      </c>
      <c r="G64" s="70">
        <v>48.7</v>
      </c>
      <c r="H64" s="70">
        <v>60.8</v>
      </c>
      <c r="I64" s="70">
        <v>70</v>
      </c>
      <c r="J64" s="70">
        <v>46</v>
      </c>
      <c r="K64" s="70">
        <v>46.3</v>
      </c>
      <c r="L64" s="70">
        <v>46.3</v>
      </c>
      <c r="M64" s="70">
        <v>46.1</v>
      </c>
      <c r="N64" s="70">
        <v>46.1</v>
      </c>
      <c r="O64" s="70">
        <v>46.1</v>
      </c>
      <c r="P64" s="70">
        <v>55</v>
      </c>
      <c r="Q64" s="70">
        <v>55</v>
      </c>
      <c r="R64" s="70">
        <v>35</v>
      </c>
      <c r="S64" s="70">
        <v>35</v>
      </c>
      <c r="T64" s="70">
        <v>35</v>
      </c>
      <c r="U64" s="70">
        <v>34.4</v>
      </c>
      <c r="V64" s="70">
        <v>0</v>
      </c>
      <c r="W64" s="70">
        <v>0</v>
      </c>
      <c r="X64" s="70">
        <v>0</v>
      </c>
      <c r="Y64" s="70">
        <v>59.2</v>
      </c>
      <c r="Z64" s="102">
        <v>68.7</v>
      </c>
      <c r="AA64" s="102">
        <v>68.7</v>
      </c>
      <c r="AB64" s="102">
        <v>69.2</v>
      </c>
      <c r="AC64" s="102">
        <v>69.3</v>
      </c>
      <c r="AD64" s="102">
        <v>70.2</v>
      </c>
      <c r="AE64" s="102">
        <v>45.8</v>
      </c>
      <c r="AF64" s="102">
        <v>46.2</v>
      </c>
      <c r="AG64" s="86">
        <v>70</v>
      </c>
      <c r="AH64" s="12">
        <f t="shared" si="8"/>
        <v>70.2</v>
      </c>
      <c r="AI64" s="11">
        <f t="shared" si="9"/>
        <v>0</v>
      </c>
      <c r="AK64" s="19"/>
    </row>
    <row r="65" spans="1:75" x14ac:dyDescent="0.25">
      <c r="A65" s="87" t="s">
        <v>202</v>
      </c>
      <c r="B65" s="70">
        <v>53</v>
      </c>
      <c r="C65" s="70">
        <v>53</v>
      </c>
      <c r="D65" s="70">
        <v>53</v>
      </c>
      <c r="E65" s="70">
        <v>60.4</v>
      </c>
      <c r="F65" s="70">
        <v>50.9</v>
      </c>
      <c r="G65" s="70">
        <v>52.5</v>
      </c>
      <c r="H65" s="70">
        <v>61.6</v>
      </c>
      <c r="I65" s="70">
        <v>69</v>
      </c>
      <c r="J65" s="70">
        <v>49</v>
      </c>
      <c r="K65" s="70">
        <v>49.5</v>
      </c>
      <c r="L65" s="70">
        <v>49.5</v>
      </c>
      <c r="M65" s="70">
        <v>49.4</v>
      </c>
      <c r="N65" s="70">
        <v>34</v>
      </c>
      <c r="O65" s="70">
        <v>46</v>
      </c>
      <c r="P65" s="70">
        <v>32.9</v>
      </c>
      <c r="Q65" s="70">
        <v>32.9</v>
      </c>
      <c r="R65" s="70">
        <v>32.9</v>
      </c>
      <c r="S65" s="70">
        <v>46.6</v>
      </c>
      <c r="T65" s="70">
        <v>46.6</v>
      </c>
      <c r="U65" s="70">
        <v>46.4</v>
      </c>
      <c r="V65" s="70">
        <v>46.4</v>
      </c>
      <c r="W65" s="70">
        <v>46.4</v>
      </c>
      <c r="X65" s="70">
        <v>46.4</v>
      </c>
      <c r="Y65" s="70">
        <v>45.5</v>
      </c>
      <c r="Z65" s="102">
        <v>45.5</v>
      </c>
      <c r="AA65" s="102">
        <v>45.5</v>
      </c>
      <c r="AB65" s="102">
        <v>69.2</v>
      </c>
      <c r="AC65" s="102">
        <v>68.900000000000006</v>
      </c>
      <c r="AD65" s="102">
        <v>68.5</v>
      </c>
      <c r="AE65" s="102">
        <v>68.5</v>
      </c>
      <c r="AF65" s="102">
        <v>68.900000000000006</v>
      </c>
      <c r="AG65" s="86">
        <v>69</v>
      </c>
      <c r="AH65" s="12">
        <f t="shared" si="8"/>
        <v>69.2</v>
      </c>
      <c r="AI65" s="11">
        <f t="shared" si="9"/>
        <v>32.9</v>
      </c>
      <c r="AK65" s="19"/>
    </row>
    <row r="66" spans="1:75" x14ac:dyDescent="0.25">
      <c r="A66" s="87" t="s">
        <v>201</v>
      </c>
      <c r="B66" s="70">
        <v>59</v>
      </c>
      <c r="C66" s="70">
        <v>59</v>
      </c>
      <c r="D66" s="70">
        <v>59</v>
      </c>
      <c r="E66" s="70">
        <v>60.4</v>
      </c>
      <c r="F66" s="70">
        <v>60.4</v>
      </c>
      <c r="G66" s="70">
        <v>60.7</v>
      </c>
      <c r="H66" s="70">
        <v>60.4</v>
      </c>
      <c r="I66" s="70">
        <v>60.4</v>
      </c>
      <c r="J66" s="70">
        <v>60.4</v>
      </c>
      <c r="K66" s="70">
        <v>60.4</v>
      </c>
      <c r="L66" s="70">
        <v>60.4</v>
      </c>
      <c r="M66" s="70">
        <v>60.4</v>
      </c>
      <c r="N66" s="70">
        <v>60.4</v>
      </c>
      <c r="O66" s="70">
        <v>60.4</v>
      </c>
      <c r="P66" s="70">
        <v>60.4</v>
      </c>
      <c r="Q66" s="70">
        <v>60.4</v>
      </c>
      <c r="R66" s="70">
        <v>60.4</v>
      </c>
      <c r="S66" s="70">
        <v>60.4</v>
      </c>
      <c r="T66" s="70">
        <v>60.4</v>
      </c>
      <c r="U66" s="70">
        <v>60.4</v>
      </c>
      <c r="V66" s="70">
        <v>60.4</v>
      </c>
      <c r="W66" s="70">
        <v>60.4</v>
      </c>
      <c r="X66" s="70">
        <v>60.4</v>
      </c>
      <c r="Y66" s="70">
        <v>60.4</v>
      </c>
      <c r="Z66" s="102">
        <v>60.4</v>
      </c>
      <c r="AA66" s="102">
        <v>60.4</v>
      </c>
      <c r="AB66" s="102">
        <v>58</v>
      </c>
      <c r="AC66" s="102">
        <v>58.2</v>
      </c>
      <c r="AD66" s="102">
        <v>57.7</v>
      </c>
      <c r="AE66" s="102">
        <v>59.2</v>
      </c>
      <c r="AF66" s="102">
        <v>56.4</v>
      </c>
      <c r="AG66" s="86">
        <v>60</v>
      </c>
      <c r="AH66" s="12">
        <f t="shared" si="8"/>
        <v>60.7</v>
      </c>
      <c r="AI66" s="11">
        <f t="shared" si="9"/>
        <v>56.4</v>
      </c>
      <c r="AK66" s="19"/>
    </row>
    <row r="67" spans="1:75" x14ac:dyDescent="0.25">
      <c r="A67" s="87" t="s">
        <v>200</v>
      </c>
      <c r="B67" s="102">
        <v>10</v>
      </c>
      <c r="C67" s="102">
        <v>0</v>
      </c>
      <c r="D67" s="102">
        <v>0</v>
      </c>
      <c r="E67" s="102">
        <v>0</v>
      </c>
      <c r="F67" s="102">
        <v>0</v>
      </c>
      <c r="G67" s="102">
        <v>0</v>
      </c>
      <c r="H67" s="102">
        <v>0</v>
      </c>
      <c r="I67" s="102">
        <v>15</v>
      </c>
      <c r="J67" s="102">
        <v>10</v>
      </c>
      <c r="K67" s="102">
        <v>10</v>
      </c>
      <c r="L67" s="102">
        <v>10</v>
      </c>
      <c r="M67" s="70">
        <v>23.3</v>
      </c>
      <c r="N67" s="70">
        <v>0</v>
      </c>
      <c r="O67" s="70">
        <v>22</v>
      </c>
      <c r="P67" s="70">
        <v>28</v>
      </c>
      <c r="Q67" s="70">
        <v>28</v>
      </c>
      <c r="R67" s="70">
        <v>10</v>
      </c>
      <c r="S67" s="70">
        <v>10</v>
      </c>
      <c r="T67" s="70">
        <v>10</v>
      </c>
      <c r="U67" s="70">
        <v>10</v>
      </c>
      <c r="V67" s="70">
        <v>10</v>
      </c>
      <c r="W67" s="70">
        <v>10</v>
      </c>
      <c r="X67" s="70">
        <v>10</v>
      </c>
      <c r="Y67" s="70">
        <v>15.9</v>
      </c>
      <c r="Z67" s="102">
        <v>23.2</v>
      </c>
      <c r="AA67" s="102">
        <v>23.2</v>
      </c>
      <c r="AB67" s="102">
        <v>27.9</v>
      </c>
      <c r="AC67" s="102">
        <v>23.4</v>
      </c>
      <c r="AD67" s="102">
        <v>23.3</v>
      </c>
      <c r="AE67" s="102">
        <v>14.2</v>
      </c>
      <c r="AF67" s="102">
        <v>14.1</v>
      </c>
      <c r="AG67" s="86">
        <v>30</v>
      </c>
      <c r="AH67" s="12">
        <f t="shared" si="8"/>
        <v>28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25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1.4</v>
      </c>
      <c r="K68" s="102">
        <v>1.4</v>
      </c>
      <c r="L68" s="102">
        <v>1.4</v>
      </c>
      <c r="M68" s="70">
        <v>5.5</v>
      </c>
      <c r="N68" s="70">
        <v>5.5</v>
      </c>
      <c r="O68" s="70">
        <v>5.5</v>
      </c>
      <c r="P68" s="70">
        <v>5.5</v>
      </c>
      <c r="Q68" s="70">
        <v>5.5</v>
      </c>
      <c r="R68" s="70">
        <v>5.5</v>
      </c>
      <c r="S68" s="70">
        <v>11.5</v>
      </c>
      <c r="T68" s="70">
        <v>8.4</v>
      </c>
      <c r="U68" s="70">
        <v>0.8</v>
      </c>
      <c r="V68" s="70">
        <v>0.3</v>
      </c>
      <c r="W68" s="70">
        <v>0</v>
      </c>
      <c r="X68" s="70">
        <v>0</v>
      </c>
      <c r="Y68" s="70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11.5</v>
      </c>
      <c r="AI68" s="11">
        <f t="shared" si="9"/>
        <v>0</v>
      </c>
      <c r="AK68" s="19"/>
      <c r="AY68" s="1" t="s">
        <v>198</v>
      </c>
      <c r="AZ68" s="78">
        <f>ROUND(C81,0)</f>
        <v>30</v>
      </c>
      <c r="BA68" s="83">
        <f t="shared" ref="BA68:BD72" si="39">D81</f>
        <v>30</v>
      </c>
      <c r="BB68" s="83">
        <f t="shared" si="39"/>
        <v>31.2</v>
      </c>
      <c r="BC68" s="83">
        <f t="shared" si="39"/>
        <v>30</v>
      </c>
      <c r="BD68" s="83">
        <f t="shared" si="39"/>
        <v>44</v>
      </c>
      <c r="BE68" s="78">
        <f>I81</f>
        <v>30</v>
      </c>
      <c r="BF68" s="78">
        <f>K81</f>
        <v>68.8</v>
      </c>
      <c r="BG68" s="78">
        <f t="shared" ref="BG68:BP72" si="40">M81</f>
        <v>59.2</v>
      </c>
      <c r="BH68" s="78">
        <f t="shared" si="40"/>
        <v>69</v>
      </c>
      <c r="BI68" s="78">
        <f t="shared" si="40"/>
        <v>64</v>
      </c>
      <c r="BJ68" s="78">
        <f t="shared" si="40"/>
        <v>0</v>
      </c>
      <c r="BK68" s="78">
        <f t="shared" si="40"/>
        <v>62</v>
      </c>
      <c r="BL68" s="78">
        <f t="shared" si="40"/>
        <v>60</v>
      </c>
      <c r="BM68" s="78">
        <f t="shared" si="40"/>
        <v>61.5</v>
      </c>
      <c r="BN68" s="78">
        <f t="shared" si="40"/>
        <v>64.900000000000006</v>
      </c>
      <c r="BO68" s="78">
        <f t="shared" si="40"/>
        <v>64.3</v>
      </c>
      <c r="BP68" s="78">
        <f t="shared" si="40"/>
        <v>64.3</v>
      </c>
      <c r="BQ68" s="78">
        <f>X81</f>
        <v>56.7</v>
      </c>
      <c r="BR68" s="78">
        <f>Z81</f>
        <v>38.700000000000003</v>
      </c>
      <c r="BS68" s="83">
        <f>AB81</f>
        <v>24.8</v>
      </c>
      <c r="BT68" s="83">
        <f t="shared" ref="BT68:BV72" si="41">AD81</f>
        <v>33.299999999999997</v>
      </c>
      <c r="BU68" s="83">
        <f t="shared" si="41"/>
        <v>39.6</v>
      </c>
      <c r="BV68" s="83">
        <f t="shared" si="41"/>
        <v>37.1</v>
      </c>
      <c r="BW68" s="83">
        <f>B81</f>
        <v>22</v>
      </c>
    </row>
    <row r="69" spans="1:75" x14ac:dyDescent="0.25">
      <c r="A69" s="87" t="s">
        <v>197</v>
      </c>
      <c r="B69" s="70">
        <v>15.8</v>
      </c>
      <c r="C69" s="70">
        <v>15.8</v>
      </c>
      <c r="D69" s="70">
        <v>15.8</v>
      </c>
      <c r="E69" s="70">
        <v>15.8</v>
      </c>
      <c r="F69" s="70">
        <v>15.8</v>
      </c>
      <c r="G69" s="70">
        <v>15.8</v>
      </c>
      <c r="H69" s="70">
        <v>15.8</v>
      </c>
      <c r="I69" s="70">
        <v>15.8</v>
      </c>
      <c r="J69" s="70">
        <v>15.8</v>
      </c>
      <c r="K69" s="70">
        <v>15.8</v>
      </c>
      <c r="L69" s="70">
        <v>15.8</v>
      </c>
      <c r="M69" s="70">
        <v>12.2</v>
      </c>
      <c r="N69" s="70">
        <v>12.2</v>
      </c>
      <c r="O69" s="70">
        <v>12.2</v>
      </c>
      <c r="P69" s="70">
        <v>12.2</v>
      </c>
      <c r="Q69" s="70">
        <v>12.2</v>
      </c>
      <c r="R69" s="70">
        <v>12.2</v>
      </c>
      <c r="S69" s="70">
        <v>12.2</v>
      </c>
      <c r="T69" s="70">
        <v>12.2</v>
      </c>
      <c r="U69" s="70">
        <v>12.2</v>
      </c>
      <c r="V69" s="70">
        <v>12.2</v>
      </c>
      <c r="W69" s="70">
        <v>12.2</v>
      </c>
      <c r="X69" s="70">
        <v>12.2</v>
      </c>
      <c r="Y69" s="70">
        <v>12.2</v>
      </c>
      <c r="Z69" s="70">
        <v>12.2</v>
      </c>
      <c r="AA69" s="70">
        <v>12.2</v>
      </c>
      <c r="AB69" s="70">
        <v>0</v>
      </c>
      <c r="AC69" s="70">
        <v>14.5</v>
      </c>
      <c r="AD69" s="70">
        <v>14.5</v>
      </c>
      <c r="AE69" s="70">
        <v>14</v>
      </c>
      <c r="AF69" s="70">
        <v>13.7</v>
      </c>
      <c r="AG69" s="86">
        <v>24</v>
      </c>
      <c r="AH69" s="12">
        <f t="shared" si="8"/>
        <v>15.8</v>
      </c>
      <c r="AI69" s="11">
        <f t="shared" si="9"/>
        <v>0</v>
      </c>
      <c r="AK69" s="19"/>
      <c r="AY69" s="1" t="s">
        <v>196</v>
      </c>
      <c r="AZ69" s="78">
        <f>ROUND(C82,0)</f>
        <v>0</v>
      </c>
      <c r="BA69" s="83">
        <f t="shared" si="39"/>
        <v>0</v>
      </c>
      <c r="BB69" s="83">
        <f t="shared" si="39"/>
        <v>0</v>
      </c>
      <c r="BC69" s="83">
        <f t="shared" si="39"/>
        <v>0</v>
      </c>
      <c r="BD69" s="83">
        <f t="shared" si="39"/>
        <v>0</v>
      </c>
      <c r="BE69" s="78">
        <f>I82</f>
        <v>0</v>
      </c>
      <c r="BF69" s="78">
        <f>K82</f>
        <v>100</v>
      </c>
      <c r="BG69" s="78">
        <f t="shared" si="40"/>
        <v>103.9</v>
      </c>
      <c r="BH69" s="78">
        <f t="shared" si="40"/>
        <v>104</v>
      </c>
      <c r="BI69" s="78">
        <f t="shared" si="40"/>
        <v>88</v>
      </c>
      <c r="BJ69" s="78">
        <f t="shared" si="40"/>
        <v>73</v>
      </c>
      <c r="BK69" s="78">
        <f t="shared" si="40"/>
        <v>73</v>
      </c>
      <c r="BL69" s="78">
        <f t="shared" si="40"/>
        <v>75</v>
      </c>
      <c r="BM69" s="78">
        <f t="shared" si="40"/>
        <v>80.900000000000006</v>
      </c>
      <c r="BN69" s="78">
        <f t="shared" si="40"/>
        <v>87.6</v>
      </c>
      <c r="BO69" s="78">
        <f t="shared" si="40"/>
        <v>91.6</v>
      </c>
      <c r="BP69" s="78">
        <f t="shared" si="40"/>
        <v>91.6</v>
      </c>
      <c r="BQ69" s="78">
        <f>X82</f>
        <v>94.8</v>
      </c>
      <c r="BR69" s="78">
        <f>Z82</f>
        <v>114.5</v>
      </c>
      <c r="BS69" s="83">
        <f>AB82</f>
        <v>0</v>
      </c>
      <c r="BT69" s="83">
        <f t="shared" si="41"/>
        <v>0</v>
      </c>
      <c r="BU69" s="83">
        <f t="shared" si="41"/>
        <v>0</v>
      </c>
      <c r="BV69" s="83">
        <f t="shared" si="41"/>
        <v>0</v>
      </c>
      <c r="BW69" s="83">
        <f>B82</f>
        <v>0</v>
      </c>
    </row>
    <row r="70" spans="1:75" x14ac:dyDescent="0.25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32</v>
      </c>
      <c r="BA70" s="83">
        <f t="shared" si="39"/>
        <v>30</v>
      </c>
      <c r="BB70" s="83">
        <f t="shared" si="39"/>
        <v>0</v>
      </c>
      <c r="BC70" s="83">
        <f t="shared" si="39"/>
        <v>5</v>
      </c>
      <c r="BD70" s="83">
        <f t="shared" si="39"/>
        <v>11.5</v>
      </c>
      <c r="BE70" s="78">
        <f>I83</f>
        <v>42</v>
      </c>
      <c r="BF70" s="78">
        <f>K83</f>
        <v>442</v>
      </c>
      <c r="BG70" s="78">
        <f t="shared" si="40"/>
        <v>468</v>
      </c>
      <c r="BH70" s="78">
        <f t="shared" si="40"/>
        <v>453</v>
      </c>
      <c r="BI70" s="78">
        <f t="shared" si="40"/>
        <v>484</v>
      </c>
      <c r="BJ70" s="78">
        <f t="shared" si="40"/>
        <v>430</v>
      </c>
      <c r="BK70" s="78">
        <f t="shared" si="40"/>
        <v>450</v>
      </c>
      <c r="BL70" s="78">
        <f t="shared" si="40"/>
        <v>461</v>
      </c>
      <c r="BM70" s="78">
        <f t="shared" si="40"/>
        <v>462.1</v>
      </c>
      <c r="BN70" s="78">
        <f t="shared" si="40"/>
        <v>472.3</v>
      </c>
      <c r="BO70" s="78">
        <f t="shared" si="40"/>
        <v>458.8</v>
      </c>
      <c r="BP70" s="78">
        <f t="shared" si="40"/>
        <v>458.8</v>
      </c>
      <c r="BQ70" s="78">
        <f>X83</f>
        <v>114.4</v>
      </c>
      <c r="BR70" s="78">
        <f>Z83</f>
        <v>32.799999999999997</v>
      </c>
      <c r="BS70" s="83">
        <f>AB83</f>
        <v>71.900000000000006</v>
      </c>
      <c r="BT70" s="83">
        <f t="shared" si="41"/>
        <v>50</v>
      </c>
      <c r="BU70" s="83">
        <f t="shared" si="41"/>
        <v>68.7</v>
      </c>
      <c r="BV70" s="83">
        <f t="shared" si="41"/>
        <v>82.4</v>
      </c>
      <c r="BW70" s="83">
        <f>B83</f>
        <v>30</v>
      </c>
    </row>
    <row r="71" spans="1:75" s="115" customFormat="1" x14ac:dyDescent="0.25">
      <c r="A71" s="87" t="s">
        <v>193</v>
      </c>
      <c r="B71" s="70">
        <v>13.4</v>
      </c>
      <c r="C71" s="70">
        <v>13.4</v>
      </c>
      <c r="D71" s="70">
        <v>13.4</v>
      </c>
      <c r="E71" s="70">
        <v>13.4</v>
      </c>
      <c r="F71" s="70">
        <v>13.4</v>
      </c>
      <c r="G71" s="70">
        <v>13.4</v>
      </c>
      <c r="H71" s="70">
        <v>13.4</v>
      </c>
      <c r="I71" s="70">
        <v>13.4</v>
      </c>
      <c r="J71" s="70">
        <v>13.4</v>
      </c>
      <c r="K71" s="70">
        <v>13.4</v>
      </c>
      <c r="L71" s="70">
        <v>13.4</v>
      </c>
      <c r="M71" s="70">
        <v>11.6</v>
      </c>
      <c r="N71" s="70">
        <v>11.6</v>
      </c>
      <c r="O71" s="70">
        <v>11.6</v>
      </c>
      <c r="P71" s="70">
        <v>11.6</v>
      </c>
      <c r="Q71" s="70">
        <v>11.6</v>
      </c>
      <c r="R71" s="70">
        <v>11.6</v>
      </c>
      <c r="S71" s="70">
        <v>11.6</v>
      </c>
      <c r="T71" s="70">
        <v>11.6</v>
      </c>
      <c r="U71" s="70">
        <v>11.6</v>
      </c>
      <c r="V71" s="70">
        <v>11.6</v>
      </c>
      <c r="W71" s="70">
        <v>11.6</v>
      </c>
      <c r="X71" s="70">
        <v>11.6</v>
      </c>
      <c r="Y71" s="70">
        <v>11.6</v>
      </c>
      <c r="Z71" s="70">
        <v>11.6</v>
      </c>
      <c r="AA71" s="70">
        <v>11.6</v>
      </c>
      <c r="AB71" s="70">
        <v>6.5</v>
      </c>
      <c r="AC71" s="70">
        <v>6.4</v>
      </c>
      <c r="AD71" s="70">
        <v>6.3</v>
      </c>
      <c r="AE71" s="70">
        <v>11</v>
      </c>
      <c r="AF71" s="70">
        <v>11</v>
      </c>
      <c r="AG71" s="86">
        <v>14.1</v>
      </c>
      <c r="AH71" s="12">
        <f t="shared" si="8"/>
        <v>13.4</v>
      </c>
      <c r="AI71" s="11">
        <f t="shared" si="9"/>
        <v>6.3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39"/>
        <v>0</v>
      </c>
      <c r="BB71" s="83">
        <f t="shared" si="39"/>
        <v>0</v>
      </c>
      <c r="BC71" s="83">
        <f t="shared" si="39"/>
        <v>0</v>
      </c>
      <c r="BD71" s="83">
        <f t="shared" si="39"/>
        <v>0</v>
      </c>
      <c r="BE71" s="78">
        <f>I84</f>
        <v>0</v>
      </c>
      <c r="BF71" s="78">
        <f>K84</f>
        <v>37</v>
      </c>
      <c r="BG71" s="78">
        <f t="shared" si="40"/>
        <v>45</v>
      </c>
      <c r="BH71" s="78">
        <f t="shared" si="40"/>
        <v>48.6</v>
      </c>
      <c r="BI71" s="78">
        <f t="shared" si="40"/>
        <v>49.5</v>
      </c>
      <c r="BJ71" s="78">
        <f t="shared" si="40"/>
        <v>52.7</v>
      </c>
      <c r="BK71" s="78">
        <f t="shared" si="40"/>
        <v>52.7</v>
      </c>
      <c r="BL71" s="78">
        <f t="shared" si="40"/>
        <v>49.8</v>
      </c>
      <c r="BM71" s="78">
        <f t="shared" si="40"/>
        <v>58.3</v>
      </c>
      <c r="BN71" s="78">
        <f t="shared" si="40"/>
        <v>51.6</v>
      </c>
      <c r="BO71" s="78">
        <f t="shared" si="40"/>
        <v>61.5</v>
      </c>
      <c r="BP71" s="78">
        <f t="shared" si="40"/>
        <v>61.5</v>
      </c>
      <c r="BQ71" s="78">
        <f>X84</f>
        <v>44.3</v>
      </c>
      <c r="BR71" s="78">
        <f>Z84</f>
        <v>29.4</v>
      </c>
      <c r="BS71" s="83">
        <f>AB84</f>
        <v>0</v>
      </c>
      <c r="BT71" s="83">
        <f t="shared" si="41"/>
        <v>0</v>
      </c>
      <c r="BU71" s="83">
        <f t="shared" si="41"/>
        <v>0</v>
      </c>
      <c r="BV71" s="83">
        <f t="shared" si="41"/>
        <v>0</v>
      </c>
      <c r="BW71" s="83">
        <f>B84</f>
        <v>0</v>
      </c>
    </row>
    <row r="72" spans="1:75" x14ac:dyDescent="0.25">
      <c r="A72" s="111" t="s">
        <v>191</v>
      </c>
      <c r="B72" s="70">
        <v>7</v>
      </c>
      <c r="C72" s="70">
        <v>7</v>
      </c>
      <c r="D72" s="70">
        <v>7</v>
      </c>
      <c r="E72" s="70">
        <v>7</v>
      </c>
      <c r="F72" s="70">
        <v>7</v>
      </c>
      <c r="G72" s="70">
        <v>7</v>
      </c>
      <c r="H72" s="70">
        <v>7</v>
      </c>
      <c r="I72" s="70">
        <v>7</v>
      </c>
      <c r="J72" s="70">
        <v>7</v>
      </c>
      <c r="K72" s="70">
        <v>7</v>
      </c>
      <c r="L72" s="70">
        <v>7</v>
      </c>
      <c r="M72" s="70">
        <v>7</v>
      </c>
      <c r="N72" s="70">
        <v>7</v>
      </c>
      <c r="O72" s="70">
        <v>7</v>
      </c>
      <c r="P72" s="70">
        <v>7</v>
      </c>
      <c r="Q72" s="70">
        <v>7</v>
      </c>
      <c r="R72" s="70">
        <v>7</v>
      </c>
      <c r="S72" s="70">
        <v>7</v>
      </c>
      <c r="T72" s="70">
        <v>7</v>
      </c>
      <c r="U72" s="70">
        <v>7</v>
      </c>
      <c r="V72" s="70">
        <v>7</v>
      </c>
      <c r="W72" s="70">
        <v>7</v>
      </c>
      <c r="X72" s="70">
        <v>7</v>
      </c>
      <c r="Y72" s="70">
        <v>7</v>
      </c>
      <c r="Z72" s="70">
        <v>7</v>
      </c>
      <c r="AA72" s="70">
        <v>7</v>
      </c>
      <c r="AB72" s="70">
        <v>7.2</v>
      </c>
      <c r="AC72" s="70">
        <v>7.2</v>
      </c>
      <c r="AD72" s="70">
        <v>7.2</v>
      </c>
      <c r="AE72" s="70">
        <v>7.2</v>
      </c>
      <c r="AF72" s="70">
        <v>7.2</v>
      </c>
      <c r="AG72" s="86">
        <v>14</v>
      </c>
      <c r="AH72" s="12">
        <f t="shared" si="8"/>
        <v>7.2</v>
      </c>
      <c r="AI72" s="11">
        <f t="shared" si="9"/>
        <v>7</v>
      </c>
      <c r="AK72" s="19"/>
      <c r="AY72" s="1" t="s">
        <v>190</v>
      </c>
      <c r="AZ72" s="78">
        <f>ROUND(C85,0)</f>
        <v>0</v>
      </c>
      <c r="BA72" s="83">
        <f t="shared" si="39"/>
        <v>0</v>
      </c>
      <c r="BB72" s="83">
        <f t="shared" si="39"/>
        <v>0</v>
      </c>
      <c r="BC72" s="83">
        <f t="shared" si="39"/>
        <v>0</v>
      </c>
      <c r="BD72" s="83">
        <f t="shared" si="39"/>
        <v>0</v>
      </c>
      <c r="BE72" s="78">
        <f>I85</f>
        <v>0</v>
      </c>
      <c r="BF72" s="78">
        <f>K85</f>
        <v>112.1</v>
      </c>
      <c r="BG72" s="78">
        <f t="shared" si="40"/>
        <v>119.23</v>
      </c>
      <c r="BH72" s="78">
        <f t="shared" si="40"/>
        <v>124</v>
      </c>
      <c r="BI72" s="78">
        <f t="shared" si="40"/>
        <v>129.6</v>
      </c>
      <c r="BJ72" s="78">
        <f t="shared" si="40"/>
        <v>145</v>
      </c>
      <c r="BK72" s="78">
        <f t="shared" si="40"/>
        <v>145</v>
      </c>
      <c r="BL72" s="78">
        <f t="shared" si="40"/>
        <v>139</v>
      </c>
      <c r="BM72" s="78">
        <f t="shared" si="40"/>
        <v>143</v>
      </c>
      <c r="BN72" s="78">
        <f t="shared" si="40"/>
        <v>131.6</v>
      </c>
      <c r="BO72" s="78">
        <f t="shared" si="40"/>
        <v>138.6</v>
      </c>
      <c r="BP72" s="78">
        <f t="shared" si="40"/>
        <v>138.6</v>
      </c>
      <c r="BQ72" s="78">
        <f>X85</f>
        <v>100.6</v>
      </c>
      <c r="BR72" s="78">
        <f>Z85</f>
        <v>0</v>
      </c>
      <c r="BS72" s="83">
        <f>AB85</f>
        <v>0</v>
      </c>
      <c r="BT72" s="83">
        <f t="shared" si="41"/>
        <v>0</v>
      </c>
      <c r="BU72" s="83">
        <f t="shared" si="41"/>
        <v>0</v>
      </c>
      <c r="BV72" s="83">
        <f t="shared" si="41"/>
        <v>0</v>
      </c>
      <c r="BW72" s="83">
        <f>B85</f>
        <v>0</v>
      </c>
    </row>
    <row r="73" spans="1:75" x14ac:dyDescent="0.25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8"/>
        <v>4</v>
      </c>
      <c r="AI73" s="11">
        <f t="shared" si="9"/>
        <v>4</v>
      </c>
      <c r="AK73" s="19"/>
      <c r="AY73" s="1" t="s">
        <v>188</v>
      </c>
      <c r="AZ73" s="78">
        <f>ROUND(C91,0)</f>
        <v>50</v>
      </c>
      <c r="BA73" s="78">
        <f>D91</f>
        <v>49</v>
      </c>
      <c r="BB73" s="78">
        <f>E91</f>
        <v>37.799999999999997</v>
      </c>
      <c r="BC73" s="78">
        <f>F91</f>
        <v>42.1</v>
      </c>
      <c r="BD73" s="78">
        <f>G91</f>
        <v>41</v>
      </c>
      <c r="BE73" s="78">
        <f>I91</f>
        <v>40</v>
      </c>
      <c r="BF73" s="78">
        <f>K91</f>
        <v>43.5</v>
      </c>
      <c r="BG73" s="78">
        <f t="shared" ref="BG73:BP73" si="42">M91</f>
        <v>39.5</v>
      </c>
      <c r="BH73" s="78">
        <f t="shared" si="42"/>
        <v>27</v>
      </c>
      <c r="BI73" s="78">
        <f t="shared" si="42"/>
        <v>26.9</v>
      </c>
      <c r="BJ73" s="78">
        <f t="shared" si="42"/>
        <v>54.7</v>
      </c>
      <c r="BK73" s="78">
        <f t="shared" si="42"/>
        <v>54.7</v>
      </c>
      <c r="BL73" s="78">
        <f t="shared" si="42"/>
        <v>54.7</v>
      </c>
      <c r="BM73" s="78">
        <f t="shared" si="42"/>
        <v>58.3</v>
      </c>
      <c r="BN73" s="78">
        <f t="shared" si="42"/>
        <v>58.9</v>
      </c>
      <c r="BO73" s="78">
        <f t="shared" si="42"/>
        <v>55.8</v>
      </c>
      <c r="BP73" s="78">
        <f t="shared" si="42"/>
        <v>55.8</v>
      </c>
      <c r="BQ73" s="78">
        <f>X91</f>
        <v>40</v>
      </c>
      <c r="BR73" s="78">
        <f>Z91</f>
        <v>38.799999999999997</v>
      </c>
      <c r="BS73" s="78">
        <f>AB91</f>
        <v>41.8</v>
      </c>
      <c r="BT73" s="78">
        <f>AD91</f>
        <v>45.2</v>
      </c>
      <c r="BU73" s="78">
        <f>AE91</f>
        <v>45.1</v>
      </c>
      <c r="BV73" s="78">
        <f>AF91</f>
        <v>46.4</v>
      </c>
      <c r="BW73" s="78">
        <f>B91</f>
        <v>48</v>
      </c>
    </row>
    <row r="74" spans="1:75" x14ac:dyDescent="0.25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.75" thickBot="1" x14ac:dyDescent="0.3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3.54</v>
      </c>
      <c r="Z75" s="113">
        <v>3.54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3.54</v>
      </c>
      <c r="AK75" s="19"/>
      <c r="AZ75" s="78">
        <f t="shared" ref="AZ75:BW80" si="43">VALUE(AZ68)</f>
        <v>30</v>
      </c>
      <c r="BA75" s="78">
        <f t="shared" si="43"/>
        <v>30</v>
      </c>
      <c r="BB75" s="78">
        <f t="shared" si="43"/>
        <v>31.2</v>
      </c>
      <c r="BC75" s="78">
        <f t="shared" si="43"/>
        <v>30</v>
      </c>
      <c r="BD75" s="78">
        <f t="shared" si="43"/>
        <v>44</v>
      </c>
      <c r="BE75" s="78">
        <f t="shared" si="43"/>
        <v>30</v>
      </c>
      <c r="BF75" s="78">
        <f t="shared" si="43"/>
        <v>68.8</v>
      </c>
      <c r="BG75" s="78">
        <f t="shared" si="43"/>
        <v>59.2</v>
      </c>
      <c r="BH75" s="78">
        <f t="shared" si="43"/>
        <v>69</v>
      </c>
      <c r="BI75" s="78">
        <f t="shared" si="43"/>
        <v>64</v>
      </c>
      <c r="BJ75" s="78">
        <f t="shared" si="43"/>
        <v>0</v>
      </c>
      <c r="BK75" s="78">
        <f t="shared" si="43"/>
        <v>62</v>
      </c>
      <c r="BL75" s="78">
        <f t="shared" si="43"/>
        <v>60</v>
      </c>
      <c r="BM75" s="78">
        <f t="shared" si="43"/>
        <v>61.5</v>
      </c>
      <c r="BN75" s="78">
        <f t="shared" si="43"/>
        <v>64.900000000000006</v>
      </c>
      <c r="BO75" s="78">
        <f t="shared" si="43"/>
        <v>64.3</v>
      </c>
      <c r="BP75" s="78">
        <f t="shared" si="43"/>
        <v>64.3</v>
      </c>
      <c r="BQ75" s="78">
        <f t="shared" si="43"/>
        <v>56.7</v>
      </c>
      <c r="BR75" s="78">
        <f t="shared" si="43"/>
        <v>38.700000000000003</v>
      </c>
      <c r="BS75" s="78">
        <f t="shared" si="43"/>
        <v>24.8</v>
      </c>
      <c r="BT75" s="78">
        <f t="shared" si="43"/>
        <v>33.299999999999997</v>
      </c>
      <c r="BU75" s="78">
        <f t="shared" si="43"/>
        <v>39.6</v>
      </c>
      <c r="BV75" s="78">
        <f t="shared" si="43"/>
        <v>37.1</v>
      </c>
      <c r="BW75" s="78">
        <f t="shared" si="43"/>
        <v>22</v>
      </c>
    </row>
    <row r="76" spans="1:75" ht="15.75" thickBot="1" x14ac:dyDescent="0.3">
      <c r="A76" s="77" t="s">
        <v>186</v>
      </c>
      <c r="B76" s="76">
        <f t="shared" ref="B76:C76" si="44">SUM(B63:B75)</f>
        <v>317.74</v>
      </c>
      <c r="C76" s="76">
        <f t="shared" si="44"/>
        <v>297.74</v>
      </c>
      <c r="D76" s="76">
        <f t="shared" ref="D76" si="45">SUM(D63:D75)</f>
        <v>297.74</v>
      </c>
      <c r="E76" s="76">
        <f t="shared" ref="E76:AG76" si="46">SUM(E63:E75)</f>
        <v>311.39999999999998</v>
      </c>
      <c r="F76" s="76">
        <f t="shared" si="46"/>
        <v>290.84000000000003</v>
      </c>
      <c r="G76" s="76">
        <f t="shared" si="46"/>
        <v>278.34000000000003</v>
      </c>
      <c r="H76" s="76">
        <f t="shared" si="46"/>
        <v>307.04000000000002</v>
      </c>
      <c r="I76" s="76">
        <f t="shared" si="46"/>
        <v>356.14</v>
      </c>
      <c r="J76" s="76">
        <f t="shared" si="46"/>
        <v>272.54000000000002</v>
      </c>
      <c r="K76" s="76">
        <f t="shared" si="46"/>
        <v>275.04000000000002</v>
      </c>
      <c r="L76" s="76">
        <f t="shared" si="46"/>
        <v>275.04000000000002</v>
      </c>
      <c r="M76" s="76">
        <f t="shared" si="46"/>
        <v>286.84000000000009</v>
      </c>
      <c r="N76" s="76">
        <f t="shared" si="46"/>
        <v>248.14</v>
      </c>
      <c r="O76" s="76">
        <f t="shared" si="46"/>
        <v>282.14000000000004</v>
      </c>
      <c r="P76" s="76">
        <f t="shared" si="46"/>
        <v>319.14000000000004</v>
      </c>
      <c r="Q76" s="76">
        <f t="shared" si="46"/>
        <v>319.14000000000004</v>
      </c>
      <c r="R76" s="76">
        <f t="shared" si="46"/>
        <v>281.14000000000004</v>
      </c>
      <c r="S76" s="76">
        <f t="shared" ref="S76:T76" si="47">SUM(S63:S75)</f>
        <v>300.84000000000003</v>
      </c>
      <c r="T76" s="76">
        <f t="shared" si="47"/>
        <v>293.44000000000005</v>
      </c>
      <c r="U76" s="76">
        <f t="shared" ref="U76:V76" si="48">SUM(U63:U75)</f>
        <v>273.84000000000003</v>
      </c>
      <c r="V76" s="76">
        <f t="shared" si="48"/>
        <v>219.33999999999997</v>
      </c>
      <c r="W76" s="76">
        <f t="shared" ref="W76:X76" si="49">SUM(W63:W75)</f>
        <v>219.03999999999996</v>
      </c>
      <c r="X76" s="76">
        <f t="shared" si="49"/>
        <v>219.03999999999996</v>
      </c>
      <c r="Y76" s="76">
        <f t="shared" ref="Y76:Z76" si="50">SUM(Y63:Y75)</f>
        <v>303.34000000000003</v>
      </c>
      <c r="Z76" s="76">
        <f t="shared" si="50"/>
        <v>329.54</v>
      </c>
      <c r="AA76" s="76">
        <f t="shared" ref="AA76" si="51">SUM(AA63:AA75)</f>
        <v>329.54</v>
      </c>
      <c r="AB76" s="76">
        <f t="shared" si="46"/>
        <v>348.44</v>
      </c>
      <c r="AC76" s="76">
        <f t="shared" si="46"/>
        <v>335.53999999999996</v>
      </c>
      <c r="AD76" s="76">
        <f t="shared" si="46"/>
        <v>321.94000000000005</v>
      </c>
      <c r="AE76" s="76">
        <f t="shared" si="46"/>
        <v>294.14</v>
      </c>
      <c r="AF76" s="76">
        <f t="shared" si="46"/>
        <v>291.84000000000003</v>
      </c>
      <c r="AG76" s="93">
        <f t="shared" si="46"/>
        <v>489.91</v>
      </c>
      <c r="AH76" s="12">
        <f t="shared" si="8"/>
        <v>356.14</v>
      </c>
      <c r="AI76" s="11">
        <f t="shared" si="9"/>
        <v>219.03999999999996</v>
      </c>
      <c r="AK76" s="19"/>
      <c r="AZ76" s="78">
        <f t="shared" si="43"/>
        <v>0</v>
      </c>
      <c r="BA76" s="78">
        <f t="shared" si="43"/>
        <v>0</v>
      </c>
      <c r="BB76" s="78">
        <f t="shared" si="43"/>
        <v>0</v>
      </c>
      <c r="BC76" s="78">
        <f t="shared" si="43"/>
        <v>0</v>
      </c>
      <c r="BD76" s="78">
        <f t="shared" si="43"/>
        <v>0</v>
      </c>
      <c r="BE76" s="78">
        <f t="shared" si="43"/>
        <v>0</v>
      </c>
      <c r="BF76" s="78">
        <f t="shared" si="43"/>
        <v>100</v>
      </c>
      <c r="BG76" s="78">
        <f t="shared" si="43"/>
        <v>103.9</v>
      </c>
      <c r="BH76" s="78">
        <f t="shared" si="43"/>
        <v>104</v>
      </c>
      <c r="BI76" s="78">
        <f t="shared" si="43"/>
        <v>88</v>
      </c>
      <c r="BJ76" s="78">
        <f t="shared" si="43"/>
        <v>73</v>
      </c>
      <c r="BK76" s="78">
        <f t="shared" si="43"/>
        <v>73</v>
      </c>
      <c r="BL76" s="78">
        <f t="shared" si="43"/>
        <v>75</v>
      </c>
      <c r="BM76" s="78">
        <f t="shared" si="43"/>
        <v>80.900000000000006</v>
      </c>
      <c r="BN76" s="78">
        <f t="shared" si="43"/>
        <v>87.6</v>
      </c>
      <c r="BO76" s="78">
        <f t="shared" si="43"/>
        <v>91.6</v>
      </c>
      <c r="BP76" s="78">
        <f t="shared" si="43"/>
        <v>91.6</v>
      </c>
      <c r="BQ76" s="78">
        <f t="shared" si="43"/>
        <v>94.8</v>
      </c>
      <c r="BR76" s="78">
        <f t="shared" si="43"/>
        <v>114.5</v>
      </c>
      <c r="BS76" s="78">
        <f t="shared" si="43"/>
        <v>0</v>
      </c>
      <c r="BT76" s="78">
        <f t="shared" si="43"/>
        <v>0</v>
      </c>
      <c r="BU76" s="78">
        <f t="shared" si="43"/>
        <v>0</v>
      </c>
      <c r="BV76" s="78">
        <f t="shared" si="43"/>
        <v>0</v>
      </c>
      <c r="BW76" s="78">
        <f t="shared" si="43"/>
        <v>0</v>
      </c>
    </row>
    <row r="77" spans="1:75" x14ac:dyDescent="0.25">
      <c r="A77" s="89" t="s">
        <v>185</v>
      </c>
      <c r="B77" s="102">
        <v>59</v>
      </c>
      <c r="C77" s="102">
        <v>59</v>
      </c>
      <c r="D77" s="102">
        <v>59</v>
      </c>
      <c r="E77" s="102">
        <v>59.3</v>
      </c>
      <c r="F77" s="102">
        <v>59.2</v>
      </c>
      <c r="G77" s="102">
        <v>59.3</v>
      </c>
      <c r="H77" s="102">
        <v>59.3</v>
      </c>
      <c r="I77" s="102">
        <v>59.3</v>
      </c>
      <c r="J77" s="102">
        <v>13.7</v>
      </c>
      <c r="K77" s="102">
        <v>10</v>
      </c>
      <c r="L77" s="102">
        <v>29.6</v>
      </c>
      <c r="M77" s="102">
        <v>29.5</v>
      </c>
      <c r="N77" s="102">
        <v>11</v>
      </c>
      <c r="O77" s="102">
        <v>19</v>
      </c>
      <c r="P77" s="102">
        <v>39</v>
      </c>
      <c r="Q77" s="102">
        <v>39</v>
      </c>
      <c r="R77" s="102">
        <v>59</v>
      </c>
      <c r="S77" s="102">
        <v>49.93</v>
      </c>
      <c r="T77" s="102">
        <v>59.6</v>
      </c>
      <c r="U77" s="102">
        <v>59.6</v>
      </c>
      <c r="V77" s="102">
        <v>59.6</v>
      </c>
      <c r="W77" s="102">
        <v>30</v>
      </c>
      <c r="X77" s="102">
        <v>30</v>
      </c>
      <c r="Y77" s="102">
        <v>39.700000000000003</v>
      </c>
      <c r="Z77" s="102">
        <v>39.700000000000003</v>
      </c>
      <c r="AA77" s="102">
        <v>0</v>
      </c>
      <c r="AB77" s="102">
        <v>13.7</v>
      </c>
      <c r="AC77" s="102">
        <v>13.8</v>
      </c>
      <c r="AD77" s="102">
        <v>13.9</v>
      </c>
      <c r="AE77" s="102">
        <v>13.9</v>
      </c>
      <c r="AF77" s="102">
        <v>13.8</v>
      </c>
      <c r="AG77" s="88">
        <v>60</v>
      </c>
      <c r="AH77" s="12">
        <f t="shared" si="8"/>
        <v>59.6</v>
      </c>
      <c r="AI77" s="11">
        <f t="shared" si="9"/>
        <v>0</v>
      </c>
      <c r="AK77" s="19"/>
      <c r="AZ77" s="78">
        <f t="shared" si="43"/>
        <v>32</v>
      </c>
      <c r="BA77" s="78">
        <f t="shared" si="43"/>
        <v>30</v>
      </c>
      <c r="BB77" s="78">
        <f t="shared" si="43"/>
        <v>0</v>
      </c>
      <c r="BC77" s="78">
        <f t="shared" si="43"/>
        <v>5</v>
      </c>
      <c r="BD77" s="78">
        <f t="shared" si="43"/>
        <v>11.5</v>
      </c>
      <c r="BE77" s="78">
        <f t="shared" si="43"/>
        <v>42</v>
      </c>
      <c r="BF77" s="78">
        <f t="shared" si="43"/>
        <v>442</v>
      </c>
      <c r="BG77" s="78">
        <f t="shared" si="43"/>
        <v>468</v>
      </c>
      <c r="BH77" s="78">
        <f t="shared" si="43"/>
        <v>453</v>
      </c>
      <c r="BI77" s="78">
        <f t="shared" si="43"/>
        <v>484</v>
      </c>
      <c r="BJ77" s="78">
        <f t="shared" si="43"/>
        <v>430</v>
      </c>
      <c r="BK77" s="78">
        <f t="shared" si="43"/>
        <v>450</v>
      </c>
      <c r="BL77" s="78">
        <f t="shared" si="43"/>
        <v>461</v>
      </c>
      <c r="BM77" s="78">
        <f t="shared" si="43"/>
        <v>462.1</v>
      </c>
      <c r="BN77" s="78">
        <f t="shared" si="43"/>
        <v>472.3</v>
      </c>
      <c r="BO77" s="78">
        <f t="shared" si="43"/>
        <v>458.8</v>
      </c>
      <c r="BP77" s="78">
        <f t="shared" si="43"/>
        <v>458.8</v>
      </c>
      <c r="BQ77" s="78">
        <f t="shared" si="43"/>
        <v>114.4</v>
      </c>
      <c r="BR77" s="78">
        <f t="shared" si="43"/>
        <v>32.799999999999997</v>
      </c>
      <c r="BS77" s="78">
        <f t="shared" si="43"/>
        <v>71.900000000000006</v>
      </c>
      <c r="BT77" s="78">
        <f t="shared" si="43"/>
        <v>50</v>
      </c>
      <c r="BU77" s="78">
        <f t="shared" si="43"/>
        <v>68.7</v>
      </c>
      <c r="BV77" s="78">
        <f t="shared" si="43"/>
        <v>82.4</v>
      </c>
      <c r="BW77" s="78">
        <f t="shared" si="43"/>
        <v>30</v>
      </c>
    </row>
    <row r="78" spans="1:75" x14ac:dyDescent="0.25">
      <c r="A78" s="87" t="s">
        <v>184</v>
      </c>
      <c r="B78" s="70">
        <v>27</v>
      </c>
      <c r="C78" s="70">
        <v>27</v>
      </c>
      <c r="D78" s="70">
        <v>27</v>
      </c>
      <c r="E78" s="70">
        <v>28.3</v>
      </c>
      <c r="F78" s="70">
        <v>28.1</v>
      </c>
      <c r="G78" s="70">
        <v>27.9</v>
      </c>
      <c r="H78" s="70">
        <v>28</v>
      </c>
      <c r="I78" s="70">
        <v>28.3</v>
      </c>
      <c r="J78" s="70">
        <v>6.9</v>
      </c>
      <c r="K78" s="70">
        <v>4.5</v>
      </c>
      <c r="L78" s="70">
        <v>13.6</v>
      </c>
      <c r="M78" s="70">
        <v>14.3</v>
      </c>
      <c r="N78" s="70">
        <v>8.4</v>
      </c>
      <c r="O78" s="70">
        <v>3.8</v>
      </c>
      <c r="P78" s="70">
        <v>18</v>
      </c>
      <c r="Q78" s="70">
        <v>18</v>
      </c>
      <c r="R78" s="70">
        <v>18</v>
      </c>
      <c r="S78" s="70">
        <v>28</v>
      </c>
      <c r="T78" s="70">
        <v>28</v>
      </c>
      <c r="U78" s="70">
        <v>28</v>
      </c>
      <c r="V78" s="70">
        <v>28</v>
      </c>
      <c r="W78" s="70">
        <v>15.6</v>
      </c>
      <c r="X78" s="70">
        <v>15.6</v>
      </c>
      <c r="Y78" s="70">
        <v>15.8</v>
      </c>
      <c r="Z78" s="70">
        <v>15.8</v>
      </c>
      <c r="AA78" s="70">
        <v>0</v>
      </c>
      <c r="AB78" s="70">
        <v>4.8</v>
      </c>
      <c r="AC78" s="70">
        <v>4.8</v>
      </c>
      <c r="AD78" s="70">
        <v>4.8</v>
      </c>
      <c r="AE78" s="70">
        <v>4.8</v>
      </c>
      <c r="AF78" s="70">
        <v>5</v>
      </c>
      <c r="AG78" s="86">
        <v>32</v>
      </c>
      <c r="AH78" s="12">
        <f t="shared" si="8"/>
        <v>28.3</v>
      </c>
      <c r="AI78" s="11">
        <f t="shared" si="9"/>
        <v>0</v>
      </c>
      <c r="AK78" s="19"/>
      <c r="AZ78" s="78">
        <f t="shared" si="43"/>
        <v>0</v>
      </c>
      <c r="BA78" s="78">
        <f t="shared" si="43"/>
        <v>0</v>
      </c>
      <c r="BB78" s="78">
        <f t="shared" si="43"/>
        <v>0</v>
      </c>
      <c r="BC78" s="78">
        <f t="shared" si="43"/>
        <v>0</v>
      </c>
      <c r="BD78" s="78">
        <f t="shared" si="43"/>
        <v>0</v>
      </c>
      <c r="BE78" s="78">
        <f t="shared" si="43"/>
        <v>0</v>
      </c>
      <c r="BF78" s="78">
        <f t="shared" si="43"/>
        <v>37</v>
      </c>
      <c r="BG78" s="78">
        <f t="shared" si="43"/>
        <v>45</v>
      </c>
      <c r="BH78" s="78">
        <f t="shared" si="43"/>
        <v>48.6</v>
      </c>
      <c r="BI78" s="78">
        <f t="shared" si="43"/>
        <v>49.5</v>
      </c>
      <c r="BJ78" s="78">
        <f t="shared" si="43"/>
        <v>52.7</v>
      </c>
      <c r="BK78" s="78">
        <f t="shared" si="43"/>
        <v>52.7</v>
      </c>
      <c r="BL78" s="78">
        <f t="shared" si="43"/>
        <v>49.8</v>
      </c>
      <c r="BM78" s="78">
        <f t="shared" si="43"/>
        <v>58.3</v>
      </c>
      <c r="BN78" s="78">
        <f t="shared" si="43"/>
        <v>51.6</v>
      </c>
      <c r="BO78" s="78">
        <f t="shared" si="43"/>
        <v>61.5</v>
      </c>
      <c r="BP78" s="78">
        <f t="shared" si="43"/>
        <v>61.5</v>
      </c>
      <c r="BQ78" s="78">
        <f t="shared" si="43"/>
        <v>44.3</v>
      </c>
      <c r="BR78" s="78">
        <f t="shared" si="43"/>
        <v>29.4</v>
      </c>
      <c r="BS78" s="78">
        <f t="shared" si="43"/>
        <v>0</v>
      </c>
      <c r="BT78" s="78">
        <f t="shared" si="43"/>
        <v>0</v>
      </c>
      <c r="BU78" s="78">
        <f t="shared" si="43"/>
        <v>0</v>
      </c>
      <c r="BV78" s="78">
        <f t="shared" si="43"/>
        <v>0</v>
      </c>
      <c r="BW78" s="78">
        <f t="shared" si="43"/>
        <v>0</v>
      </c>
    </row>
    <row r="79" spans="1:75" ht="15.75" thickBot="1" x14ac:dyDescent="0.3">
      <c r="A79" s="111" t="s">
        <v>183</v>
      </c>
      <c r="B79" s="110">
        <v>10</v>
      </c>
      <c r="C79" s="110">
        <v>10</v>
      </c>
      <c r="D79" s="110">
        <v>10</v>
      </c>
      <c r="E79" s="110">
        <v>10.3</v>
      </c>
      <c r="F79" s="110">
        <v>10.3</v>
      </c>
      <c r="G79" s="110">
        <v>10.199999999999999</v>
      </c>
      <c r="H79" s="110">
        <v>10.199999999999999</v>
      </c>
      <c r="I79" s="110">
        <v>10.199999999999999</v>
      </c>
      <c r="J79" s="110">
        <v>2.5</v>
      </c>
      <c r="K79" s="110">
        <v>1.6</v>
      </c>
      <c r="L79" s="110">
        <v>4.9000000000000004</v>
      </c>
      <c r="M79" s="110">
        <v>5.2</v>
      </c>
      <c r="N79" s="110">
        <v>3.1</v>
      </c>
      <c r="O79" s="110">
        <v>1.4</v>
      </c>
      <c r="P79" s="110">
        <v>6.5</v>
      </c>
      <c r="Q79" s="110">
        <v>6.5</v>
      </c>
      <c r="R79" s="110">
        <v>6.5</v>
      </c>
      <c r="S79" s="110">
        <v>10.199999999999999</v>
      </c>
      <c r="T79" s="110">
        <v>10.199999999999999</v>
      </c>
      <c r="U79" s="110">
        <v>10.199999999999999</v>
      </c>
      <c r="V79" s="110">
        <v>10.199999999999999</v>
      </c>
      <c r="W79" s="110">
        <v>5.7</v>
      </c>
      <c r="X79" s="110">
        <v>5.7</v>
      </c>
      <c r="Y79" s="110">
        <v>5.8</v>
      </c>
      <c r="Z79" s="110">
        <v>5.8</v>
      </c>
      <c r="AA79" s="110">
        <v>0</v>
      </c>
      <c r="AB79" s="110">
        <v>1.7</v>
      </c>
      <c r="AC79" s="110">
        <v>1.8</v>
      </c>
      <c r="AD79" s="110">
        <v>1.8</v>
      </c>
      <c r="AE79" s="110">
        <v>1.8</v>
      </c>
      <c r="AF79" s="110">
        <v>1.8</v>
      </c>
      <c r="AG79" s="109">
        <v>14</v>
      </c>
      <c r="AH79" s="12">
        <f t="shared" si="8"/>
        <v>10.3</v>
      </c>
      <c r="AI79" s="11">
        <f t="shared" si="9"/>
        <v>0</v>
      </c>
      <c r="AK79" s="19"/>
      <c r="AZ79" s="78">
        <f t="shared" si="43"/>
        <v>0</v>
      </c>
      <c r="BA79" s="78">
        <f t="shared" si="43"/>
        <v>0</v>
      </c>
      <c r="BB79" s="78">
        <f t="shared" si="43"/>
        <v>0</v>
      </c>
      <c r="BC79" s="78">
        <f t="shared" si="43"/>
        <v>0</v>
      </c>
      <c r="BD79" s="78">
        <f t="shared" si="43"/>
        <v>0</v>
      </c>
      <c r="BE79" s="78">
        <f t="shared" si="43"/>
        <v>0</v>
      </c>
      <c r="BF79" s="78">
        <f t="shared" si="43"/>
        <v>112.1</v>
      </c>
      <c r="BG79" s="78">
        <f t="shared" si="43"/>
        <v>119.23</v>
      </c>
      <c r="BH79" s="78">
        <f t="shared" si="43"/>
        <v>124</v>
      </c>
      <c r="BI79" s="78">
        <f t="shared" si="43"/>
        <v>129.6</v>
      </c>
      <c r="BJ79" s="78">
        <f t="shared" si="43"/>
        <v>145</v>
      </c>
      <c r="BK79" s="78">
        <f t="shared" si="43"/>
        <v>145</v>
      </c>
      <c r="BL79" s="78">
        <f t="shared" si="43"/>
        <v>139</v>
      </c>
      <c r="BM79" s="78">
        <f t="shared" si="43"/>
        <v>143</v>
      </c>
      <c r="BN79" s="78">
        <f t="shared" si="43"/>
        <v>131.6</v>
      </c>
      <c r="BO79" s="78">
        <f t="shared" si="43"/>
        <v>138.6</v>
      </c>
      <c r="BP79" s="78">
        <f t="shared" si="43"/>
        <v>138.6</v>
      </c>
      <c r="BQ79" s="78">
        <f t="shared" si="43"/>
        <v>100.6</v>
      </c>
      <c r="BR79" s="78">
        <f t="shared" si="43"/>
        <v>0</v>
      </c>
      <c r="BS79" s="78">
        <f t="shared" si="43"/>
        <v>0</v>
      </c>
      <c r="BT79" s="78">
        <f t="shared" si="43"/>
        <v>0</v>
      </c>
      <c r="BU79" s="78">
        <f t="shared" si="43"/>
        <v>0</v>
      </c>
      <c r="BV79" s="78">
        <f t="shared" si="43"/>
        <v>0</v>
      </c>
      <c r="BW79" s="78">
        <f t="shared" si="43"/>
        <v>0</v>
      </c>
    </row>
    <row r="80" spans="1:75" ht="15.75" thickBot="1" x14ac:dyDescent="0.3">
      <c r="A80" s="77" t="s">
        <v>182</v>
      </c>
      <c r="B80" s="76">
        <f t="shared" ref="B80:C80" si="52">B77+B78+B79</f>
        <v>96</v>
      </c>
      <c r="C80" s="76">
        <f t="shared" si="52"/>
        <v>96</v>
      </c>
      <c r="D80" s="76">
        <f t="shared" ref="D80" si="53">D77+D78+D79</f>
        <v>96</v>
      </c>
      <c r="E80" s="76">
        <f t="shared" ref="E80:AF80" si="54">E77+E78+E79</f>
        <v>97.899999999999991</v>
      </c>
      <c r="F80" s="76">
        <f t="shared" si="54"/>
        <v>97.600000000000009</v>
      </c>
      <c r="G80" s="76">
        <f t="shared" si="54"/>
        <v>97.399999999999991</v>
      </c>
      <c r="H80" s="76">
        <f t="shared" si="54"/>
        <v>97.5</v>
      </c>
      <c r="I80" s="76">
        <f t="shared" si="54"/>
        <v>97.8</v>
      </c>
      <c r="J80" s="76">
        <f t="shared" si="54"/>
        <v>23.1</v>
      </c>
      <c r="K80" s="76">
        <f t="shared" si="54"/>
        <v>16.100000000000001</v>
      </c>
      <c r="L80" s="76">
        <f t="shared" si="54"/>
        <v>48.1</v>
      </c>
      <c r="M80" s="76">
        <f t="shared" si="54"/>
        <v>49</v>
      </c>
      <c r="N80" s="76">
        <f t="shared" si="54"/>
        <v>22.5</v>
      </c>
      <c r="O80" s="76">
        <f t="shared" si="54"/>
        <v>24.2</v>
      </c>
      <c r="P80" s="76">
        <f t="shared" si="54"/>
        <v>63.5</v>
      </c>
      <c r="Q80" s="76">
        <f t="shared" si="54"/>
        <v>63.5</v>
      </c>
      <c r="R80" s="76">
        <f t="shared" si="54"/>
        <v>83.5</v>
      </c>
      <c r="S80" s="76">
        <f t="shared" ref="S80:T80" si="55">S77+S78+S79</f>
        <v>88.13000000000001</v>
      </c>
      <c r="T80" s="76">
        <f t="shared" si="55"/>
        <v>97.8</v>
      </c>
      <c r="U80" s="76">
        <f t="shared" ref="U80:V80" si="56">U77+U78+U79</f>
        <v>97.8</v>
      </c>
      <c r="V80" s="76">
        <f t="shared" si="56"/>
        <v>97.8</v>
      </c>
      <c r="W80" s="76">
        <f t="shared" ref="W80:X80" si="57">W77+W78+W79</f>
        <v>51.300000000000004</v>
      </c>
      <c r="X80" s="76">
        <f t="shared" si="57"/>
        <v>51.300000000000004</v>
      </c>
      <c r="Y80" s="76">
        <f t="shared" ref="Y80:Z80" si="58">Y77+Y78+Y79</f>
        <v>61.3</v>
      </c>
      <c r="Z80" s="76">
        <f t="shared" si="58"/>
        <v>61.3</v>
      </c>
      <c r="AA80" s="76">
        <f t="shared" ref="AA80" si="59">AA77+AA78+AA79</f>
        <v>0</v>
      </c>
      <c r="AB80" s="76">
        <f t="shared" si="54"/>
        <v>20.2</v>
      </c>
      <c r="AC80" s="76">
        <f t="shared" si="54"/>
        <v>20.400000000000002</v>
      </c>
      <c r="AD80" s="76">
        <f t="shared" si="54"/>
        <v>20.5</v>
      </c>
      <c r="AE80" s="76">
        <f t="shared" si="54"/>
        <v>20.5</v>
      </c>
      <c r="AF80" s="76">
        <f t="shared" si="54"/>
        <v>20.6</v>
      </c>
      <c r="AG80" s="93">
        <f>SUM(AG77:AG79)</f>
        <v>106</v>
      </c>
      <c r="AH80" s="12">
        <f t="shared" si="8"/>
        <v>97.899999999999991</v>
      </c>
      <c r="AI80" s="11">
        <f t="shared" si="9"/>
        <v>0</v>
      </c>
      <c r="AK80" s="19"/>
      <c r="AZ80" s="78">
        <f t="shared" si="43"/>
        <v>50</v>
      </c>
      <c r="BA80" s="78">
        <f t="shared" si="43"/>
        <v>49</v>
      </c>
      <c r="BB80" s="78">
        <f t="shared" si="43"/>
        <v>37.799999999999997</v>
      </c>
      <c r="BC80" s="78">
        <f t="shared" si="43"/>
        <v>42.1</v>
      </c>
      <c r="BD80" s="78">
        <f t="shared" si="43"/>
        <v>41</v>
      </c>
      <c r="BE80" s="78">
        <f t="shared" si="43"/>
        <v>40</v>
      </c>
      <c r="BF80" s="78">
        <f t="shared" si="43"/>
        <v>43.5</v>
      </c>
      <c r="BG80" s="78">
        <f t="shared" si="43"/>
        <v>39.5</v>
      </c>
      <c r="BH80" s="78">
        <f t="shared" si="43"/>
        <v>27</v>
      </c>
      <c r="BI80" s="78">
        <f t="shared" si="43"/>
        <v>26.9</v>
      </c>
      <c r="BJ80" s="78">
        <f t="shared" si="43"/>
        <v>54.7</v>
      </c>
      <c r="BK80" s="78">
        <f t="shared" si="43"/>
        <v>54.7</v>
      </c>
      <c r="BL80" s="78">
        <f t="shared" si="43"/>
        <v>54.7</v>
      </c>
      <c r="BM80" s="78">
        <f t="shared" si="43"/>
        <v>58.3</v>
      </c>
      <c r="BN80" s="78">
        <f t="shared" si="43"/>
        <v>58.9</v>
      </c>
      <c r="BO80" s="78">
        <f t="shared" si="43"/>
        <v>55.8</v>
      </c>
      <c r="BP80" s="78">
        <f t="shared" si="43"/>
        <v>55.8</v>
      </c>
      <c r="BQ80" s="78">
        <f t="shared" si="43"/>
        <v>40</v>
      </c>
      <c r="BR80" s="78">
        <f t="shared" si="43"/>
        <v>38.799999999999997</v>
      </c>
      <c r="BS80" s="78">
        <f t="shared" si="43"/>
        <v>41.8</v>
      </c>
      <c r="BT80" s="78">
        <f t="shared" si="43"/>
        <v>45.2</v>
      </c>
      <c r="BU80" s="78">
        <f t="shared" si="43"/>
        <v>45.1</v>
      </c>
      <c r="BV80" s="78">
        <f t="shared" si="43"/>
        <v>46.4</v>
      </c>
      <c r="BW80" s="78">
        <f t="shared" si="43"/>
        <v>48</v>
      </c>
    </row>
    <row r="81" spans="1:64" x14ac:dyDescent="0.25">
      <c r="A81" s="89" t="s">
        <v>157</v>
      </c>
      <c r="B81" s="102">
        <v>22</v>
      </c>
      <c r="C81" s="102">
        <v>30</v>
      </c>
      <c r="D81" s="102">
        <v>30</v>
      </c>
      <c r="E81" s="102">
        <v>31.2</v>
      </c>
      <c r="F81" s="102">
        <v>30</v>
      </c>
      <c r="G81" s="102">
        <v>44</v>
      </c>
      <c r="H81" s="102">
        <v>42.6</v>
      </c>
      <c r="I81" s="102">
        <v>30</v>
      </c>
      <c r="J81" s="102">
        <v>55.2</v>
      </c>
      <c r="K81" s="102">
        <v>68.8</v>
      </c>
      <c r="L81" s="102">
        <v>65.7</v>
      </c>
      <c r="M81" s="102">
        <v>59.2</v>
      </c>
      <c r="N81" s="102">
        <v>69</v>
      </c>
      <c r="O81" s="102">
        <v>64</v>
      </c>
      <c r="P81" s="102">
        <v>0</v>
      </c>
      <c r="Q81" s="102">
        <v>62</v>
      </c>
      <c r="R81" s="102">
        <v>60</v>
      </c>
      <c r="S81" s="102">
        <v>61.5</v>
      </c>
      <c r="T81" s="102">
        <v>64.900000000000006</v>
      </c>
      <c r="U81" s="102">
        <v>64.3</v>
      </c>
      <c r="V81" s="102">
        <v>64.3</v>
      </c>
      <c r="W81" s="102">
        <v>53.4</v>
      </c>
      <c r="X81" s="102">
        <v>56.7</v>
      </c>
      <c r="Y81" s="102">
        <v>55.8</v>
      </c>
      <c r="Z81" s="102">
        <v>38.700000000000003</v>
      </c>
      <c r="AA81" s="102">
        <v>24.7</v>
      </c>
      <c r="AB81" s="102">
        <v>24.8</v>
      </c>
      <c r="AC81" s="102">
        <v>33.1</v>
      </c>
      <c r="AD81" s="102">
        <v>33.299999999999997</v>
      </c>
      <c r="AE81" s="102">
        <v>39.6</v>
      </c>
      <c r="AF81" s="102">
        <v>37.1</v>
      </c>
      <c r="AG81" s="88"/>
      <c r="AH81" s="12">
        <f t="shared" si="8"/>
        <v>69</v>
      </c>
      <c r="AI81" s="11">
        <f t="shared" si="9"/>
        <v>0</v>
      </c>
      <c r="AK81" s="19"/>
      <c r="AY81" s="78"/>
    </row>
    <row r="82" spans="1:64" x14ac:dyDescent="0.25">
      <c r="A82" s="87" t="s">
        <v>160</v>
      </c>
      <c r="B82" s="70">
        <v>0</v>
      </c>
      <c r="C82" s="70">
        <v>0</v>
      </c>
      <c r="D82" s="70">
        <v>0</v>
      </c>
      <c r="E82" s="70"/>
      <c r="F82" s="70"/>
      <c r="G82" s="70"/>
      <c r="H82" s="70"/>
      <c r="I82" s="70"/>
      <c r="J82" s="70">
        <v>89.8</v>
      </c>
      <c r="K82" s="70">
        <v>100</v>
      </c>
      <c r="L82" s="70">
        <v>103</v>
      </c>
      <c r="M82" s="70">
        <v>103.9</v>
      </c>
      <c r="N82" s="70">
        <v>104</v>
      </c>
      <c r="O82" s="70">
        <v>88</v>
      </c>
      <c r="P82" s="70">
        <v>73</v>
      </c>
      <c r="Q82" s="70">
        <v>73</v>
      </c>
      <c r="R82" s="70">
        <v>75</v>
      </c>
      <c r="S82" s="70">
        <v>80.900000000000006</v>
      </c>
      <c r="T82" s="70">
        <v>87.6</v>
      </c>
      <c r="U82" s="70">
        <v>91.6</v>
      </c>
      <c r="V82" s="70">
        <v>91.6</v>
      </c>
      <c r="W82" s="70">
        <v>91.2</v>
      </c>
      <c r="X82" s="70">
        <v>94.8</v>
      </c>
      <c r="Y82" s="70">
        <v>108.5</v>
      </c>
      <c r="Z82" s="70">
        <v>114.5</v>
      </c>
      <c r="AA82" s="70">
        <v>0</v>
      </c>
      <c r="AB82" s="70">
        <v>0</v>
      </c>
      <c r="AC82" s="70">
        <v>0</v>
      </c>
      <c r="AD82" s="70">
        <v>0</v>
      </c>
      <c r="AE82" s="70">
        <v>0</v>
      </c>
      <c r="AF82" s="70">
        <v>0</v>
      </c>
      <c r="AG82" s="86"/>
      <c r="AH82" s="12">
        <f t="shared" ref="AH82:AH125" si="60">MAX(B82:AF82)</f>
        <v>114.5</v>
      </c>
      <c r="AI82" s="11">
        <f t="shared" ref="AI82:AI125" si="61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25">
      <c r="A83" s="87" t="s">
        <v>181</v>
      </c>
      <c r="B83" s="70">
        <v>30</v>
      </c>
      <c r="C83" s="70">
        <v>32</v>
      </c>
      <c r="D83" s="70">
        <v>30</v>
      </c>
      <c r="E83" s="70">
        <v>0</v>
      </c>
      <c r="F83" s="70">
        <v>5</v>
      </c>
      <c r="G83" s="70">
        <v>11.5</v>
      </c>
      <c r="H83" s="70">
        <v>20</v>
      </c>
      <c r="I83" s="70">
        <v>42</v>
      </c>
      <c r="J83" s="70">
        <v>385</v>
      </c>
      <c r="K83" s="70">
        <v>442</v>
      </c>
      <c r="L83" s="70">
        <v>472</v>
      </c>
      <c r="M83" s="70">
        <v>468</v>
      </c>
      <c r="N83" s="70">
        <v>453</v>
      </c>
      <c r="O83" s="70">
        <v>484</v>
      </c>
      <c r="P83" s="70">
        <v>430</v>
      </c>
      <c r="Q83" s="70">
        <v>450</v>
      </c>
      <c r="R83" s="70">
        <v>461</v>
      </c>
      <c r="S83" s="70">
        <v>462.1</v>
      </c>
      <c r="T83" s="70">
        <v>472.3</v>
      </c>
      <c r="U83" s="70">
        <v>458.8</v>
      </c>
      <c r="V83" s="70">
        <v>458.8</v>
      </c>
      <c r="W83" s="70">
        <v>380.3</v>
      </c>
      <c r="X83" s="70">
        <v>114.4</v>
      </c>
      <c r="Y83" s="70">
        <v>118.5</v>
      </c>
      <c r="Z83" s="70">
        <v>32.799999999999997</v>
      </c>
      <c r="AA83" s="70">
        <v>58.4</v>
      </c>
      <c r="AB83" s="70">
        <v>71.900000000000006</v>
      </c>
      <c r="AC83" s="70">
        <v>71.2</v>
      </c>
      <c r="AD83" s="70">
        <v>50</v>
      </c>
      <c r="AE83" s="70">
        <v>68.7</v>
      </c>
      <c r="AF83" s="70">
        <v>82.4</v>
      </c>
      <c r="AG83" s="96"/>
      <c r="AH83" s="12">
        <f t="shared" si="60"/>
        <v>484</v>
      </c>
      <c r="AI83" s="11">
        <f t="shared" si="61"/>
        <v>0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25">
      <c r="A84" s="87" t="s">
        <v>161</v>
      </c>
      <c r="B84" s="70">
        <v>0</v>
      </c>
      <c r="C84" s="70">
        <v>0</v>
      </c>
      <c r="D84" s="70">
        <v>0</v>
      </c>
      <c r="E84" s="85"/>
      <c r="F84" s="85"/>
      <c r="G84" s="85"/>
      <c r="H84" s="85"/>
      <c r="I84" s="85"/>
      <c r="J84" s="85">
        <v>38</v>
      </c>
      <c r="K84" s="85">
        <v>37</v>
      </c>
      <c r="L84" s="85">
        <v>42</v>
      </c>
      <c r="M84" s="85">
        <v>45</v>
      </c>
      <c r="N84" s="85">
        <v>48.6</v>
      </c>
      <c r="O84" s="85">
        <v>49.5</v>
      </c>
      <c r="P84" s="85">
        <v>52.7</v>
      </c>
      <c r="Q84" s="85">
        <v>52.7</v>
      </c>
      <c r="R84" s="85">
        <v>49.8</v>
      </c>
      <c r="S84" s="85">
        <v>58.3</v>
      </c>
      <c r="T84" s="85">
        <v>51.6</v>
      </c>
      <c r="U84" s="85">
        <v>61.5</v>
      </c>
      <c r="V84" s="85">
        <v>61.5</v>
      </c>
      <c r="W84" s="85">
        <v>49.6</v>
      </c>
      <c r="X84" s="85">
        <v>44.3</v>
      </c>
      <c r="Y84" s="85">
        <v>26.8</v>
      </c>
      <c r="Z84" s="85">
        <v>29.4</v>
      </c>
      <c r="AA84" s="85">
        <v>0</v>
      </c>
      <c r="AB84" s="85">
        <v>0</v>
      </c>
      <c r="AC84" s="85">
        <v>0</v>
      </c>
      <c r="AD84" s="85">
        <v>0</v>
      </c>
      <c r="AE84" s="85">
        <v>0</v>
      </c>
      <c r="AF84" s="85">
        <v>0</v>
      </c>
      <c r="AG84" s="96"/>
      <c r="AH84" s="12">
        <f t="shared" si="60"/>
        <v>61.5</v>
      </c>
      <c r="AI84" s="11">
        <f t="shared" si="61"/>
        <v>0</v>
      </c>
      <c r="AK84" s="19"/>
      <c r="AY84" s="78"/>
      <c r="BF84" s="83"/>
      <c r="BG84" s="78">
        <f t="array" ref="BG84:BL107">TRANSPOSE(AZ68:BW73)</f>
        <v>30</v>
      </c>
      <c r="BH84" s="78">
        <v>0</v>
      </c>
      <c r="BI84" s="78">
        <v>32</v>
      </c>
      <c r="BJ84" s="78">
        <v>0</v>
      </c>
      <c r="BK84" s="78">
        <v>0</v>
      </c>
      <c r="BL84" s="78">
        <v>50</v>
      </c>
    </row>
    <row r="85" spans="1:64" x14ac:dyDescent="0.25">
      <c r="A85" s="87" t="s">
        <v>180</v>
      </c>
      <c r="B85" s="102">
        <v>0</v>
      </c>
      <c r="C85" s="102">
        <v>0</v>
      </c>
      <c r="D85" s="102">
        <v>0</v>
      </c>
      <c r="E85" s="102"/>
      <c r="F85" s="102"/>
      <c r="G85" s="102"/>
      <c r="H85" s="102"/>
      <c r="I85" s="102"/>
      <c r="J85" s="102">
        <v>79</v>
      </c>
      <c r="K85" s="102">
        <v>112.1</v>
      </c>
      <c r="L85" s="102">
        <v>129</v>
      </c>
      <c r="M85" s="102">
        <v>119.23</v>
      </c>
      <c r="N85" s="102">
        <v>124</v>
      </c>
      <c r="O85" s="102">
        <v>129.6</v>
      </c>
      <c r="P85" s="102">
        <v>145</v>
      </c>
      <c r="Q85" s="102">
        <v>145</v>
      </c>
      <c r="R85" s="102">
        <v>139</v>
      </c>
      <c r="S85" s="102">
        <v>143</v>
      </c>
      <c r="T85" s="102">
        <v>131.6</v>
      </c>
      <c r="U85" s="102">
        <v>138.6</v>
      </c>
      <c r="V85" s="102">
        <v>138.6</v>
      </c>
      <c r="W85" s="102">
        <v>110.1</v>
      </c>
      <c r="X85" s="102">
        <v>100.6</v>
      </c>
      <c r="Y85" s="102">
        <v>0</v>
      </c>
      <c r="Z85" s="102">
        <v>0</v>
      </c>
      <c r="AA85" s="102">
        <v>0</v>
      </c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60"/>
        <v>145</v>
      </c>
      <c r="AI85" s="11">
        <f t="shared" si="61"/>
        <v>0</v>
      </c>
      <c r="AK85" s="19"/>
      <c r="AY85" s="78"/>
      <c r="BF85" s="83"/>
      <c r="BG85" s="78">
        <v>30</v>
      </c>
      <c r="BH85" s="78">
        <v>0</v>
      </c>
      <c r="BI85" s="78">
        <v>30</v>
      </c>
      <c r="BJ85" s="78">
        <v>0</v>
      </c>
      <c r="BK85" s="78">
        <v>0</v>
      </c>
      <c r="BL85" s="78">
        <v>49</v>
      </c>
    </row>
    <row r="86" spans="1:64" x14ac:dyDescent="0.25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60"/>
        <v>0</v>
      </c>
      <c r="AI86" s="11">
        <f t="shared" si="61"/>
        <v>0</v>
      </c>
      <c r="AK86" s="19"/>
      <c r="AY86" s="78"/>
      <c r="BF86" s="83"/>
      <c r="BG86" s="78">
        <v>31.2</v>
      </c>
      <c r="BH86" s="78">
        <v>0</v>
      </c>
      <c r="BI86" s="78">
        <v>0</v>
      </c>
      <c r="BJ86" s="78">
        <v>0</v>
      </c>
      <c r="BK86" s="78">
        <v>0</v>
      </c>
      <c r="BL86" s="78">
        <v>37.799999999999997</v>
      </c>
    </row>
    <row r="87" spans="1:64" ht="15.75" thickBot="1" x14ac:dyDescent="0.3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60"/>
        <v>0</v>
      </c>
      <c r="AI87" s="11">
        <f t="shared" si="61"/>
        <v>0</v>
      </c>
      <c r="AK87" s="19"/>
      <c r="AL87" s="108" t="s">
        <v>177</v>
      </c>
      <c r="AM87" s="108"/>
      <c r="AY87" s="78"/>
      <c r="BF87" s="78"/>
      <c r="BG87" s="78">
        <v>30</v>
      </c>
      <c r="BH87" s="78">
        <v>0</v>
      </c>
      <c r="BI87" s="78">
        <v>5</v>
      </c>
      <c r="BJ87" s="78">
        <v>0</v>
      </c>
      <c r="BK87" s="78">
        <v>0</v>
      </c>
      <c r="BL87" s="78">
        <v>42.1</v>
      </c>
    </row>
    <row r="88" spans="1:64" x14ac:dyDescent="0.25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60"/>
        <v>0</v>
      </c>
      <c r="AI88" s="11">
        <f t="shared" si="61"/>
        <v>0</v>
      </c>
      <c r="AK88" s="107"/>
      <c r="AL88" s="106"/>
      <c r="AM88" s="106"/>
      <c r="AN88" s="105"/>
      <c r="AY88" s="78"/>
      <c r="BF88" s="78"/>
      <c r="BG88" s="78">
        <v>44</v>
      </c>
      <c r="BH88" s="78">
        <v>0</v>
      </c>
      <c r="BI88" s="78">
        <v>11.5</v>
      </c>
      <c r="BJ88" s="78">
        <v>0</v>
      </c>
      <c r="BK88" s="78">
        <v>0</v>
      </c>
      <c r="BL88" s="78">
        <v>41</v>
      </c>
    </row>
    <row r="89" spans="1:64" x14ac:dyDescent="0.25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60"/>
        <v>0</v>
      </c>
      <c r="AI89" s="11">
        <f t="shared" si="61"/>
        <v>0</v>
      </c>
      <c r="AK89" s="104" t="s">
        <v>174</v>
      </c>
      <c r="AL89" s="70"/>
      <c r="AM89" s="85"/>
      <c r="AN89" s="103"/>
      <c r="AY89" s="78"/>
      <c r="BF89" s="78"/>
      <c r="BG89" s="78">
        <v>30</v>
      </c>
      <c r="BH89" s="78">
        <v>0</v>
      </c>
      <c r="BI89" s="78">
        <v>42</v>
      </c>
      <c r="BJ89" s="78">
        <v>0</v>
      </c>
      <c r="BK89" s="78">
        <v>0</v>
      </c>
      <c r="BL89" s="78">
        <v>40</v>
      </c>
    </row>
    <row r="90" spans="1:64" x14ac:dyDescent="0.25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60"/>
        <v>0</v>
      </c>
      <c r="AI90" s="11">
        <f t="shared" si="61"/>
        <v>0</v>
      </c>
      <c r="AK90" s="104" t="s">
        <v>172</v>
      </c>
      <c r="AL90" s="85"/>
      <c r="AM90" s="85"/>
      <c r="AN90" s="103"/>
      <c r="AY90" s="78"/>
      <c r="BF90" s="78"/>
      <c r="BG90" s="78">
        <v>68.8</v>
      </c>
      <c r="BH90" s="78">
        <v>100</v>
      </c>
      <c r="BI90" s="78">
        <v>442</v>
      </c>
      <c r="BJ90" s="78">
        <v>37</v>
      </c>
      <c r="BK90" s="78">
        <v>112.1</v>
      </c>
      <c r="BL90" s="78">
        <v>43.5</v>
      </c>
    </row>
    <row r="91" spans="1:64" ht="15.75" thickBot="1" x14ac:dyDescent="0.3">
      <c r="A91" s="82" t="s">
        <v>171</v>
      </c>
      <c r="B91" s="97">
        <v>48</v>
      </c>
      <c r="C91" s="97">
        <v>50</v>
      </c>
      <c r="D91" s="97">
        <v>49</v>
      </c>
      <c r="E91" s="97">
        <v>37.799999999999997</v>
      </c>
      <c r="F91" s="97">
        <v>42.1</v>
      </c>
      <c r="G91" s="97">
        <v>41</v>
      </c>
      <c r="H91" s="97">
        <v>38</v>
      </c>
      <c r="I91" s="97">
        <v>40</v>
      </c>
      <c r="J91" s="97">
        <v>40.5</v>
      </c>
      <c r="K91" s="97">
        <v>43.5</v>
      </c>
      <c r="L91" s="97">
        <v>39</v>
      </c>
      <c r="M91" s="97">
        <v>39.5</v>
      </c>
      <c r="N91" s="97">
        <v>27</v>
      </c>
      <c r="O91" s="97">
        <v>26.9</v>
      </c>
      <c r="P91" s="97">
        <v>54.7</v>
      </c>
      <c r="Q91" s="97">
        <v>54.7</v>
      </c>
      <c r="R91" s="97">
        <v>54.7</v>
      </c>
      <c r="S91" s="97">
        <v>58.3</v>
      </c>
      <c r="T91" s="97">
        <v>58.9</v>
      </c>
      <c r="U91" s="97">
        <v>55.8</v>
      </c>
      <c r="V91" s="97">
        <v>55.8</v>
      </c>
      <c r="W91" s="97">
        <v>40.1</v>
      </c>
      <c r="X91" s="97">
        <v>40</v>
      </c>
      <c r="Y91" s="97">
        <v>38.6</v>
      </c>
      <c r="Z91" s="97">
        <v>38.799999999999997</v>
      </c>
      <c r="AA91" s="97">
        <v>40.799999999999997</v>
      </c>
      <c r="AB91" s="97">
        <v>41.8</v>
      </c>
      <c r="AC91" s="97">
        <v>43.5</v>
      </c>
      <c r="AD91" s="97">
        <v>45.2</v>
      </c>
      <c r="AE91" s="97">
        <v>45.1</v>
      </c>
      <c r="AF91" s="97">
        <v>46.4</v>
      </c>
      <c r="AG91" s="80"/>
      <c r="AH91" s="12">
        <f t="shared" si="60"/>
        <v>58.9</v>
      </c>
      <c r="AI91" s="11">
        <f t="shared" si="61"/>
        <v>26.9</v>
      </c>
      <c r="AK91" s="98"/>
      <c r="AL91" s="102"/>
      <c r="AM91" s="102"/>
      <c r="AN91" s="101"/>
      <c r="AY91" s="78"/>
      <c r="BF91" s="78"/>
      <c r="BG91" s="78">
        <v>59.2</v>
      </c>
      <c r="BH91" s="78">
        <v>103.9</v>
      </c>
      <c r="BI91" s="78">
        <v>468</v>
      </c>
      <c r="BJ91" s="78">
        <v>45</v>
      </c>
      <c r="BK91" s="78">
        <v>119.23</v>
      </c>
      <c r="BL91" s="78">
        <v>39.5</v>
      </c>
    </row>
    <row r="92" spans="1:64" ht="15.75" thickBot="1" x14ac:dyDescent="0.3">
      <c r="A92" s="77" t="s">
        <v>170</v>
      </c>
      <c r="B92" s="76">
        <f t="shared" ref="B92:C92" si="62">SUMIF(B81:B91,"&gt;0")</f>
        <v>100</v>
      </c>
      <c r="C92" s="76">
        <f t="shared" si="62"/>
        <v>112</v>
      </c>
      <c r="D92" s="76">
        <f t="shared" ref="D92" si="63">SUMIF(D81:D91,"&gt;0")</f>
        <v>109</v>
      </c>
      <c r="E92" s="76">
        <f t="shared" ref="E92:AF92" si="64">SUMIF(E81:E91,"&gt;0")</f>
        <v>69</v>
      </c>
      <c r="F92" s="76">
        <f t="shared" si="64"/>
        <v>77.099999999999994</v>
      </c>
      <c r="G92" s="76">
        <f t="shared" si="64"/>
        <v>96.5</v>
      </c>
      <c r="H92" s="76">
        <f t="shared" si="64"/>
        <v>100.6</v>
      </c>
      <c r="I92" s="76">
        <f t="shared" si="64"/>
        <v>112</v>
      </c>
      <c r="J92" s="76">
        <f t="shared" si="64"/>
        <v>687.5</v>
      </c>
      <c r="K92" s="76">
        <f t="shared" si="64"/>
        <v>803.4</v>
      </c>
      <c r="L92" s="76">
        <f t="shared" si="64"/>
        <v>850.7</v>
      </c>
      <c r="M92" s="76">
        <f t="shared" si="64"/>
        <v>834.83</v>
      </c>
      <c r="N92" s="76">
        <f t="shared" si="64"/>
        <v>825.6</v>
      </c>
      <c r="O92" s="76">
        <f t="shared" si="64"/>
        <v>842</v>
      </c>
      <c r="P92" s="76">
        <f t="shared" si="64"/>
        <v>755.40000000000009</v>
      </c>
      <c r="Q92" s="76">
        <f t="shared" si="64"/>
        <v>837.40000000000009</v>
      </c>
      <c r="R92" s="76">
        <f t="shared" si="64"/>
        <v>839.5</v>
      </c>
      <c r="S92" s="76">
        <f t="shared" ref="S92:T92" si="65">SUMIF(S81:S91,"&gt;0")</f>
        <v>864.09999999999991</v>
      </c>
      <c r="T92" s="76">
        <f t="shared" si="65"/>
        <v>866.9</v>
      </c>
      <c r="U92" s="76">
        <f t="shared" ref="U92:V92" si="66">SUMIF(U81:U91,"&gt;0")</f>
        <v>870.6</v>
      </c>
      <c r="V92" s="76">
        <f t="shared" si="66"/>
        <v>870.6</v>
      </c>
      <c r="W92" s="76">
        <f t="shared" ref="W92:X92" si="67">SUMIF(W81:W91,"&gt;0")</f>
        <v>724.7</v>
      </c>
      <c r="X92" s="76">
        <f t="shared" si="67"/>
        <v>450.79999999999995</v>
      </c>
      <c r="Y92" s="76">
        <f t="shared" ref="Y92:Z92" si="68">SUMIF(Y81:Y91,"&gt;0")</f>
        <v>348.20000000000005</v>
      </c>
      <c r="Z92" s="76">
        <f t="shared" si="68"/>
        <v>254.2</v>
      </c>
      <c r="AA92" s="76">
        <f t="shared" ref="AA92" si="69">SUMIF(AA81:AA91,"&gt;0")</f>
        <v>123.89999999999999</v>
      </c>
      <c r="AB92" s="76">
        <f t="shared" si="64"/>
        <v>138.5</v>
      </c>
      <c r="AC92" s="76">
        <f t="shared" si="64"/>
        <v>147.80000000000001</v>
      </c>
      <c r="AD92" s="76">
        <f t="shared" si="64"/>
        <v>128.5</v>
      </c>
      <c r="AE92" s="76">
        <f t="shared" si="64"/>
        <v>153.4</v>
      </c>
      <c r="AF92" s="76">
        <f t="shared" si="64"/>
        <v>165.9</v>
      </c>
      <c r="AG92" s="75">
        <f>SUM(AG81:AG91)</f>
        <v>0</v>
      </c>
      <c r="AH92" s="12">
        <f t="shared" si="60"/>
        <v>870.6</v>
      </c>
      <c r="AI92" s="11">
        <f t="shared" si="61"/>
        <v>69</v>
      </c>
      <c r="AK92" s="98"/>
      <c r="AL92" s="97"/>
      <c r="AM92" s="100"/>
      <c r="AN92" s="220"/>
      <c r="AY92" s="78"/>
      <c r="BF92" s="78"/>
      <c r="BG92" s="78">
        <v>69</v>
      </c>
      <c r="BH92" s="78">
        <v>104</v>
      </c>
      <c r="BI92" s="78">
        <v>453</v>
      </c>
      <c r="BJ92" s="78">
        <v>48.6</v>
      </c>
      <c r="BK92" s="78">
        <v>124</v>
      </c>
      <c r="BL92" s="78">
        <v>27</v>
      </c>
    </row>
    <row r="93" spans="1:64" x14ac:dyDescent="0.25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60"/>
        <v>0</v>
      </c>
      <c r="AI93" s="11">
        <f t="shared" si="61"/>
        <v>0</v>
      </c>
      <c r="AK93" s="98"/>
      <c r="AL93" s="97"/>
      <c r="AM93" s="97"/>
      <c r="AN93" s="221"/>
      <c r="BF93" s="78"/>
      <c r="BG93" s="78">
        <v>64</v>
      </c>
      <c r="BH93" s="78">
        <v>88</v>
      </c>
      <c r="BI93" s="78">
        <v>484</v>
      </c>
      <c r="BJ93" s="78">
        <v>49.5</v>
      </c>
      <c r="BK93" s="78">
        <v>129.6</v>
      </c>
      <c r="BL93" s="78">
        <v>26.9</v>
      </c>
    </row>
    <row r="94" spans="1:64" ht="15.75" thickBot="1" x14ac:dyDescent="0.3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60"/>
        <v>0</v>
      </c>
      <c r="AI94" s="11">
        <f t="shared" si="61"/>
        <v>0</v>
      </c>
      <c r="AK94" s="95"/>
      <c r="AL94" s="67"/>
      <c r="AM94" s="67"/>
      <c r="AN94" s="94"/>
      <c r="BF94" s="78"/>
      <c r="BG94" s="78">
        <v>0</v>
      </c>
      <c r="BH94" s="78">
        <v>73</v>
      </c>
      <c r="BI94" s="78">
        <v>430</v>
      </c>
      <c r="BJ94" s="78">
        <v>52.7</v>
      </c>
      <c r="BK94" s="78">
        <v>145</v>
      </c>
      <c r="BL94" s="78">
        <v>54.7</v>
      </c>
    </row>
    <row r="95" spans="1:64" ht="15.75" thickBot="1" x14ac:dyDescent="0.3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60"/>
        <v>0</v>
      </c>
      <c r="AI95" s="11">
        <f t="shared" si="61"/>
        <v>0</v>
      </c>
      <c r="BF95" s="78"/>
      <c r="BG95" s="78">
        <v>62</v>
      </c>
      <c r="BH95" s="78">
        <v>73</v>
      </c>
      <c r="BI95" s="78">
        <v>450</v>
      </c>
      <c r="BJ95" s="78">
        <v>52.7</v>
      </c>
      <c r="BK95" s="78">
        <v>145</v>
      </c>
      <c r="BL95" s="78">
        <v>54.7</v>
      </c>
    </row>
    <row r="96" spans="1:64" ht="15.75" thickBot="1" x14ac:dyDescent="0.3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60"/>
        <v>0</v>
      </c>
      <c r="AI96" s="11">
        <f t="shared" si="61"/>
        <v>0</v>
      </c>
      <c r="BF96" s="78"/>
      <c r="BG96" s="78">
        <v>60</v>
      </c>
      <c r="BH96" s="78">
        <v>75</v>
      </c>
      <c r="BI96" s="78">
        <v>461</v>
      </c>
      <c r="BJ96" s="78">
        <v>49.8</v>
      </c>
      <c r="BK96" s="78">
        <v>139</v>
      </c>
      <c r="BL96" s="78">
        <v>54.7</v>
      </c>
    </row>
    <row r="97" spans="1:64" ht="15.75" thickBot="1" x14ac:dyDescent="0.3">
      <c r="A97" s="77" t="s">
        <v>165</v>
      </c>
      <c r="B97" s="90">
        <f t="shared" ref="B97:C97" si="70">B58+B62+B80+B76+B92+B96</f>
        <v>1263.8399999999999</v>
      </c>
      <c r="C97" s="90">
        <f t="shared" si="70"/>
        <v>1215.8399999999999</v>
      </c>
      <c r="D97" s="90">
        <f t="shared" ref="D97" si="71">D58+D62+D80+D76+D92+D96</f>
        <v>1172.8399999999999</v>
      </c>
      <c r="E97" s="90">
        <f t="shared" ref="E97:AG97" si="72">E58+E62+E80+E76+E92+E96</f>
        <v>1161.3</v>
      </c>
      <c r="F97" s="90">
        <f t="shared" si="72"/>
        <v>1138.94</v>
      </c>
      <c r="G97" s="90">
        <f t="shared" si="72"/>
        <v>1178.54</v>
      </c>
      <c r="H97" s="90">
        <f t="shared" si="72"/>
        <v>1211.04</v>
      </c>
      <c r="I97" s="90">
        <f t="shared" si="72"/>
        <v>1271.04</v>
      </c>
      <c r="J97" s="90">
        <f t="shared" si="72"/>
        <v>1536.24</v>
      </c>
      <c r="K97" s="90">
        <f t="shared" si="72"/>
        <v>1646.04</v>
      </c>
      <c r="L97" s="90">
        <f t="shared" si="72"/>
        <v>1726.94</v>
      </c>
      <c r="M97" s="90">
        <f t="shared" si="72"/>
        <v>1728.17</v>
      </c>
      <c r="N97" s="90">
        <f t="shared" si="72"/>
        <v>1653.7399999999998</v>
      </c>
      <c r="O97" s="90">
        <f t="shared" si="72"/>
        <v>1705.84</v>
      </c>
      <c r="P97" s="90">
        <f t="shared" si="72"/>
        <v>1695.54</v>
      </c>
      <c r="Q97" s="90">
        <f t="shared" si="72"/>
        <v>1777.54</v>
      </c>
      <c r="R97" s="90">
        <f t="shared" si="72"/>
        <v>1761.6399999999999</v>
      </c>
      <c r="S97" s="90">
        <f t="shared" ref="S97:T97" si="73">S58+S62+S80+S76+S92+S96</f>
        <v>1810.5699999999997</v>
      </c>
      <c r="T97" s="90">
        <f t="shared" si="73"/>
        <v>1815.6399999999999</v>
      </c>
      <c r="U97" s="90">
        <f t="shared" ref="U97:V97" si="74">U58+U62+U80+U76+U92+U96</f>
        <v>1799.7399999999998</v>
      </c>
      <c r="V97" s="90">
        <f t="shared" si="74"/>
        <v>1745.2399999999998</v>
      </c>
      <c r="W97" s="90">
        <f t="shared" ref="W97:X97" si="75">W58+W62+W80+W76+W92+W96</f>
        <v>1602.6399999999999</v>
      </c>
      <c r="X97" s="90">
        <f t="shared" si="75"/>
        <v>1410.2399999999998</v>
      </c>
      <c r="Y97" s="90">
        <f t="shared" ref="Y97:Z97" si="76">Y58+Y62+Y80+Y76+Y92+Y96</f>
        <v>1399.9399999999998</v>
      </c>
      <c r="Z97" s="90">
        <f t="shared" si="76"/>
        <v>1543.84</v>
      </c>
      <c r="AA97" s="90">
        <f t="shared" ref="AA97" si="77">AA58+AA62+AA80+AA76+AA92+AA96</f>
        <v>1352.24</v>
      </c>
      <c r="AB97" s="90">
        <f t="shared" si="72"/>
        <v>1342.24</v>
      </c>
      <c r="AC97" s="90">
        <f t="shared" si="72"/>
        <v>1355.1399999999996</v>
      </c>
      <c r="AD97" s="90">
        <f t="shared" si="72"/>
        <v>1358.24</v>
      </c>
      <c r="AE97" s="90">
        <f t="shared" si="72"/>
        <v>1325.8400000000001</v>
      </c>
      <c r="AF97" s="90">
        <f t="shared" si="72"/>
        <v>1295.04</v>
      </c>
      <c r="AG97" s="93">
        <f t="shared" si="72"/>
        <v>2231.81</v>
      </c>
      <c r="AH97" s="12">
        <f t="shared" si="60"/>
        <v>1815.6399999999999</v>
      </c>
      <c r="AI97" s="11">
        <f t="shared" si="61"/>
        <v>1138.94</v>
      </c>
      <c r="BF97" s="78"/>
      <c r="BG97" s="78">
        <v>61.5</v>
      </c>
      <c r="BH97" s="78">
        <v>80.900000000000006</v>
      </c>
      <c r="BI97" s="78">
        <v>462.1</v>
      </c>
      <c r="BJ97" s="78">
        <v>58.3</v>
      </c>
      <c r="BK97" s="78">
        <v>143</v>
      </c>
      <c r="BL97" s="78">
        <v>58.3</v>
      </c>
    </row>
    <row r="98" spans="1:64" ht="15.75" thickBot="1" x14ac:dyDescent="0.3">
      <c r="A98" s="92" t="s">
        <v>164</v>
      </c>
      <c r="B98" s="91">
        <v>280</v>
      </c>
      <c r="C98" s="91">
        <v>280</v>
      </c>
      <c r="D98" s="91">
        <v>280</v>
      </c>
      <c r="E98" s="91">
        <v>280</v>
      </c>
      <c r="F98" s="91">
        <v>280</v>
      </c>
      <c r="G98" s="91">
        <v>280</v>
      </c>
      <c r="H98" s="91">
        <v>280</v>
      </c>
      <c r="I98" s="91">
        <v>150</v>
      </c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>
        <v>250</v>
      </c>
      <c r="AA98" s="91">
        <v>320</v>
      </c>
      <c r="AB98" s="91">
        <v>280</v>
      </c>
      <c r="AC98" s="91">
        <v>260</v>
      </c>
      <c r="AD98" s="91">
        <v>250</v>
      </c>
      <c r="AE98" s="91">
        <v>250</v>
      </c>
      <c r="AF98" s="91">
        <v>250</v>
      </c>
      <c r="AG98" s="75"/>
      <c r="AH98" s="12">
        <f t="shared" si="60"/>
        <v>320</v>
      </c>
      <c r="AI98" s="11">
        <f t="shared" si="61"/>
        <v>150</v>
      </c>
      <c r="BF98" s="78"/>
      <c r="BG98" s="78">
        <v>64.900000000000006</v>
      </c>
      <c r="BH98" s="78">
        <v>87.6</v>
      </c>
      <c r="BI98" s="78">
        <v>472.3</v>
      </c>
      <c r="BJ98" s="78">
        <v>51.6</v>
      </c>
      <c r="BK98" s="78">
        <v>131.6</v>
      </c>
      <c r="BL98" s="78">
        <v>58.9</v>
      </c>
    </row>
    <row r="99" spans="1:64" ht="15.75" thickBot="1" x14ac:dyDescent="0.3">
      <c r="A99" s="77" t="s">
        <v>163</v>
      </c>
      <c r="B99" s="90">
        <f t="shared" ref="B99:C99" si="78">B97+B98</f>
        <v>1543.84</v>
      </c>
      <c r="C99" s="90">
        <f t="shared" si="78"/>
        <v>1495.84</v>
      </c>
      <c r="D99" s="90">
        <f t="shared" ref="D99" si="79">D97+D98</f>
        <v>1452.84</v>
      </c>
      <c r="E99" s="90">
        <f t="shared" ref="E99:AF99" si="80">E97+E98</f>
        <v>1441.3</v>
      </c>
      <c r="F99" s="90">
        <f t="shared" si="80"/>
        <v>1418.94</v>
      </c>
      <c r="G99" s="90">
        <f t="shared" si="80"/>
        <v>1458.54</v>
      </c>
      <c r="H99" s="90">
        <f t="shared" si="80"/>
        <v>1491.04</v>
      </c>
      <c r="I99" s="90">
        <f t="shared" si="80"/>
        <v>1421.04</v>
      </c>
      <c r="J99" s="90">
        <f t="shared" si="80"/>
        <v>1536.24</v>
      </c>
      <c r="K99" s="90">
        <f t="shared" si="80"/>
        <v>1646.04</v>
      </c>
      <c r="L99" s="90">
        <f t="shared" si="80"/>
        <v>1726.94</v>
      </c>
      <c r="M99" s="90">
        <f t="shared" si="80"/>
        <v>1728.17</v>
      </c>
      <c r="N99" s="90">
        <f t="shared" si="80"/>
        <v>1653.7399999999998</v>
      </c>
      <c r="O99" s="90">
        <f t="shared" si="80"/>
        <v>1705.84</v>
      </c>
      <c r="P99" s="90">
        <f t="shared" si="80"/>
        <v>1695.54</v>
      </c>
      <c r="Q99" s="90">
        <f t="shared" si="80"/>
        <v>1777.54</v>
      </c>
      <c r="R99" s="90">
        <f t="shared" si="80"/>
        <v>1761.6399999999999</v>
      </c>
      <c r="S99" s="90">
        <f t="shared" ref="S99:T99" si="81">S97+S98</f>
        <v>1810.5699999999997</v>
      </c>
      <c r="T99" s="90">
        <f t="shared" si="81"/>
        <v>1815.6399999999999</v>
      </c>
      <c r="U99" s="90">
        <f t="shared" ref="U99:V99" si="82">U97+U98</f>
        <v>1799.7399999999998</v>
      </c>
      <c r="V99" s="90">
        <f t="shared" si="82"/>
        <v>1745.2399999999998</v>
      </c>
      <c r="W99" s="90">
        <f t="shared" ref="W99:X99" si="83">W97+W98</f>
        <v>1602.6399999999999</v>
      </c>
      <c r="X99" s="90">
        <f t="shared" si="83"/>
        <v>1410.2399999999998</v>
      </c>
      <c r="Y99" s="90">
        <f t="shared" ref="Y99:Z99" si="84">Y97+Y98</f>
        <v>1399.9399999999998</v>
      </c>
      <c r="Z99" s="90">
        <f t="shared" si="84"/>
        <v>1793.84</v>
      </c>
      <c r="AA99" s="90">
        <f t="shared" ref="AA99" si="85">AA97+AA98</f>
        <v>1672.24</v>
      </c>
      <c r="AB99" s="90">
        <f t="shared" si="80"/>
        <v>1622.24</v>
      </c>
      <c r="AC99" s="90">
        <f t="shared" si="80"/>
        <v>1615.1399999999996</v>
      </c>
      <c r="AD99" s="90">
        <f t="shared" si="80"/>
        <v>1608.24</v>
      </c>
      <c r="AE99" s="90">
        <f t="shared" si="80"/>
        <v>1575.8400000000001</v>
      </c>
      <c r="AF99" s="90">
        <f t="shared" si="80"/>
        <v>1545.04</v>
      </c>
      <c r="AG99" s="75">
        <f>AG96+AG92+AG80+AG76+AG58+AG98</f>
        <v>1693.71</v>
      </c>
      <c r="AH99" s="12">
        <f t="shared" si="60"/>
        <v>1815.6399999999999</v>
      </c>
      <c r="AI99" s="11">
        <f t="shared" si="61"/>
        <v>1399.9399999999998</v>
      </c>
      <c r="BF99" s="78"/>
      <c r="BG99" s="78">
        <v>64.3</v>
      </c>
      <c r="BH99" s="78">
        <v>91.6</v>
      </c>
      <c r="BI99" s="78">
        <v>458.8</v>
      </c>
      <c r="BJ99" s="78">
        <v>61.5</v>
      </c>
      <c r="BK99" s="78">
        <v>138.6</v>
      </c>
      <c r="BL99" s="78">
        <v>55.8</v>
      </c>
    </row>
    <row r="100" spans="1:64" ht="15.75" thickBot="1" x14ac:dyDescent="0.3">
      <c r="A100" s="77" t="s">
        <v>162</v>
      </c>
      <c r="B100" s="90">
        <f t="shared" ref="B100:C100" si="86">B99-(B107)</f>
        <v>1543.84</v>
      </c>
      <c r="C100" s="90">
        <f t="shared" si="86"/>
        <v>1495.84</v>
      </c>
      <c r="D100" s="90">
        <f t="shared" ref="D100" si="87">D99-(D107)</f>
        <v>1452.84</v>
      </c>
      <c r="E100" s="90">
        <f t="shared" ref="E100:AF100" si="88">E99-(E107)</f>
        <v>1441.3</v>
      </c>
      <c r="F100" s="90">
        <f t="shared" si="88"/>
        <v>1418.94</v>
      </c>
      <c r="G100" s="90">
        <f t="shared" si="88"/>
        <v>1458.54</v>
      </c>
      <c r="H100" s="90">
        <f t="shared" si="88"/>
        <v>1491.04</v>
      </c>
      <c r="I100" s="90">
        <f t="shared" si="88"/>
        <v>1421.04</v>
      </c>
      <c r="J100" s="90">
        <f t="shared" si="88"/>
        <v>1536.24</v>
      </c>
      <c r="K100" s="90">
        <f t="shared" si="88"/>
        <v>1646.04</v>
      </c>
      <c r="L100" s="90">
        <f t="shared" si="88"/>
        <v>1726.94</v>
      </c>
      <c r="M100" s="90">
        <f t="shared" si="88"/>
        <v>1728.17</v>
      </c>
      <c r="N100" s="90">
        <f t="shared" si="88"/>
        <v>1653.7399999999998</v>
      </c>
      <c r="O100" s="90">
        <f t="shared" si="88"/>
        <v>1705.84</v>
      </c>
      <c r="P100" s="90">
        <f t="shared" si="88"/>
        <v>1695.54</v>
      </c>
      <c r="Q100" s="90">
        <f t="shared" si="88"/>
        <v>1777.54</v>
      </c>
      <c r="R100" s="90">
        <f t="shared" si="88"/>
        <v>1761.6399999999999</v>
      </c>
      <c r="S100" s="90">
        <f t="shared" ref="S100:T100" si="89">S99-(S107)</f>
        <v>1810.5699999999997</v>
      </c>
      <c r="T100" s="90">
        <f t="shared" si="89"/>
        <v>1815.6399999999999</v>
      </c>
      <c r="U100" s="90">
        <f t="shared" ref="U100:V100" si="90">U99-(U107)</f>
        <v>1799.7399999999998</v>
      </c>
      <c r="V100" s="90">
        <f t="shared" si="90"/>
        <v>1745.2399999999998</v>
      </c>
      <c r="W100" s="90">
        <f t="shared" ref="W100:X100" si="91">W99-(W107)</f>
        <v>1602.6399999999999</v>
      </c>
      <c r="X100" s="90">
        <f t="shared" si="91"/>
        <v>1410.2399999999998</v>
      </c>
      <c r="Y100" s="90">
        <f t="shared" ref="Y100:Z100" si="92">Y99-(Y107)</f>
        <v>1399.9399999999998</v>
      </c>
      <c r="Z100" s="90">
        <f t="shared" si="92"/>
        <v>1793.84</v>
      </c>
      <c r="AA100" s="90">
        <f t="shared" ref="AA100" si="93">AA99-(AA107)</f>
        <v>1672.24</v>
      </c>
      <c r="AB100" s="90">
        <f t="shared" si="88"/>
        <v>1622.24</v>
      </c>
      <c r="AC100" s="90">
        <f t="shared" si="88"/>
        <v>1615.1399999999996</v>
      </c>
      <c r="AD100" s="90">
        <f t="shared" si="88"/>
        <v>1608.24</v>
      </c>
      <c r="AE100" s="90">
        <f t="shared" si="88"/>
        <v>1575.8400000000001</v>
      </c>
      <c r="AF100" s="90">
        <f t="shared" si="88"/>
        <v>1545.04</v>
      </c>
      <c r="AG100" s="75"/>
      <c r="AH100" s="12">
        <f t="shared" si="60"/>
        <v>1815.6399999999999</v>
      </c>
      <c r="AI100" s="11">
        <f t="shared" si="61"/>
        <v>1399.9399999999998</v>
      </c>
      <c r="BF100" s="78"/>
      <c r="BG100" s="78">
        <v>64.3</v>
      </c>
      <c r="BH100" s="78">
        <v>91.6</v>
      </c>
      <c r="BI100" s="78">
        <v>458.8</v>
      </c>
      <c r="BJ100" s="78">
        <v>61.5</v>
      </c>
      <c r="BK100" s="78">
        <v>138.6</v>
      </c>
      <c r="BL100" s="78">
        <v>55.8</v>
      </c>
    </row>
    <row r="101" spans="1:64" x14ac:dyDescent="0.25">
      <c r="A101" s="89" t="s">
        <v>161</v>
      </c>
      <c r="B101" s="85">
        <f t="shared" ref="B101:C101" si="94">IF(B84&lt;0,B84*-1,0)</f>
        <v>0</v>
      </c>
      <c r="C101" s="85">
        <f t="shared" si="94"/>
        <v>0</v>
      </c>
      <c r="D101" s="85">
        <f t="shared" ref="D101" si="95">IF(D84&lt;0,D84*-1,0)</f>
        <v>0</v>
      </c>
      <c r="E101" s="85">
        <f t="shared" ref="E101:AF101" si="96">IF(E84&lt;0,E84*-1,0)</f>
        <v>0</v>
      </c>
      <c r="F101" s="85">
        <f t="shared" si="96"/>
        <v>0</v>
      </c>
      <c r="G101" s="85">
        <f t="shared" si="96"/>
        <v>0</v>
      </c>
      <c r="H101" s="85">
        <f t="shared" si="96"/>
        <v>0</v>
      </c>
      <c r="I101" s="85">
        <f t="shared" si="96"/>
        <v>0</v>
      </c>
      <c r="J101" s="85">
        <f t="shared" si="96"/>
        <v>0</v>
      </c>
      <c r="K101" s="85">
        <f t="shared" si="96"/>
        <v>0</v>
      </c>
      <c r="L101" s="85">
        <f t="shared" si="96"/>
        <v>0</v>
      </c>
      <c r="M101" s="85">
        <f t="shared" si="96"/>
        <v>0</v>
      </c>
      <c r="N101" s="85">
        <f t="shared" si="96"/>
        <v>0</v>
      </c>
      <c r="O101" s="85">
        <f t="shared" si="96"/>
        <v>0</v>
      </c>
      <c r="P101" s="85">
        <f t="shared" si="96"/>
        <v>0</v>
      </c>
      <c r="Q101" s="85">
        <f t="shared" si="96"/>
        <v>0</v>
      </c>
      <c r="R101" s="85">
        <f t="shared" si="96"/>
        <v>0</v>
      </c>
      <c r="S101" s="85">
        <f t="shared" ref="S101:T101" si="97">IF(S84&lt;0,S84*-1,0)</f>
        <v>0</v>
      </c>
      <c r="T101" s="85">
        <f t="shared" si="97"/>
        <v>0</v>
      </c>
      <c r="U101" s="85">
        <f t="shared" ref="U101:V101" si="98">IF(U84&lt;0,U84*-1,0)</f>
        <v>0</v>
      </c>
      <c r="V101" s="85">
        <f t="shared" si="98"/>
        <v>0</v>
      </c>
      <c r="W101" s="85">
        <f t="shared" ref="W101:X101" si="99">IF(W84&lt;0,W84*-1,0)</f>
        <v>0</v>
      </c>
      <c r="X101" s="85">
        <f t="shared" si="99"/>
        <v>0</v>
      </c>
      <c r="Y101" s="85">
        <f t="shared" ref="Y101:Z101" si="100">IF(Y84&lt;0,Y84*-1,0)</f>
        <v>0</v>
      </c>
      <c r="Z101" s="85">
        <f t="shared" si="100"/>
        <v>0</v>
      </c>
      <c r="AA101" s="85">
        <f t="shared" ref="AA101" si="101">IF(AA84&lt;0,AA84*-1,0)</f>
        <v>0</v>
      </c>
      <c r="AB101" s="85">
        <f t="shared" si="96"/>
        <v>0</v>
      </c>
      <c r="AC101" s="85">
        <f t="shared" si="96"/>
        <v>0</v>
      </c>
      <c r="AD101" s="85">
        <f t="shared" si="96"/>
        <v>0</v>
      </c>
      <c r="AE101" s="85">
        <f t="shared" si="96"/>
        <v>0</v>
      </c>
      <c r="AF101" s="85">
        <f t="shared" si="96"/>
        <v>0</v>
      </c>
      <c r="AG101" s="88"/>
      <c r="AH101" s="12">
        <f t="shared" si="60"/>
        <v>0</v>
      </c>
      <c r="AI101" s="11">
        <f t="shared" si="61"/>
        <v>0</v>
      </c>
      <c r="BF101" s="83"/>
      <c r="BG101" s="78">
        <v>56.7</v>
      </c>
      <c r="BH101" s="78">
        <v>94.8</v>
      </c>
      <c r="BI101" s="78">
        <v>114.4</v>
      </c>
      <c r="BJ101" s="78">
        <v>44.3</v>
      </c>
      <c r="BK101" s="78">
        <v>100.6</v>
      </c>
      <c r="BL101" s="78">
        <v>40</v>
      </c>
    </row>
    <row r="102" spans="1:64" x14ac:dyDescent="0.25">
      <c r="A102" s="87" t="s">
        <v>160</v>
      </c>
      <c r="B102" s="85">
        <f t="shared" ref="B102:C102" si="102">IF(B82&lt;0,B82*-1,0)</f>
        <v>0</v>
      </c>
      <c r="C102" s="85">
        <f t="shared" si="102"/>
        <v>0</v>
      </c>
      <c r="D102" s="85">
        <f t="shared" ref="D102" si="103">IF(D82&lt;0,D82*-1,0)</f>
        <v>0</v>
      </c>
      <c r="E102" s="85">
        <f t="shared" ref="E102:AF102" si="104">IF(E82&lt;0,E82*-1,0)</f>
        <v>0</v>
      </c>
      <c r="F102" s="85">
        <f t="shared" si="104"/>
        <v>0</v>
      </c>
      <c r="G102" s="85">
        <f t="shared" si="104"/>
        <v>0</v>
      </c>
      <c r="H102" s="85">
        <f t="shared" si="104"/>
        <v>0</v>
      </c>
      <c r="I102" s="85">
        <f t="shared" si="104"/>
        <v>0</v>
      </c>
      <c r="J102" s="85">
        <f t="shared" si="104"/>
        <v>0</v>
      </c>
      <c r="K102" s="85">
        <f t="shared" si="104"/>
        <v>0</v>
      </c>
      <c r="L102" s="85">
        <f t="shared" si="104"/>
        <v>0</v>
      </c>
      <c r="M102" s="85">
        <f t="shared" si="104"/>
        <v>0</v>
      </c>
      <c r="N102" s="85">
        <f t="shared" si="104"/>
        <v>0</v>
      </c>
      <c r="O102" s="85">
        <f t="shared" si="104"/>
        <v>0</v>
      </c>
      <c r="P102" s="85">
        <f t="shared" si="104"/>
        <v>0</v>
      </c>
      <c r="Q102" s="85">
        <f t="shared" si="104"/>
        <v>0</v>
      </c>
      <c r="R102" s="85">
        <f t="shared" si="104"/>
        <v>0</v>
      </c>
      <c r="S102" s="85">
        <f t="shared" ref="S102:T102" si="105">IF(S82&lt;0,S82*-1,0)</f>
        <v>0</v>
      </c>
      <c r="T102" s="85">
        <f t="shared" si="105"/>
        <v>0</v>
      </c>
      <c r="U102" s="85">
        <f t="shared" ref="U102:V102" si="106">IF(U82&lt;0,U82*-1,0)</f>
        <v>0</v>
      </c>
      <c r="V102" s="85">
        <f t="shared" si="106"/>
        <v>0</v>
      </c>
      <c r="W102" s="85">
        <f t="shared" ref="W102:X102" si="107">IF(W82&lt;0,W82*-1,0)</f>
        <v>0</v>
      </c>
      <c r="X102" s="85">
        <f t="shared" si="107"/>
        <v>0</v>
      </c>
      <c r="Y102" s="85">
        <f t="shared" ref="Y102:Z102" si="108">IF(Y82&lt;0,Y82*-1,0)</f>
        <v>0</v>
      </c>
      <c r="Z102" s="85">
        <f t="shared" si="108"/>
        <v>0</v>
      </c>
      <c r="AA102" s="85">
        <f t="shared" ref="AA102" si="109">IF(AA82&lt;0,AA82*-1,0)</f>
        <v>0</v>
      </c>
      <c r="AB102" s="85">
        <f t="shared" si="104"/>
        <v>0</v>
      </c>
      <c r="AC102" s="85">
        <f t="shared" si="104"/>
        <v>0</v>
      </c>
      <c r="AD102" s="85">
        <f t="shared" si="104"/>
        <v>0</v>
      </c>
      <c r="AE102" s="85">
        <f t="shared" si="104"/>
        <v>0</v>
      </c>
      <c r="AF102" s="85">
        <f t="shared" si="104"/>
        <v>0</v>
      </c>
      <c r="AG102" s="86"/>
      <c r="AH102" s="12">
        <f t="shared" si="60"/>
        <v>0</v>
      </c>
      <c r="AI102" s="11">
        <f t="shared" si="61"/>
        <v>0</v>
      </c>
      <c r="BF102" s="83"/>
      <c r="BG102" s="78">
        <v>38.700000000000003</v>
      </c>
      <c r="BH102" s="78">
        <v>114.5</v>
      </c>
      <c r="BI102" s="78">
        <v>32.799999999999997</v>
      </c>
      <c r="BJ102" s="78">
        <v>29.4</v>
      </c>
      <c r="BK102" s="78">
        <v>0</v>
      </c>
      <c r="BL102" s="78">
        <v>38.799999999999997</v>
      </c>
    </row>
    <row r="103" spans="1:64" x14ac:dyDescent="0.25">
      <c r="A103" s="82" t="s">
        <v>159</v>
      </c>
      <c r="B103" s="85">
        <f t="shared" ref="B103:C103" si="110">IF(B85&lt;0,B85*-1,0)</f>
        <v>0</v>
      </c>
      <c r="C103" s="85">
        <f t="shared" si="110"/>
        <v>0</v>
      </c>
      <c r="D103" s="85">
        <f t="shared" ref="D103" si="111">IF(D85&lt;0,D85*-1,0)</f>
        <v>0</v>
      </c>
      <c r="E103" s="85">
        <f t="shared" ref="E103:AF103" si="112">IF(E85&lt;0,E85*-1,0)</f>
        <v>0</v>
      </c>
      <c r="F103" s="85">
        <f t="shared" si="112"/>
        <v>0</v>
      </c>
      <c r="G103" s="85">
        <f t="shared" si="112"/>
        <v>0</v>
      </c>
      <c r="H103" s="85">
        <f t="shared" si="112"/>
        <v>0</v>
      </c>
      <c r="I103" s="85">
        <f t="shared" si="112"/>
        <v>0</v>
      </c>
      <c r="J103" s="85">
        <f t="shared" si="112"/>
        <v>0</v>
      </c>
      <c r="K103" s="85">
        <f t="shared" si="112"/>
        <v>0</v>
      </c>
      <c r="L103" s="85">
        <f t="shared" si="112"/>
        <v>0</v>
      </c>
      <c r="M103" s="85">
        <f t="shared" si="112"/>
        <v>0</v>
      </c>
      <c r="N103" s="85">
        <f t="shared" si="112"/>
        <v>0</v>
      </c>
      <c r="O103" s="85">
        <f t="shared" si="112"/>
        <v>0</v>
      </c>
      <c r="P103" s="85">
        <f t="shared" si="112"/>
        <v>0</v>
      </c>
      <c r="Q103" s="85">
        <f t="shared" si="112"/>
        <v>0</v>
      </c>
      <c r="R103" s="85">
        <f t="shared" si="112"/>
        <v>0</v>
      </c>
      <c r="S103" s="85">
        <f t="shared" ref="S103:T103" si="113">IF(S85&lt;0,S85*-1,0)</f>
        <v>0</v>
      </c>
      <c r="T103" s="85">
        <f t="shared" si="113"/>
        <v>0</v>
      </c>
      <c r="U103" s="85">
        <f t="shared" ref="U103:V103" si="114">IF(U85&lt;0,U85*-1,0)</f>
        <v>0</v>
      </c>
      <c r="V103" s="85">
        <f t="shared" si="114"/>
        <v>0</v>
      </c>
      <c r="W103" s="85">
        <f t="shared" ref="W103:X103" si="115">IF(W85&lt;0,W85*-1,0)</f>
        <v>0</v>
      </c>
      <c r="X103" s="85">
        <f t="shared" si="115"/>
        <v>0</v>
      </c>
      <c r="Y103" s="85">
        <f t="shared" ref="Y103:Z103" si="116">IF(Y85&lt;0,Y85*-1,0)</f>
        <v>0</v>
      </c>
      <c r="Z103" s="85">
        <f t="shared" si="116"/>
        <v>0</v>
      </c>
      <c r="AA103" s="85">
        <f t="shared" ref="AA103" si="117">IF(AA85&lt;0,AA85*-1,0)</f>
        <v>0</v>
      </c>
      <c r="AB103" s="85">
        <f t="shared" si="112"/>
        <v>0</v>
      </c>
      <c r="AC103" s="85">
        <f t="shared" si="112"/>
        <v>0</v>
      </c>
      <c r="AD103" s="85">
        <f t="shared" si="112"/>
        <v>0</v>
      </c>
      <c r="AE103" s="85">
        <f t="shared" si="112"/>
        <v>0</v>
      </c>
      <c r="AF103" s="85">
        <f t="shared" si="112"/>
        <v>0</v>
      </c>
      <c r="AG103" s="84"/>
      <c r="AH103" s="12">
        <f t="shared" si="60"/>
        <v>0</v>
      </c>
      <c r="AI103" s="11">
        <f t="shared" si="61"/>
        <v>0</v>
      </c>
      <c r="BF103" s="83"/>
      <c r="BG103" s="78">
        <v>24.8</v>
      </c>
      <c r="BH103" s="78">
        <v>0</v>
      </c>
      <c r="BI103" s="78">
        <v>71.900000000000006</v>
      </c>
      <c r="BJ103" s="78">
        <v>0</v>
      </c>
      <c r="BK103" s="78">
        <v>0</v>
      </c>
      <c r="BL103" s="78">
        <v>41.8</v>
      </c>
    </row>
    <row r="104" spans="1:64" x14ac:dyDescent="0.25">
      <c r="A104" s="82" t="s">
        <v>158</v>
      </c>
      <c r="B104" s="85">
        <f t="shared" ref="B104:C104" si="118">IF(B83&lt;0,B83*-1,0)</f>
        <v>0</v>
      </c>
      <c r="C104" s="85">
        <f t="shared" si="118"/>
        <v>0</v>
      </c>
      <c r="D104" s="85">
        <f t="shared" ref="D104" si="119">IF(D83&lt;0,D83*-1,0)</f>
        <v>0</v>
      </c>
      <c r="E104" s="85">
        <f t="shared" ref="E104:AF104" si="120">IF(E83&lt;0,E83*-1,0)</f>
        <v>0</v>
      </c>
      <c r="F104" s="85">
        <f t="shared" si="120"/>
        <v>0</v>
      </c>
      <c r="G104" s="85">
        <f t="shared" si="120"/>
        <v>0</v>
      </c>
      <c r="H104" s="85">
        <f t="shared" si="120"/>
        <v>0</v>
      </c>
      <c r="I104" s="85">
        <f t="shared" si="120"/>
        <v>0</v>
      </c>
      <c r="J104" s="85">
        <f t="shared" si="120"/>
        <v>0</v>
      </c>
      <c r="K104" s="85">
        <f t="shared" si="120"/>
        <v>0</v>
      </c>
      <c r="L104" s="85">
        <f t="shared" si="120"/>
        <v>0</v>
      </c>
      <c r="M104" s="85">
        <f t="shared" si="120"/>
        <v>0</v>
      </c>
      <c r="N104" s="85">
        <f t="shared" si="120"/>
        <v>0</v>
      </c>
      <c r="O104" s="85">
        <f t="shared" si="120"/>
        <v>0</v>
      </c>
      <c r="P104" s="85">
        <f t="shared" si="120"/>
        <v>0</v>
      </c>
      <c r="Q104" s="85">
        <f t="shared" si="120"/>
        <v>0</v>
      </c>
      <c r="R104" s="85">
        <f t="shared" si="120"/>
        <v>0</v>
      </c>
      <c r="S104" s="85">
        <f t="shared" ref="S104:T104" si="121">IF(S83&lt;0,S83*-1,0)</f>
        <v>0</v>
      </c>
      <c r="T104" s="85">
        <f t="shared" si="121"/>
        <v>0</v>
      </c>
      <c r="U104" s="85">
        <f t="shared" ref="U104:V104" si="122">IF(U83&lt;0,U83*-1,0)</f>
        <v>0</v>
      </c>
      <c r="V104" s="85">
        <f t="shared" si="122"/>
        <v>0</v>
      </c>
      <c r="W104" s="85">
        <f t="shared" ref="W104:X104" si="123">IF(W83&lt;0,W83*-1,0)</f>
        <v>0</v>
      </c>
      <c r="X104" s="85">
        <f t="shared" si="123"/>
        <v>0</v>
      </c>
      <c r="Y104" s="85">
        <f t="shared" ref="Y104:Z104" si="124">IF(Y83&lt;0,Y83*-1,0)</f>
        <v>0</v>
      </c>
      <c r="Z104" s="85">
        <f t="shared" si="124"/>
        <v>0</v>
      </c>
      <c r="AA104" s="85">
        <f t="shared" ref="AA104" si="125">IF(AA83&lt;0,AA83*-1,0)</f>
        <v>0</v>
      </c>
      <c r="AB104" s="85">
        <f t="shared" si="120"/>
        <v>0</v>
      </c>
      <c r="AC104" s="85">
        <f t="shared" si="120"/>
        <v>0</v>
      </c>
      <c r="AD104" s="85">
        <f t="shared" si="120"/>
        <v>0</v>
      </c>
      <c r="AE104" s="85">
        <f t="shared" si="120"/>
        <v>0</v>
      </c>
      <c r="AF104" s="85">
        <f t="shared" si="120"/>
        <v>0</v>
      </c>
      <c r="AG104" s="84"/>
      <c r="AH104" s="12">
        <f t="shared" si="60"/>
        <v>0</v>
      </c>
      <c r="AI104" s="11">
        <f t="shared" si="61"/>
        <v>0</v>
      </c>
      <c r="BF104" s="83"/>
      <c r="BG104" s="78">
        <v>33.299999999999997</v>
      </c>
      <c r="BH104" s="78">
        <v>0</v>
      </c>
      <c r="BI104" s="78">
        <v>50</v>
      </c>
      <c r="BJ104" s="78">
        <v>0</v>
      </c>
      <c r="BK104" s="78">
        <v>0</v>
      </c>
      <c r="BL104" s="78">
        <v>45.2</v>
      </c>
    </row>
    <row r="105" spans="1:64" x14ac:dyDescent="0.25">
      <c r="A105" s="82" t="s">
        <v>157</v>
      </c>
      <c r="B105" s="85">
        <f t="shared" ref="B105:C105" si="126">IF(B81&lt;0,B81*-1,0)</f>
        <v>0</v>
      </c>
      <c r="C105" s="85">
        <f t="shared" si="126"/>
        <v>0</v>
      </c>
      <c r="D105" s="85">
        <f t="shared" ref="D105" si="127">IF(D81&lt;0,D81*-1,0)</f>
        <v>0</v>
      </c>
      <c r="E105" s="85">
        <f t="shared" ref="E105:AF105" si="128">IF(E81&lt;0,E81*-1,0)</f>
        <v>0</v>
      </c>
      <c r="F105" s="85">
        <f t="shared" si="128"/>
        <v>0</v>
      </c>
      <c r="G105" s="85">
        <f t="shared" si="128"/>
        <v>0</v>
      </c>
      <c r="H105" s="85">
        <f t="shared" si="128"/>
        <v>0</v>
      </c>
      <c r="I105" s="85">
        <f t="shared" si="128"/>
        <v>0</v>
      </c>
      <c r="J105" s="85">
        <f t="shared" si="128"/>
        <v>0</v>
      </c>
      <c r="K105" s="85">
        <f t="shared" si="128"/>
        <v>0</v>
      </c>
      <c r="L105" s="85">
        <f t="shared" si="128"/>
        <v>0</v>
      </c>
      <c r="M105" s="85">
        <f t="shared" si="128"/>
        <v>0</v>
      </c>
      <c r="N105" s="85">
        <f t="shared" si="128"/>
        <v>0</v>
      </c>
      <c r="O105" s="85">
        <f t="shared" si="128"/>
        <v>0</v>
      </c>
      <c r="P105" s="85">
        <f t="shared" si="128"/>
        <v>0</v>
      </c>
      <c r="Q105" s="85">
        <f t="shared" si="128"/>
        <v>0</v>
      </c>
      <c r="R105" s="85">
        <f t="shared" si="128"/>
        <v>0</v>
      </c>
      <c r="S105" s="85">
        <f t="shared" ref="S105:T105" si="129">IF(S81&lt;0,S81*-1,0)</f>
        <v>0</v>
      </c>
      <c r="T105" s="85">
        <f t="shared" si="129"/>
        <v>0</v>
      </c>
      <c r="U105" s="85">
        <f t="shared" ref="U105:V105" si="130">IF(U81&lt;0,U81*-1,0)</f>
        <v>0</v>
      </c>
      <c r="V105" s="85">
        <f t="shared" si="130"/>
        <v>0</v>
      </c>
      <c r="W105" s="85">
        <f t="shared" ref="W105:X105" si="131">IF(W81&lt;0,W81*-1,0)</f>
        <v>0</v>
      </c>
      <c r="X105" s="85">
        <f t="shared" si="131"/>
        <v>0</v>
      </c>
      <c r="Y105" s="85">
        <f t="shared" ref="Y105:Z105" si="132">IF(Y81&lt;0,Y81*-1,0)</f>
        <v>0</v>
      </c>
      <c r="Z105" s="85">
        <f t="shared" si="132"/>
        <v>0</v>
      </c>
      <c r="AA105" s="85">
        <f t="shared" ref="AA105" si="133">IF(AA81&lt;0,AA81*-1,0)</f>
        <v>0</v>
      </c>
      <c r="AB105" s="85">
        <f t="shared" si="128"/>
        <v>0</v>
      </c>
      <c r="AC105" s="85">
        <f t="shared" si="128"/>
        <v>0</v>
      </c>
      <c r="AD105" s="85">
        <f t="shared" si="128"/>
        <v>0</v>
      </c>
      <c r="AE105" s="85">
        <f t="shared" si="128"/>
        <v>0</v>
      </c>
      <c r="AF105" s="85">
        <f t="shared" si="128"/>
        <v>0</v>
      </c>
      <c r="AG105" s="84"/>
      <c r="AH105" s="12">
        <f t="shared" si="60"/>
        <v>0</v>
      </c>
      <c r="AI105" s="11">
        <f t="shared" si="61"/>
        <v>0</v>
      </c>
      <c r="BF105" s="83"/>
      <c r="BG105" s="78">
        <v>39.6</v>
      </c>
      <c r="BH105" s="78">
        <v>0</v>
      </c>
      <c r="BI105" s="78">
        <v>68.7</v>
      </c>
      <c r="BJ105" s="78">
        <v>0</v>
      </c>
      <c r="BK105" s="78">
        <v>0</v>
      </c>
      <c r="BL105" s="78">
        <v>45.1</v>
      </c>
    </row>
    <row r="106" spans="1:64" ht="15.75" thickBot="1" x14ac:dyDescent="0.3">
      <c r="A106" s="82" t="s">
        <v>156</v>
      </c>
      <c r="B106" s="81">
        <v>0</v>
      </c>
      <c r="C106" s="81">
        <v>0</v>
      </c>
      <c r="D106" s="81">
        <v>1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60"/>
        <v>1</v>
      </c>
      <c r="AI106" s="11">
        <f t="shared" si="61"/>
        <v>0</v>
      </c>
      <c r="BG106" s="78">
        <v>37.1</v>
      </c>
      <c r="BH106" s="78">
        <v>0</v>
      </c>
      <c r="BI106" s="78">
        <v>82.4</v>
      </c>
      <c r="BJ106" s="78">
        <v>0</v>
      </c>
      <c r="BK106" s="78">
        <v>0</v>
      </c>
      <c r="BL106" s="78">
        <v>46.4</v>
      </c>
    </row>
    <row r="107" spans="1:64" ht="15.75" thickBot="1" x14ac:dyDescent="0.3">
      <c r="A107" s="79" t="s">
        <v>155</v>
      </c>
      <c r="B107" s="76">
        <f t="shared" ref="B107:C107" si="134">SUM(B101:B106)</f>
        <v>0</v>
      </c>
      <c r="C107" s="76">
        <f t="shared" si="134"/>
        <v>0</v>
      </c>
      <c r="D107" s="76">
        <v>0</v>
      </c>
      <c r="E107" s="76">
        <f t="shared" ref="E107:AF107" si="135">SUM(E101:E106)</f>
        <v>0</v>
      </c>
      <c r="F107" s="76">
        <f t="shared" si="135"/>
        <v>0</v>
      </c>
      <c r="G107" s="76">
        <f t="shared" si="135"/>
        <v>0</v>
      </c>
      <c r="H107" s="76">
        <f t="shared" si="135"/>
        <v>0</v>
      </c>
      <c r="I107" s="76">
        <f t="shared" si="135"/>
        <v>0</v>
      </c>
      <c r="J107" s="76">
        <f t="shared" si="135"/>
        <v>0</v>
      </c>
      <c r="K107" s="76">
        <f t="shared" si="135"/>
        <v>0</v>
      </c>
      <c r="L107" s="76">
        <f t="shared" si="135"/>
        <v>0</v>
      </c>
      <c r="M107" s="76">
        <f t="shared" si="135"/>
        <v>0</v>
      </c>
      <c r="N107" s="76">
        <f t="shared" si="135"/>
        <v>0</v>
      </c>
      <c r="O107" s="76">
        <f t="shared" si="135"/>
        <v>0</v>
      </c>
      <c r="P107" s="76">
        <f t="shared" si="135"/>
        <v>0</v>
      </c>
      <c r="Q107" s="76">
        <f t="shared" si="135"/>
        <v>0</v>
      </c>
      <c r="R107" s="76">
        <f t="shared" si="135"/>
        <v>0</v>
      </c>
      <c r="S107" s="76">
        <f t="shared" ref="S107:T107" si="136">SUM(S101:S106)</f>
        <v>0</v>
      </c>
      <c r="T107" s="76">
        <f t="shared" si="136"/>
        <v>0</v>
      </c>
      <c r="U107" s="76">
        <f t="shared" ref="U107:V107" si="137">SUM(U101:U106)</f>
        <v>0</v>
      </c>
      <c r="V107" s="76">
        <f t="shared" si="137"/>
        <v>0</v>
      </c>
      <c r="W107" s="76">
        <f t="shared" ref="W107:X107" si="138">SUM(W101:W106)</f>
        <v>0</v>
      </c>
      <c r="X107" s="76">
        <f t="shared" si="138"/>
        <v>0</v>
      </c>
      <c r="Y107" s="76">
        <f t="shared" ref="Y107:Z107" si="139">SUM(Y101:Y106)</f>
        <v>0</v>
      </c>
      <c r="Z107" s="76">
        <f t="shared" si="139"/>
        <v>0</v>
      </c>
      <c r="AA107" s="76">
        <f t="shared" ref="AA107" si="140">SUM(AA101:AA106)</f>
        <v>0</v>
      </c>
      <c r="AB107" s="76">
        <f t="shared" si="135"/>
        <v>0</v>
      </c>
      <c r="AC107" s="76">
        <f t="shared" si="135"/>
        <v>0</v>
      </c>
      <c r="AD107" s="76">
        <f t="shared" si="135"/>
        <v>0</v>
      </c>
      <c r="AE107" s="76">
        <f t="shared" si="135"/>
        <v>0</v>
      </c>
      <c r="AF107" s="76">
        <f t="shared" si="135"/>
        <v>0</v>
      </c>
      <c r="AG107" s="75"/>
      <c r="AH107" s="12">
        <f t="shared" si="60"/>
        <v>0</v>
      </c>
      <c r="AI107" s="11">
        <f t="shared" si="61"/>
        <v>0</v>
      </c>
      <c r="AK107" s="19"/>
      <c r="BG107" s="78">
        <v>22</v>
      </c>
      <c r="BH107" s="78">
        <v>0</v>
      </c>
      <c r="BI107" s="78">
        <v>30</v>
      </c>
      <c r="BJ107" s="78">
        <v>0</v>
      </c>
      <c r="BK107" s="78">
        <v>0</v>
      </c>
      <c r="BL107" s="78">
        <v>48</v>
      </c>
    </row>
    <row r="108" spans="1:64" ht="15.75" thickBot="1" x14ac:dyDescent="0.3">
      <c r="A108" s="77" t="s">
        <v>154</v>
      </c>
      <c r="B108" s="76">
        <f t="shared" ref="B108:C108" si="141">B92-B107</f>
        <v>100</v>
      </c>
      <c r="C108" s="76">
        <f t="shared" si="141"/>
        <v>112</v>
      </c>
      <c r="D108" s="76">
        <f t="shared" ref="D108" si="142">D92-D107</f>
        <v>109</v>
      </c>
      <c r="E108" s="76">
        <f t="shared" ref="E108:AF108" si="143">E92-E107</f>
        <v>69</v>
      </c>
      <c r="F108" s="76">
        <f t="shared" si="143"/>
        <v>77.099999999999994</v>
      </c>
      <c r="G108" s="76">
        <f t="shared" si="143"/>
        <v>96.5</v>
      </c>
      <c r="H108" s="76">
        <f t="shared" si="143"/>
        <v>100.6</v>
      </c>
      <c r="I108" s="76">
        <f t="shared" si="143"/>
        <v>112</v>
      </c>
      <c r="J108" s="76">
        <f t="shared" si="143"/>
        <v>687.5</v>
      </c>
      <c r="K108" s="76">
        <f t="shared" si="143"/>
        <v>803.4</v>
      </c>
      <c r="L108" s="76">
        <f t="shared" si="143"/>
        <v>850.7</v>
      </c>
      <c r="M108" s="76">
        <f t="shared" si="143"/>
        <v>834.83</v>
      </c>
      <c r="N108" s="76">
        <f t="shared" si="143"/>
        <v>825.6</v>
      </c>
      <c r="O108" s="76">
        <f t="shared" si="143"/>
        <v>842</v>
      </c>
      <c r="P108" s="76">
        <f t="shared" si="143"/>
        <v>755.40000000000009</v>
      </c>
      <c r="Q108" s="76">
        <f t="shared" si="143"/>
        <v>837.40000000000009</v>
      </c>
      <c r="R108" s="76">
        <f t="shared" si="143"/>
        <v>839.5</v>
      </c>
      <c r="S108" s="76">
        <f t="shared" ref="S108:T108" si="144">S92-S107</f>
        <v>864.09999999999991</v>
      </c>
      <c r="T108" s="76">
        <f t="shared" si="144"/>
        <v>866.9</v>
      </c>
      <c r="U108" s="76">
        <f t="shared" ref="U108:V108" si="145">U92-U107</f>
        <v>870.6</v>
      </c>
      <c r="V108" s="76">
        <f t="shared" si="145"/>
        <v>870.6</v>
      </c>
      <c r="W108" s="76">
        <f t="shared" ref="W108:X108" si="146">W92-W107</f>
        <v>724.7</v>
      </c>
      <c r="X108" s="76">
        <f t="shared" si="146"/>
        <v>450.79999999999995</v>
      </c>
      <c r="Y108" s="76">
        <f t="shared" ref="Y108:Z108" si="147">Y92-Y107</f>
        <v>348.20000000000005</v>
      </c>
      <c r="Z108" s="76">
        <f t="shared" si="147"/>
        <v>254.2</v>
      </c>
      <c r="AA108" s="76">
        <f t="shared" ref="AA108" si="148">AA92-AA107</f>
        <v>123.89999999999999</v>
      </c>
      <c r="AB108" s="76">
        <f t="shared" si="143"/>
        <v>138.5</v>
      </c>
      <c r="AC108" s="76">
        <f t="shared" si="143"/>
        <v>147.80000000000001</v>
      </c>
      <c r="AD108" s="76">
        <f t="shared" si="143"/>
        <v>128.5</v>
      </c>
      <c r="AE108" s="76">
        <f t="shared" si="143"/>
        <v>153.4</v>
      </c>
      <c r="AF108" s="76">
        <f t="shared" si="143"/>
        <v>165.9</v>
      </c>
      <c r="AG108" s="75"/>
      <c r="AH108" s="12">
        <f t="shared" si="60"/>
        <v>870.6</v>
      </c>
      <c r="AI108" s="11">
        <f t="shared" si="61"/>
        <v>69</v>
      </c>
    </row>
    <row r="109" spans="1:64" x14ac:dyDescent="0.25">
      <c r="A109" s="25" t="s">
        <v>153</v>
      </c>
      <c r="B109" s="74">
        <v>50.042999999999999</v>
      </c>
      <c r="C109" s="74">
        <v>50.03</v>
      </c>
      <c r="D109" s="74">
        <v>50.05</v>
      </c>
      <c r="E109" s="74">
        <v>49.994999999999997</v>
      </c>
      <c r="F109" s="74">
        <v>50.005000000000003</v>
      </c>
      <c r="G109" s="74">
        <v>49.954000000000001</v>
      </c>
      <c r="H109" s="74">
        <v>49.954000000000001</v>
      </c>
      <c r="I109" s="74">
        <v>50.003</v>
      </c>
      <c r="J109" s="74">
        <v>50.015599999999999</v>
      </c>
      <c r="K109" s="74">
        <v>50.033999999999999</v>
      </c>
      <c r="L109" s="74">
        <v>49.965000000000003</v>
      </c>
      <c r="M109" s="74">
        <v>50.03</v>
      </c>
      <c r="N109" s="74">
        <v>50.081000000000003</v>
      </c>
      <c r="O109" s="74">
        <v>50.03</v>
      </c>
      <c r="P109" s="74">
        <v>50.036000000000001</v>
      </c>
      <c r="Q109" s="74">
        <v>49</v>
      </c>
      <c r="R109" s="74">
        <v>49.936999999999998</v>
      </c>
      <c r="S109" s="74">
        <v>49.92</v>
      </c>
      <c r="T109" s="74">
        <v>49.92</v>
      </c>
      <c r="U109" s="74">
        <v>50.04</v>
      </c>
      <c r="V109" s="74">
        <v>50.04</v>
      </c>
      <c r="W109" s="74">
        <v>50.01</v>
      </c>
      <c r="X109" s="74">
        <v>50.05</v>
      </c>
      <c r="Y109" s="74">
        <v>50.07</v>
      </c>
      <c r="Z109" s="74">
        <v>50.03</v>
      </c>
      <c r="AA109" s="74">
        <v>50.03</v>
      </c>
      <c r="AB109" s="74">
        <v>50.097000000000001</v>
      </c>
      <c r="AC109" s="74">
        <v>50.052</v>
      </c>
      <c r="AD109" s="74">
        <v>50.067999999999998</v>
      </c>
      <c r="AE109" s="74">
        <v>50.103999999999999</v>
      </c>
      <c r="AF109" s="74">
        <v>50.06</v>
      </c>
      <c r="AG109" s="73"/>
      <c r="AH109" s="12">
        <f t="shared" si="60"/>
        <v>50.103999999999999</v>
      </c>
      <c r="AI109" s="11">
        <f t="shared" si="61"/>
        <v>49</v>
      </c>
    </row>
    <row r="110" spans="1:64" x14ac:dyDescent="0.25">
      <c r="A110" s="22" t="s">
        <v>152</v>
      </c>
      <c r="B110" s="70">
        <v>130.69999999999999</v>
      </c>
      <c r="C110" s="70">
        <v>131</v>
      </c>
      <c r="D110" s="70">
        <v>132</v>
      </c>
      <c r="E110" s="70">
        <v>131.69999999999999</v>
      </c>
      <c r="F110" s="70">
        <v>131.80000000000001</v>
      </c>
      <c r="G110" s="70">
        <v>134.19999999999999</v>
      </c>
      <c r="H110" s="70">
        <v>129.9</v>
      </c>
      <c r="I110" s="70">
        <v>128</v>
      </c>
      <c r="J110" s="70">
        <v>126.1</v>
      </c>
      <c r="K110" s="70">
        <v>125.8</v>
      </c>
      <c r="L110" s="70">
        <v>124.6</v>
      </c>
      <c r="M110" s="70">
        <v>124.6</v>
      </c>
      <c r="N110" s="70">
        <v>125</v>
      </c>
      <c r="O110" s="70">
        <v>122.5</v>
      </c>
      <c r="P110" s="70">
        <v>125.3</v>
      </c>
      <c r="Q110" s="70">
        <v>125.1</v>
      </c>
      <c r="R110" s="70">
        <v>124.9</v>
      </c>
      <c r="S110" s="70">
        <v>124.9</v>
      </c>
      <c r="T110" s="70">
        <v>124.9</v>
      </c>
      <c r="U110" s="70">
        <v>124.2</v>
      </c>
      <c r="V110" s="70">
        <v>124.2</v>
      </c>
      <c r="W110" s="70">
        <v>129.30000000000001</v>
      </c>
      <c r="X110" s="70">
        <v>130.6</v>
      </c>
      <c r="Y110" s="70">
        <v>130.6</v>
      </c>
      <c r="Z110" s="70">
        <v>126.6</v>
      </c>
      <c r="AA110" s="70">
        <v>126.6</v>
      </c>
      <c r="AB110" s="70">
        <v>127.3</v>
      </c>
      <c r="AC110" s="70">
        <v>126.2</v>
      </c>
      <c r="AD110" s="70">
        <v>125.1</v>
      </c>
      <c r="AE110" s="70">
        <v>126</v>
      </c>
      <c r="AF110" s="70">
        <v>127.3</v>
      </c>
      <c r="AG110" s="69"/>
      <c r="AH110" s="12">
        <f t="shared" si="60"/>
        <v>134.19999999999999</v>
      </c>
      <c r="AI110" s="11">
        <f t="shared" si="61"/>
        <v>122.5</v>
      </c>
    </row>
    <row r="111" spans="1:64" x14ac:dyDescent="0.25">
      <c r="A111" s="22" t="s">
        <v>151</v>
      </c>
      <c r="B111" s="70">
        <v>133</v>
      </c>
      <c r="C111" s="70">
        <v>134</v>
      </c>
      <c r="D111" s="70">
        <v>134</v>
      </c>
      <c r="E111" s="70">
        <v>134.5</v>
      </c>
      <c r="F111" s="70">
        <v>134.4</v>
      </c>
      <c r="G111" s="70">
        <v>131.4</v>
      </c>
      <c r="H111" s="70">
        <v>133.1</v>
      </c>
      <c r="I111" s="70">
        <v>132</v>
      </c>
      <c r="J111" s="70">
        <v>128.80000000000001</v>
      </c>
      <c r="K111" s="70">
        <v>128.5</v>
      </c>
      <c r="L111" s="70">
        <v>127</v>
      </c>
      <c r="M111" s="70">
        <v>127.2</v>
      </c>
      <c r="N111" s="70">
        <v>128.1</v>
      </c>
      <c r="O111" s="70">
        <v>126</v>
      </c>
      <c r="P111" s="70">
        <v>128.4</v>
      </c>
      <c r="Q111" s="70">
        <v>128.19999999999999</v>
      </c>
      <c r="R111" s="70">
        <v>127.8</v>
      </c>
      <c r="S111" s="70">
        <v>127.8</v>
      </c>
      <c r="T111" s="70">
        <v>127.8</v>
      </c>
      <c r="U111" s="70">
        <v>127.4</v>
      </c>
      <c r="V111" s="70">
        <v>127.4</v>
      </c>
      <c r="W111" s="70">
        <v>131.9</v>
      </c>
      <c r="X111" s="70">
        <v>130.6</v>
      </c>
      <c r="Y111" s="70">
        <v>130.6</v>
      </c>
      <c r="Z111" s="70">
        <v>129.9</v>
      </c>
      <c r="AA111" s="70">
        <v>129.9</v>
      </c>
      <c r="AB111" s="70">
        <v>131.1</v>
      </c>
      <c r="AC111" s="70">
        <v>130.9</v>
      </c>
      <c r="AD111" s="70">
        <v>129.5</v>
      </c>
      <c r="AE111" s="70">
        <v>130.69999999999999</v>
      </c>
      <c r="AF111" s="70">
        <v>131.30000000000001</v>
      </c>
      <c r="AG111" s="69"/>
      <c r="AH111" s="12">
        <f t="shared" si="60"/>
        <v>134.5</v>
      </c>
      <c r="AI111" s="11">
        <f t="shared" si="61"/>
        <v>126</v>
      </c>
    </row>
    <row r="112" spans="1:64" x14ac:dyDescent="0.25">
      <c r="A112" s="22" t="s">
        <v>150</v>
      </c>
      <c r="B112" s="70">
        <v>130</v>
      </c>
      <c r="C112" s="70">
        <v>133</v>
      </c>
      <c r="D112" s="70">
        <v>133</v>
      </c>
      <c r="E112" s="70">
        <v>133.1</v>
      </c>
      <c r="F112" s="70">
        <v>132.6</v>
      </c>
      <c r="G112" s="70">
        <v>131.9</v>
      </c>
      <c r="H112" s="70">
        <v>131</v>
      </c>
      <c r="I112" s="70">
        <v>131</v>
      </c>
      <c r="J112" s="70">
        <v>131.1</v>
      </c>
      <c r="K112" s="70">
        <v>130.69999999999999</v>
      </c>
      <c r="L112" s="70">
        <v>129.69999999999999</v>
      </c>
      <c r="M112" s="70">
        <v>129.69999999999999</v>
      </c>
      <c r="N112" s="70">
        <v>130</v>
      </c>
      <c r="O112" s="70">
        <v>132</v>
      </c>
      <c r="P112" s="70">
        <v>132.9</v>
      </c>
      <c r="Q112" s="70">
        <v>132.69999999999999</v>
      </c>
      <c r="R112" s="70">
        <v>132.19999999999999</v>
      </c>
      <c r="S112" s="70">
        <v>132.19999999999999</v>
      </c>
      <c r="T112" s="70">
        <v>132.19999999999999</v>
      </c>
      <c r="U112" s="70">
        <v>129.9</v>
      </c>
      <c r="V112" s="70">
        <v>129.9</v>
      </c>
      <c r="W112" s="70">
        <v>130.6</v>
      </c>
      <c r="X112" s="70">
        <v>131.6</v>
      </c>
      <c r="Y112" s="70">
        <v>131.6</v>
      </c>
      <c r="Z112" s="70">
        <v>131.6</v>
      </c>
      <c r="AA112" s="70">
        <v>131.6</v>
      </c>
      <c r="AB112" s="70">
        <v>127.8</v>
      </c>
      <c r="AC112" s="70">
        <v>127.8</v>
      </c>
      <c r="AD112" s="70">
        <v>130.30000000000001</v>
      </c>
      <c r="AE112" s="70">
        <v>131.6</v>
      </c>
      <c r="AF112" s="70">
        <v>132.6</v>
      </c>
      <c r="AG112" s="69"/>
      <c r="AH112" s="12">
        <f t="shared" si="60"/>
        <v>133.1</v>
      </c>
      <c r="AI112" s="11">
        <f t="shared" si="61"/>
        <v>127.8</v>
      </c>
    </row>
    <row r="113" spans="1:35" x14ac:dyDescent="0.25">
      <c r="A113" s="72" t="s">
        <v>149</v>
      </c>
      <c r="B113" s="70">
        <v>131</v>
      </c>
      <c r="C113" s="70">
        <v>134</v>
      </c>
      <c r="D113" s="70">
        <v>130</v>
      </c>
      <c r="E113" s="70">
        <v>130.5</v>
      </c>
      <c r="F113" s="70">
        <v>129.9</v>
      </c>
      <c r="G113" s="70">
        <v>128.69999999999999</v>
      </c>
      <c r="H113" s="70">
        <v>128.69999999999999</v>
      </c>
      <c r="I113" s="70">
        <v>128.69999999999999</v>
      </c>
      <c r="J113" s="70">
        <v>129</v>
      </c>
      <c r="K113" s="70">
        <v>129.5</v>
      </c>
      <c r="L113" s="70">
        <v>128</v>
      </c>
      <c r="M113" s="70">
        <v>128.19999999999999</v>
      </c>
      <c r="N113" s="70">
        <v>129.19999999999999</v>
      </c>
      <c r="O113" s="70">
        <v>130</v>
      </c>
      <c r="P113" s="70">
        <v>131.9</v>
      </c>
      <c r="Q113" s="70">
        <v>131.80000000000001</v>
      </c>
      <c r="R113" s="70">
        <v>131.69999999999999</v>
      </c>
      <c r="S113" s="70">
        <v>131.69999999999999</v>
      </c>
      <c r="T113" s="70">
        <v>131.69999999999999</v>
      </c>
      <c r="U113" s="70">
        <v>127.7</v>
      </c>
      <c r="V113" s="70">
        <v>127.7</v>
      </c>
      <c r="W113" s="70">
        <v>127.4</v>
      </c>
      <c r="X113" s="70">
        <v>128.5</v>
      </c>
      <c r="Y113" s="70">
        <v>128.5</v>
      </c>
      <c r="Z113" s="70">
        <v>128.5</v>
      </c>
      <c r="AA113" s="70">
        <v>128.5</v>
      </c>
      <c r="AB113" s="70">
        <v>127.6</v>
      </c>
      <c r="AC113" s="70">
        <v>127.3</v>
      </c>
      <c r="AD113" s="70">
        <v>130.69999999999999</v>
      </c>
      <c r="AE113" s="70">
        <v>132.6</v>
      </c>
      <c r="AF113" s="70">
        <v>133.30000000000001</v>
      </c>
      <c r="AG113" s="69"/>
      <c r="AH113" s="12">
        <f t="shared" si="60"/>
        <v>134</v>
      </c>
      <c r="AI113" s="11">
        <f t="shared" si="61"/>
        <v>127.3</v>
      </c>
    </row>
    <row r="114" spans="1:35" x14ac:dyDescent="0.25">
      <c r="A114" s="72" t="s">
        <v>148</v>
      </c>
      <c r="B114" s="56">
        <v>133</v>
      </c>
      <c r="C114" s="56">
        <v>132</v>
      </c>
      <c r="D114" s="56">
        <v>133</v>
      </c>
      <c r="E114" s="56">
        <v>133.6</v>
      </c>
      <c r="F114" s="56">
        <v>133.1</v>
      </c>
      <c r="G114" s="56">
        <v>134.5</v>
      </c>
      <c r="H114" s="56">
        <v>132.80000000000001</v>
      </c>
      <c r="I114" s="56">
        <v>132.80000000000001</v>
      </c>
      <c r="J114" s="56">
        <v>130.4</v>
      </c>
      <c r="K114" s="56">
        <v>135</v>
      </c>
      <c r="L114" s="56">
        <v>133.69999999999999</v>
      </c>
      <c r="M114" s="56">
        <v>132.30000000000001</v>
      </c>
      <c r="N114" s="56">
        <v>131.9</v>
      </c>
      <c r="O114" s="56">
        <v>130</v>
      </c>
      <c r="P114" s="56">
        <v>134.1</v>
      </c>
      <c r="Q114" s="56">
        <v>135.5</v>
      </c>
      <c r="R114" s="56">
        <v>132.1</v>
      </c>
      <c r="S114" s="56">
        <v>132.1</v>
      </c>
      <c r="T114" s="56">
        <v>132.1</v>
      </c>
      <c r="U114" s="56">
        <v>130</v>
      </c>
      <c r="V114" s="56">
        <v>130</v>
      </c>
      <c r="W114" s="56">
        <v>134.4</v>
      </c>
      <c r="X114" s="56">
        <v>134.5</v>
      </c>
      <c r="Y114" s="56">
        <v>134.5</v>
      </c>
      <c r="Z114" s="56">
        <v>134.5</v>
      </c>
      <c r="AA114" s="56">
        <v>134.5</v>
      </c>
      <c r="AB114" s="56">
        <v>135.30000000000001</v>
      </c>
      <c r="AC114" s="56">
        <v>134.80000000000001</v>
      </c>
      <c r="AD114" s="56">
        <v>134.5</v>
      </c>
      <c r="AE114" s="56">
        <v>133.80000000000001</v>
      </c>
      <c r="AF114" s="56">
        <v>134.30000000000001</v>
      </c>
      <c r="AG114" s="71"/>
      <c r="AH114" s="12">
        <f t="shared" si="60"/>
        <v>135.5</v>
      </c>
      <c r="AI114" s="11">
        <f t="shared" si="61"/>
        <v>130</v>
      </c>
    </row>
    <row r="115" spans="1:35" x14ac:dyDescent="0.25">
      <c r="A115" s="22" t="s">
        <v>147</v>
      </c>
      <c r="B115" s="70">
        <v>131</v>
      </c>
      <c r="C115" s="70">
        <v>133</v>
      </c>
      <c r="D115" s="70">
        <v>134</v>
      </c>
      <c r="E115" s="70">
        <v>132.4</v>
      </c>
      <c r="F115" s="70">
        <v>134</v>
      </c>
      <c r="G115" s="70">
        <v>133.19999999999999</v>
      </c>
      <c r="H115" s="70">
        <v>130.4</v>
      </c>
      <c r="I115" s="70">
        <v>130.4</v>
      </c>
      <c r="J115" s="70">
        <v>125.7</v>
      </c>
      <c r="K115" s="70">
        <v>129</v>
      </c>
      <c r="L115" s="70">
        <v>127.3</v>
      </c>
      <c r="M115" s="70">
        <v>136.9</v>
      </c>
      <c r="N115" s="70">
        <v>133.80000000000001</v>
      </c>
      <c r="O115" s="70">
        <v>127</v>
      </c>
      <c r="P115" s="70">
        <v>128.4</v>
      </c>
      <c r="Q115" s="70">
        <v>126.6</v>
      </c>
      <c r="R115" s="70">
        <v>127.8</v>
      </c>
      <c r="S115" s="70">
        <v>127.8</v>
      </c>
      <c r="T115" s="70">
        <v>127.8</v>
      </c>
      <c r="U115" s="70">
        <v>123</v>
      </c>
      <c r="V115" s="70">
        <v>123</v>
      </c>
      <c r="W115" s="70">
        <v>134.1</v>
      </c>
      <c r="X115" s="70">
        <v>133.1</v>
      </c>
      <c r="Y115" s="70">
        <v>133.1</v>
      </c>
      <c r="Z115" s="70">
        <v>133.1</v>
      </c>
      <c r="AA115" s="70">
        <v>133.1</v>
      </c>
      <c r="AB115" s="70">
        <v>130.1</v>
      </c>
      <c r="AC115" s="70">
        <v>133.69999999999999</v>
      </c>
      <c r="AD115" s="70">
        <v>131.19999999999999</v>
      </c>
      <c r="AE115" s="70">
        <v>132.5</v>
      </c>
      <c r="AF115" s="70">
        <v>132</v>
      </c>
      <c r="AG115" s="69"/>
      <c r="AH115" s="12">
        <f t="shared" si="60"/>
        <v>136.9</v>
      </c>
      <c r="AI115" s="11">
        <f t="shared" si="61"/>
        <v>123</v>
      </c>
    </row>
    <row r="116" spans="1:35" ht="15.75" thickBot="1" x14ac:dyDescent="0.3">
      <c r="A116" s="22" t="s">
        <v>146</v>
      </c>
      <c r="B116" s="67">
        <v>67.2</v>
      </c>
      <c r="C116" s="67">
        <v>67</v>
      </c>
      <c r="D116" s="67">
        <v>67.8</v>
      </c>
      <c r="E116" s="67">
        <v>67.5</v>
      </c>
      <c r="F116" s="67">
        <v>67</v>
      </c>
      <c r="G116" s="67">
        <v>67.3</v>
      </c>
      <c r="H116" s="67">
        <v>66.8</v>
      </c>
      <c r="I116" s="67">
        <v>65.2</v>
      </c>
      <c r="J116" s="67">
        <v>64.8</v>
      </c>
      <c r="K116" s="67">
        <v>64.3</v>
      </c>
      <c r="L116" s="67">
        <v>63.8</v>
      </c>
      <c r="M116" s="67">
        <v>63.9</v>
      </c>
      <c r="N116" s="67">
        <v>63.9</v>
      </c>
      <c r="O116" s="67">
        <v>62.9</v>
      </c>
      <c r="P116" s="67">
        <v>64.2</v>
      </c>
      <c r="Q116" s="67">
        <v>64</v>
      </c>
      <c r="R116" s="67">
        <v>63.6</v>
      </c>
      <c r="S116" s="67">
        <v>63.6</v>
      </c>
      <c r="T116" s="67">
        <v>63.6</v>
      </c>
      <c r="U116" s="67">
        <v>63.5</v>
      </c>
      <c r="V116" s="67">
        <v>63.5</v>
      </c>
      <c r="W116" s="67">
        <v>66.099999999999994</v>
      </c>
      <c r="X116" s="67">
        <v>66.599999999999994</v>
      </c>
      <c r="Y116" s="67">
        <v>66.599999999999994</v>
      </c>
      <c r="Z116" s="67">
        <v>66.599999999999994</v>
      </c>
      <c r="AA116" s="67">
        <v>66.599999999999994</v>
      </c>
      <c r="AB116" s="67">
        <v>65.8</v>
      </c>
      <c r="AC116" s="67">
        <v>65.599999999999994</v>
      </c>
      <c r="AD116" s="67">
        <v>64.7</v>
      </c>
      <c r="AE116" s="67">
        <v>65</v>
      </c>
      <c r="AF116" s="67">
        <v>66</v>
      </c>
      <c r="AG116" s="66"/>
      <c r="AH116" s="12">
        <f t="shared" si="60"/>
        <v>67.8</v>
      </c>
      <c r="AI116" s="11">
        <f t="shared" si="61"/>
        <v>62.9</v>
      </c>
    </row>
    <row r="117" spans="1:35" ht="15.75" thickBot="1" x14ac:dyDescent="0.3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60"/>
        <v>0</v>
      </c>
      <c r="AI117" s="11">
        <f t="shared" si="61"/>
        <v>0</v>
      </c>
    </row>
    <row r="118" spans="1:35" ht="15.75" thickBot="1" x14ac:dyDescent="0.3">
      <c r="A118" s="65" t="s">
        <v>144</v>
      </c>
      <c r="B118" s="64">
        <f t="shared" ref="B118:C118" si="149">SUM(B22,B28,B31:B32,B66,B68:B69,B71,B73,B119:B123,B155,B161,B167,B176,B178,B190,B197,B200:B201,B208,B210,B212,B216:B218,B220:B222,B227,B233:B234,B236:B238,B246,B251)</f>
        <v>109.34</v>
      </c>
      <c r="C118" s="64">
        <f t="shared" si="149"/>
        <v>98.34</v>
      </c>
      <c r="D118" s="64">
        <f t="shared" ref="D118" si="150">SUM(D22,D28,D31:D32,D66,D68:D69,D71,D73,D119:D123,D155,D161,D167,D176,D178,D190,D197,D200:D201,D208,D210,D212,D216:D218,D220:D222,D227,D233:D234,D236:D238,D246,D251)</f>
        <v>87.34</v>
      </c>
      <c r="E118" s="64">
        <f t="shared" ref="E118:Q118" si="151">SUM(E22,E28,E31:E32,E66,E68:E69,E71,E73,E119:E123,E155,E161,E167,E176,E178,E190,E197,E200:E201,E208,E210,E212,E216:E218,E220:E222,E227,E233:E234,E236:E238,E246,E251)</f>
        <v>123.34</v>
      </c>
      <c r="F118" s="64">
        <f t="shared" si="151"/>
        <v>127.04</v>
      </c>
      <c r="G118" s="64">
        <f t="shared" si="151"/>
        <v>154.84</v>
      </c>
      <c r="H118" s="64">
        <f t="shared" si="151"/>
        <v>256.44</v>
      </c>
      <c r="I118" s="64">
        <f t="shared" si="151"/>
        <v>246.64</v>
      </c>
      <c r="J118" s="64">
        <f t="shared" si="151"/>
        <v>274.24</v>
      </c>
      <c r="K118" s="64">
        <f t="shared" si="151"/>
        <v>298.34000000000003</v>
      </c>
      <c r="L118" s="64">
        <f t="shared" si="151"/>
        <v>320.14</v>
      </c>
      <c r="M118" s="64">
        <f t="shared" si="151"/>
        <v>299.44</v>
      </c>
      <c r="N118" s="64">
        <f t="shared" si="151"/>
        <v>302.33999999999997</v>
      </c>
      <c r="O118" s="64">
        <f t="shared" si="151"/>
        <v>319.14</v>
      </c>
      <c r="P118" s="64">
        <f t="shared" si="151"/>
        <v>309.33999999999997</v>
      </c>
      <c r="Q118" s="64">
        <f t="shared" si="151"/>
        <v>308.83999999999997</v>
      </c>
      <c r="R118" s="64">
        <f t="shared" ref="R118:S118" si="152">SUM(R22,R28,R31:R32,R66,R68:R69,R71,R73,R119:R123,R155,R161,R167,R176,R178,R190,R197,R200:R201,R208,R210,R212,R216:R218,R220:R222,R227,R233:R234,R236:R238,R246,R251)</f>
        <v>307.64</v>
      </c>
      <c r="S118" s="64">
        <f t="shared" si="152"/>
        <v>349.23999999999995</v>
      </c>
      <c r="T118" s="64">
        <f t="shared" ref="T118:U118" si="153">SUM(T22,T28,T31:T32,T66,T68:T69,T71,T73,T119:T123,T155,T161,T167,T176,T178,T190,T197,T200:T201,T208,T210,T212,T216:T218,T220:T222,T227,T233:T234,T236:T238,T246,T251)</f>
        <v>317.33999999999997</v>
      </c>
      <c r="U118" s="64">
        <f t="shared" si="153"/>
        <v>304.54000000000002</v>
      </c>
      <c r="V118" s="64">
        <f t="shared" ref="V118:W118" si="154">SUM(V22,V28,V31:V32,V66,V68:V69,V71,V73,V119:V123,V155,V161,V167,V176,V178,V190,V197,V200:V201,V208,V210,V212,V216:V218,V220:V222,V227,V233:V234,V236:V238,V246,V251)</f>
        <v>336.54</v>
      </c>
      <c r="W118" s="64">
        <f t="shared" si="154"/>
        <v>317.04000000000002</v>
      </c>
      <c r="X118" s="64">
        <f t="shared" ref="X118:Z118" si="155">SUM(X22,X28,X31:X32,X66,X68:X69,X71,X73,X119:X123,X155,X161,X167,X176,X178,X190,X197,X200:X201,X208,X210,X212,X216:X218,X220:X222,X227,X233:X234,X236:X238,X246,X251)</f>
        <v>323.04000000000002</v>
      </c>
      <c r="Y118" s="64">
        <f t="shared" si="155"/>
        <v>344.54</v>
      </c>
      <c r="Z118" s="64">
        <f t="shared" si="155"/>
        <v>355.74</v>
      </c>
      <c r="AA118" s="64">
        <f t="shared" ref="AA118" si="156">SUM(AA22,AA28,AA31:AA32,AA66,AA68:AA69,AA71,AA73,AA119:AA123,AA155,AA161,AA167,AA176,AA178,AA190,AA197,AA200:AA201,AA208,AA210,AA212,AA216:AA218,AA220:AA222,AA227,AA233:AA234,AA236:AA238,AA246,AA251)</f>
        <v>276.73999999999995</v>
      </c>
      <c r="AB118" s="64">
        <f t="shared" ref="AB118:AF118" si="157">SUM(AB22,AB28,AB31:AB32,AB66,AB68:AB69,AB71,AB73,AB119:AB123,AB155,AB161,AB167,AB176,AB178,AB190,AB197,AB200:AB201,AB208,AB210,AB212,AB216:AB218,AB220:AB222,AB227,AB233:AB234,AB236:AB238,AB246,AB251)</f>
        <v>322.83999999999997</v>
      </c>
      <c r="AC118" s="64">
        <f t="shared" si="157"/>
        <v>201.84000000000003</v>
      </c>
      <c r="AD118" s="64">
        <f t="shared" si="157"/>
        <v>229.34000000000003</v>
      </c>
      <c r="AE118" s="64">
        <f t="shared" si="157"/>
        <v>186.53999999999996</v>
      </c>
      <c r="AF118" s="64">
        <f t="shared" si="157"/>
        <v>159.94</v>
      </c>
      <c r="AG118" s="63"/>
      <c r="AH118" s="12">
        <f t="shared" si="60"/>
        <v>355.74</v>
      </c>
      <c r="AI118" s="11">
        <f t="shared" si="61"/>
        <v>87.34</v>
      </c>
    </row>
    <row r="119" spans="1:35" x14ac:dyDescent="0.25">
      <c r="A119" s="59" t="s">
        <v>143</v>
      </c>
      <c r="B119" s="62">
        <v>29</v>
      </c>
      <c r="C119" s="62">
        <v>26</v>
      </c>
      <c r="D119" s="62">
        <v>23</v>
      </c>
      <c r="E119" s="62">
        <v>52.6</v>
      </c>
      <c r="F119" s="62">
        <v>22.2</v>
      </c>
      <c r="G119" s="62">
        <v>19.600000000000001</v>
      </c>
      <c r="H119" s="62">
        <v>29.2</v>
      </c>
      <c r="I119" s="62">
        <v>29.2</v>
      </c>
      <c r="J119" s="62">
        <v>18</v>
      </c>
      <c r="K119" s="62">
        <v>20.9</v>
      </c>
      <c r="L119" s="62">
        <v>17.8</v>
      </c>
      <c r="M119" s="62">
        <v>17.8</v>
      </c>
      <c r="N119" s="62">
        <v>18.100000000000001</v>
      </c>
      <c r="O119" s="62">
        <v>22.5</v>
      </c>
      <c r="P119" s="62">
        <v>26.3</v>
      </c>
      <c r="Q119" s="62">
        <v>17</v>
      </c>
      <c r="R119" s="62">
        <v>6.5</v>
      </c>
      <c r="S119" s="62">
        <v>51.7</v>
      </c>
      <c r="T119" s="62">
        <v>9.4</v>
      </c>
      <c r="U119" s="62">
        <v>8.9</v>
      </c>
      <c r="V119" s="62">
        <v>8.1</v>
      </c>
      <c r="W119" s="62">
        <v>-8.5</v>
      </c>
      <c r="X119" s="62">
        <v>23.1</v>
      </c>
      <c r="Y119" s="62">
        <v>40.9</v>
      </c>
      <c r="Z119" s="62">
        <v>36.1</v>
      </c>
      <c r="AA119" s="62">
        <v>22.5</v>
      </c>
      <c r="AB119" s="62">
        <v>32.4</v>
      </c>
      <c r="AC119" s="62">
        <v>28.9</v>
      </c>
      <c r="AD119" s="62">
        <v>27.1</v>
      </c>
      <c r="AE119" s="62">
        <v>18.2</v>
      </c>
      <c r="AF119" s="62">
        <v>20.5</v>
      </c>
      <c r="AG119" s="55">
        <v>75</v>
      </c>
      <c r="AH119" s="12">
        <f t="shared" si="60"/>
        <v>52.6</v>
      </c>
      <c r="AI119" s="11">
        <f t="shared" si="61"/>
        <v>-8.5</v>
      </c>
    </row>
    <row r="120" spans="1:35" x14ac:dyDescent="0.25">
      <c r="A120" s="57" t="s">
        <v>142</v>
      </c>
      <c r="B120" s="61">
        <v>51</v>
      </c>
      <c r="C120" s="61">
        <v>47</v>
      </c>
      <c r="D120" s="61">
        <v>43</v>
      </c>
      <c r="E120" s="61">
        <v>30.4</v>
      </c>
      <c r="F120" s="61">
        <v>40.9</v>
      </c>
      <c r="G120" s="61">
        <v>37.299999999999997</v>
      </c>
      <c r="H120" s="61">
        <v>50</v>
      </c>
      <c r="I120" s="61">
        <v>50</v>
      </c>
      <c r="J120" s="61">
        <v>22.5</v>
      </c>
      <c r="K120" s="61">
        <v>26</v>
      </c>
      <c r="L120" s="61">
        <v>21.6</v>
      </c>
      <c r="M120" s="61">
        <v>21.2</v>
      </c>
      <c r="N120" s="61">
        <v>21.4</v>
      </c>
      <c r="O120" s="61">
        <v>27.8</v>
      </c>
      <c r="P120" s="61">
        <v>34.200000000000003</v>
      </c>
      <c r="Q120" s="61">
        <v>21</v>
      </c>
      <c r="R120" s="61">
        <v>6.5</v>
      </c>
      <c r="S120" s="61">
        <v>2.6</v>
      </c>
      <c r="T120" s="61">
        <v>8.6</v>
      </c>
      <c r="U120" s="61">
        <v>6.8</v>
      </c>
      <c r="V120" s="61">
        <v>15.4</v>
      </c>
      <c r="W120" s="61">
        <v>-12.5</v>
      </c>
      <c r="X120" s="61">
        <v>34.200000000000003</v>
      </c>
      <c r="Y120" s="61">
        <v>61.2</v>
      </c>
      <c r="Z120" s="61">
        <v>54.8</v>
      </c>
      <c r="AA120" s="61">
        <v>34.1</v>
      </c>
      <c r="AB120" s="61">
        <v>51.2</v>
      </c>
      <c r="AC120" s="61">
        <v>46.8</v>
      </c>
      <c r="AD120" s="61">
        <v>43.9</v>
      </c>
      <c r="AE120" s="61">
        <v>31.2</v>
      </c>
      <c r="AF120" s="61">
        <v>34.6</v>
      </c>
      <c r="AG120" s="55">
        <v>240</v>
      </c>
      <c r="AH120" s="12">
        <f t="shared" si="60"/>
        <v>61.2</v>
      </c>
      <c r="AI120" s="11">
        <f t="shared" si="61"/>
        <v>-12.5</v>
      </c>
    </row>
    <row r="121" spans="1:35" x14ac:dyDescent="0.25">
      <c r="A121" s="57" t="s">
        <v>141</v>
      </c>
      <c r="B121" s="61">
        <v>-130</v>
      </c>
      <c r="C121" s="61">
        <v>-130</v>
      </c>
      <c r="D121" s="61">
        <v>-130</v>
      </c>
      <c r="E121" s="61">
        <f>-47-60</f>
        <v>-107</v>
      </c>
      <c r="F121" s="61">
        <f>-39-50</f>
        <v>-89</v>
      </c>
      <c r="G121" s="61">
        <f>-32-43</f>
        <v>-75</v>
      </c>
      <c r="H121" s="61">
        <f>-38-50</f>
        <v>-88</v>
      </c>
      <c r="I121" s="61">
        <f>-38-50</f>
        <v>-88</v>
      </c>
      <c r="J121" s="61">
        <v>2.4</v>
      </c>
      <c r="K121" s="61">
        <v>3.9</v>
      </c>
      <c r="L121" s="61">
        <v>11.8</v>
      </c>
      <c r="M121" s="61">
        <v>-7</v>
      </c>
      <c r="N121" s="61">
        <v>7</v>
      </c>
      <c r="O121" s="61">
        <v>4</v>
      </c>
      <c r="P121" s="61">
        <v>-3</v>
      </c>
      <c r="Q121" s="61">
        <v>10</v>
      </c>
      <c r="R121" s="61">
        <f>14+8</f>
        <v>22</v>
      </c>
      <c r="S121" s="61">
        <v>24</v>
      </c>
      <c r="T121" s="61">
        <v>24</v>
      </c>
      <c r="U121" s="61">
        <v>21</v>
      </c>
      <c r="V121" s="61">
        <v>17</v>
      </c>
      <c r="W121" s="61">
        <v>35</v>
      </c>
      <c r="X121" s="61">
        <v>-15.2</v>
      </c>
      <c r="Y121" s="61">
        <v>-51</v>
      </c>
      <c r="Z121" s="61">
        <v>-44</v>
      </c>
      <c r="AA121" s="61">
        <v>14</v>
      </c>
      <c r="AB121" s="61">
        <v>43.6</v>
      </c>
      <c r="AC121" s="61">
        <v>-50</v>
      </c>
      <c r="AD121" s="61">
        <v>-42</v>
      </c>
      <c r="AE121" s="61">
        <v>-38</v>
      </c>
      <c r="AF121" s="61">
        <v>-50</v>
      </c>
      <c r="AG121" s="55">
        <v>240</v>
      </c>
      <c r="AH121" s="12">
        <f t="shared" si="60"/>
        <v>43.6</v>
      </c>
      <c r="AI121" s="11">
        <f t="shared" si="61"/>
        <v>-130</v>
      </c>
    </row>
    <row r="122" spans="1:35" ht="15.75" thickBot="1" x14ac:dyDescent="0.3">
      <c r="A122" s="57" t="s">
        <v>140</v>
      </c>
      <c r="B122" s="61">
        <v>22</v>
      </c>
      <c r="C122" s="61">
        <v>22</v>
      </c>
      <c r="D122" s="61">
        <v>22</v>
      </c>
      <c r="E122" s="61">
        <v>19.8</v>
      </c>
      <c r="F122" s="61">
        <v>22.4</v>
      </c>
      <c r="G122" s="61">
        <v>24.6</v>
      </c>
      <c r="H122" s="61">
        <v>25.7</v>
      </c>
      <c r="I122" s="61">
        <v>26.7</v>
      </c>
      <c r="J122" s="61">
        <v>9</v>
      </c>
      <c r="K122" s="61">
        <v>6.8</v>
      </c>
      <c r="L122" s="61">
        <v>15.7</v>
      </c>
      <c r="M122" s="61">
        <v>16.399999999999999</v>
      </c>
      <c r="N122" s="61">
        <v>4</v>
      </c>
      <c r="O122" s="61">
        <v>11</v>
      </c>
      <c r="P122" s="61">
        <v>15</v>
      </c>
      <c r="Q122" s="61">
        <v>16</v>
      </c>
      <c r="R122" s="61">
        <v>26.9</v>
      </c>
      <c r="S122" s="61">
        <v>25</v>
      </c>
      <c r="T122" s="61">
        <v>29.6</v>
      </c>
      <c r="U122" s="61">
        <v>23.1</v>
      </c>
      <c r="V122" s="61">
        <v>14.4</v>
      </c>
      <c r="W122" s="61">
        <v>18.399999999999999</v>
      </c>
      <c r="X122" s="61">
        <v>21.6</v>
      </c>
      <c r="Y122" s="61">
        <v>21.9</v>
      </c>
      <c r="Z122" s="61">
        <v>24.6</v>
      </c>
      <c r="AA122" s="61">
        <v>0</v>
      </c>
      <c r="AB122" s="61">
        <v>14.8</v>
      </c>
      <c r="AC122" s="61">
        <v>11.7</v>
      </c>
      <c r="AD122" s="61">
        <v>9</v>
      </c>
      <c r="AE122" s="61">
        <v>8.6</v>
      </c>
      <c r="AF122" s="61">
        <v>6.4</v>
      </c>
      <c r="AG122" s="55">
        <v>60</v>
      </c>
      <c r="AH122" s="12">
        <f t="shared" si="60"/>
        <v>29.6</v>
      </c>
      <c r="AI122" s="11">
        <f t="shared" si="61"/>
        <v>0</v>
      </c>
    </row>
    <row r="123" spans="1:35" x14ac:dyDescent="0.25">
      <c r="A123" s="59" t="s">
        <v>139</v>
      </c>
      <c r="B123" s="58">
        <v>20</v>
      </c>
      <c r="C123" s="58">
        <v>16</v>
      </c>
      <c r="D123" s="58">
        <v>12</v>
      </c>
      <c r="E123" s="58">
        <v>8.8000000000000007</v>
      </c>
      <c r="F123" s="58">
        <v>11.8</v>
      </c>
      <c r="G123" s="58">
        <v>29.3</v>
      </c>
      <c r="H123" s="58">
        <v>120</v>
      </c>
      <c r="I123" s="58">
        <v>110</v>
      </c>
      <c r="J123" s="58">
        <v>102.2</v>
      </c>
      <c r="K123" s="58">
        <v>120</v>
      </c>
      <c r="L123" s="58">
        <v>133.1</v>
      </c>
      <c r="M123" s="58">
        <v>132.19999999999999</v>
      </c>
      <c r="N123" s="58">
        <v>133</v>
      </c>
      <c r="O123" s="58">
        <v>135</v>
      </c>
      <c r="P123" s="58">
        <v>118</v>
      </c>
      <c r="Q123" s="58">
        <v>126</v>
      </c>
      <c r="R123" s="58">
        <v>126.9</v>
      </c>
      <c r="S123" s="58">
        <v>121.1</v>
      </c>
      <c r="T123" s="58">
        <v>124</v>
      </c>
      <c r="U123" s="58">
        <v>130.6</v>
      </c>
      <c r="V123" s="58">
        <v>168</v>
      </c>
      <c r="W123" s="58">
        <v>171.3</v>
      </c>
      <c r="X123" s="58">
        <v>146</v>
      </c>
      <c r="Y123" s="58">
        <v>158.19999999999999</v>
      </c>
      <c r="Z123" s="58">
        <v>170.9</v>
      </c>
      <c r="AA123" s="58">
        <v>92.8</v>
      </c>
      <c r="AB123" s="58">
        <v>84.3</v>
      </c>
      <c r="AC123" s="58">
        <v>53.3</v>
      </c>
      <c r="AD123" s="58">
        <v>80.8</v>
      </c>
      <c r="AE123" s="58">
        <v>50.3</v>
      </c>
      <c r="AF123" s="58">
        <v>35.299999999999997</v>
      </c>
      <c r="AG123" s="60">
        <v>120</v>
      </c>
      <c r="AH123" s="12">
        <f t="shared" si="60"/>
        <v>171.3</v>
      </c>
      <c r="AI123" s="11">
        <f t="shared" si="61"/>
        <v>8.8000000000000007</v>
      </c>
    </row>
    <row r="124" spans="1:35" x14ac:dyDescent="0.25">
      <c r="A124" s="57" t="s">
        <v>138</v>
      </c>
      <c r="B124" s="58">
        <v>27</v>
      </c>
      <c r="C124" s="58">
        <v>25</v>
      </c>
      <c r="D124" s="58">
        <v>23</v>
      </c>
      <c r="E124" s="58">
        <v>21.3</v>
      </c>
      <c r="F124" s="58">
        <v>21.9</v>
      </c>
      <c r="G124" s="58">
        <v>31.2</v>
      </c>
      <c r="H124" s="58">
        <v>42.8</v>
      </c>
      <c r="I124" s="58">
        <v>52</v>
      </c>
      <c r="J124" s="58">
        <v>68</v>
      </c>
      <c r="K124" s="58">
        <v>77</v>
      </c>
      <c r="L124" s="58">
        <v>82.7</v>
      </c>
      <c r="M124" s="58">
        <v>80.900000000000006</v>
      </c>
      <c r="N124" s="58">
        <v>80</v>
      </c>
      <c r="O124" s="58">
        <v>82.6</v>
      </c>
      <c r="P124" s="58">
        <v>73</v>
      </c>
      <c r="Q124" s="58">
        <v>77</v>
      </c>
      <c r="R124" s="58">
        <v>77.900000000000006</v>
      </c>
      <c r="S124" s="58">
        <v>73.900000000000006</v>
      </c>
      <c r="T124" s="58">
        <v>74</v>
      </c>
      <c r="U124" s="58">
        <v>76.599999999999994</v>
      </c>
      <c r="V124" s="58">
        <v>92.1</v>
      </c>
      <c r="W124" s="58">
        <v>93.9</v>
      </c>
      <c r="X124" s="58">
        <v>81.7</v>
      </c>
      <c r="Y124" s="58">
        <v>86.8</v>
      </c>
      <c r="Z124" s="58">
        <v>98.4</v>
      </c>
      <c r="AA124" s="58">
        <v>58.1</v>
      </c>
      <c r="AB124" s="58">
        <v>56.3</v>
      </c>
      <c r="AC124" s="58">
        <v>41.4</v>
      </c>
      <c r="AD124" s="58">
        <v>45.5</v>
      </c>
      <c r="AE124" s="58">
        <v>38.200000000000003</v>
      </c>
      <c r="AF124" s="58">
        <v>33.200000000000003</v>
      </c>
      <c r="AG124" s="60"/>
      <c r="AH124" s="12">
        <f t="shared" si="60"/>
        <v>98.4</v>
      </c>
      <c r="AI124" s="11">
        <f t="shared" si="61"/>
        <v>21.3</v>
      </c>
    </row>
    <row r="125" spans="1:35" x14ac:dyDescent="0.25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8">
        <v>0</v>
      </c>
      <c r="AD125" s="58">
        <v>0</v>
      </c>
      <c r="AE125" s="58">
        <v>0</v>
      </c>
      <c r="AF125" s="58">
        <v>0</v>
      </c>
      <c r="AG125" s="60"/>
      <c r="AH125" s="12">
        <f t="shared" si="60"/>
        <v>0</v>
      </c>
      <c r="AI125" s="11">
        <f t="shared" si="61"/>
        <v>0</v>
      </c>
    </row>
    <row r="126" spans="1:35" ht="15.75" thickBot="1" x14ac:dyDescent="0.3">
      <c r="A126" s="57" t="s">
        <v>136</v>
      </c>
      <c r="B126" s="58">
        <v>16</v>
      </c>
      <c r="C126" s="58">
        <v>16</v>
      </c>
      <c r="D126" s="58">
        <v>13</v>
      </c>
      <c r="E126" s="58">
        <v>-2.7</v>
      </c>
      <c r="F126" s="58">
        <v>2.1</v>
      </c>
      <c r="G126" s="58">
        <v>11</v>
      </c>
      <c r="H126" s="58">
        <v>4.8</v>
      </c>
      <c r="I126" s="58">
        <v>45</v>
      </c>
      <c r="J126" s="58">
        <v>89</v>
      </c>
      <c r="K126" s="58">
        <v>95</v>
      </c>
      <c r="L126" s="58">
        <v>96.9</v>
      </c>
      <c r="M126" s="58">
        <v>93.6</v>
      </c>
      <c r="N126" s="58">
        <v>98</v>
      </c>
      <c r="O126" s="58">
        <v>101</v>
      </c>
      <c r="P126" s="58">
        <v>34</v>
      </c>
      <c r="Q126" s="58">
        <v>94</v>
      </c>
      <c r="R126" s="58">
        <v>103</v>
      </c>
      <c r="S126" s="58">
        <v>89.8</v>
      </c>
      <c r="T126" s="58">
        <v>91.6</v>
      </c>
      <c r="U126" s="58">
        <v>91.5</v>
      </c>
      <c r="V126" s="58">
        <v>50</v>
      </c>
      <c r="W126" s="58">
        <v>70.5</v>
      </c>
      <c r="X126" s="58">
        <v>24.5</v>
      </c>
      <c r="Y126" s="58">
        <v>61.8</v>
      </c>
      <c r="Z126" s="58">
        <v>37.200000000000003</v>
      </c>
      <c r="AA126" s="58">
        <v>80.599999999999994</v>
      </c>
      <c r="AB126" s="58">
        <v>50.2</v>
      </c>
      <c r="AC126" s="58">
        <v>68.8</v>
      </c>
      <c r="AD126" s="58">
        <v>83.4</v>
      </c>
      <c r="AE126" s="58">
        <v>81.5</v>
      </c>
      <c r="AF126" s="58">
        <v>80.5</v>
      </c>
      <c r="AG126" s="55"/>
      <c r="AH126" s="12">
        <f>MAX(B126:AF126)</f>
        <v>103</v>
      </c>
      <c r="AI126" s="11">
        <f>MIN(B126:AF126)</f>
        <v>-2.7</v>
      </c>
    </row>
    <row r="127" spans="1:35" x14ac:dyDescent="0.25">
      <c r="A127" s="59" t="s">
        <v>135</v>
      </c>
      <c r="B127" s="58">
        <v>-105</v>
      </c>
      <c r="C127" s="58">
        <v>-100</v>
      </c>
      <c r="D127" s="58">
        <v>-80</v>
      </c>
      <c r="E127" s="58">
        <v>-86.2</v>
      </c>
      <c r="F127" s="58">
        <v>-82</v>
      </c>
      <c r="G127" s="58">
        <v>-88</v>
      </c>
      <c r="H127" s="58">
        <v>-77</v>
      </c>
      <c r="I127" s="58"/>
      <c r="J127" s="58">
        <v>25</v>
      </c>
      <c r="K127" s="58">
        <v>35</v>
      </c>
      <c r="L127" s="58">
        <v>38</v>
      </c>
      <c r="M127" s="58">
        <v>38.200000000000003</v>
      </c>
      <c r="N127" s="58">
        <v>40</v>
      </c>
      <c r="O127" s="58">
        <v>41</v>
      </c>
      <c r="P127" s="58">
        <v>34</v>
      </c>
      <c r="Q127" s="58">
        <v>77</v>
      </c>
      <c r="R127" s="58">
        <v>77</v>
      </c>
      <c r="S127" s="58">
        <f>77.5/2</f>
        <v>38.75</v>
      </c>
      <c r="T127" s="58">
        <f>77.4/2</f>
        <v>38.700000000000003</v>
      </c>
      <c r="U127" s="58">
        <v>38.6</v>
      </c>
      <c r="V127" s="58">
        <v>57.1</v>
      </c>
      <c r="W127" s="58">
        <v>53.4</v>
      </c>
      <c r="X127" s="58">
        <v>-30.8</v>
      </c>
      <c r="Y127" s="58">
        <v>-25.1</v>
      </c>
      <c r="Z127" s="58">
        <v>-7.8</v>
      </c>
      <c r="AA127" s="58">
        <v>-166.5</v>
      </c>
      <c r="AB127" s="58">
        <v>-130.1</v>
      </c>
      <c r="AC127" s="58">
        <v>-170</v>
      </c>
      <c r="AD127" s="58">
        <v>-169</v>
      </c>
      <c r="AE127" s="58">
        <v>-160</v>
      </c>
      <c r="AF127" s="58">
        <v>-145</v>
      </c>
      <c r="AG127" s="55"/>
      <c r="AH127" s="12">
        <f>MAX(B127:AF127)</f>
        <v>77</v>
      </c>
      <c r="AI127" s="11">
        <f>MIN(B127:AF127)</f>
        <v>-170</v>
      </c>
    </row>
    <row r="128" spans="1:35" x14ac:dyDescent="0.25">
      <c r="A128" s="57" t="s">
        <v>134</v>
      </c>
      <c r="B128" s="56">
        <v>-40</v>
      </c>
      <c r="C128" s="56">
        <v>-28</v>
      </c>
      <c r="D128" s="56">
        <v>-25</v>
      </c>
      <c r="E128" s="56">
        <v>-30.4</v>
      </c>
      <c r="F128" s="56">
        <v>-29</v>
      </c>
      <c r="G128" s="56">
        <v>-33</v>
      </c>
      <c r="H128" s="56">
        <v>-40.6</v>
      </c>
      <c r="I128" s="56"/>
      <c r="J128" s="56">
        <v>-49</v>
      </c>
      <c r="K128" s="56">
        <v>-55</v>
      </c>
      <c r="L128" s="56">
        <v>-55</v>
      </c>
      <c r="M128" s="56">
        <v>-54.1</v>
      </c>
      <c r="N128" s="56">
        <v>-47</v>
      </c>
      <c r="O128" s="56">
        <v>-42</v>
      </c>
      <c r="P128" s="56">
        <v>-29</v>
      </c>
      <c r="Q128" s="56">
        <v>-30</v>
      </c>
      <c r="R128" s="56">
        <v>-30</v>
      </c>
      <c r="S128" s="56">
        <v>-41</v>
      </c>
      <c r="T128" s="56">
        <v>-41</v>
      </c>
      <c r="U128" s="56">
        <v>-40.9</v>
      </c>
      <c r="V128" s="56">
        <v>-41.3</v>
      </c>
      <c r="W128" s="56">
        <v>-47.3</v>
      </c>
      <c r="X128" s="56">
        <v>-53</v>
      </c>
      <c r="Y128" s="56">
        <v>-65</v>
      </c>
      <c r="Z128" s="56">
        <v>-65.5</v>
      </c>
      <c r="AA128" s="56">
        <v>-55</v>
      </c>
      <c r="AB128" s="56">
        <v>-48.4</v>
      </c>
      <c r="AC128" s="56">
        <v>-44.3</v>
      </c>
      <c r="AD128" s="56">
        <v>-37</v>
      </c>
      <c r="AE128" s="56">
        <v>-27.5</v>
      </c>
      <c r="AF128" s="56">
        <v>-30</v>
      </c>
      <c r="AG128" s="55"/>
      <c r="AH128" s="12">
        <f>MAX(B128:AF128)</f>
        <v>-25</v>
      </c>
      <c r="AI128" s="11">
        <f>MIN(B128:AF128)</f>
        <v>-65.5</v>
      </c>
    </row>
    <row r="129" spans="1:37" x14ac:dyDescent="0.25">
      <c r="A129" s="57" t="s">
        <v>133</v>
      </c>
      <c r="B129" s="56">
        <v>70</v>
      </c>
      <c r="C129" s="56">
        <v>57</v>
      </c>
      <c r="D129" s="56">
        <v>50</v>
      </c>
      <c r="E129" s="56">
        <v>50</v>
      </c>
      <c r="F129" s="56">
        <v>46.3</v>
      </c>
      <c r="G129" s="56">
        <v>45</v>
      </c>
      <c r="H129" s="56">
        <v>48.7</v>
      </c>
      <c r="I129" s="56"/>
      <c r="J129" s="56">
        <v>55</v>
      </c>
      <c r="K129" s="56">
        <v>69</v>
      </c>
      <c r="L129" s="56">
        <v>77</v>
      </c>
      <c r="M129" s="56">
        <v>79.400000000000006</v>
      </c>
      <c r="N129" s="56">
        <v>66</v>
      </c>
      <c r="O129" s="56">
        <v>74</v>
      </c>
      <c r="P129" s="56">
        <v>74</v>
      </c>
      <c r="Q129" s="56">
        <v>72</v>
      </c>
      <c r="R129" s="56">
        <v>70</v>
      </c>
      <c r="S129" s="56">
        <v>70.599999999999994</v>
      </c>
      <c r="T129" s="56">
        <v>80.5</v>
      </c>
      <c r="U129" s="56">
        <v>69.5</v>
      </c>
      <c r="V129" s="56">
        <v>55.3</v>
      </c>
      <c r="W129" s="56">
        <v>51.7</v>
      </c>
      <c r="X129" s="56">
        <v>31.8</v>
      </c>
      <c r="Y129" s="56">
        <v>30.8</v>
      </c>
      <c r="Z129" s="56">
        <v>37.9</v>
      </c>
      <c r="AA129" s="56">
        <v>78.400000000000006</v>
      </c>
      <c r="AB129" s="56">
        <v>81.8</v>
      </c>
      <c r="AC129" s="56">
        <v>85.7</v>
      </c>
      <c r="AD129" s="56">
        <v>82.6</v>
      </c>
      <c r="AE129" s="56">
        <v>73</v>
      </c>
      <c r="AF129" s="56">
        <v>70.3</v>
      </c>
      <c r="AG129" s="55"/>
      <c r="AH129" s="12">
        <f>MAX(B129:AF129)</f>
        <v>85.7</v>
      </c>
      <c r="AI129" s="11">
        <f>MIN(B129:AF129)</f>
        <v>30.8</v>
      </c>
    </row>
    <row r="130" spans="1:37" ht="15.75" thickBot="1" x14ac:dyDescent="0.3">
      <c r="A130" s="57" t="s">
        <v>132</v>
      </c>
      <c r="B130" s="56">
        <v>81</v>
      </c>
      <c r="C130" s="56">
        <v>69</v>
      </c>
      <c r="D130" s="56">
        <v>62</v>
      </c>
      <c r="E130" s="56">
        <v>60.5</v>
      </c>
      <c r="F130" s="56">
        <v>56.6</v>
      </c>
      <c r="G130" s="56">
        <v>58</v>
      </c>
      <c r="H130" s="56">
        <v>59.5</v>
      </c>
      <c r="I130" s="56"/>
      <c r="J130" s="56">
        <v>60.8</v>
      </c>
      <c r="K130" s="56">
        <v>71</v>
      </c>
      <c r="L130" s="56">
        <v>78</v>
      </c>
      <c r="M130" s="56">
        <v>82</v>
      </c>
      <c r="N130" s="56">
        <v>80</v>
      </c>
      <c r="O130" s="56">
        <v>78</v>
      </c>
      <c r="P130" s="56">
        <v>74</v>
      </c>
      <c r="Q130" s="56">
        <v>74</v>
      </c>
      <c r="R130" s="56">
        <v>71</v>
      </c>
      <c r="S130" s="56">
        <v>67.5</v>
      </c>
      <c r="T130" s="56">
        <v>73.599999999999994</v>
      </c>
      <c r="U130" s="56">
        <v>74.599999999999994</v>
      </c>
      <c r="V130" s="56">
        <v>59.6</v>
      </c>
      <c r="W130" s="56">
        <v>52.6</v>
      </c>
      <c r="X130" s="56">
        <v>49.6</v>
      </c>
      <c r="Y130" s="56">
        <v>36.700000000000003</v>
      </c>
      <c r="Z130" s="56">
        <v>47.7</v>
      </c>
      <c r="AA130" s="56">
        <v>90.6</v>
      </c>
      <c r="AB130" s="56">
        <v>95.3</v>
      </c>
      <c r="AC130" s="56">
        <v>95</v>
      </c>
      <c r="AD130" s="56">
        <v>92.4</v>
      </c>
      <c r="AE130" s="56">
        <v>82.2</v>
      </c>
      <c r="AF130" s="56">
        <v>78.8</v>
      </c>
      <c r="AG130" s="55"/>
      <c r="AH130" s="12">
        <f>MAX(B130:AF130)</f>
        <v>95.3</v>
      </c>
      <c r="AI130" s="11">
        <f>MIN(B130:AF130)</f>
        <v>36.700000000000003</v>
      </c>
    </row>
    <row r="131" spans="1:37" x14ac:dyDescent="0.25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25">
      <c r="A132" s="47" t="s">
        <v>130</v>
      </c>
      <c r="B132" s="51">
        <v>1984.08</v>
      </c>
      <c r="C132" s="51">
        <v>1983.9</v>
      </c>
      <c r="D132" s="51">
        <v>1983.8</v>
      </c>
      <c r="E132" s="51">
        <v>1983.75</v>
      </c>
      <c r="F132" s="51">
        <v>1983.7</v>
      </c>
      <c r="G132" s="51">
        <v>1983.6</v>
      </c>
      <c r="H132" s="51"/>
      <c r="I132" s="51">
        <v>1983.45</v>
      </c>
      <c r="J132" s="51"/>
      <c r="K132" s="51">
        <v>1983.67</v>
      </c>
      <c r="L132" s="51"/>
      <c r="M132" s="51">
        <v>1984</v>
      </c>
      <c r="N132" s="51">
        <v>1984.3</v>
      </c>
      <c r="O132" s="51">
        <v>1984.6</v>
      </c>
      <c r="P132" s="51">
        <v>1984.95</v>
      </c>
      <c r="Q132" s="51">
        <v>1985.2</v>
      </c>
      <c r="R132" s="51">
        <v>1985.45</v>
      </c>
      <c r="S132" s="51">
        <v>1985.72</v>
      </c>
      <c r="T132" s="51">
        <v>1985.95</v>
      </c>
      <c r="U132" s="51">
        <v>1986.2</v>
      </c>
      <c r="V132" s="51"/>
      <c r="W132" s="51"/>
      <c r="X132" s="51">
        <v>1986.69</v>
      </c>
      <c r="Y132" s="51"/>
      <c r="Z132" s="51"/>
      <c r="AA132" s="51"/>
      <c r="AB132" s="51">
        <v>1985.97</v>
      </c>
      <c r="AC132" s="51"/>
      <c r="AD132" s="51">
        <v>1985.39</v>
      </c>
      <c r="AE132" s="51">
        <v>1984.7</v>
      </c>
      <c r="AF132" s="50">
        <v>1984.15</v>
      </c>
      <c r="AG132" s="44"/>
      <c r="AH132" s="12"/>
      <c r="AI132" s="11"/>
    </row>
    <row r="133" spans="1:37" x14ac:dyDescent="0.25">
      <c r="A133" s="47" t="s">
        <v>129</v>
      </c>
      <c r="B133" s="49">
        <v>520.34</v>
      </c>
      <c r="C133" s="49"/>
      <c r="D133" s="49">
        <v>520.02</v>
      </c>
      <c r="E133" s="49">
        <v>519.88</v>
      </c>
      <c r="F133" s="49">
        <v>519.85</v>
      </c>
      <c r="G133" s="49">
        <v>519.92999999999995</v>
      </c>
      <c r="H133" s="49"/>
      <c r="I133" s="49">
        <v>520</v>
      </c>
      <c r="J133" s="49"/>
      <c r="K133" s="49">
        <v>520.11</v>
      </c>
      <c r="L133" s="49"/>
      <c r="M133" s="49">
        <v>520.35</v>
      </c>
      <c r="N133" s="49">
        <v>520.55999999999995</v>
      </c>
      <c r="O133" s="49">
        <v>520.74</v>
      </c>
      <c r="P133" s="49">
        <v>520.85</v>
      </c>
      <c r="Q133" s="49">
        <v>520.78</v>
      </c>
      <c r="R133" s="49">
        <v>520.70000000000005</v>
      </c>
      <c r="S133" s="49">
        <v>520.61</v>
      </c>
      <c r="T133" s="49">
        <v>520.52</v>
      </c>
      <c r="U133" s="49">
        <v>520.45000000000005</v>
      </c>
      <c r="V133" s="49"/>
      <c r="W133" s="49"/>
      <c r="X133" s="49">
        <v>520.76</v>
      </c>
      <c r="Y133" s="49"/>
      <c r="Z133" s="49"/>
      <c r="AA133" s="49"/>
      <c r="AB133" s="49">
        <v>520.48</v>
      </c>
      <c r="AC133" s="49"/>
      <c r="AD133" s="49">
        <v>520.51</v>
      </c>
      <c r="AE133" s="49">
        <v>520.66</v>
      </c>
      <c r="AF133" s="48">
        <v>520.78</v>
      </c>
      <c r="AG133" s="44"/>
      <c r="AH133" s="12"/>
      <c r="AI133" s="11"/>
    </row>
    <row r="134" spans="1:37" x14ac:dyDescent="0.25">
      <c r="A134" s="47" t="s">
        <v>128</v>
      </c>
      <c r="B134" s="49">
        <v>623.55999999999995</v>
      </c>
      <c r="C134" s="49">
        <v>623.49</v>
      </c>
      <c r="D134" s="49">
        <v>623.47</v>
      </c>
      <c r="E134" s="49">
        <v>623.4</v>
      </c>
      <c r="F134" s="49">
        <v>623.5</v>
      </c>
      <c r="G134" s="49">
        <v>623.57000000000005</v>
      </c>
      <c r="H134" s="49"/>
      <c r="I134" s="49">
        <v>623.55999999999995</v>
      </c>
      <c r="J134" s="49"/>
      <c r="K134" s="49">
        <v>623.54</v>
      </c>
      <c r="L134" s="49">
        <v>623.54999999999995</v>
      </c>
      <c r="M134" s="49">
        <v>623.57000000000005</v>
      </c>
      <c r="N134" s="49">
        <v>623.57000000000005</v>
      </c>
      <c r="O134" s="49">
        <v>623.64</v>
      </c>
      <c r="P134" s="49">
        <v>623.5</v>
      </c>
      <c r="Q134" s="49">
        <v>623.41</v>
      </c>
      <c r="R134" s="49">
        <v>623.42999999999995</v>
      </c>
      <c r="S134" s="49">
        <v>623.66999999999996</v>
      </c>
      <c r="T134" s="49">
        <v>623.83000000000004</v>
      </c>
      <c r="U134" s="49">
        <v>624.05999999999995</v>
      </c>
      <c r="V134" s="49"/>
      <c r="W134" s="49"/>
      <c r="X134" s="49">
        <v>624.74</v>
      </c>
      <c r="Y134" s="49"/>
      <c r="Z134" s="49"/>
      <c r="AA134" s="49"/>
      <c r="AB134" s="49">
        <v>624.27</v>
      </c>
      <c r="AC134" s="49"/>
      <c r="AD134" s="49">
        <v>624.04</v>
      </c>
      <c r="AE134" s="49">
        <v>623.75</v>
      </c>
      <c r="AF134" s="48">
        <v>623.79</v>
      </c>
      <c r="AG134" s="44"/>
      <c r="AH134" s="12"/>
      <c r="AI134" s="11"/>
    </row>
    <row r="135" spans="1:37" x14ac:dyDescent="0.25">
      <c r="A135" s="47" t="s">
        <v>127</v>
      </c>
      <c r="B135" s="49">
        <v>335.93</v>
      </c>
      <c r="C135" s="49"/>
      <c r="D135" s="49">
        <v>336.12</v>
      </c>
      <c r="E135" s="49">
        <v>336.12</v>
      </c>
      <c r="F135" s="49">
        <v>336.12</v>
      </c>
      <c r="G135" s="49">
        <v>336.1</v>
      </c>
      <c r="H135" s="49"/>
      <c r="I135" s="49">
        <v>336.05</v>
      </c>
      <c r="J135" s="49"/>
      <c r="K135" s="49">
        <v>335.93</v>
      </c>
      <c r="L135" s="49"/>
      <c r="M135" s="49">
        <v>335.96</v>
      </c>
      <c r="N135" s="49">
        <v>336.06</v>
      </c>
      <c r="O135" s="49">
        <v>336.22</v>
      </c>
      <c r="P135" s="49">
        <v>336.39</v>
      </c>
      <c r="Q135" s="49">
        <v>336.22</v>
      </c>
      <c r="R135" s="49">
        <v>336.67</v>
      </c>
      <c r="S135" s="49">
        <v>336.76</v>
      </c>
      <c r="T135" s="49">
        <v>336.77</v>
      </c>
      <c r="U135" s="49">
        <v>336.8</v>
      </c>
      <c r="V135" s="49"/>
      <c r="W135" s="49"/>
      <c r="X135" s="49">
        <v>337.07</v>
      </c>
      <c r="Y135" s="49"/>
      <c r="Z135" s="49"/>
      <c r="AA135" s="49"/>
      <c r="AB135" s="49">
        <v>337.02</v>
      </c>
      <c r="AC135" s="49"/>
      <c r="AD135" s="49">
        <v>336.65</v>
      </c>
      <c r="AE135" s="49">
        <v>336.27</v>
      </c>
      <c r="AF135" s="48">
        <v>335.88</v>
      </c>
      <c r="AG135" s="44"/>
      <c r="AH135" s="12"/>
      <c r="AI135" s="11"/>
    </row>
    <row r="136" spans="1:37" x14ac:dyDescent="0.25">
      <c r="A136" s="47" t="s">
        <v>126</v>
      </c>
      <c r="B136" s="49"/>
      <c r="C136" s="49"/>
      <c r="D136" s="49">
        <v>884</v>
      </c>
      <c r="E136" s="49">
        <v>885</v>
      </c>
      <c r="F136" s="49"/>
      <c r="G136" s="49">
        <v>886.6</v>
      </c>
      <c r="H136" s="49"/>
      <c r="I136" s="49">
        <v>887</v>
      </c>
      <c r="J136" s="49"/>
      <c r="K136" s="49">
        <v>887</v>
      </c>
      <c r="L136" s="49"/>
      <c r="M136" s="49">
        <v>886.9</v>
      </c>
      <c r="N136" s="49">
        <v>887.2</v>
      </c>
      <c r="O136" s="49">
        <v>887.5</v>
      </c>
      <c r="P136" s="49">
        <v>887.1</v>
      </c>
      <c r="Q136" s="49">
        <v>886.9</v>
      </c>
      <c r="R136" s="49">
        <v>886.3</v>
      </c>
      <c r="S136" s="49">
        <v>886.1</v>
      </c>
      <c r="T136" s="49">
        <v>886.3</v>
      </c>
      <c r="U136" s="49">
        <v>886.4</v>
      </c>
      <c r="V136" s="49"/>
      <c r="W136" s="49"/>
      <c r="X136" s="49">
        <v>886.5</v>
      </c>
      <c r="Y136" s="49"/>
      <c r="Z136" s="49"/>
      <c r="AA136" s="49"/>
      <c r="AB136" s="49">
        <v>885.1</v>
      </c>
      <c r="AC136" s="49"/>
      <c r="AD136" s="49">
        <v>884</v>
      </c>
      <c r="AE136" s="49">
        <v>883.1</v>
      </c>
      <c r="AF136" s="48">
        <v>882.9</v>
      </c>
      <c r="AG136" s="44"/>
      <c r="AH136" s="12"/>
      <c r="AI136" s="11"/>
    </row>
    <row r="137" spans="1:37" ht="15.75" thickBot="1" x14ac:dyDescent="0.3">
      <c r="A137" s="47" t="s">
        <v>125</v>
      </c>
      <c r="B137" s="46">
        <v>1501.71</v>
      </c>
      <c r="C137" s="46"/>
      <c r="D137" s="46"/>
      <c r="E137" s="46"/>
      <c r="F137" s="46"/>
      <c r="G137" s="46"/>
      <c r="H137" s="46"/>
      <c r="I137" s="46"/>
      <c r="J137" s="46"/>
      <c r="K137" s="46">
        <v>1501.46</v>
      </c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>
        <v>1501.12</v>
      </c>
      <c r="AC137" s="46"/>
      <c r="AD137" s="46"/>
      <c r="AE137" s="46"/>
      <c r="AF137" s="45"/>
      <c r="AG137" s="44"/>
      <c r="AH137" s="12"/>
      <c r="AI137" s="11"/>
    </row>
    <row r="138" spans="1:37" ht="15.75" thickBot="1" x14ac:dyDescent="0.3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25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>
        <f t="shared" ref="Q139:S139" si="158">Q132-P132</f>
        <v>0.25</v>
      </c>
      <c r="R139" s="38">
        <f t="shared" si="158"/>
        <v>0.25</v>
      </c>
      <c r="S139" s="38">
        <f t="shared" si="158"/>
        <v>0.26999999999998181</v>
      </c>
      <c r="T139" s="38">
        <f>T132-S132</f>
        <v>0.23000000000001819</v>
      </c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25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25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25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25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25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25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25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25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25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25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>
        <f>800/5</f>
        <v>160</v>
      </c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25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25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25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25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25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25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25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25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25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25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25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25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25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25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25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25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25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25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25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25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25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25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25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25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25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25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25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25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25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25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25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25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25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25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25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25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25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25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25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25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25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25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25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25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25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25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25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25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25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25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25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25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25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25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25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25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25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25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25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25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25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25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25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25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25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25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25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25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25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25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25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25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25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25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25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25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25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25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25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25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25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25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25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25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25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25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25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25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25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25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25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25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25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.75" thickBot="1" x14ac:dyDescent="0.3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.75" thickBot="1" x14ac:dyDescent="0.3">
      <c r="A244" s="31" t="s">
        <v>17</v>
      </c>
      <c r="B244" s="30">
        <f t="shared" ref="B244:AG244" si="159">SUM(B139:B243)</f>
        <v>0</v>
      </c>
      <c r="C244" s="14">
        <f t="shared" si="159"/>
        <v>0</v>
      </c>
      <c r="D244" s="14">
        <f t="shared" si="159"/>
        <v>0</v>
      </c>
      <c r="E244" s="14">
        <f t="shared" si="159"/>
        <v>0</v>
      </c>
      <c r="F244" s="14">
        <f t="shared" si="159"/>
        <v>0</v>
      </c>
      <c r="G244" s="14">
        <f t="shared" si="159"/>
        <v>0</v>
      </c>
      <c r="H244" s="14">
        <f t="shared" si="159"/>
        <v>0</v>
      </c>
      <c r="I244" s="14">
        <f t="shared" si="159"/>
        <v>0</v>
      </c>
      <c r="J244" s="14">
        <f t="shared" si="159"/>
        <v>0</v>
      </c>
      <c r="K244" s="14">
        <f t="shared" si="159"/>
        <v>0</v>
      </c>
      <c r="L244" s="14">
        <f t="shared" si="159"/>
        <v>0</v>
      </c>
      <c r="M244" s="14">
        <f t="shared" si="159"/>
        <v>0</v>
      </c>
      <c r="N244" s="14">
        <f t="shared" si="159"/>
        <v>0</v>
      </c>
      <c r="O244" s="14">
        <f t="shared" si="159"/>
        <v>0</v>
      </c>
      <c r="P244" s="14">
        <f t="shared" si="159"/>
        <v>0</v>
      </c>
      <c r="Q244" s="14">
        <f t="shared" si="159"/>
        <v>0.25</v>
      </c>
      <c r="R244" s="14">
        <f t="shared" si="159"/>
        <v>0.25</v>
      </c>
      <c r="S244" s="14">
        <f t="shared" si="159"/>
        <v>0.26999999999998181</v>
      </c>
      <c r="T244" s="14">
        <f t="shared" si="159"/>
        <v>0.23000000000001819</v>
      </c>
      <c r="U244" s="14">
        <f t="shared" si="159"/>
        <v>0</v>
      </c>
      <c r="V244" s="14">
        <f t="shared" si="159"/>
        <v>0</v>
      </c>
      <c r="W244" s="14">
        <f t="shared" si="159"/>
        <v>0</v>
      </c>
      <c r="X244" s="14">
        <f t="shared" si="159"/>
        <v>160</v>
      </c>
      <c r="Y244" s="14">
        <f t="shared" si="159"/>
        <v>0</v>
      </c>
      <c r="Z244" s="14">
        <f t="shared" si="159"/>
        <v>0</v>
      </c>
      <c r="AA244" s="14">
        <f t="shared" si="159"/>
        <v>0</v>
      </c>
      <c r="AB244" s="14">
        <f t="shared" si="159"/>
        <v>0</v>
      </c>
      <c r="AC244" s="14">
        <f t="shared" si="159"/>
        <v>0</v>
      </c>
      <c r="AD244" s="14">
        <f t="shared" si="159"/>
        <v>0</v>
      </c>
      <c r="AE244" s="14">
        <f t="shared" si="159"/>
        <v>0</v>
      </c>
      <c r="AF244" s="29">
        <f t="shared" si="159"/>
        <v>0</v>
      </c>
      <c r="AG244" s="28">
        <f t="shared" si="159"/>
        <v>412.72299999999984</v>
      </c>
      <c r="AH244" s="12"/>
      <c r="AI244" s="11"/>
      <c r="AK244" s="19"/>
    </row>
    <row r="245" spans="1:37" ht="15.75" thickBot="1" x14ac:dyDescent="0.3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25">
      <c r="A246" s="25" t="s">
        <v>16</v>
      </c>
      <c r="B246" s="24">
        <f t="shared" ref="B246:B251" si="160">AF246</f>
        <v>0.3</v>
      </c>
      <c r="C246" s="24">
        <v>0.3</v>
      </c>
      <c r="D246" s="24">
        <f t="shared" ref="D246:AF251" si="161">C246</f>
        <v>0.3</v>
      </c>
      <c r="E246" s="24">
        <f t="shared" si="161"/>
        <v>0.3</v>
      </c>
      <c r="F246" s="24">
        <f t="shared" si="161"/>
        <v>0.3</v>
      </c>
      <c r="G246" s="24">
        <f t="shared" si="161"/>
        <v>0.3</v>
      </c>
      <c r="H246" s="24">
        <f t="shared" si="161"/>
        <v>0.3</v>
      </c>
      <c r="I246" s="24">
        <f t="shared" si="161"/>
        <v>0.3</v>
      </c>
      <c r="J246" s="24">
        <f t="shared" si="161"/>
        <v>0.3</v>
      </c>
      <c r="K246" s="24">
        <f t="shared" si="161"/>
        <v>0.3</v>
      </c>
      <c r="L246" s="24">
        <f t="shared" si="161"/>
        <v>0.3</v>
      </c>
      <c r="M246" s="24">
        <f t="shared" si="161"/>
        <v>0.3</v>
      </c>
      <c r="N246" s="24">
        <f t="shared" si="161"/>
        <v>0.3</v>
      </c>
      <c r="O246" s="24">
        <f t="shared" si="161"/>
        <v>0.3</v>
      </c>
      <c r="P246" s="24">
        <f t="shared" si="161"/>
        <v>0.3</v>
      </c>
      <c r="Q246" s="24">
        <f t="shared" si="161"/>
        <v>0.3</v>
      </c>
      <c r="R246" s="24">
        <f t="shared" si="161"/>
        <v>0.3</v>
      </c>
      <c r="S246" s="24">
        <f t="shared" si="161"/>
        <v>0.3</v>
      </c>
      <c r="T246" s="24">
        <f t="shared" si="161"/>
        <v>0.3</v>
      </c>
      <c r="U246" s="24">
        <f t="shared" si="161"/>
        <v>0.3</v>
      </c>
      <c r="V246" s="24">
        <f t="shared" si="161"/>
        <v>0.3</v>
      </c>
      <c r="W246" s="24">
        <f t="shared" si="161"/>
        <v>0.3</v>
      </c>
      <c r="X246" s="24">
        <f t="shared" si="161"/>
        <v>0.3</v>
      </c>
      <c r="Y246" s="24">
        <f t="shared" si="161"/>
        <v>0.3</v>
      </c>
      <c r="Z246" s="24">
        <f t="shared" si="161"/>
        <v>0.3</v>
      </c>
      <c r="AA246" s="24">
        <f t="shared" si="161"/>
        <v>0.3</v>
      </c>
      <c r="AB246" s="24">
        <f t="shared" si="161"/>
        <v>0.3</v>
      </c>
      <c r="AC246" s="24">
        <f t="shared" si="161"/>
        <v>0.3</v>
      </c>
      <c r="AD246" s="24">
        <f t="shared" si="161"/>
        <v>0.3</v>
      </c>
      <c r="AE246" s="24">
        <f t="shared" si="161"/>
        <v>0.3</v>
      </c>
      <c r="AF246" s="24">
        <f t="shared" si="161"/>
        <v>0.3</v>
      </c>
      <c r="AG246" s="23">
        <v>2.4</v>
      </c>
      <c r="AH246" s="12"/>
      <c r="AI246" s="11"/>
      <c r="AK246" s="19"/>
    </row>
    <row r="247" spans="1:37" x14ac:dyDescent="0.25">
      <c r="A247" s="22" t="s">
        <v>15</v>
      </c>
      <c r="B247" s="21">
        <f t="shared" si="160"/>
        <v>0.4</v>
      </c>
      <c r="C247" s="21">
        <v>0.4</v>
      </c>
      <c r="D247" s="21">
        <f t="shared" si="161"/>
        <v>0.4</v>
      </c>
      <c r="E247" s="21">
        <f t="shared" si="161"/>
        <v>0.4</v>
      </c>
      <c r="F247" s="21">
        <f t="shared" si="161"/>
        <v>0.4</v>
      </c>
      <c r="G247" s="21">
        <f t="shared" si="161"/>
        <v>0.4</v>
      </c>
      <c r="H247" s="21">
        <f t="shared" si="161"/>
        <v>0.4</v>
      </c>
      <c r="I247" s="21">
        <f t="shared" si="161"/>
        <v>0.4</v>
      </c>
      <c r="J247" s="21">
        <f t="shared" si="161"/>
        <v>0.4</v>
      </c>
      <c r="K247" s="21">
        <f t="shared" si="161"/>
        <v>0.4</v>
      </c>
      <c r="L247" s="21">
        <f t="shared" si="161"/>
        <v>0.4</v>
      </c>
      <c r="M247" s="21">
        <f t="shared" si="161"/>
        <v>0.4</v>
      </c>
      <c r="N247" s="21">
        <f t="shared" si="161"/>
        <v>0.4</v>
      </c>
      <c r="O247" s="21">
        <f t="shared" si="161"/>
        <v>0.4</v>
      </c>
      <c r="P247" s="21">
        <f t="shared" si="161"/>
        <v>0.4</v>
      </c>
      <c r="Q247" s="21">
        <f t="shared" si="161"/>
        <v>0.4</v>
      </c>
      <c r="R247" s="21">
        <f t="shared" si="161"/>
        <v>0.4</v>
      </c>
      <c r="S247" s="21">
        <f t="shared" si="161"/>
        <v>0.4</v>
      </c>
      <c r="T247" s="21">
        <f t="shared" si="161"/>
        <v>0.4</v>
      </c>
      <c r="U247" s="21">
        <f t="shared" si="161"/>
        <v>0.4</v>
      </c>
      <c r="V247" s="21">
        <f t="shared" si="161"/>
        <v>0.4</v>
      </c>
      <c r="W247" s="21">
        <f t="shared" si="161"/>
        <v>0.4</v>
      </c>
      <c r="X247" s="21">
        <f t="shared" si="161"/>
        <v>0.4</v>
      </c>
      <c r="Y247" s="21">
        <f t="shared" si="161"/>
        <v>0.4</v>
      </c>
      <c r="Z247" s="21">
        <f t="shared" si="161"/>
        <v>0.4</v>
      </c>
      <c r="AA247" s="21">
        <f t="shared" si="161"/>
        <v>0.4</v>
      </c>
      <c r="AB247" s="21">
        <f t="shared" si="161"/>
        <v>0.4</v>
      </c>
      <c r="AC247" s="21">
        <f t="shared" si="161"/>
        <v>0.4</v>
      </c>
      <c r="AD247" s="21">
        <f t="shared" si="161"/>
        <v>0.4</v>
      </c>
      <c r="AE247" s="21">
        <f t="shared" si="161"/>
        <v>0.4</v>
      </c>
      <c r="AF247" s="21">
        <f t="shared" si="161"/>
        <v>0.4</v>
      </c>
      <c r="AG247" s="20">
        <v>2</v>
      </c>
      <c r="AH247" s="12"/>
      <c r="AI247" s="11"/>
      <c r="AK247" s="19"/>
    </row>
    <row r="248" spans="1:37" x14ac:dyDescent="0.25">
      <c r="A248" s="22" t="s">
        <v>14</v>
      </c>
      <c r="B248" s="21">
        <f t="shared" si="160"/>
        <v>1.5</v>
      </c>
      <c r="C248" s="21">
        <v>1.5</v>
      </c>
      <c r="D248" s="21">
        <f t="shared" si="161"/>
        <v>1.5</v>
      </c>
      <c r="E248" s="21">
        <f t="shared" si="161"/>
        <v>1.5</v>
      </c>
      <c r="F248" s="21">
        <f t="shared" si="161"/>
        <v>1.5</v>
      </c>
      <c r="G248" s="21">
        <f t="shared" si="161"/>
        <v>1.5</v>
      </c>
      <c r="H248" s="21">
        <f t="shared" si="161"/>
        <v>1.5</v>
      </c>
      <c r="I248" s="21">
        <f t="shared" si="161"/>
        <v>1.5</v>
      </c>
      <c r="J248" s="21">
        <f t="shared" si="161"/>
        <v>1.5</v>
      </c>
      <c r="K248" s="21">
        <f t="shared" si="161"/>
        <v>1.5</v>
      </c>
      <c r="L248" s="21">
        <f t="shared" si="161"/>
        <v>1.5</v>
      </c>
      <c r="M248" s="21">
        <f t="shared" si="161"/>
        <v>1.5</v>
      </c>
      <c r="N248" s="21">
        <f t="shared" si="161"/>
        <v>1.5</v>
      </c>
      <c r="O248" s="21">
        <f t="shared" si="161"/>
        <v>1.5</v>
      </c>
      <c r="P248" s="21">
        <f t="shared" si="161"/>
        <v>1.5</v>
      </c>
      <c r="Q248" s="21">
        <f t="shared" si="161"/>
        <v>1.5</v>
      </c>
      <c r="R248" s="21">
        <f t="shared" si="161"/>
        <v>1.5</v>
      </c>
      <c r="S248" s="21">
        <f t="shared" si="161"/>
        <v>1.5</v>
      </c>
      <c r="T248" s="21">
        <f t="shared" si="161"/>
        <v>1.5</v>
      </c>
      <c r="U248" s="21">
        <f t="shared" si="161"/>
        <v>1.5</v>
      </c>
      <c r="V248" s="21">
        <f t="shared" si="161"/>
        <v>1.5</v>
      </c>
      <c r="W248" s="21">
        <f t="shared" si="161"/>
        <v>1.5</v>
      </c>
      <c r="X248" s="21">
        <f t="shared" si="161"/>
        <v>1.5</v>
      </c>
      <c r="Y248" s="21">
        <f t="shared" si="161"/>
        <v>1.5</v>
      </c>
      <c r="Z248" s="21">
        <f t="shared" si="161"/>
        <v>1.5</v>
      </c>
      <c r="AA248" s="21">
        <f t="shared" si="161"/>
        <v>1.5</v>
      </c>
      <c r="AB248" s="21">
        <f t="shared" si="161"/>
        <v>1.5</v>
      </c>
      <c r="AC248" s="21">
        <f t="shared" si="161"/>
        <v>1.5</v>
      </c>
      <c r="AD248" s="21">
        <f t="shared" si="161"/>
        <v>1.5</v>
      </c>
      <c r="AE248" s="21">
        <f t="shared" si="161"/>
        <v>1.5</v>
      </c>
      <c r="AF248" s="21">
        <f t="shared" si="161"/>
        <v>1.5</v>
      </c>
      <c r="AG248" s="20">
        <v>1.5</v>
      </c>
      <c r="AH248" s="12"/>
      <c r="AI248" s="11"/>
      <c r="AK248" s="19"/>
    </row>
    <row r="249" spans="1:37" x14ac:dyDescent="0.25">
      <c r="A249" s="22" t="s">
        <v>13</v>
      </c>
      <c r="B249" s="21">
        <f t="shared" si="160"/>
        <v>0.3</v>
      </c>
      <c r="C249" s="21">
        <v>0.3</v>
      </c>
      <c r="D249" s="21">
        <f t="shared" si="161"/>
        <v>0.3</v>
      </c>
      <c r="E249" s="21">
        <f t="shared" si="161"/>
        <v>0.3</v>
      </c>
      <c r="F249" s="21">
        <f t="shared" si="161"/>
        <v>0.3</v>
      </c>
      <c r="G249" s="21">
        <f t="shared" si="161"/>
        <v>0.3</v>
      </c>
      <c r="H249" s="21">
        <f t="shared" si="161"/>
        <v>0.3</v>
      </c>
      <c r="I249" s="21">
        <f t="shared" si="161"/>
        <v>0.3</v>
      </c>
      <c r="J249" s="21">
        <f t="shared" si="161"/>
        <v>0.3</v>
      </c>
      <c r="K249" s="21">
        <f t="shared" si="161"/>
        <v>0.3</v>
      </c>
      <c r="L249" s="21">
        <f t="shared" si="161"/>
        <v>0.3</v>
      </c>
      <c r="M249" s="21">
        <f t="shared" si="161"/>
        <v>0.3</v>
      </c>
      <c r="N249" s="21">
        <f t="shared" si="161"/>
        <v>0.3</v>
      </c>
      <c r="O249" s="21">
        <f t="shared" si="161"/>
        <v>0.3</v>
      </c>
      <c r="P249" s="21">
        <f t="shared" si="161"/>
        <v>0.3</v>
      </c>
      <c r="Q249" s="21">
        <f t="shared" si="161"/>
        <v>0.3</v>
      </c>
      <c r="R249" s="21">
        <f t="shared" si="161"/>
        <v>0.3</v>
      </c>
      <c r="S249" s="21">
        <f t="shared" si="161"/>
        <v>0.3</v>
      </c>
      <c r="T249" s="21">
        <f t="shared" si="161"/>
        <v>0.3</v>
      </c>
      <c r="U249" s="21">
        <f t="shared" si="161"/>
        <v>0.3</v>
      </c>
      <c r="V249" s="21">
        <f t="shared" si="161"/>
        <v>0.3</v>
      </c>
      <c r="W249" s="21">
        <f t="shared" si="161"/>
        <v>0.3</v>
      </c>
      <c r="X249" s="21">
        <f t="shared" si="161"/>
        <v>0.3</v>
      </c>
      <c r="Y249" s="21">
        <f t="shared" si="161"/>
        <v>0.3</v>
      </c>
      <c r="Z249" s="21">
        <f t="shared" si="161"/>
        <v>0.3</v>
      </c>
      <c r="AA249" s="21">
        <f t="shared" si="161"/>
        <v>0.3</v>
      </c>
      <c r="AB249" s="21">
        <f t="shared" si="161"/>
        <v>0.3</v>
      </c>
      <c r="AC249" s="21">
        <f t="shared" si="161"/>
        <v>0.3</v>
      </c>
      <c r="AD249" s="21">
        <f t="shared" si="161"/>
        <v>0.3</v>
      </c>
      <c r="AE249" s="21">
        <f t="shared" si="161"/>
        <v>0.3</v>
      </c>
      <c r="AF249" s="21">
        <f t="shared" si="161"/>
        <v>0.3</v>
      </c>
      <c r="AG249" s="20">
        <v>1</v>
      </c>
      <c r="AH249" s="12"/>
      <c r="AI249" s="11"/>
      <c r="AK249" s="19"/>
    </row>
    <row r="250" spans="1:37" x14ac:dyDescent="0.25">
      <c r="A250" s="22" t="s">
        <v>12</v>
      </c>
      <c r="B250" s="21">
        <f t="shared" si="160"/>
        <v>0.4</v>
      </c>
      <c r="C250" s="21">
        <v>0.4</v>
      </c>
      <c r="D250" s="21">
        <f t="shared" si="161"/>
        <v>0.4</v>
      </c>
      <c r="E250" s="21">
        <f t="shared" si="161"/>
        <v>0.4</v>
      </c>
      <c r="F250" s="21">
        <f t="shared" si="161"/>
        <v>0.4</v>
      </c>
      <c r="G250" s="21">
        <f t="shared" si="161"/>
        <v>0.4</v>
      </c>
      <c r="H250" s="21">
        <f t="shared" si="161"/>
        <v>0.4</v>
      </c>
      <c r="I250" s="21">
        <f t="shared" si="161"/>
        <v>0.4</v>
      </c>
      <c r="J250" s="21">
        <f t="shared" si="161"/>
        <v>0.4</v>
      </c>
      <c r="K250" s="21">
        <f t="shared" si="161"/>
        <v>0.4</v>
      </c>
      <c r="L250" s="21">
        <f t="shared" si="161"/>
        <v>0.4</v>
      </c>
      <c r="M250" s="21">
        <f t="shared" si="161"/>
        <v>0.4</v>
      </c>
      <c r="N250" s="21">
        <f t="shared" si="161"/>
        <v>0.4</v>
      </c>
      <c r="O250" s="21">
        <f t="shared" si="161"/>
        <v>0.4</v>
      </c>
      <c r="P250" s="21">
        <f t="shared" si="161"/>
        <v>0.4</v>
      </c>
      <c r="Q250" s="21">
        <f t="shared" si="161"/>
        <v>0.4</v>
      </c>
      <c r="R250" s="21">
        <f t="shared" si="161"/>
        <v>0.4</v>
      </c>
      <c r="S250" s="21">
        <f t="shared" si="161"/>
        <v>0.4</v>
      </c>
      <c r="T250" s="21">
        <f t="shared" si="161"/>
        <v>0.4</v>
      </c>
      <c r="U250" s="21">
        <f t="shared" si="161"/>
        <v>0.4</v>
      </c>
      <c r="V250" s="21">
        <f t="shared" si="161"/>
        <v>0.4</v>
      </c>
      <c r="W250" s="21">
        <f t="shared" si="161"/>
        <v>0.4</v>
      </c>
      <c r="X250" s="21">
        <f t="shared" si="161"/>
        <v>0.4</v>
      </c>
      <c r="Y250" s="21">
        <f t="shared" si="161"/>
        <v>0.4</v>
      </c>
      <c r="Z250" s="21">
        <f t="shared" si="161"/>
        <v>0.4</v>
      </c>
      <c r="AA250" s="21">
        <f t="shared" si="161"/>
        <v>0.4</v>
      </c>
      <c r="AB250" s="21">
        <f t="shared" si="161"/>
        <v>0.4</v>
      </c>
      <c r="AC250" s="21">
        <f t="shared" si="161"/>
        <v>0.4</v>
      </c>
      <c r="AD250" s="21">
        <f t="shared" si="161"/>
        <v>0.4</v>
      </c>
      <c r="AE250" s="21">
        <f t="shared" si="161"/>
        <v>0.4</v>
      </c>
      <c r="AF250" s="21">
        <f t="shared" si="161"/>
        <v>0.4</v>
      </c>
      <c r="AG250" s="20">
        <v>1</v>
      </c>
      <c r="AH250" s="12"/>
      <c r="AI250" s="11"/>
      <c r="AK250" s="19"/>
    </row>
    <row r="251" spans="1:37" ht="15.75" thickBot="1" x14ac:dyDescent="0.3">
      <c r="A251" s="18" t="s">
        <v>11</v>
      </c>
      <c r="B251" s="17">
        <f t="shared" si="160"/>
        <v>0.64</v>
      </c>
      <c r="C251" s="17">
        <v>0.64</v>
      </c>
      <c r="D251" s="17">
        <f t="shared" si="161"/>
        <v>0.64</v>
      </c>
      <c r="E251" s="17">
        <f t="shared" si="161"/>
        <v>0.64</v>
      </c>
      <c r="F251" s="17">
        <f t="shared" si="161"/>
        <v>0.64</v>
      </c>
      <c r="G251" s="17">
        <f t="shared" si="161"/>
        <v>0.64</v>
      </c>
      <c r="H251" s="17">
        <f t="shared" si="161"/>
        <v>0.64</v>
      </c>
      <c r="I251" s="17">
        <f t="shared" si="161"/>
        <v>0.64</v>
      </c>
      <c r="J251" s="17">
        <f t="shared" si="161"/>
        <v>0.64</v>
      </c>
      <c r="K251" s="17">
        <f t="shared" si="161"/>
        <v>0.64</v>
      </c>
      <c r="L251" s="17">
        <f t="shared" si="161"/>
        <v>0.64</v>
      </c>
      <c r="M251" s="17">
        <f t="shared" si="161"/>
        <v>0.64</v>
      </c>
      <c r="N251" s="17">
        <f t="shared" si="161"/>
        <v>0.64</v>
      </c>
      <c r="O251" s="17">
        <f t="shared" si="161"/>
        <v>0.64</v>
      </c>
      <c r="P251" s="17">
        <f t="shared" si="161"/>
        <v>0.64</v>
      </c>
      <c r="Q251" s="17">
        <f t="shared" si="161"/>
        <v>0.64</v>
      </c>
      <c r="R251" s="17">
        <f t="shared" si="161"/>
        <v>0.64</v>
      </c>
      <c r="S251" s="17">
        <f t="shared" si="161"/>
        <v>0.64</v>
      </c>
      <c r="T251" s="17">
        <f t="shared" si="161"/>
        <v>0.64</v>
      </c>
      <c r="U251" s="17">
        <f t="shared" si="161"/>
        <v>0.64</v>
      </c>
      <c r="V251" s="17">
        <f t="shared" si="161"/>
        <v>0.64</v>
      </c>
      <c r="W251" s="17">
        <f t="shared" si="161"/>
        <v>0.64</v>
      </c>
      <c r="X251" s="17">
        <f t="shared" si="161"/>
        <v>0.64</v>
      </c>
      <c r="Y251" s="17">
        <f t="shared" si="161"/>
        <v>0.64</v>
      </c>
      <c r="Z251" s="17">
        <f t="shared" si="161"/>
        <v>0.64</v>
      </c>
      <c r="AA251" s="17">
        <f t="shared" si="161"/>
        <v>0.64</v>
      </c>
      <c r="AB251" s="17">
        <f t="shared" si="161"/>
        <v>0.64</v>
      </c>
      <c r="AC251" s="17">
        <f t="shared" si="161"/>
        <v>0.64</v>
      </c>
      <c r="AD251" s="17">
        <f t="shared" si="161"/>
        <v>0.64</v>
      </c>
      <c r="AE251" s="17">
        <f t="shared" si="161"/>
        <v>0.64</v>
      </c>
      <c r="AF251" s="17">
        <f t="shared" si="161"/>
        <v>0.64</v>
      </c>
      <c r="AG251" s="16">
        <v>0.66</v>
      </c>
      <c r="AH251" s="12"/>
      <c r="AI251" s="11"/>
    </row>
    <row r="252" spans="1:37" ht="15.75" thickBot="1" x14ac:dyDescent="0.3">
      <c r="A252" s="15" t="s">
        <v>10</v>
      </c>
      <c r="B252" s="14">
        <f t="shared" ref="B252:AG252" si="162">SUM(B246:B251)</f>
        <v>3.54</v>
      </c>
      <c r="C252" s="14">
        <f t="shared" si="162"/>
        <v>3.54</v>
      </c>
      <c r="D252" s="14">
        <f t="shared" si="162"/>
        <v>3.54</v>
      </c>
      <c r="E252" s="14">
        <f t="shared" si="162"/>
        <v>3.54</v>
      </c>
      <c r="F252" s="14">
        <f t="shared" si="162"/>
        <v>3.54</v>
      </c>
      <c r="G252" s="14">
        <f t="shared" si="162"/>
        <v>3.54</v>
      </c>
      <c r="H252" s="14">
        <f t="shared" si="162"/>
        <v>3.54</v>
      </c>
      <c r="I252" s="14">
        <f t="shared" si="162"/>
        <v>3.54</v>
      </c>
      <c r="J252" s="14">
        <f t="shared" si="162"/>
        <v>3.54</v>
      </c>
      <c r="K252" s="14">
        <f t="shared" si="162"/>
        <v>3.54</v>
      </c>
      <c r="L252" s="14">
        <f t="shared" si="162"/>
        <v>3.54</v>
      </c>
      <c r="M252" s="14">
        <f t="shared" si="162"/>
        <v>3.54</v>
      </c>
      <c r="N252" s="14">
        <f t="shared" si="162"/>
        <v>3.54</v>
      </c>
      <c r="O252" s="14">
        <f t="shared" si="162"/>
        <v>3.54</v>
      </c>
      <c r="P252" s="14">
        <f t="shared" si="162"/>
        <v>3.54</v>
      </c>
      <c r="Q252" s="14">
        <f t="shared" si="162"/>
        <v>3.54</v>
      </c>
      <c r="R252" s="14">
        <f t="shared" si="162"/>
        <v>3.54</v>
      </c>
      <c r="S252" s="14">
        <f t="shared" si="162"/>
        <v>3.54</v>
      </c>
      <c r="T252" s="14">
        <f t="shared" si="162"/>
        <v>3.54</v>
      </c>
      <c r="U252" s="14">
        <f t="shared" si="162"/>
        <v>3.54</v>
      </c>
      <c r="V252" s="14">
        <f t="shared" si="162"/>
        <v>3.54</v>
      </c>
      <c r="W252" s="14">
        <f t="shared" si="162"/>
        <v>3.54</v>
      </c>
      <c r="X252" s="14">
        <f t="shared" si="162"/>
        <v>3.54</v>
      </c>
      <c r="Y252" s="14">
        <f t="shared" si="162"/>
        <v>3.54</v>
      </c>
      <c r="Z252" s="14">
        <f t="shared" si="162"/>
        <v>3.54</v>
      </c>
      <c r="AA252" s="14">
        <f t="shared" si="162"/>
        <v>3.54</v>
      </c>
      <c r="AB252" s="14">
        <f t="shared" si="162"/>
        <v>3.54</v>
      </c>
      <c r="AC252" s="14">
        <f t="shared" si="162"/>
        <v>3.54</v>
      </c>
      <c r="AD252" s="14">
        <f t="shared" si="162"/>
        <v>3.54</v>
      </c>
      <c r="AE252" s="14">
        <f t="shared" si="162"/>
        <v>3.54</v>
      </c>
      <c r="AF252" s="14">
        <f t="shared" si="162"/>
        <v>3.54</v>
      </c>
      <c r="AG252" s="13">
        <f t="shared" si="162"/>
        <v>8.56</v>
      </c>
      <c r="AH252" s="12"/>
      <c r="AI252" s="11"/>
    </row>
    <row r="253" spans="1:37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25">
      <c r="A256" s="9" t="s">
        <v>9</v>
      </c>
      <c r="B256" s="8">
        <f>MAX(G99:N99)</f>
        <v>1728.17</v>
      </c>
      <c r="C256" s="7">
        <f>INDEX(G9:N9,1,MATCH(MAX(G99:N99),G99:N99,0))</f>
        <v>0.33333333333333331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25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2080/10/24)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25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25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25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25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25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25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25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25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25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25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25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25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25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25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1189" priority="89">
      <formula>$AH11=0</formula>
    </cfRule>
  </conditionalFormatting>
  <conditionalFormatting sqref="A132:A253">
    <cfRule type="expression" dxfId="1188" priority="90">
      <formula>$AH132=0</formula>
    </cfRule>
  </conditionalFormatting>
  <conditionalFormatting sqref="B8">
    <cfRule type="expression" dxfId="1187" priority="144">
      <formula>AND(C$9&gt;=14/24,C$9&lt;20/24)</formula>
    </cfRule>
    <cfRule type="expression" dxfId="1186" priority="147">
      <formula>C$9&gt;=20/24</formula>
    </cfRule>
    <cfRule type="expression" dxfId="1185" priority="146">
      <formula>C$9&lt;8/24</formula>
    </cfRule>
    <cfRule type="expression" dxfId="1184" priority="145">
      <formula>AND(C$9&gt;=8/24,C$9&lt;14/24)</formula>
    </cfRule>
  </conditionalFormatting>
  <conditionalFormatting sqref="B11:E52 M11:Y52 F12:L52 B59:D74 E67:L74 E69:AF74 B77:AF99 B9:AF10 B101:AF117 B119:AF137 B244:AF244 B246:B252">
    <cfRule type="expression" dxfId="1183" priority="41">
      <formula>B$9&gt;=20/24</formula>
    </cfRule>
  </conditionalFormatting>
  <conditionalFormatting sqref="B53:Y57">
    <cfRule type="expression" dxfId="1182" priority="53">
      <formula>B$9&lt;8/24</formula>
    </cfRule>
  </conditionalFormatting>
  <conditionalFormatting sqref="B9:AF10 B11:E52 M11:Y52 F12:L52 B59:D74 E67:L74 E69:AF74 B77:AF99 B101:AF117 B119:AF137 B244:AF244 B246:B252">
    <cfRule type="expression" dxfId="1181" priority="43">
      <formula>AND(B$9&gt;=8/24,B$9&lt;14/24)</formula>
    </cfRule>
    <cfRule type="expression" dxfId="1180" priority="42">
      <formula>AND(B$9&gt;=14/24,B$9&lt;20/24)</formula>
    </cfRule>
    <cfRule type="expression" dxfId="1179" priority="44">
      <formula>B$9&lt;8/24</formula>
    </cfRule>
  </conditionalFormatting>
  <conditionalFormatting sqref="D246:AF252">
    <cfRule type="expression" dxfId="1178" priority="130">
      <formula>AND(D$9&gt;=14/24,D$9&lt;20/24)</formula>
    </cfRule>
    <cfRule type="expression" dxfId="1177" priority="129">
      <formula>D$9&gt;=20/24</formula>
    </cfRule>
    <cfRule type="expression" dxfId="1176" priority="132">
      <formula>D$9&lt;8/24</formula>
    </cfRule>
    <cfRule type="expression" dxfId="1175" priority="131">
      <formula>AND(D$9&gt;=8/24,D$9&lt;14/24)</formula>
    </cfRule>
  </conditionalFormatting>
  <conditionalFormatting sqref="E11:E55 M11:Y55 B11:D80 F12:L55 E56:Y80 AB58:AF61 Z58:AA80 AB62:AG62 AB63:AF80 AG80">
    <cfRule type="expression" dxfId="1174" priority="40">
      <formula>B11&gt;$AG11</formula>
    </cfRule>
  </conditionalFormatting>
  <conditionalFormatting sqref="E63:I67 J64:J67 I66:L67">
    <cfRule type="expression" dxfId="1173" priority="57">
      <formula>E$9&lt;8/24</formula>
    </cfRule>
    <cfRule type="expression" dxfId="1172" priority="55">
      <formula>AND(E$9&gt;=14/24,E$9&lt;20/24)</formula>
    </cfRule>
    <cfRule type="expression" dxfId="1171" priority="54">
      <formula>E$9&gt;=20/24</formula>
    </cfRule>
    <cfRule type="expression" dxfId="1170" priority="56">
      <formula>AND(E$9&gt;=8/24,E$9&lt;14/24)</formula>
    </cfRule>
  </conditionalFormatting>
  <conditionalFormatting sqref="E11:L11 Z11:AF52">
    <cfRule type="expression" dxfId="1169" priority="62">
      <formula>E$9&lt;8/24</formula>
    </cfRule>
    <cfRule type="expression" dxfId="1168" priority="61">
      <formula>AND(E$9&gt;=8/24,E$9&lt;14/24)</formula>
    </cfRule>
    <cfRule type="expression" dxfId="1167" priority="60">
      <formula>AND(E$9&gt;=14/24,E$9&lt;20/24)</formula>
    </cfRule>
    <cfRule type="expression" dxfId="1166" priority="59">
      <formula>E$9&gt;=20/24</formula>
    </cfRule>
    <cfRule type="expression" dxfId="1165" priority="58">
      <formula>E11&gt;$AG11</formula>
    </cfRule>
  </conditionalFormatting>
  <conditionalFormatting sqref="E68:L68">
    <cfRule type="expression" dxfId="1164" priority="51">
      <formula>AND(E$9&gt;=8/24,E$9&lt;14/24)</formula>
    </cfRule>
    <cfRule type="expression" dxfId="1163" priority="52">
      <formula>E$9&lt;8/24</formula>
    </cfRule>
    <cfRule type="expression" dxfId="1162" priority="49">
      <formula>E$9&gt;=20/24</formula>
    </cfRule>
    <cfRule type="expression" dxfId="1161" priority="50">
      <formula>AND(E$9&gt;=14/24,E$9&lt;20/24)</formula>
    </cfRule>
  </conditionalFormatting>
  <conditionalFormatting sqref="E56:Y57">
    <cfRule type="expression" dxfId="1160" priority="47">
      <formula>AND(E$9&gt;=14/24,E$9&lt;20/24)</formula>
    </cfRule>
    <cfRule type="expression" dxfId="1159" priority="48">
      <formula>AND(E$9&gt;=8/24,E$9&lt;14/24)</formula>
    </cfRule>
    <cfRule type="expression" dxfId="1158" priority="46">
      <formula>E$9&gt;=20/24</formula>
    </cfRule>
  </conditionalFormatting>
  <conditionalFormatting sqref="E59:AF62">
    <cfRule type="expression" dxfId="1157" priority="70">
      <formula>E$9&lt;8/24</formula>
    </cfRule>
    <cfRule type="expression" dxfId="1156" priority="67">
      <formula>E$9&gt;=20/24</formula>
    </cfRule>
    <cfRule type="expression" dxfId="1155" priority="68">
      <formula>AND(E$9&gt;=14/24,E$9&lt;20/24)</formula>
    </cfRule>
    <cfRule type="expression" dxfId="1154" priority="69">
      <formula>AND(E$9&gt;=8/24,E$9&lt;14/24)</formula>
    </cfRule>
  </conditionalFormatting>
  <conditionalFormatting sqref="F63:L65">
    <cfRule type="expression" dxfId="1153" priority="81">
      <formula>F$9&gt;=20/24</formula>
    </cfRule>
    <cfRule type="expression" dxfId="1152" priority="83">
      <formula>AND(F$9&gt;=8/24,F$9&lt;14/24)</formula>
    </cfRule>
    <cfRule type="expression" dxfId="1151" priority="82">
      <formula>AND(F$9&gt;=14/24,F$9&lt;20/24)</formula>
    </cfRule>
    <cfRule type="expression" dxfId="1150" priority="84">
      <formula>F$9&lt;8/24</formula>
    </cfRule>
  </conditionalFormatting>
  <conditionalFormatting sqref="L68:Y68">
    <cfRule type="expression" dxfId="1149" priority="80">
      <formula>L$9&lt;8/24</formula>
    </cfRule>
    <cfRule type="expression" dxfId="1148" priority="77">
      <formula>L$9&gt;=20/24</formula>
    </cfRule>
    <cfRule type="expression" dxfId="1147" priority="78">
      <formula>AND(L$9&gt;=14/24,L$9&lt;20/24)</formula>
    </cfRule>
    <cfRule type="expression" dxfId="1146" priority="79">
      <formula>AND(L$9&gt;=8/24,L$9&lt;14/24)</formula>
    </cfRule>
  </conditionalFormatting>
  <conditionalFormatting sqref="M8 S8 AB8">
    <cfRule type="expression" dxfId="1145" priority="136">
      <formula>AND(N$9&gt;=14/24,N$9&lt;20/24)</formula>
    </cfRule>
    <cfRule type="expression" dxfId="1144" priority="137">
      <formula>AND(N$9&gt;=8/24,N$9&lt;14/24)</formula>
    </cfRule>
    <cfRule type="expression" dxfId="1143" priority="138">
      <formula>N$9&lt;8/24</formula>
    </cfRule>
  </conditionalFormatting>
  <conditionalFormatting sqref="M63:Y67">
    <cfRule type="expression" dxfId="1142" priority="85">
      <formula>M$9&gt;=20/24</formula>
    </cfRule>
    <cfRule type="expression" dxfId="1141" priority="88">
      <formula>M$9&lt;8/24</formula>
    </cfRule>
    <cfRule type="expression" dxfId="1140" priority="87">
      <formula>AND(M$9&gt;=8/24,M$9&lt;14/24)</formula>
    </cfRule>
    <cfRule type="expression" dxfId="1139" priority="86">
      <formula>AND(M$9&gt;=14/24,M$9&lt;20/24)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138" priority="135">
      <formula>N$9&gt;=20/24</formula>
    </cfRule>
  </conditionalFormatting>
  <conditionalFormatting sqref="S8">
    <cfRule type="expression" dxfId="1137" priority="122">
      <formula>U$9&gt;=20/24</formula>
    </cfRule>
    <cfRule type="expression" dxfId="1136" priority="123">
      <formula>AND(U$9&gt;=14/24,U$9&lt;20/24)</formula>
    </cfRule>
    <cfRule type="expression" dxfId="1135" priority="124">
      <formula>AND(U$9&gt;=8/24,U$9&lt;14/24)</formula>
    </cfRule>
    <cfRule type="expression" dxfId="1134" priority="125">
      <formula>U$9&lt;8/24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Z53:AF54 E53:Y55 B53:D57">
    <cfRule type="expression" dxfId="1133" priority="38">
      <formula>AND(B$9&gt;=14/24,B$9&lt;20/24)</formula>
    </cfRule>
    <cfRule type="expression" dxfId="1132" priority="39">
      <formula>AND(B$9&gt;=8/24,B$9&lt;14/24)</formula>
    </cfRule>
    <cfRule type="expression" dxfId="1131" priority="37">
      <formula>B$9&gt;=20/24</formula>
    </cfRule>
  </conditionalFormatting>
  <conditionalFormatting sqref="Z53:AF55">
    <cfRule type="expression" dxfId="1130" priority="76">
      <formula>Z53&gt;$AG53</formula>
    </cfRule>
  </conditionalFormatting>
  <conditionalFormatting sqref="Z53:AF57">
    <cfRule type="expression" dxfId="1129" priority="75">
      <formula>Z$9&lt;8/24</formula>
    </cfRule>
  </conditionalFormatting>
  <conditionalFormatting sqref="Z55:AF57">
    <cfRule type="expression" dxfId="1128" priority="66">
      <formula>AND(Z$9&gt;=8/24,Z$9&lt;14/24)</formula>
    </cfRule>
    <cfRule type="expression" dxfId="1127" priority="65">
      <formula>AND(Z$9&gt;=14/24,Z$9&lt;20/24)</formula>
    </cfRule>
    <cfRule type="expression" dxfId="1126" priority="64">
      <formula>Z$9&gt;=20/24</formula>
    </cfRule>
  </conditionalFormatting>
  <conditionalFormatting sqref="Z56:AF57">
    <cfRule type="expression" dxfId="1125" priority="63">
      <formula>Z56&gt;$AG56</formula>
    </cfRule>
  </conditionalFormatting>
  <conditionalFormatting sqref="Z63:AF68">
    <cfRule type="expression" dxfId="1124" priority="74">
      <formula>Z$9&lt;8/24</formula>
    </cfRule>
    <cfRule type="expression" dxfId="1123" priority="73">
      <formula>AND(Z$9&gt;=8/24,Z$9&lt;14/24)</formula>
    </cfRule>
    <cfRule type="expression" dxfId="1122" priority="72">
      <formula>AND(Z$9&gt;=14/24,Z$9&lt;20/24)</formula>
    </cfRule>
    <cfRule type="expression" dxfId="1121" priority="71">
      <formula>Z$9&gt;=20/24</formula>
    </cfRule>
  </conditionalFormatting>
  <conditionalFormatting sqref="AB8">
    <cfRule type="expression" dxfId="1120" priority="121">
      <formula>AD$9&lt;8/24</formula>
    </cfRule>
    <cfRule type="expression" dxfId="1119" priority="120">
      <formula>AND(AD$9&gt;=8/24,AD$9&lt;14/24)</formula>
    </cfRule>
    <cfRule type="expression" dxfId="1118" priority="119">
      <formula>AND(AD$9&gt;=14/24,AD$9&lt;20/24)</formula>
    </cfRule>
    <cfRule type="expression" dxfId="1117" priority="118">
      <formula>AD$9&gt;=20/24</formula>
    </cfRule>
  </conditionalFormatting>
  <conditionalFormatting sqref="AG58">
    <cfRule type="expression" dxfId="1116" priority="113">
      <formula>AG58&gt;$AG58</formula>
    </cfRule>
  </conditionalFormatting>
  <conditionalFormatting sqref="AG62">
    <cfRule type="expression" dxfId="1115" priority="97">
      <formula>AND(AG$9&gt;=14/24,AG$9&lt;20/24)</formula>
    </cfRule>
    <cfRule type="expression" dxfId="1114" priority="98">
      <formula>AND(AG$9&gt;=8/24,AG$9&lt;14/24)</formula>
    </cfRule>
    <cfRule type="expression" dxfId="1113" priority="99">
      <formula>AG$9&lt;8/24</formula>
    </cfRule>
    <cfRule type="expression" dxfId="1112" priority="96">
      <formula>AG$9&gt;=20/24</formula>
    </cfRule>
  </conditionalFormatting>
  <conditionalFormatting sqref="AG75:AG76">
    <cfRule type="expression" dxfId="1111" priority="91">
      <formula>AG75&gt;$AG75</formula>
    </cfRule>
  </conditionalFormatting>
  <conditionalFormatting sqref="AG80">
    <cfRule type="expression" dxfId="1110" priority="92">
      <formula>AG$9&gt;=20/24</formula>
    </cfRule>
    <cfRule type="expression" dxfId="1109" priority="93">
      <formula>AND(AG$9&gt;=14/24,AG$9&lt;20/24)</formula>
    </cfRule>
    <cfRule type="expression" dxfId="1108" priority="94">
      <formula>AND(AG$9&gt;=8/24,AG$9&lt;14/24)</formula>
    </cfRule>
    <cfRule type="expression" dxfId="1107" priority="95">
      <formula>AG$9&lt;8/24</formula>
    </cfRule>
  </conditionalFormatting>
  <conditionalFormatting sqref="AG97">
    <cfRule type="expression" dxfId="1106" priority="115">
      <formula>AND(AG$9&gt;=14/24,AG$9&lt;20/24)</formula>
    </cfRule>
    <cfRule type="expression" dxfId="1105" priority="114">
      <formula>AG$9&gt;=20/24</formula>
    </cfRule>
    <cfRule type="expression" dxfId="1104" priority="116">
      <formula>AND(AG$9&gt;=8/24,AG$9&lt;14/24)</formula>
    </cfRule>
    <cfRule type="expression" dxfId="1103" priority="117">
      <formula>AG$9&lt;8/24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102" priority="142">
      <formula>AJ$9&lt;8/24</formula>
    </cfRule>
    <cfRule type="expression" dxfId="1101" priority="140">
      <formula>AND(AJ$9&gt;=14/24,AJ$9&lt;20/24)</formula>
    </cfRule>
    <cfRule type="expression" dxfId="1100" priority="139">
      <formula>AJ$9&gt;=20/24</formula>
    </cfRule>
    <cfRule type="expression" dxfId="1099" priority="141">
      <formula>AND(AJ$9&gt;=8/24,AJ$9&lt;14/24)</formula>
    </cfRule>
  </conditionalFormatting>
  <conditionalFormatting sqref="AL88:AN88 AL94:AN94">
    <cfRule type="expression" dxfId="1098" priority="107">
      <formula>AND(AL$9&gt;=14/24,AL$9&lt;20/24)</formula>
    </cfRule>
    <cfRule type="expression" dxfId="1097" priority="108">
      <formula>AND(AL$9&gt;=8/24,AL$9&lt;14/24)</formula>
    </cfRule>
    <cfRule type="expression" dxfId="1096" priority="109">
      <formula>AL$9&lt;8/24</formula>
    </cfRule>
    <cfRule type="expression" dxfId="1095" priority="106">
      <formula>AL$9&gt;=20/24</formula>
    </cfRule>
  </conditionalFormatting>
  <conditionalFormatting sqref="AM15:AM21 AN16:AR21">
    <cfRule type="expression" dxfId="1094" priority="14">
      <formula>AND(AX$9&gt;=14/24,AX$9&lt;20/24)</formula>
    </cfRule>
    <cfRule type="expression" dxfId="1093" priority="15">
      <formula>AND(AX$9&gt;=8/24,AX$9&lt;14/24)</formula>
    </cfRule>
    <cfRule type="expression" dxfId="1092" priority="16">
      <formula>AX$9&lt;8/24</formula>
    </cfRule>
    <cfRule type="expression" dxfId="1091" priority="13">
      <formula>AX$9&gt;=20/24</formula>
    </cfRule>
  </conditionalFormatting>
  <conditionalFormatting sqref="AN89:AN92">
    <cfRule type="expression" dxfId="1090" priority="105">
      <formula>AN$9&lt;8/24</formula>
    </cfRule>
    <cfRule type="expression" dxfId="1089" priority="104">
      <formula>AND(AN$9&gt;=8/24,AN$9&lt;14/24)</formula>
    </cfRule>
    <cfRule type="expression" dxfId="1088" priority="103">
      <formula>AND(AN$9&gt;=14/24,AN$9&lt;20/24)</formula>
    </cfRule>
    <cfRule type="expression" dxfId="1087" priority="102">
      <formula>AN$9&gt;=20/24</formula>
    </cfRule>
  </conditionalFormatting>
  <conditionalFormatting sqref="AN15:AR15">
    <cfRule type="expression" dxfId="1086" priority="3">
      <formula>AND(U$9&gt;=8/24,U$9&lt;14/24)</formula>
    </cfRule>
    <cfRule type="expression" dxfId="1085" priority="4">
      <formula>U$9&lt;8/24</formula>
    </cfRule>
    <cfRule type="expression" dxfId="1084" priority="2">
      <formula>AND(U$9&gt;=14/24,U$9&lt;20/24)</formula>
    </cfRule>
    <cfRule type="expression" dxfId="1083" priority="1">
      <formula>U$9&gt;=20/24</formula>
    </cfRule>
  </conditionalFormatting>
  <conditionalFormatting sqref="AS15">
    <cfRule type="expression" dxfId="1082" priority="11">
      <formula>AND(AA$9&gt;=8/24,AA$9&lt;14/24)</formula>
    </cfRule>
    <cfRule type="expression" dxfId="1081" priority="9">
      <formula>AA$9&gt;=20/24</formula>
    </cfRule>
    <cfRule type="expression" dxfId="1080" priority="10">
      <formula>AND(AA$9&gt;=14/24,AA$9&lt;20/24)</formula>
    </cfRule>
    <cfRule type="expression" dxfId="1079" priority="12">
      <formula>AA$9&lt;8/24</formula>
    </cfRule>
  </conditionalFormatting>
  <conditionalFormatting sqref="AS16:AS21">
    <cfRule type="expression" dxfId="1078" priority="19">
      <formula>AND(BE$9&gt;=8/24,BE$9&lt;14/24)</formula>
    </cfRule>
    <cfRule type="expression" dxfId="1077" priority="18">
      <formula>AND(BE$9&gt;=14/24,BE$9&lt;20/24)</formula>
    </cfRule>
    <cfRule type="expression" dxfId="1076" priority="20">
      <formula>BE$9&lt;8/24</formula>
    </cfRule>
    <cfRule type="expression" dxfId="1075" priority="17">
      <formula>BE$9&gt;=20/24</formula>
    </cfRule>
  </conditionalFormatting>
  <conditionalFormatting sqref="AT15 AX15:BJ15">
    <cfRule type="expression" dxfId="1074" priority="24">
      <formula>AC$9&lt;8/24</formula>
    </cfRule>
    <cfRule type="expression" dxfId="1073" priority="23">
      <formula>AND(AC$9&gt;=8/24,AC$9&lt;14/24)</formula>
    </cfRule>
    <cfRule type="expression" dxfId="1072" priority="22">
      <formula>AND(AC$9&gt;=14/24,AC$9&lt;20/24)</formula>
    </cfRule>
    <cfRule type="expression" dxfId="1071" priority="21">
      <formula>AC$9&gt;=20/24</formula>
    </cfRule>
  </conditionalFormatting>
  <conditionalFormatting sqref="AT16:AT21">
    <cfRule type="expression" dxfId="1070" priority="27">
      <formula>AND(BG$9&gt;=8/24,BG$9&lt;14/24)</formula>
    </cfRule>
    <cfRule type="expression" dxfId="1069" priority="25">
      <formula>BG$9&gt;=20/24</formula>
    </cfRule>
    <cfRule type="expression" dxfId="1068" priority="26">
      <formula>AND(BG$9&gt;=14/24,BG$9&lt;20/24)</formula>
    </cfRule>
    <cfRule type="expression" dxfId="1067" priority="28">
      <formula>BG$9&lt;8/24</formula>
    </cfRule>
  </conditionalFormatting>
  <conditionalFormatting sqref="AU15:AV15">
    <cfRule type="expression" dxfId="1066" priority="31">
      <formula>AND(AE$9&gt;=8/24,AE$9&lt;14/24)</formula>
    </cfRule>
    <cfRule type="expression" dxfId="1065" priority="32">
      <formula>AE$9&lt;8/24</formula>
    </cfRule>
    <cfRule type="expression" dxfId="1064" priority="30">
      <formula>AND(AE$9&gt;=14/24,AE$9&lt;20/24)</formula>
    </cfRule>
    <cfRule type="expression" dxfId="1063" priority="29">
      <formula>AE$9&gt;=20/24</formula>
    </cfRule>
  </conditionalFormatting>
  <conditionalFormatting sqref="AU16:BJ21">
    <cfRule type="expression" dxfId="1062" priority="35">
      <formula>AND(BI$9&gt;=8/24,BI$9&lt;14/24)</formula>
    </cfRule>
    <cfRule type="expression" dxfId="1061" priority="34">
      <formula>AND(BI$9&gt;=14/24,BI$9&lt;20/24)</formula>
    </cfRule>
    <cfRule type="expression" dxfId="1060" priority="33">
      <formula>BI$9&gt;=20/24</formula>
    </cfRule>
    <cfRule type="expression" dxfId="1059" priority="36">
      <formula>BI$9&lt;8/24</formula>
    </cfRule>
  </conditionalFormatting>
  <conditionalFormatting sqref="AW15">
    <cfRule type="expression" dxfId="1058" priority="8">
      <formula>B$9&lt;8/24</formula>
    </cfRule>
    <cfRule type="expression" dxfId="1057" priority="7">
      <formula>AND(B$9&gt;=8/24,B$9&lt;14/24)</formula>
    </cfRule>
    <cfRule type="expression" dxfId="1056" priority="6">
      <formula>AND(B$9&gt;=14/24,B$9&lt;20/24)</formula>
    </cfRule>
    <cfRule type="expression" dxfId="1055" priority="5">
      <formula>B$9&gt;=20/24</formula>
    </cfRule>
  </conditionalFormatting>
  <pageMargins left="0.7" right="0.7" top="0.75" bottom="0.75" header="0.3" footer="0.3"/>
  <drawing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14CEE-05ED-49E9-8D97-15D46E8454B3}">
  <dimension ref="A1:CJ294"/>
  <sheetViews>
    <sheetView zoomScale="120" zoomScaleNormal="120" workbookViewId="0">
      <pane xSplit="1" ySplit="10" topLeftCell="B121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D132" sqref="D132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20.25" hidden="1" x14ac:dyDescent="0.2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9.5" hidden="1" thickBot="1" x14ac:dyDescent="0.3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3">
      <c r="A4" s="162" t="s">
        <v>273</v>
      </c>
      <c r="B4" s="205" t="str">
        <f ca="1">"2080/"&amp;"10/"&amp;INT(MID(CELL("filename",D6),FIND("]",CELL("filename",D6))+1,200))</f>
        <v>2080/10/25</v>
      </c>
      <c r="C4" s="205"/>
      <c r="D4" s="205"/>
      <c r="E4" s="206" t="str">
        <f ca="1">"2080/"&amp;"10/"&amp;INT(MID(CELL("filename",G6),FIND("]",CELL("filename",G6))+1,200))</f>
        <v>2080/10/25</v>
      </c>
      <c r="F4" s="206"/>
      <c r="G4" s="206"/>
      <c r="H4" s="206" t="str">
        <f ca="1">TEXT(E4,"dddd")</f>
        <v>Friday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3">
      <c r="A5" s="158"/>
      <c r="B5" s="161">
        <f t="shared" ref="B5:AE5" si="0">C92</f>
        <v>191.4</v>
      </c>
      <c r="C5" s="161">
        <f t="shared" si="0"/>
        <v>232.4</v>
      </c>
      <c r="D5" s="161">
        <f t="shared" si="0"/>
        <v>264.09999999999997</v>
      </c>
      <c r="E5" s="161">
        <f t="shared" si="0"/>
        <v>294.59999999999997</v>
      </c>
      <c r="F5" s="161">
        <f t="shared" si="0"/>
        <v>328.4</v>
      </c>
      <c r="G5" s="161">
        <f t="shared" si="0"/>
        <v>262.10000000000002</v>
      </c>
      <c r="H5" s="161">
        <f t="shared" si="0"/>
        <v>346.9</v>
      </c>
      <c r="I5" s="161">
        <f t="shared" si="0"/>
        <v>728.69999999999993</v>
      </c>
      <c r="J5" s="161">
        <f t="shared" si="0"/>
        <v>859.89999999999986</v>
      </c>
      <c r="K5" s="161">
        <f t="shared" si="0"/>
        <v>882.2</v>
      </c>
      <c r="L5" s="161">
        <f t="shared" si="0"/>
        <v>853</v>
      </c>
      <c r="M5" s="161">
        <f t="shared" si="0"/>
        <v>786</v>
      </c>
      <c r="N5" s="161">
        <f t="shared" si="0"/>
        <v>725.2</v>
      </c>
      <c r="O5" s="161">
        <f t="shared" si="0"/>
        <v>716.49999999999989</v>
      </c>
      <c r="P5" s="161">
        <f t="shared" si="0"/>
        <v>713.99999999999989</v>
      </c>
      <c r="Q5" s="161">
        <f t="shared" si="0"/>
        <v>749</v>
      </c>
      <c r="R5" s="161">
        <f t="shared" si="0"/>
        <v>689.7</v>
      </c>
      <c r="S5" s="161">
        <f t="shared" si="0"/>
        <v>787.09999999999991</v>
      </c>
      <c r="T5" s="161">
        <f t="shared" si="0"/>
        <v>657.19999999999993</v>
      </c>
      <c r="U5" s="161">
        <f t="shared" si="0"/>
        <v>599.30000000000007</v>
      </c>
      <c r="V5" s="161">
        <f t="shared" si="0"/>
        <v>585.5</v>
      </c>
      <c r="W5" s="161">
        <f t="shared" si="0"/>
        <v>518.19999999999993</v>
      </c>
      <c r="X5" s="161">
        <f t="shared" si="0"/>
        <v>393.9</v>
      </c>
      <c r="Y5" s="161">
        <f t="shared" si="0"/>
        <v>398.2</v>
      </c>
      <c r="Z5" s="161">
        <f t="shared" si="0"/>
        <v>60</v>
      </c>
      <c r="AA5" s="161">
        <f t="shared" si="0"/>
        <v>67.900000000000006</v>
      </c>
      <c r="AB5" s="161">
        <f t="shared" si="0"/>
        <v>93.6</v>
      </c>
      <c r="AC5" s="161">
        <f t="shared" si="0"/>
        <v>109</v>
      </c>
      <c r="AD5" s="161">
        <f t="shared" si="0"/>
        <v>75.599999999999994</v>
      </c>
      <c r="AE5" s="161">
        <f t="shared" si="0"/>
        <v>92</v>
      </c>
      <c r="AF5" s="161">
        <f>B92</f>
        <v>171.9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3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1698MW at 7:30hr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5" thickBot="1" x14ac:dyDescent="0.3">
      <c r="A7" s="151" t="str">
        <f>"Base Load="&amp;ROUND(MIN($B$7:$AF$7),0)</f>
        <v>Base Load=1307</v>
      </c>
      <c r="B7" s="150">
        <f t="shared" ref="B7:AF7" si="1">B100</f>
        <v>1515.44</v>
      </c>
      <c r="C7" s="150">
        <f t="shared" si="1"/>
        <v>1468.24</v>
      </c>
      <c r="D7" s="150">
        <f t="shared" si="1"/>
        <v>1441.84</v>
      </c>
      <c r="E7" s="150">
        <f t="shared" si="1"/>
        <v>1432.44</v>
      </c>
      <c r="F7" s="150">
        <f t="shared" si="1"/>
        <v>1444.74</v>
      </c>
      <c r="G7" s="150">
        <f t="shared" si="1"/>
        <v>1454.44</v>
      </c>
      <c r="H7" s="150">
        <f t="shared" si="1"/>
        <v>1457.74</v>
      </c>
      <c r="I7" s="150">
        <f t="shared" si="1"/>
        <v>1493.0390000000002</v>
      </c>
      <c r="J7" s="150">
        <f t="shared" si="1"/>
        <v>1532.44</v>
      </c>
      <c r="K7" s="150">
        <f t="shared" si="1"/>
        <v>1671.4399999999998</v>
      </c>
      <c r="L7" s="150">
        <f t="shared" si="1"/>
        <v>1697.74</v>
      </c>
      <c r="M7" s="150">
        <f t="shared" si="1"/>
        <v>1656.44</v>
      </c>
      <c r="N7" s="150">
        <f t="shared" si="1"/>
        <v>1539.14</v>
      </c>
      <c r="O7" s="150">
        <f t="shared" si="1"/>
        <v>1483.3400000000001</v>
      </c>
      <c r="P7" s="150">
        <f t="shared" si="1"/>
        <v>1560.84</v>
      </c>
      <c r="Q7" s="150">
        <f t="shared" si="1"/>
        <v>1530.94</v>
      </c>
      <c r="R7" s="150">
        <f t="shared" si="1"/>
        <v>1586.0400000000002</v>
      </c>
      <c r="S7" s="150">
        <f t="shared" si="1"/>
        <v>1503.14</v>
      </c>
      <c r="T7" s="150">
        <f t="shared" si="1"/>
        <v>1600.54</v>
      </c>
      <c r="U7" s="150">
        <f t="shared" si="1"/>
        <v>1492.94</v>
      </c>
      <c r="V7" s="150">
        <f t="shared" si="1"/>
        <v>1433.8400000000001</v>
      </c>
      <c r="W7" s="150">
        <f t="shared" si="1"/>
        <v>1431.24</v>
      </c>
      <c r="X7" s="150">
        <f t="shared" si="1"/>
        <v>1352.1399999999999</v>
      </c>
      <c r="Y7" s="150">
        <f t="shared" si="1"/>
        <v>1400.7399999999998</v>
      </c>
      <c r="Z7" s="150">
        <f t="shared" si="1"/>
        <v>1465.3300000000002</v>
      </c>
      <c r="AA7" s="150">
        <f t="shared" si="1"/>
        <v>1516.5400000000002</v>
      </c>
      <c r="AB7" s="150">
        <f t="shared" si="1"/>
        <v>1493.8400000000001</v>
      </c>
      <c r="AC7" s="150">
        <f t="shared" si="1"/>
        <v>1475.24</v>
      </c>
      <c r="AD7" s="150">
        <f t="shared" si="1"/>
        <v>1471.3400000000001</v>
      </c>
      <c r="AE7" s="150">
        <f t="shared" si="1"/>
        <v>1342.44</v>
      </c>
      <c r="AF7" s="150">
        <f t="shared" si="1"/>
        <v>1306.8400000000001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7.25" thickTop="1" thickBot="1" x14ac:dyDescent="0.3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1671.44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2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1671.44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.75" thickBot="1" x14ac:dyDescent="0.3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25">
      <c r="A11" s="89" t="s">
        <v>264</v>
      </c>
      <c r="B11" s="102">
        <v>20.399999999999999</v>
      </c>
      <c r="C11" s="102">
        <v>20.399999999999999</v>
      </c>
      <c r="D11" s="102">
        <v>20.399999999999999</v>
      </c>
      <c r="E11" s="102">
        <v>21.3</v>
      </c>
      <c r="F11" s="102">
        <v>20.5</v>
      </c>
      <c r="G11" s="102">
        <v>21</v>
      </c>
      <c r="H11" s="102">
        <v>21.3</v>
      </c>
      <c r="I11" s="102">
        <v>21.5</v>
      </c>
      <c r="J11" s="102">
        <v>21.5</v>
      </c>
      <c r="K11" s="102">
        <v>21.5</v>
      </c>
      <c r="L11" s="102">
        <v>21.5</v>
      </c>
      <c r="M11" s="102">
        <v>21.5</v>
      </c>
      <c r="N11" s="102">
        <v>20.9</v>
      </c>
      <c r="O11" s="102">
        <v>20.9</v>
      </c>
      <c r="P11" s="102">
        <v>19</v>
      </c>
      <c r="Q11" s="102">
        <v>19</v>
      </c>
      <c r="R11" s="102">
        <v>21.9</v>
      </c>
      <c r="S11" s="102">
        <v>21.9</v>
      </c>
      <c r="T11" s="102">
        <v>21.9</v>
      </c>
      <c r="U11" s="102">
        <v>21.9</v>
      </c>
      <c r="V11" s="102">
        <v>21.9</v>
      </c>
      <c r="W11" s="102">
        <v>21.9</v>
      </c>
      <c r="X11" s="102">
        <v>21.9</v>
      </c>
      <c r="Y11" s="102">
        <v>21.9</v>
      </c>
      <c r="Z11" s="102">
        <v>21.9</v>
      </c>
      <c r="AA11" s="102">
        <v>21.9</v>
      </c>
      <c r="AB11" s="102">
        <v>21</v>
      </c>
      <c r="AC11" s="102">
        <v>24.8</v>
      </c>
      <c r="AD11" s="102">
        <v>24.8</v>
      </c>
      <c r="AE11" s="102">
        <v>24.8</v>
      </c>
      <c r="AF11" s="102">
        <v>24.8</v>
      </c>
      <c r="AG11" s="140">
        <v>86</v>
      </c>
      <c r="AH11" s="12">
        <f t="shared" ref="AH11:AH16" si="2">MAX(B11:AF11)</f>
        <v>24.8</v>
      </c>
      <c r="AI11" s="11">
        <f t="shared" ref="AI11:AI16" si="3">MIN(B11:AF11)</f>
        <v>19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25">
      <c r="A12" s="89" t="s">
        <v>263</v>
      </c>
      <c r="B12" s="102">
        <v>11</v>
      </c>
      <c r="C12" s="102">
        <v>11</v>
      </c>
      <c r="D12" s="102">
        <v>11</v>
      </c>
      <c r="E12" s="102">
        <v>8.1</v>
      </c>
      <c r="F12" s="102">
        <v>8.5</v>
      </c>
      <c r="G12" s="102">
        <v>8.6</v>
      </c>
      <c r="H12" s="102">
        <v>8.6</v>
      </c>
      <c r="I12" s="102">
        <v>8.6</v>
      </c>
      <c r="J12" s="102">
        <v>8.6</v>
      </c>
      <c r="K12" s="102">
        <v>8.6</v>
      </c>
      <c r="L12" s="102">
        <v>8.6</v>
      </c>
      <c r="M12" s="102">
        <v>8.6</v>
      </c>
      <c r="N12" s="102">
        <v>8.6</v>
      </c>
      <c r="O12" s="102">
        <v>8.6</v>
      </c>
      <c r="P12" s="102">
        <v>8.6</v>
      </c>
      <c r="Q12" s="102">
        <v>8.6</v>
      </c>
      <c r="R12" s="102">
        <v>8.6</v>
      </c>
      <c r="S12" s="102">
        <v>8.6</v>
      </c>
      <c r="T12" s="102">
        <v>8.6</v>
      </c>
      <c r="U12" s="102">
        <v>8.6</v>
      </c>
      <c r="V12" s="102">
        <v>8.6</v>
      </c>
      <c r="W12" s="102">
        <v>8.6</v>
      </c>
      <c r="X12" s="102">
        <v>8.6</v>
      </c>
      <c r="Y12" s="102">
        <v>8.6</v>
      </c>
      <c r="Z12" s="102">
        <v>8.6</v>
      </c>
      <c r="AA12" s="102">
        <v>8.6</v>
      </c>
      <c r="AB12" s="102">
        <v>8.6</v>
      </c>
      <c r="AC12" s="102">
        <v>8.6</v>
      </c>
      <c r="AD12" s="102">
        <v>8.6</v>
      </c>
      <c r="AE12" s="102">
        <v>8.6</v>
      </c>
      <c r="AF12" s="102">
        <v>8.6</v>
      </c>
      <c r="AG12" s="130">
        <v>54</v>
      </c>
      <c r="AH12" s="12">
        <f t="shared" si="2"/>
        <v>11</v>
      </c>
      <c r="AI12" s="11">
        <f t="shared" si="3"/>
        <v>8.1</v>
      </c>
      <c r="AK12" s="19"/>
      <c r="AL12" s="6" t="str">
        <f ca="1">MID(CELL("filename",C7),FIND("]",CELL("filename",C7))+1,600)</f>
        <v>25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25">
      <c r="A13" s="89" t="s">
        <v>262</v>
      </c>
      <c r="B13" s="102">
        <v>19</v>
      </c>
      <c r="C13" s="102">
        <v>19</v>
      </c>
      <c r="D13" s="102">
        <v>19</v>
      </c>
      <c r="E13" s="102">
        <v>15.5</v>
      </c>
      <c r="F13" s="102">
        <v>15</v>
      </c>
      <c r="G13" s="102">
        <v>15</v>
      </c>
      <c r="H13" s="102">
        <v>15</v>
      </c>
      <c r="I13" s="102">
        <v>15</v>
      </c>
      <c r="J13" s="102">
        <v>15.2</v>
      </c>
      <c r="K13" s="102">
        <v>15.2</v>
      </c>
      <c r="L13" s="102">
        <v>15.2</v>
      </c>
      <c r="M13" s="102">
        <v>15.2</v>
      </c>
      <c r="N13" s="102">
        <v>15.2</v>
      </c>
      <c r="O13" s="102">
        <v>15.2</v>
      </c>
      <c r="P13" s="102">
        <v>15.2</v>
      </c>
      <c r="Q13" s="102">
        <v>15.2</v>
      </c>
      <c r="R13" s="102">
        <v>15.2</v>
      </c>
      <c r="S13" s="102">
        <v>15.2</v>
      </c>
      <c r="T13" s="102">
        <v>15.2</v>
      </c>
      <c r="U13" s="102">
        <v>15.2</v>
      </c>
      <c r="V13" s="102">
        <v>15.2</v>
      </c>
      <c r="W13" s="102">
        <v>15.2</v>
      </c>
      <c r="X13" s="102">
        <v>15.2</v>
      </c>
      <c r="Y13" s="102">
        <v>15.2</v>
      </c>
      <c r="Z13" s="102">
        <v>15.2</v>
      </c>
      <c r="AA13" s="102">
        <v>15.2</v>
      </c>
      <c r="AB13" s="102">
        <v>15.5</v>
      </c>
      <c r="AC13" s="102">
        <v>15</v>
      </c>
      <c r="AD13" s="102">
        <v>15</v>
      </c>
      <c r="AE13" s="102">
        <v>15</v>
      </c>
      <c r="AF13" s="102">
        <v>15</v>
      </c>
      <c r="AG13" s="130">
        <v>54</v>
      </c>
      <c r="AH13" s="12">
        <f t="shared" si="2"/>
        <v>19</v>
      </c>
      <c r="AI13" s="11">
        <f t="shared" si="3"/>
        <v>15</v>
      </c>
      <c r="AK13" s="19"/>
      <c r="AL13" s="6" t="str">
        <f ca="1">"Daily Load Curve(Excluding of Export) of Nepal ("&amp;A4&amp;" "&amp;B4&amp;")"</f>
        <v>Daily Load Curve(Excluding of Export) of Nepal (Nepali Date: 2080/10/25)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.75" thickBot="1" x14ac:dyDescent="0.3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.75" thickTop="1" x14ac:dyDescent="0.25">
      <c r="A15" s="89" t="s">
        <v>260</v>
      </c>
      <c r="B15" s="102">
        <v>50.4</v>
      </c>
      <c r="C15" s="102">
        <v>50.4</v>
      </c>
      <c r="D15" s="102">
        <v>50.4</v>
      </c>
      <c r="E15" s="102">
        <v>50.4</v>
      </c>
      <c r="F15" s="102">
        <v>50</v>
      </c>
      <c r="G15" s="102">
        <v>50.5</v>
      </c>
      <c r="H15" s="102">
        <v>50.5</v>
      </c>
      <c r="I15" s="102">
        <v>50.5</v>
      </c>
      <c r="J15" s="102">
        <v>50.2</v>
      </c>
      <c r="K15" s="102">
        <v>50.2</v>
      </c>
      <c r="L15" s="102">
        <v>50.2</v>
      </c>
      <c r="M15" s="102">
        <v>50.2</v>
      </c>
      <c r="N15" s="102">
        <v>50.2</v>
      </c>
      <c r="O15" s="102">
        <v>50.2</v>
      </c>
      <c r="P15" s="102">
        <v>50.2</v>
      </c>
      <c r="Q15" s="102">
        <v>50.2</v>
      </c>
      <c r="R15" s="102">
        <v>50.2</v>
      </c>
      <c r="S15" s="102">
        <v>50.2</v>
      </c>
      <c r="T15" s="102">
        <v>50.2</v>
      </c>
      <c r="U15" s="102">
        <v>50.2</v>
      </c>
      <c r="V15" s="102">
        <v>50.2</v>
      </c>
      <c r="W15" s="102">
        <v>50.2</v>
      </c>
      <c r="X15" s="102">
        <v>50.2</v>
      </c>
      <c r="Y15" s="102">
        <v>50.2</v>
      </c>
      <c r="Z15" s="123">
        <v>50.2</v>
      </c>
      <c r="AA15" s="123">
        <v>50.2</v>
      </c>
      <c r="AB15" s="123">
        <v>45.8</v>
      </c>
      <c r="AC15" s="123">
        <v>46</v>
      </c>
      <c r="AD15" s="123">
        <v>46</v>
      </c>
      <c r="AE15" s="123">
        <v>46</v>
      </c>
      <c r="AF15" s="123">
        <v>46</v>
      </c>
      <c r="AG15" s="130">
        <v>50</v>
      </c>
      <c r="AH15" s="12">
        <f t="shared" si="2"/>
        <v>50.5</v>
      </c>
      <c r="AI15" s="11">
        <f t="shared" si="3"/>
        <v>45.8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25">
      <c r="A16" s="89" t="s">
        <v>258</v>
      </c>
      <c r="B16" s="102">
        <v>15.2</v>
      </c>
      <c r="C16" s="102">
        <v>15.2</v>
      </c>
      <c r="D16" s="102">
        <v>15.2</v>
      </c>
      <c r="E16" s="102">
        <v>16</v>
      </c>
      <c r="F16" s="102">
        <v>16</v>
      </c>
      <c r="G16" s="102">
        <v>16</v>
      </c>
      <c r="H16" s="102">
        <v>16</v>
      </c>
      <c r="I16" s="102">
        <v>16</v>
      </c>
      <c r="J16" s="102">
        <v>16</v>
      </c>
      <c r="K16" s="102">
        <v>16</v>
      </c>
      <c r="L16" s="102">
        <v>16</v>
      </c>
      <c r="M16" s="102">
        <v>16</v>
      </c>
      <c r="N16" s="102">
        <v>16</v>
      </c>
      <c r="O16" s="102">
        <v>16</v>
      </c>
      <c r="P16" s="102">
        <v>16</v>
      </c>
      <c r="Q16" s="102">
        <v>16</v>
      </c>
      <c r="R16" s="102">
        <v>16</v>
      </c>
      <c r="S16" s="102">
        <v>16</v>
      </c>
      <c r="T16" s="102">
        <v>16</v>
      </c>
      <c r="U16" s="102">
        <v>16</v>
      </c>
      <c r="V16" s="102">
        <v>16</v>
      </c>
      <c r="W16" s="102">
        <v>16</v>
      </c>
      <c r="X16" s="102">
        <v>16</v>
      </c>
      <c r="Y16" s="102">
        <v>16</v>
      </c>
      <c r="Z16" s="102">
        <v>16</v>
      </c>
      <c r="AA16" s="102">
        <v>16</v>
      </c>
      <c r="AB16" s="102">
        <v>16</v>
      </c>
      <c r="AC16" s="102">
        <v>16</v>
      </c>
      <c r="AD16" s="102">
        <v>16</v>
      </c>
      <c r="AE16" s="102">
        <v>16</v>
      </c>
      <c r="AF16" s="102">
        <v>16</v>
      </c>
      <c r="AG16" s="130">
        <v>45</v>
      </c>
      <c r="AH16" s="12">
        <f t="shared" si="2"/>
        <v>16</v>
      </c>
      <c r="AI16" s="11">
        <f t="shared" si="3"/>
        <v>15.2</v>
      </c>
      <c r="AK16" s="19"/>
      <c r="AL16" s="135" t="s">
        <v>7</v>
      </c>
      <c r="AM16" s="134">
        <f t="shared" ref="AM16:AR16" si="4">B58</f>
        <v>518.19999999999993</v>
      </c>
      <c r="AN16" s="134">
        <f t="shared" si="4"/>
        <v>518.19999999999993</v>
      </c>
      <c r="AO16" s="134">
        <f t="shared" si="4"/>
        <v>518.19999999999993</v>
      </c>
      <c r="AP16" s="134">
        <f t="shared" si="4"/>
        <v>507.8</v>
      </c>
      <c r="AQ16" s="134">
        <f t="shared" si="4"/>
        <v>506.50000000000006</v>
      </c>
      <c r="AR16" s="134">
        <f t="shared" si="4"/>
        <v>505.50000000000006</v>
      </c>
      <c r="AS16" s="134">
        <f>I58</f>
        <v>506.00000000000006</v>
      </c>
      <c r="AT16" s="134">
        <f>K58</f>
        <v>505.00000000000006</v>
      </c>
      <c r="AU16" s="134">
        <f t="shared" ref="AU16:BD16" si="5">M58</f>
        <v>505.00000000000006</v>
      </c>
      <c r="AV16" s="134">
        <f t="shared" si="5"/>
        <v>504.40000000000003</v>
      </c>
      <c r="AW16" s="134">
        <f t="shared" si="5"/>
        <v>504.40000000000003</v>
      </c>
      <c r="AX16" s="134">
        <f t="shared" si="5"/>
        <v>502.50000000000006</v>
      </c>
      <c r="AY16" s="134">
        <f t="shared" si="5"/>
        <v>502.50000000000006</v>
      </c>
      <c r="AZ16" s="134">
        <f t="shared" si="5"/>
        <v>505.40000000000003</v>
      </c>
      <c r="BA16" s="134">
        <f t="shared" si="5"/>
        <v>505.40000000000003</v>
      </c>
      <c r="BB16" s="134">
        <f t="shared" si="5"/>
        <v>505.40000000000003</v>
      </c>
      <c r="BC16" s="134">
        <f t="shared" si="5"/>
        <v>505.40000000000003</v>
      </c>
      <c r="BD16" s="134">
        <f t="shared" si="5"/>
        <v>505.40000000000003</v>
      </c>
      <c r="BE16" s="133">
        <f>X58</f>
        <v>505.40000000000003</v>
      </c>
      <c r="BF16" s="133">
        <f>Z58</f>
        <v>505.40000000000003</v>
      </c>
      <c r="BG16" s="133">
        <f>AB58</f>
        <v>501.5</v>
      </c>
      <c r="BH16" s="133">
        <f>AD58</f>
        <v>515.20000000000005</v>
      </c>
      <c r="BI16" s="133">
        <f>AE58</f>
        <v>515.20000000000005</v>
      </c>
      <c r="BJ16" s="133">
        <f>AF58</f>
        <v>515.20000000000005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25">
      <c r="A17" s="89" t="s">
        <v>257</v>
      </c>
      <c r="B17" s="102">
        <v>20</v>
      </c>
      <c r="C17" s="102">
        <v>20</v>
      </c>
      <c r="D17" s="102">
        <v>20</v>
      </c>
      <c r="E17" s="102">
        <v>20</v>
      </c>
      <c r="F17" s="102">
        <v>20</v>
      </c>
      <c r="G17" s="102">
        <v>20</v>
      </c>
      <c r="H17" s="102">
        <v>20</v>
      </c>
      <c r="I17" s="102">
        <v>20</v>
      </c>
      <c r="J17" s="102">
        <v>20</v>
      </c>
      <c r="K17" s="102">
        <v>20</v>
      </c>
      <c r="L17" s="102">
        <v>20</v>
      </c>
      <c r="M17" s="102">
        <v>20</v>
      </c>
      <c r="N17" s="102">
        <v>20</v>
      </c>
      <c r="O17" s="102">
        <v>20</v>
      </c>
      <c r="P17" s="102">
        <v>20</v>
      </c>
      <c r="Q17" s="102">
        <v>20</v>
      </c>
      <c r="R17" s="102">
        <v>20</v>
      </c>
      <c r="S17" s="102">
        <v>20</v>
      </c>
      <c r="T17" s="102">
        <v>20</v>
      </c>
      <c r="U17" s="102">
        <v>20</v>
      </c>
      <c r="V17" s="102">
        <v>20</v>
      </c>
      <c r="W17" s="102">
        <v>20</v>
      </c>
      <c r="X17" s="102">
        <v>20</v>
      </c>
      <c r="Y17" s="102">
        <v>20</v>
      </c>
      <c r="Z17" s="102">
        <v>20</v>
      </c>
      <c r="AA17" s="102">
        <v>20</v>
      </c>
      <c r="AB17" s="102">
        <v>20</v>
      </c>
      <c r="AC17" s="102">
        <v>20</v>
      </c>
      <c r="AD17" s="102">
        <v>20</v>
      </c>
      <c r="AE17" s="102">
        <v>20</v>
      </c>
      <c r="AF17" s="102">
        <v>20</v>
      </c>
      <c r="AG17" s="130">
        <v>44</v>
      </c>
      <c r="AH17" s="12">
        <f>MAX(B17:AG17)</f>
        <v>44</v>
      </c>
      <c r="AI17" s="11">
        <f>MIN(B17:AG17)</f>
        <v>20</v>
      </c>
      <c r="AK17" s="19"/>
      <c r="AL17" s="135" t="s">
        <v>256</v>
      </c>
      <c r="AM17" s="134">
        <f t="shared" ref="AM17:AR17" si="6">B62</f>
        <v>279.8</v>
      </c>
      <c r="AN17" s="134">
        <f t="shared" si="6"/>
        <v>219.6</v>
      </c>
      <c r="AO17" s="134">
        <f t="shared" si="6"/>
        <v>168.8</v>
      </c>
      <c r="AP17" s="134">
        <f t="shared" si="6"/>
        <v>118.2</v>
      </c>
      <c r="AQ17" s="134">
        <f t="shared" si="6"/>
        <v>118.2</v>
      </c>
      <c r="AR17" s="134">
        <f t="shared" si="6"/>
        <v>96.1</v>
      </c>
      <c r="AS17" s="134">
        <f>I62</f>
        <v>119.399</v>
      </c>
      <c r="AT17" s="134">
        <f>K62</f>
        <v>19</v>
      </c>
      <c r="AU17" s="134">
        <f t="shared" ref="AU17:BD17" si="7">M62</f>
        <v>19</v>
      </c>
      <c r="AV17" s="134">
        <f t="shared" si="7"/>
        <v>19</v>
      </c>
      <c r="AW17" s="134">
        <f t="shared" si="7"/>
        <v>19</v>
      </c>
      <c r="AX17" s="134">
        <f t="shared" si="7"/>
        <v>19</v>
      </c>
      <c r="AY17" s="134">
        <f t="shared" si="7"/>
        <v>19</v>
      </c>
      <c r="AZ17" s="134">
        <f t="shared" si="7"/>
        <v>41.5</v>
      </c>
      <c r="BA17" s="134">
        <f t="shared" si="7"/>
        <v>19</v>
      </c>
      <c r="BB17" s="134">
        <f t="shared" si="7"/>
        <v>19</v>
      </c>
      <c r="BC17" s="134">
        <f t="shared" si="7"/>
        <v>40.200000000000003</v>
      </c>
      <c r="BD17" s="134">
        <f t="shared" si="7"/>
        <v>40.200000000000003</v>
      </c>
      <c r="BE17" s="133">
        <f>X62</f>
        <v>40.200000000000003</v>
      </c>
      <c r="BF17" s="133">
        <f>Z62</f>
        <v>100.5</v>
      </c>
      <c r="BG17" s="133">
        <f>AB62</f>
        <v>286.90000000000003</v>
      </c>
      <c r="BH17" s="133">
        <f>AD62</f>
        <v>245.6</v>
      </c>
      <c r="BI17" s="133">
        <f>AE62</f>
        <v>221.6</v>
      </c>
      <c r="BJ17" s="133">
        <f>AF62</f>
        <v>226.2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25">
      <c r="A18" s="89" t="s">
        <v>255</v>
      </c>
      <c r="B18" s="102">
        <v>12</v>
      </c>
      <c r="C18" s="102">
        <v>12</v>
      </c>
      <c r="D18" s="102">
        <v>12</v>
      </c>
      <c r="E18" s="102">
        <v>11</v>
      </c>
      <c r="F18" s="102">
        <v>11</v>
      </c>
      <c r="G18" s="102">
        <v>11</v>
      </c>
      <c r="H18" s="102">
        <v>11</v>
      </c>
      <c r="I18" s="102">
        <v>11</v>
      </c>
      <c r="J18" s="102">
        <v>10</v>
      </c>
      <c r="K18" s="102">
        <v>10</v>
      </c>
      <c r="L18" s="102">
        <v>10</v>
      </c>
      <c r="M18" s="102">
        <v>10</v>
      </c>
      <c r="N18" s="102">
        <v>10</v>
      </c>
      <c r="O18" s="102">
        <v>10</v>
      </c>
      <c r="P18" s="102">
        <v>10</v>
      </c>
      <c r="Q18" s="102">
        <v>10</v>
      </c>
      <c r="R18" s="102">
        <v>10</v>
      </c>
      <c r="S18" s="102">
        <v>10</v>
      </c>
      <c r="T18" s="102">
        <v>10</v>
      </c>
      <c r="U18" s="102">
        <v>10</v>
      </c>
      <c r="V18" s="102">
        <v>10</v>
      </c>
      <c r="W18" s="102">
        <v>10</v>
      </c>
      <c r="X18" s="102">
        <v>10</v>
      </c>
      <c r="Y18" s="102">
        <v>10</v>
      </c>
      <c r="Z18" s="102">
        <v>10</v>
      </c>
      <c r="AA18" s="102">
        <v>10</v>
      </c>
      <c r="AB18" s="102">
        <v>12</v>
      </c>
      <c r="AC18" s="102">
        <v>12</v>
      </c>
      <c r="AD18" s="102">
        <v>12</v>
      </c>
      <c r="AE18" s="102">
        <v>12</v>
      </c>
      <c r="AF18" s="102">
        <v>12</v>
      </c>
      <c r="AG18" s="130">
        <v>42</v>
      </c>
      <c r="AH18" s="12">
        <f t="shared" ref="AH18:AH81" si="8">MAX(B18:AF18)</f>
        <v>12</v>
      </c>
      <c r="AI18" s="11">
        <f t="shared" ref="AI18:AI81" si="9">MIN(B18:AF18)</f>
        <v>10</v>
      </c>
      <c r="AK18" s="19"/>
      <c r="AL18" s="135" t="s">
        <v>254</v>
      </c>
      <c r="AM18" s="134">
        <f t="shared" ref="AM18:AR18" si="10">B76</f>
        <v>274.83999999999997</v>
      </c>
      <c r="AN18" s="134">
        <f t="shared" si="10"/>
        <v>268.24</v>
      </c>
      <c r="AO18" s="134">
        <f t="shared" si="10"/>
        <v>251.64</v>
      </c>
      <c r="AP18" s="134">
        <f t="shared" si="10"/>
        <v>251.64</v>
      </c>
      <c r="AQ18" s="134">
        <f t="shared" si="10"/>
        <v>234.74</v>
      </c>
      <c r="AR18" s="134">
        <f t="shared" si="10"/>
        <v>243.74</v>
      </c>
      <c r="AS18" s="134">
        <f>I76</f>
        <v>321.94000000000005</v>
      </c>
      <c r="AT18" s="134">
        <f>K76</f>
        <v>287.54000000000002</v>
      </c>
      <c r="AU18" s="134">
        <f t="shared" ref="AU18:BD18" si="11">M76</f>
        <v>279.44</v>
      </c>
      <c r="AV18" s="134">
        <f t="shared" si="11"/>
        <v>229.73999999999998</v>
      </c>
      <c r="AW18" s="134">
        <f t="shared" si="11"/>
        <v>234.73999999999998</v>
      </c>
      <c r="AX18" s="134">
        <f t="shared" si="11"/>
        <v>322.84000000000003</v>
      </c>
      <c r="AY18" s="134">
        <f t="shared" si="11"/>
        <v>296.44</v>
      </c>
      <c r="AZ18" s="134">
        <f t="shared" si="11"/>
        <v>290.14000000000004</v>
      </c>
      <c r="BA18" s="134">
        <f t="shared" si="11"/>
        <v>289.03999999999996</v>
      </c>
      <c r="BB18" s="134">
        <f t="shared" si="11"/>
        <v>289.03999999999996</v>
      </c>
      <c r="BC18" s="134">
        <f t="shared" si="11"/>
        <v>290.14000000000004</v>
      </c>
      <c r="BD18" s="134">
        <f t="shared" si="11"/>
        <v>288.94</v>
      </c>
      <c r="BE18" s="133">
        <f>X76</f>
        <v>271.54000000000002</v>
      </c>
      <c r="BF18" s="133">
        <f>Z76</f>
        <v>292.64</v>
      </c>
      <c r="BG18" s="133">
        <f>AB76</f>
        <v>357.74</v>
      </c>
      <c r="BH18" s="133">
        <f>AD76</f>
        <v>353.44</v>
      </c>
      <c r="BI18" s="133">
        <f>AE76</f>
        <v>298.44</v>
      </c>
      <c r="BJ18" s="133">
        <f>AF76</f>
        <v>273.44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25">
      <c r="A19" s="89" t="s">
        <v>253</v>
      </c>
      <c r="B19" s="102">
        <v>17.2</v>
      </c>
      <c r="C19" s="102">
        <v>17.2</v>
      </c>
      <c r="D19" s="102">
        <v>17.2</v>
      </c>
      <c r="E19" s="102">
        <v>18.3</v>
      </c>
      <c r="F19" s="102">
        <v>18.3</v>
      </c>
      <c r="G19" s="102">
        <v>18.3</v>
      </c>
      <c r="H19" s="102">
        <v>18.3</v>
      </c>
      <c r="I19" s="102">
        <v>18.3</v>
      </c>
      <c r="J19" s="102">
        <v>18.399999999999999</v>
      </c>
      <c r="K19" s="102">
        <v>18.399999999999999</v>
      </c>
      <c r="L19" s="102">
        <v>18.399999999999999</v>
      </c>
      <c r="M19" s="102">
        <v>18.399999999999999</v>
      </c>
      <c r="N19" s="102">
        <v>18.399999999999999</v>
      </c>
      <c r="O19" s="102">
        <v>18.399999999999999</v>
      </c>
      <c r="P19" s="102">
        <v>18.399999999999999</v>
      </c>
      <c r="Q19" s="102">
        <v>18.399999999999999</v>
      </c>
      <c r="R19" s="102">
        <v>18.399999999999999</v>
      </c>
      <c r="S19" s="102">
        <v>18.399999999999999</v>
      </c>
      <c r="T19" s="102">
        <v>18.399999999999999</v>
      </c>
      <c r="U19" s="102">
        <v>18.399999999999999</v>
      </c>
      <c r="V19" s="102">
        <v>18.399999999999999</v>
      </c>
      <c r="W19" s="102">
        <v>18.399999999999999</v>
      </c>
      <c r="X19" s="102">
        <v>18.399999999999999</v>
      </c>
      <c r="Y19" s="102">
        <v>18.399999999999999</v>
      </c>
      <c r="Z19" s="102">
        <v>18.399999999999999</v>
      </c>
      <c r="AA19" s="102">
        <v>18.399999999999999</v>
      </c>
      <c r="AB19" s="102">
        <v>16.2</v>
      </c>
      <c r="AC19" s="102">
        <v>18.399999999999999</v>
      </c>
      <c r="AD19" s="102">
        <v>18.399999999999999</v>
      </c>
      <c r="AE19" s="102">
        <v>18.399999999999999</v>
      </c>
      <c r="AF19" s="102">
        <v>18.399999999999999</v>
      </c>
      <c r="AG19" s="130">
        <v>38.46</v>
      </c>
      <c r="AH19" s="12">
        <f t="shared" si="8"/>
        <v>18.399999999999999</v>
      </c>
      <c r="AI19" s="11">
        <f t="shared" si="9"/>
        <v>16.2</v>
      </c>
      <c r="AK19" s="19"/>
      <c r="AL19" s="135" t="s">
        <v>252</v>
      </c>
      <c r="AM19" s="134">
        <f t="shared" ref="AM19:AR19" si="12">B92</f>
        <v>171.9</v>
      </c>
      <c r="AN19" s="134">
        <f t="shared" si="12"/>
        <v>191.4</v>
      </c>
      <c r="AO19" s="134">
        <f t="shared" si="12"/>
        <v>232.4</v>
      </c>
      <c r="AP19" s="134">
        <f t="shared" si="12"/>
        <v>264.09999999999997</v>
      </c>
      <c r="AQ19" s="134">
        <f t="shared" si="12"/>
        <v>294.59999999999997</v>
      </c>
      <c r="AR19" s="134">
        <f t="shared" si="12"/>
        <v>328.4</v>
      </c>
      <c r="AS19" s="134">
        <f>I92</f>
        <v>346.9</v>
      </c>
      <c r="AT19" s="134">
        <f>K92</f>
        <v>859.89999999999986</v>
      </c>
      <c r="AU19" s="134">
        <f t="shared" ref="AU19:BD19" si="13">M92</f>
        <v>853</v>
      </c>
      <c r="AV19" s="134">
        <f t="shared" si="13"/>
        <v>786</v>
      </c>
      <c r="AW19" s="134">
        <f t="shared" si="13"/>
        <v>725.2</v>
      </c>
      <c r="AX19" s="134">
        <f t="shared" si="13"/>
        <v>716.49999999999989</v>
      </c>
      <c r="AY19" s="134">
        <f t="shared" si="13"/>
        <v>713.99999999999989</v>
      </c>
      <c r="AZ19" s="134">
        <f t="shared" si="13"/>
        <v>749</v>
      </c>
      <c r="BA19" s="134">
        <f t="shared" si="13"/>
        <v>689.7</v>
      </c>
      <c r="BB19" s="134">
        <f t="shared" si="13"/>
        <v>787.09999999999991</v>
      </c>
      <c r="BC19" s="134">
        <f t="shared" si="13"/>
        <v>657.19999999999993</v>
      </c>
      <c r="BD19" s="134">
        <f t="shared" si="13"/>
        <v>599.30000000000007</v>
      </c>
      <c r="BE19" s="133">
        <f>X92</f>
        <v>518.19999999999993</v>
      </c>
      <c r="BF19" s="133">
        <f>Z92</f>
        <v>398.2</v>
      </c>
      <c r="BG19" s="133">
        <f>AB92</f>
        <v>67.900000000000006</v>
      </c>
      <c r="BH19" s="133">
        <f>AD92</f>
        <v>109</v>
      </c>
      <c r="BI19" s="133">
        <f>AE92</f>
        <v>75.599999999999994</v>
      </c>
      <c r="BJ19" s="133">
        <f>AF92</f>
        <v>92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25">
      <c r="A20" s="89" t="s">
        <v>251</v>
      </c>
      <c r="B20" s="102">
        <v>14</v>
      </c>
      <c r="C20" s="102">
        <v>14</v>
      </c>
      <c r="D20" s="102">
        <v>14</v>
      </c>
      <c r="E20" s="102">
        <v>14</v>
      </c>
      <c r="F20" s="102">
        <v>14</v>
      </c>
      <c r="G20" s="102">
        <v>14</v>
      </c>
      <c r="H20" s="102">
        <v>14</v>
      </c>
      <c r="I20" s="102">
        <v>14</v>
      </c>
      <c r="J20" s="102">
        <v>14</v>
      </c>
      <c r="K20" s="102">
        <v>14</v>
      </c>
      <c r="L20" s="102">
        <v>14</v>
      </c>
      <c r="M20" s="102">
        <v>14</v>
      </c>
      <c r="N20" s="102">
        <v>14</v>
      </c>
      <c r="O20" s="102">
        <v>14</v>
      </c>
      <c r="P20" s="102">
        <v>14</v>
      </c>
      <c r="Q20" s="102">
        <v>14</v>
      </c>
      <c r="R20" s="102">
        <v>14</v>
      </c>
      <c r="S20" s="102">
        <v>14</v>
      </c>
      <c r="T20" s="102">
        <v>14</v>
      </c>
      <c r="U20" s="102">
        <v>14</v>
      </c>
      <c r="V20" s="102">
        <v>14</v>
      </c>
      <c r="W20" s="102">
        <v>14</v>
      </c>
      <c r="X20" s="102">
        <v>14</v>
      </c>
      <c r="Y20" s="102">
        <v>14</v>
      </c>
      <c r="Z20" s="102">
        <v>14</v>
      </c>
      <c r="AA20" s="102">
        <v>14</v>
      </c>
      <c r="AB20" s="102">
        <v>14</v>
      </c>
      <c r="AC20" s="102">
        <v>14</v>
      </c>
      <c r="AD20" s="102">
        <v>14</v>
      </c>
      <c r="AE20" s="102">
        <v>14</v>
      </c>
      <c r="AF20" s="102">
        <v>14</v>
      </c>
      <c r="AG20" s="130">
        <v>38.46</v>
      </c>
      <c r="AH20" s="12">
        <f t="shared" si="8"/>
        <v>14</v>
      </c>
      <c r="AI20" s="11">
        <f t="shared" si="9"/>
        <v>14</v>
      </c>
      <c r="AK20" s="19"/>
      <c r="AL20" s="135" t="s">
        <v>250</v>
      </c>
      <c r="AM20" s="134">
        <f t="shared" ref="AM20:AR20" si="14">B80</f>
        <v>20.7</v>
      </c>
      <c r="AN20" s="134">
        <f t="shared" si="14"/>
        <v>20.8</v>
      </c>
      <c r="AO20" s="134">
        <f t="shared" si="14"/>
        <v>20.8</v>
      </c>
      <c r="AP20" s="134">
        <f t="shared" si="14"/>
        <v>40.700000000000003</v>
      </c>
      <c r="AQ20" s="134">
        <f t="shared" si="14"/>
        <v>40.700000000000003</v>
      </c>
      <c r="AR20" s="134">
        <f t="shared" si="14"/>
        <v>40.700000000000003</v>
      </c>
      <c r="AS20" s="134">
        <f>I80</f>
        <v>48.8</v>
      </c>
      <c r="AT20" s="134">
        <f>K80</f>
        <v>0</v>
      </c>
      <c r="AU20" s="134">
        <f t="shared" ref="AU20:BD20" si="15">M80</f>
        <v>0</v>
      </c>
      <c r="AV20" s="134">
        <f t="shared" si="15"/>
        <v>0</v>
      </c>
      <c r="AW20" s="134">
        <f t="shared" si="15"/>
        <v>0</v>
      </c>
      <c r="AX20" s="134">
        <f t="shared" si="15"/>
        <v>0</v>
      </c>
      <c r="AY20" s="134">
        <f t="shared" si="15"/>
        <v>0</v>
      </c>
      <c r="AZ20" s="134">
        <f t="shared" si="15"/>
        <v>0</v>
      </c>
      <c r="BA20" s="134">
        <f t="shared" si="15"/>
        <v>0</v>
      </c>
      <c r="BB20" s="134">
        <f t="shared" si="15"/>
        <v>0</v>
      </c>
      <c r="BC20" s="134">
        <f t="shared" si="15"/>
        <v>0</v>
      </c>
      <c r="BD20" s="134">
        <f t="shared" si="15"/>
        <v>0</v>
      </c>
      <c r="BE20" s="133">
        <f>X80</f>
        <v>16.8</v>
      </c>
      <c r="BF20" s="133">
        <f>Z80</f>
        <v>18.59</v>
      </c>
      <c r="BG20" s="133">
        <f>AB80</f>
        <v>79.8</v>
      </c>
      <c r="BH20" s="133">
        <f>AD80</f>
        <v>48.1</v>
      </c>
      <c r="BI20" s="133">
        <f>AE80</f>
        <v>31.6</v>
      </c>
      <c r="BJ20" s="133">
        <f>AF80</f>
        <v>0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25">
      <c r="A21" s="89" t="s">
        <v>249</v>
      </c>
      <c r="B21" s="102">
        <v>0</v>
      </c>
      <c r="C21" s="102">
        <v>0</v>
      </c>
      <c r="D21" s="102">
        <v>0</v>
      </c>
      <c r="E21" s="102">
        <v>0</v>
      </c>
      <c r="F21" s="102">
        <v>0</v>
      </c>
      <c r="G21" s="102">
        <v>0</v>
      </c>
      <c r="H21" s="102">
        <v>0</v>
      </c>
      <c r="I21" s="102">
        <v>0</v>
      </c>
      <c r="J21" s="102">
        <v>0</v>
      </c>
      <c r="K21" s="102">
        <v>0</v>
      </c>
      <c r="L21" s="102">
        <v>0</v>
      </c>
      <c r="M21" s="102">
        <v>0</v>
      </c>
      <c r="N21" s="102">
        <v>0</v>
      </c>
      <c r="O21" s="102">
        <v>0</v>
      </c>
      <c r="P21" s="102">
        <v>0</v>
      </c>
      <c r="Q21" s="102">
        <v>0</v>
      </c>
      <c r="R21" s="102">
        <v>0</v>
      </c>
      <c r="S21" s="102">
        <v>0</v>
      </c>
      <c r="T21" s="102">
        <v>0</v>
      </c>
      <c r="U21" s="102">
        <v>0</v>
      </c>
      <c r="V21" s="102">
        <v>0</v>
      </c>
      <c r="W21" s="102">
        <v>0</v>
      </c>
      <c r="X21" s="102">
        <v>0</v>
      </c>
      <c r="Y21" s="102">
        <v>0</v>
      </c>
      <c r="Z21" s="102">
        <v>0</v>
      </c>
      <c r="AA21" s="102">
        <v>0</v>
      </c>
      <c r="AB21" s="102">
        <v>0</v>
      </c>
      <c r="AC21" s="102">
        <v>0</v>
      </c>
      <c r="AD21" s="102">
        <v>0</v>
      </c>
      <c r="AE21" s="102">
        <v>0</v>
      </c>
      <c r="AF21" s="102">
        <v>0</v>
      </c>
      <c r="AG21" s="130">
        <v>36</v>
      </c>
      <c r="AH21" s="12">
        <f t="shared" si="8"/>
        <v>0</v>
      </c>
      <c r="AI21" s="11">
        <f t="shared" si="9"/>
        <v>0</v>
      </c>
      <c r="AK21" s="19"/>
      <c r="AL21" s="135" t="s">
        <v>248</v>
      </c>
      <c r="AM21" s="134">
        <f t="shared" ref="AM21:AR21" si="16">B98</f>
        <v>250</v>
      </c>
      <c r="AN21" s="134">
        <f t="shared" si="16"/>
        <v>250</v>
      </c>
      <c r="AO21" s="134">
        <f t="shared" si="16"/>
        <v>250</v>
      </c>
      <c r="AP21" s="134">
        <f t="shared" si="16"/>
        <v>250</v>
      </c>
      <c r="AQ21" s="134">
        <f t="shared" si="16"/>
        <v>250</v>
      </c>
      <c r="AR21" s="134">
        <f t="shared" si="16"/>
        <v>240</v>
      </c>
      <c r="AS21" s="134">
        <f>I98</f>
        <v>150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150</v>
      </c>
      <c r="BG21" s="133">
        <f>AB98</f>
        <v>200</v>
      </c>
      <c r="BH21" s="133">
        <f>AD98</f>
        <v>200</v>
      </c>
      <c r="BI21" s="133">
        <f>AE98</f>
        <v>200</v>
      </c>
      <c r="BJ21" s="133">
        <f>AF98</f>
        <v>200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25">
      <c r="A22" s="89" t="s">
        <v>247</v>
      </c>
      <c r="B22" s="102">
        <v>11.1</v>
      </c>
      <c r="C22" s="102">
        <v>11.1</v>
      </c>
      <c r="D22" s="102">
        <v>11.1</v>
      </c>
      <c r="E22" s="102">
        <v>11.1</v>
      </c>
      <c r="F22" s="102">
        <v>11.1</v>
      </c>
      <c r="G22" s="102">
        <v>9</v>
      </c>
      <c r="H22" s="102">
        <v>9</v>
      </c>
      <c r="I22" s="102">
        <v>9</v>
      </c>
      <c r="J22" s="102">
        <v>9</v>
      </c>
      <c r="K22" s="102">
        <v>9</v>
      </c>
      <c r="L22" s="102">
        <v>9</v>
      </c>
      <c r="M22" s="102">
        <v>9</v>
      </c>
      <c r="N22" s="102">
        <v>9</v>
      </c>
      <c r="O22" s="102">
        <v>9</v>
      </c>
      <c r="P22" s="102">
        <v>9</v>
      </c>
      <c r="Q22" s="102">
        <v>9</v>
      </c>
      <c r="R22" s="102">
        <v>9</v>
      </c>
      <c r="S22" s="102">
        <v>9</v>
      </c>
      <c r="T22" s="102">
        <v>9</v>
      </c>
      <c r="U22" s="102">
        <v>9</v>
      </c>
      <c r="V22" s="102">
        <v>9</v>
      </c>
      <c r="W22" s="102">
        <v>9</v>
      </c>
      <c r="X22" s="102">
        <v>9</v>
      </c>
      <c r="Y22" s="102">
        <v>9</v>
      </c>
      <c r="Z22" s="102">
        <v>9</v>
      </c>
      <c r="AA22" s="102">
        <v>9</v>
      </c>
      <c r="AB22" s="102">
        <v>10.199999999999999</v>
      </c>
      <c r="AC22" s="102">
        <v>10.199999999999999</v>
      </c>
      <c r="AD22" s="102">
        <v>10.199999999999999</v>
      </c>
      <c r="AE22" s="102">
        <v>10.199999999999999</v>
      </c>
      <c r="AF22" s="102">
        <v>10.199999999999999</v>
      </c>
      <c r="AG22" s="88">
        <v>30</v>
      </c>
      <c r="AH22" s="12">
        <f t="shared" si="8"/>
        <v>11.1</v>
      </c>
      <c r="AI22" s="11">
        <f t="shared" si="9"/>
        <v>9</v>
      </c>
      <c r="AK22" s="19"/>
      <c r="AL22" s="132" t="s">
        <v>246</v>
      </c>
      <c r="AM22" s="131">
        <f t="shared" ref="AM22:BJ22" si="18">SUM(AM16:AM21)</f>
        <v>1515.44</v>
      </c>
      <c r="AN22" s="131">
        <f t="shared" si="18"/>
        <v>1468.24</v>
      </c>
      <c r="AO22" s="131">
        <f t="shared" si="18"/>
        <v>1441.84</v>
      </c>
      <c r="AP22" s="131">
        <f t="shared" si="18"/>
        <v>1432.44</v>
      </c>
      <c r="AQ22" s="131">
        <f t="shared" si="18"/>
        <v>1444.74</v>
      </c>
      <c r="AR22" s="131">
        <f t="shared" si="18"/>
        <v>1454.44</v>
      </c>
      <c r="AS22" s="131">
        <f t="shared" si="18"/>
        <v>1493.039</v>
      </c>
      <c r="AT22" s="131">
        <f t="shared" si="18"/>
        <v>1671.4399999999998</v>
      </c>
      <c r="AU22" s="131">
        <f t="shared" si="18"/>
        <v>1656.44</v>
      </c>
      <c r="AV22" s="131">
        <f t="shared" si="18"/>
        <v>1539.14</v>
      </c>
      <c r="AW22" s="131">
        <f t="shared" si="18"/>
        <v>1483.3400000000001</v>
      </c>
      <c r="AX22" s="131">
        <f t="shared" si="18"/>
        <v>1560.84</v>
      </c>
      <c r="AY22" s="131">
        <f t="shared" si="18"/>
        <v>1531.94</v>
      </c>
      <c r="AZ22" s="131">
        <f t="shared" si="18"/>
        <v>1586.0400000000002</v>
      </c>
      <c r="BA22" s="131">
        <f t="shared" si="18"/>
        <v>1503.14</v>
      </c>
      <c r="BB22" s="131">
        <f t="shared" si="18"/>
        <v>1600.54</v>
      </c>
      <c r="BC22" s="131">
        <f t="shared" si="18"/>
        <v>1492.94</v>
      </c>
      <c r="BD22" s="131">
        <f t="shared" si="18"/>
        <v>1433.8400000000001</v>
      </c>
      <c r="BE22" s="131">
        <f t="shared" si="18"/>
        <v>1352.14</v>
      </c>
      <c r="BF22" s="131">
        <f t="shared" si="18"/>
        <v>1465.33</v>
      </c>
      <c r="BG22" s="131">
        <f t="shared" si="18"/>
        <v>1493.8400000000001</v>
      </c>
      <c r="BH22" s="131">
        <f t="shared" si="18"/>
        <v>1471.34</v>
      </c>
      <c r="BI22" s="131">
        <f t="shared" si="18"/>
        <v>1342.4399999999998</v>
      </c>
      <c r="BJ22" s="131">
        <f t="shared" si="18"/>
        <v>1306.8400000000001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25">
      <c r="A23" s="89" t="s">
        <v>245</v>
      </c>
      <c r="B23" s="102">
        <v>7.1</v>
      </c>
      <c r="C23" s="102">
        <v>7.1</v>
      </c>
      <c r="D23" s="102">
        <v>7.1</v>
      </c>
      <c r="E23" s="102">
        <v>7.1</v>
      </c>
      <c r="F23" s="102">
        <v>7.1</v>
      </c>
      <c r="G23" s="102">
        <v>7.1</v>
      </c>
      <c r="H23" s="102">
        <v>7.1</v>
      </c>
      <c r="I23" s="102">
        <v>7.1</v>
      </c>
      <c r="J23" s="102">
        <v>7.1</v>
      </c>
      <c r="K23" s="102">
        <v>7.1</v>
      </c>
      <c r="L23" s="102">
        <v>7.1</v>
      </c>
      <c r="M23" s="102">
        <v>7.1</v>
      </c>
      <c r="N23" s="102">
        <v>7.1</v>
      </c>
      <c r="O23" s="102">
        <v>7.1</v>
      </c>
      <c r="P23" s="102">
        <v>7.1</v>
      </c>
      <c r="Q23" s="102">
        <v>7.1</v>
      </c>
      <c r="R23" s="102">
        <v>7.1</v>
      </c>
      <c r="S23" s="102">
        <v>7.1</v>
      </c>
      <c r="T23" s="102">
        <v>7.1</v>
      </c>
      <c r="U23" s="102">
        <v>7.1</v>
      </c>
      <c r="V23" s="102">
        <v>7.1</v>
      </c>
      <c r="W23" s="102">
        <v>7.1</v>
      </c>
      <c r="X23" s="102">
        <v>7.1</v>
      </c>
      <c r="Y23" s="102">
        <v>7.1</v>
      </c>
      <c r="Z23" s="102">
        <v>7.1</v>
      </c>
      <c r="AA23" s="102">
        <v>7.1</v>
      </c>
      <c r="AB23" s="102">
        <v>7.1</v>
      </c>
      <c r="AC23" s="102">
        <v>7.1</v>
      </c>
      <c r="AD23" s="102">
        <v>7.1</v>
      </c>
      <c r="AE23" s="102">
        <v>7.1</v>
      </c>
      <c r="AF23" s="102">
        <v>7.1</v>
      </c>
      <c r="AG23" s="130">
        <v>24.2</v>
      </c>
      <c r="AH23" s="12">
        <f t="shared" si="8"/>
        <v>7.1</v>
      </c>
      <c r="AI23" s="11">
        <f t="shared" si="9"/>
        <v>7.1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-1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25">
      <c r="A24" s="89" t="s">
        <v>244</v>
      </c>
      <c r="B24" s="102">
        <v>7.5</v>
      </c>
      <c r="C24" s="102">
        <v>7.5</v>
      </c>
      <c r="D24" s="102">
        <v>7.5</v>
      </c>
      <c r="E24" s="102">
        <v>7.5</v>
      </c>
      <c r="F24" s="102">
        <v>7.5</v>
      </c>
      <c r="G24" s="102">
        <v>7.5</v>
      </c>
      <c r="H24" s="102">
        <v>7.5</v>
      </c>
      <c r="I24" s="102">
        <v>7.5</v>
      </c>
      <c r="J24" s="102">
        <v>7.5</v>
      </c>
      <c r="K24" s="102">
        <v>7.5</v>
      </c>
      <c r="L24" s="102">
        <v>7.5</v>
      </c>
      <c r="M24" s="102">
        <v>7.5</v>
      </c>
      <c r="N24" s="102">
        <v>7.5</v>
      </c>
      <c r="O24" s="102">
        <v>7.5</v>
      </c>
      <c r="P24" s="102">
        <v>7.5</v>
      </c>
      <c r="Q24" s="102">
        <v>7.5</v>
      </c>
      <c r="R24" s="102">
        <v>7.5</v>
      </c>
      <c r="S24" s="102">
        <v>7.5</v>
      </c>
      <c r="T24" s="102">
        <v>7.5</v>
      </c>
      <c r="U24" s="102">
        <v>7.5</v>
      </c>
      <c r="V24" s="102">
        <v>7.5</v>
      </c>
      <c r="W24" s="102">
        <v>7.5</v>
      </c>
      <c r="X24" s="102">
        <v>7.5</v>
      </c>
      <c r="Y24" s="102">
        <v>7.5</v>
      </c>
      <c r="Z24" s="102">
        <v>7.5</v>
      </c>
      <c r="AA24" s="102">
        <v>7.5</v>
      </c>
      <c r="AB24" s="102">
        <v>7.5</v>
      </c>
      <c r="AC24" s="102">
        <v>10</v>
      </c>
      <c r="AD24" s="102">
        <v>10</v>
      </c>
      <c r="AE24" s="102">
        <v>10</v>
      </c>
      <c r="AF24" s="102">
        <v>10</v>
      </c>
      <c r="AG24" s="130">
        <v>28</v>
      </c>
      <c r="AH24" s="12">
        <f t="shared" si="8"/>
        <v>10</v>
      </c>
      <c r="AI24" s="11">
        <f t="shared" si="9"/>
        <v>7.5</v>
      </c>
      <c r="AK24" s="19"/>
      <c r="AL24" s="132" t="s">
        <v>243</v>
      </c>
      <c r="AM24" s="131">
        <f t="shared" ref="AM24:BJ24" si="21">AM22+AM23</f>
        <v>1515.44</v>
      </c>
      <c r="AN24" s="131">
        <f t="shared" si="21"/>
        <v>1468.24</v>
      </c>
      <c r="AO24" s="131">
        <f t="shared" si="21"/>
        <v>1441.84</v>
      </c>
      <c r="AP24" s="131">
        <f t="shared" si="21"/>
        <v>1432.44</v>
      </c>
      <c r="AQ24" s="131">
        <f t="shared" si="21"/>
        <v>1444.74</v>
      </c>
      <c r="AR24" s="131">
        <f t="shared" si="21"/>
        <v>1454.44</v>
      </c>
      <c r="AS24" s="131">
        <f t="shared" si="21"/>
        <v>1493.039</v>
      </c>
      <c r="AT24" s="131">
        <f t="shared" si="21"/>
        <v>1671.4399999999998</v>
      </c>
      <c r="AU24" s="131">
        <f t="shared" si="21"/>
        <v>1656.44</v>
      </c>
      <c r="AV24" s="131">
        <f t="shared" si="21"/>
        <v>1539.14</v>
      </c>
      <c r="AW24" s="131">
        <f t="shared" si="21"/>
        <v>1483.3400000000001</v>
      </c>
      <c r="AX24" s="131">
        <f t="shared" si="21"/>
        <v>1560.84</v>
      </c>
      <c r="AY24" s="131">
        <f t="shared" si="21"/>
        <v>1530.94</v>
      </c>
      <c r="AZ24" s="131">
        <f t="shared" si="21"/>
        <v>1586.0400000000002</v>
      </c>
      <c r="BA24" s="131">
        <f t="shared" si="21"/>
        <v>1503.14</v>
      </c>
      <c r="BB24" s="131">
        <f t="shared" si="21"/>
        <v>1600.54</v>
      </c>
      <c r="BC24" s="131">
        <f t="shared" si="21"/>
        <v>1492.94</v>
      </c>
      <c r="BD24" s="131">
        <f t="shared" si="21"/>
        <v>1433.8400000000001</v>
      </c>
      <c r="BE24" s="131">
        <f t="shared" si="21"/>
        <v>1352.14</v>
      </c>
      <c r="BF24" s="131">
        <f t="shared" si="21"/>
        <v>1465.33</v>
      </c>
      <c r="BG24" s="131">
        <f t="shared" si="21"/>
        <v>1493.8400000000001</v>
      </c>
      <c r="BH24" s="131">
        <f t="shared" si="21"/>
        <v>1471.34</v>
      </c>
      <c r="BI24" s="131">
        <f t="shared" si="21"/>
        <v>1342.4399999999998</v>
      </c>
      <c r="BJ24" s="131">
        <f t="shared" si="21"/>
        <v>1306.8400000000001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25">
      <c r="A25" s="89" t="s">
        <v>242</v>
      </c>
      <c r="B25" s="102">
        <v>9</v>
      </c>
      <c r="C25" s="102">
        <v>9</v>
      </c>
      <c r="D25" s="102">
        <v>9</v>
      </c>
      <c r="E25" s="102">
        <v>9</v>
      </c>
      <c r="F25" s="102">
        <v>9</v>
      </c>
      <c r="G25" s="102">
        <v>9</v>
      </c>
      <c r="H25" s="102">
        <v>9</v>
      </c>
      <c r="I25" s="102">
        <v>9</v>
      </c>
      <c r="J25" s="102">
        <v>9</v>
      </c>
      <c r="K25" s="102">
        <v>9</v>
      </c>
      <c r="L25" s="102">
        <v>9</v>
      </c>
      <c r="M25" s="102">
        <v>9</v>
      </c>
      <c r="N25" s="102">
        <v>9</v>
      </c>
      <c r="O25" s="102">
        <v>9</v>
      </c>
      <c r="P25" s="102">
        <v>9</v>
      </c>
      <c r="Q25" s="102">
        <v>9</v>
      </c>
      <c r="R25" s="102">
        <v>9</v>
      </c>
      <c r="S25" s="102">
        <v>9</v>
      </c>
      <c r="T25" s="102">
        <v>9</v>
      </c>
      <c r="U25" s="102">
        <v>9</v>
      </c>
      <c r="V25" s="102">
        <v>9</v>
      </c>
      <c r="W25" s="102">
        <v>9</v>
      </c>
      <c r="X25" s="102">
        <v>9</v>
      </c>
      <c r="Y25" s="102">
        <v>9</v>
      </c>
      <c r="Z25" s="102">
        <v>9</v>
      </c>
      <c r="AA25" s="102">
        <v>9</v>
      </c>
      <c r="AB25" s="102">
        <v>9.1</v>
      </c>
      <c r="AC25" s="102">
        <v>7.6</v>
      </c>
      <c r="AD25" s="102">
        <v>7.6</v>
      </c>
      <c r="AE25" s="102">
        <v>7.6</v>
      </c>
      <c r="AF25" s="102">
        <v>7.6</v>
      </c>
      <c r="AG25" s="88">
        <v>30</v>
      </c>
      <c r="AH25" s="12">
        <f t="shared" si="8"/>
        <v>9.1</v>
      </c>
      <c r="AI25" s="11">
        <f t="shared" si="9"/>
        <v>7.6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25">
      <c r="A26" s="89" t="s">
        <v>241</v>
      </c>
      <c r="B26" s="102">
        <v>13.1</v>
      </c>
      <c r="C26" s="102">
        <v>13.1</v>
      </c>
      <c r="D26" s="102">
        <v>13.1</v>
      </c>
      <c r="E26" s="102">
        <v>12.4</v>
      </c>
      <c r="F26" s="102">
        <v>12.4</v>
      </c>
      <c r="G26" s="102">
        <v>12.4</v>
      </c>
      <c r="H26" s="102">
        <v>12.4</v>
      </c>
      <c r="I26" s="102">
        <v>12.4</v>
      </c>
      <c r="J26" s="102">
        <v>12.4</v>
      </c>
      <c r="K26" s="102">
        <v>12.4</v>
      </c>
      <c r="L26" s="102">
        <v>12.4</v>
      </c>
      <c r="M26" s="102">
        <v>12.4</v>
      </c>
      <c r="N26" s="102">
        <v>12.4</v>
      </c>
      <c r="O26" s="102">
        <v>12.4</v>
      </c>
      <c r="P26" s="102">
        <v>12.4</v>
      </c>
      <c r="Q26" s="102">
        <v>12.4</v>
      </c>
      <c r="R26" s="102">
        <v>12.4</v>
      </c>
      <c r="S26" s="102">
        <v>12.4</v>
      </c>
      <c r="T26" s="102">
        <v>12.4</v>
      </c>
      <c r="U26" s="102">
        <v>12.4</v>
      </c>
      <c r="V26" s="102">
        <v>12.4</v>
      </c>
      <c r="W26" s="102">
        <v>12.4</v>
      </c>
      <c r="X26" s="102">
        <v>12.4</v>
      </c>
      <c r="Y26" s="102">
        <v>12.4</v>
      </c>
      <c r="Z26" s="102">
        <v>12.4</v>
      </c>
      <c r="AA26" s="102">
        <v>12.4</v>
      </c>
      <c r="AB26" s="102">
        <v>12.4</v>
      </c>
      <c r="AC26" s="102">
        <v>11.9</v>
      </c>
      <c r="AD26" s="102">
        <v>11.9</v>
      </c>
      <c r="AE26" s="102">
        <v>11.9</v>
      </c>
      <c r="AF26" s="102">
        <v>11.9</v>
      </c>
      <c r="AG26" s="130">
        <v>25</v>
      </c>
      <c r="AH26" s="12">
        <f t="shared" si="8"/>
        <v>13.1</v>
      </c>
      <c r="AI26" s="11">
        <f t="shared" si="9"/>
        <v>11.9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25">
      <c r="A27" s="89" t="s">
        <v>240</v>
      </c>
      <c r="B27" s="102">
        <v>8</v>
      </c>
      <c r="C27" s="102">
        <v>8</v>
      </c>
      <c r="D27" s="102">
        <v>8</v>
      </c>
      <c r="E27" s="102">
        <v>8</v>
      </c>
      <c r="F27" s="102">
        <v>8</v>
      </c>
      <c r="G27" s="102">
        <v>8</v>
      </c>
      <c r="H27" s="102">
        <v>8</v>
      </c>
      <c r="I27" s="102">
        <v>8</v>
      </c>
      <c r="J27" s="102">
        <v>8</v>
      </c>
      <c r="K27" s="102">
        <v>8</v>
      </c>
      <c r="L27" s="102">
        <v>8</v>
      </c>
      <c r="M27" s="102">
        <v>8</v>
      </c>
      <c r="N27" s="102">
        <v>8</v>
      </c>
      <c r="O27" s="102">
        <v>8</v>
      </c>
      <c r="P27" s="102">
        <v>8</v>
      </c>
      <c r="Q27" s="102">
        <v>8</v>
      </c>
      <c r="R27" s="102">
        <v>8</v>
      </c>
      <c r="S27" s="102">
        <v>8</v>
      </c>
      <c r="T27" s="102">
        <v>8</v>
      </c>
      <c r="U27" s="102">
        <v>8</v>
      </c>
      <c r="V27" s="102">
        <v>8</v>
      </c>
      <c r="W27" s="102">
        <v>8</v>
      </c>
      <c r="X27" s="102">
        <v>8</v>
      </c>
      <c r="Y27" s="102">
        <v>8</v>
      </c>
      <c r="Z27" s="102">
        <v>8</v>
      </c>
      <c r="AA27" s="102">
        <v>8</v>
      </c>
      <c r="AB27" s="102">
        <v>8</v>
      </c>
      <c r="AC27" s="102">
        <v>8</v>
      </c>
      <c r="AD27" s="102">
        <v>8</v>
      </c>
      <c r="AE27" s="102">
        <v>8</v>
      </c>
      <c r="AF27" s="102">
        <v>8</v>
      </c>
      <c r="AG27" s="130">
        <v>25</v>
      </c>
      <c r="AH27" s="12">
        <f t="shared" si="8"/>
        <v>8</v>
      </c>
      <c r="AI27" s="11">
        <f t="shared" si="9"/>
        <v>8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25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25">
      <c r="A29" s="89" t="s">
        <v>238</v>
      </c>
      <c r="B29" s="102">
        <v>13.4</v>
      </c>
      <c r="C29" s="102">
        <v>13.4</v>
      </c>
      <c r="D29" s="102">
        <v>13.4</v>
      </c>
      <c r="E29" s="102">
        <v>13.4</v>
      </c>
      <c r="F29" s="102">
        <v>13.4</v>
      </c>
      <c r="G29" s="102">
        <v>13.4</v>
      </c>
      <c r="H29" s="102">
        <v>13.4</v>
      </c>
      <c r="I29" s="102">
        <v>13.4</v>
      </c>
      <c r="J29" s="102">
        <v>13.4</v>
      </c>
      <c r="K29" s="102">
        <v>13.4</v>
      </c>
      <c r="L29" s="102">
        <v>13.4</v>
      </c>
      <c r="M29" s="102">
        <v>13.4</v>
      </c>
      <c r="N29" s="102">
        <v>13.4</v>
      </c>
      <c r="O29" s="102">
        <v>13.4</v>
      </c>
      <c r="P29" s="102">
        <v>13.4</v>
      </c>
      <c r="Q29" s="102">
        <v>13.4</v>
      </c>
      <c r="R29" s="102">
        <v>13.4</v>
      </c>
      <c r="S29" s="102">
        <v>13.4</v>
      </c>
      <c r="T29" s="102">
        <v>13.4</v>
      </c>
      <c r="U29" s="102">
        <v>13.4</v>
      </c>
      <c r="V29" s="102">
        <v>13.4</v>
      </c>
      <c r="W29" s="102">
        <v>13.4</v>
      </c>
      <c r="X29" s="102">
        <v>13.4</v>
      </c>
      <c r="Y29" s="102">
        <v>13.4</v>
      </c>
      <c r="Z29" s="102">
        <v>13.4</v>
      </c>
      <c r="AA29" s="102">
        <v>13.4</v>
      </c>
      <c r="AB29" s="102">
        <v>13.4</v>
      </c>
      <c r="AC29" s="102">
        <v>13.4</v>
      </c>
      <c r="AD29" s="102">
        <v>13.4</v>
      </c>
      <c r="AE29" s="102">
        <v>13.4</v>
      </c>
      <c r="AF29" s="102">
        <v>13.4</v>
      </c>
      <c r="AG29" s="130">
        <v>25</v>
      </c>
      <c r="AH29" s="12">
        <f t="shared" si="8"/>
        <v>13.4</v>
      </c>
      <c r="AI29" s="11">
        <f t="shared" si="9"/>
        <v>13.4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25">
      <c r="A30" s="89" t="s">
        <v>237</v>
      </c>
      <c r="B30" s="102">
        <v>4.4000000000000004</v>
      </c>
      <c r="C30" s="102">
        <v>4.4000000000000004</v>
      </c>
      <c r="D30" s="102">
        <v>4.4000000000000004</v>
      </c>
      <c r="E30" s="102">
        <v>4.4000000000000004</v>
      </c>
      <c r="F30" s="102">
        <v>4.4000000000000004</v>
      </c>
      <c r="G30" s="102">
        <v>4.4000000000000004</v>
      </c>
      <c r="H30" s="102">
        <v>4.4000000000000004</v>
      </c>
      <c r="I30" s="102">
        <v>4.4000000000000004</v>
      </c>
      <c r="J30" s="102">
        <v>4.4000000000000004</v>
      </c>
      <c r="K30" s="102">
        <v>4.4000000000000004</v>
      </c>
      <c r="L30" s="102">
        <v>4.4000000000000004</v>
      </c>
      <c r="M30" s="102">
        <v>4.4000000000000004</v>
      </c>
      <c r="N30" s="102">
        <v>4.4000000000000004</v>
      </c>
      <c r="O30" s="102">
        <v>4.4000000000000004</v>
      </c>
      <c r="P30" s="102">
        <v>4.4000000000000004</v>
      </c>
      <c r="Q30" s="102">
        <v>4.4000000000000004</v>
      </c>
      <c r="R30" s="102">
        <v>4.4000000000000004</v>
      </c>
      <c r="S30" s="102">
        <v>4.4000000000000004</v>
      </c>
      <c r="T30" s="102">
        <v>4.4000000000000004</v>
      </c>
      <c r="U30" s="102">
        <v>4.4000000000000004</v>
      </c>
      <c r="V30" s="102">
        <v>4.4000000000000004</v>
      </c>
      <c r="W30" s="102">
        <v>4.4000000000000004</v>
      </c>
      <c r="X30" s="102">
        <v>4.4000000000000004</v>
      </c>
      <c r="Y30" s="102">
        <v>4.4000000000000004</v>
      </c>
      <c r="Z30" s="102">
        <v>4.4000000000000004</v>
      </c>
      <c r="AA30" s="102">
        <v>4.4000000000000004</v>
      </c>
      <c r="AB30" s="102">
        <v>4.4000000000000004</v>
      </c>
      <c r="AC30" s="102">
        <v>5.8</v>
      </c>
      <c r="AD30" s="102">
        <v>5.8</v>
      </c>
      <c r="AE30" s="102">
        <v>5.8</v>
      </c>
      <c r="AF30" s="102">
        <v>5.8</v>
      </c>
      <c r="AG30" s="130">
        <v>23.5</v>
      </c>
      <c r="AH30" s="12">
        <f t="shared" si="8"/>
        <v>5.8</v>
      </c>
      <c r="AI30" s="11">
        <f t="shared" si="9"/>
        <v>4.4000000000000004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25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25">
      <c r="A32" s="89" t="s">
        <v>235</v>
      </c>
      <c r="B32" s="102">
        <v>3</v>
      </c>
      <c r="C32" s="102">
        <v>3</v>
      </c>
      <c r="D32" s="102">
        <v>3</v>
      </c>
      <c r="E32" s="102">
        <v>3</v>
      </c>
      <c r="F32" s="102">
        <v>3</v>
      </c>
      <c r="G32" s="102">
        <v>3</v>
      </c>
      <c r="H32" s="102">
        <v>3</v>
      </c>
      <c r="I32" s="102">
        <v>3</v>
      </c>
      <c r="J32" s="102">
        <v>3</v>
      </c>
      <c r="K32" s="102">
        <v>3</v>
      </c>
      <c r="L32" s="102">
        <v>3</v>
      </c>
      <c r="M32" s="102">
        <v>3</v>
      </c>
      <c r="N32" s="102">
        <v>3</v>
      </c>
      <c r="O32" s="102">
        <v>3</v>
      </c>
      <c r="P32" s="102">
        <v>3</v>
      </c>
      <c r="Q32" s="102">
        <v>3</v>
      </c>
      <c r="R32" s="102">
        <v>3</v>
      </c>
      <c r="S32" s="102">
        <v>3</v>
      </c>
      <c r="T32" s="102">
        <v>3</v>
      </c>
      <c r="U32" s="102">
        <v>3</v>
      </c>
      <c r="V32" s="102">
        <v>3</v>
      </c>
      <c r="W32" s="102">
        <v>3</v>
      </c>
      <c r="X32" s="102">
        <v>3</v>
      </c>
      <c r="Y32" s="102">
        <v>3</v>
      </c>
      <c r="Z32" s="102">
        <v>3</v>
      </c>
      <c r="AA32" s="102">
        <v>3</v>
      </c>
      <c r="AB32" s="102">
        <v>3</v>
      </c>
      <c r="AC32" s="102">
        <v>3</v>
      </c>
      <c r="AD32" s="102">
        <v>3</v>
      </c>
      <c r="AE32" s="102">
        <v>3</v>
      </c>
      <c r="AF32" s="102">
        <v>3</v>
      </c>
      <c r="AG32" s="130">
        <v>22.1</v>
      </c>
      <c r="AH32" s="12">
        <f t="shared" si="8"/>
        <v>3</v>
      </c>
      <c r="AI32" s="11">
        <f t="shared" si="9"/>
        <v>3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25">
      <c r="A33" s="89" t="s">
        <v>234</v>
      </c>
      <c r="B33" s="102">
        <v>3.9</v>
      </c>
      <c r="C33" s="102">
        <v>3.9</v>
      </c>
      <c r="D33" s="102">
        <v>3.9</v>
      </c>
      <c r="E33" s="102">
        <v>3.9</v>
      </c>
      <c r="F33" s="102">
        <v>3.9</v>
      </c>
      <c r="G33" s="102">
        <v>3.9</v>
      </c>
      <c r="H33" s="102">
        <v>3.9</v>
      </c>
      <c r="I33" s="102">
        <v>3.9</v>
      </c>
      <c r="J33" s="102">
        <v>3.9</v>
      </c>
      <c r="K33" s="102">
        <v>3.9</v>
      </c>
      <c r="L33" s="102">
        <v>3.9</v>
      </c>
      <c r="M33" s="102">
        <v>3.9</v>
      </c>
      <c r="N33" s="102">
        <v>3.9</v>
      </c>
      <c r="O33" s="102">
        <v>3.9</v>
      </c>
      <c r="P33" s="102">
        <v>3.9</v>
      </c>
      <c r="Q33" s="102">
        <v>3.9</v>
      </c>
      <c r="R33" s="102">
        <v>3.9</v>
      </c>
      <c r="S33" s="102">
        <v>3.9</v>
      </c>
      <c r="T33" s="102">
        <v>3.9</v>
      </c>
      <c r="U33" s="102">
        <v>3.9</v>
      </c>
      <c r="V33" s="102">
        <v>3.9</v>
      </c>
      <c r="W33" s="102">
        <v>3.9</v>
      </c>
      <c r="X33" s="102">
        <v>3.9</v>
      </c>
      <c r="Y33" s="102">
        <v>3.9</v>
      </c>
      <c r="Z33" s="102">
        <v>3.9</v>
      </c>
      <c r="AA33" s="102">
        <v>3.9</v>
      </c>
      <c r="AB33" s="102">
        <v>3.9</v>
      </c>
      <c r="AC33" s="102">
        <v>3.9</v>
      </c>
      <c r="AD33" s="102">
        <v>3.9</v>
      </c>
      <c r="AE33" s="102">
        <v>3.9</v>
      </c>
      <c r="AF33" s="102">
        <v>3.9</v>
      </c>
      <c r="AG33" s="130">
        <v>22</v>
      </c>
      <c r="AH33" s="12">
        <f t="shared" si="8"/>
        <v>3.9</v>
      </c>
      <c r="AI33" s="11">
        <f t="shared" si="9"/>
        <v>3.9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25">
      <c r="A34" s="89" t="s">
        <v>233</v>
      </c>
      <c r="B34" s="102">
        <v>6.5</v>
      </c>
      <c r="C34" s="102">
        <v>6.5</v>
      </c>
      <c r="D34" s="102">
        <v>6.5</v>
      </c>
      <c r="E34" s="102">
        <v>6.5</v>
      </c>
      <c r="F34" s="102">
        <v>6.5</v>
      </c>
      <c r="G34" s="102">
        <v>6.5</v>
      </c>
      <c r="H34" s="102">
        <v>6.5</v>
      </c>
      <c r="I34" s="102">
        <v>6.5</v>
      </c>
      <c r="J34" s="102">
        <v>6.5</v>
      </c>
      <c r="K34" s="102">
        <v>6.5</v>
      </c>
      <c r="L34" s="102">
        <v>6.5</v>
      </c>
      <c r="M34" s="102">
        <v>6.5</v>
      </c>
      <c r="N34" s="102">
        <v>6.5</v>
      </c>
      <c r="O34" s="102">
        <v>6.5</v>
      </c>
      <c r="P34" s="102">
        <v>6.5</v>
      </c>
      <c r="Q34" s="102">
        <v>6.5</v>
      </c>
      <c r="R34" s="102">
        <v>6.5</v>
      </c>
      <c r="S34" s="102">
        <v>6.5</v>
      </c>
      <c r="T34" s="102">
        <v>6.5</v>
      </c>
      <c r="U34" s="102">
        <v>6.5</v>
      </c>
      <c r="V34" s="102">
        <v>6.5</v>
      </c>
      <c r="W34" s="102">
        <v>6.5</v>
      </c>
      <c r="X34" s="102">
        <v>6.5</v>
      </c>
      <c r="Y34" s="102">
        <v>6.5</v>
      </c>
      <c r="Z34" s="102">
        <v>6.5</v>
      </c>
      <c r="AA34" s="102">
        <v>6.5</v>
      </c>
      <c r="AB34" s="102">
        <v>6.5</v>
      </c>
      <c r="AC34" s="102">
        <v>12.6</v>
      </c>
      <c r="AD34" s="102">
        <v>12.6</v>
      </c>
      <c r="AE34" s="102">
        <v>12.6</v>
      </c>
      <c r="AF34" s="102">
        <v>12.6</v>
      </c>
      <c r="AG34" s="130">
        <v>22</v>
      </c>
      <c r="AH34" s="12">
        <f t="shared" si="8"/>
        <v>12.6</v>
      </c>
      <c r="AI34" s="11">
        <f t="shared" si="9"/>
        <v>6.5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25">
      <c r="A35" s="89" t="s">
        <v>232</v>
      </c>
      <c r="B35" s="102">
        <v>16.2</v>
      </c>
      <c r="C35" s="102">
        <v>16.2</v>
      </c>
      <c r="D35" s="102">
        <v>16.2</v>
      </c>
      <c r="E35" s="102">
        <v>11.1</v>
      </c>
      <c r="F35" s="102">
        <v>11.1</v>
      </c>
      <c r="G35" s="102">
        <v>11.1</v>
      </c>
      <c r="H35" s="102">
        <v>11.1</v>
      </c>
      <c r="I35" s="102">
        <v>11.1</v>
      </c>
      <c r="J35" s="102">
        <v>11.1</v>
      </c>
      <c r="K35" s="102">
        <v>11.1</v>
      </c>
      <c r="L35" s="102">
        <v>11.1</v>
      </c>
      <c r="M35" s="102">
        <v>11.1</v>
      </c>
      <c r="N35" s="102">
        <v>11.1</v>
      </c>
      <c r="O35" s="102">
        <v>11.1</v>
      </c>
      <c r="P35" s="102">
        <v>11.1</v>
      </c>
      <c r="Q35" s="102">
        <v>11.1</v>
      </c>
      <c r="R35" s="102">
        <v>11.1</v>
      </c>
      <c r="S35" s="102">
        <v>11.1</v>
      </c>
      <c r="T35" s="102">
        <v>11.1</v>
      </c>
      <c r="U35" s="102">
        <v>11.1</v>
      </c>
      <c r="V35" s="102">
        <v>11.1</v>
      </c>
      <c r="W35" s="102">
        <v>11.1</v>
      </c>
      <c r="X35" s="102">
        <v>11.1</v>
      </c>
      <c r="Y35" s="102">
        <v>11.1</v>
      </c>
      <c r="Z35" s="102">
        <v>11.1</v>
      </c>
      <c r="AA35" s="102">
        <v>11.1</v>
      </c>
      <c r="AB35" s="102">
        <v>11.1</v>
      </c>
      <c r="AC35" s="102">
        <v>11.1</v>
      </c>
      <c r="AD35" s="102">
        <v>11.1</v>
      </c>
      <c r="AE35" s="102">
        <v>11.1</v>
      </c>
      <c r="AF35" s="102">
        <v>11.1</v>
      </c>
      <c r="AG35" s="130">
        <v>20</v>
      </c>
      <c r="AH35" s="12">
        <f t="shared" si="8"/>
        <v>16.2</v>
      </c>
      <c r="AI35" s="11">
        <f t="shared" si="9"/>
        <v>11.1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25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25">
      <c r="A37" s="89" t="s">
        <v>230</v>
      </c>
      <c r="B37" s="102">
        <v>5.8</v>
      </c>
      <c r="C37" s="102">
        <v>5.8</v>
      </c>
      <c r="D37" s="102">
        <v>5.8</v>
      </c>
      <c r="E37" s="102">
        <v>5.8</v>
      </c>
      <c r="F37" s="102">
        <v>5.8</v>
      </c>
      <c r="G37" s="102">
        <v>5.8</v>
      </c>
      <c r="H37" s="102">
        <v>5.8</v>
      </c>
      <c r="I37" s="102">
        <v>5.8</v>
      </c>
      <c r="J37" s="102">
        <v>5.8</v>
      </c>
      <c r="K37" s="102">
        <v>5.8</v>
      </c>
      <c r="L37" s="102">
        <v>5.8</v>
      </c>
      <c r="M37" s="102">
        <v>5.8</v>
      </c>
      <c r="N37" s="102">
        <v>5.8</v>
      </c>
      <c r="O37" s="102">
        <v>5.8</v>
      </c>
      <c r="P37" s="102">
        <v>5.8</v>
      </c>
      <c r="Q37" s="102">
        <v>5.8</v>
      </c>
      <c r="R37" s="102">
        <v>5.8</v>
      </c>
      <c r="S37" s="102">
        <v>5.8</v>
      </c>
      <c r="T37" s="102">
        <v>5.8</v>
      </c>
      <c r="U37" s="102">
        <v>5.8</v>
      </c>
      <c r="V37" s="102">
        <v>5.8</v>
      </c>
      <c r="W37" s="102">
        <v>5.8</v>
      </c>
      <c r="X37" s="102">
        <v>5.8</v>
      </c>
      <c r="Y37" s="102">
        <v>5.8</v>
      </c>
      <c r="Z37" s="102">
        <v>5.8</v>
      </c>
      <c r="AA37" s="102">
        <v>5.8</v>
      </c>
      <c r="AB37" s="102">
        <v>5.8</v>
      </c>
      <c r="AC37" s="102">
        <v>5.8</v>
      </c>
      <c r="AD37" s="102">
        <v>5.8</v>
      </c>
      <c r="AE37" s="102">
        <v>5.8</v>
      </c>
      <c r="AF37" s="102">
        <v>5.8</v>
      </c>
      <c r="AG37" s="130">
        <v>18</v>
      </c>
      <c r="AH37" s="12">
        <f t="shared" si="8"/>
        <v>5.8</v>
      </c>
      <c r="AI37" s="11">
        <f t="shared" si="9"/>
        <v>5.8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25">
      <c r="A38" s="89" t="s">
        <v>229</v>
      </c>
      <c r="B38" s="102">
        <v>5.0999999999999996</v>
      </c>
      <c r="C38" s="102">
        <v>5.0999999999999996</v>
      </c>
      <c r="D38" s="102">
        <v>5.0999999999999996</v>
      </c>
      <c r="E38" s="102">
        <v>5.0999999999999996</v>
      </c>
      <c r="F38" s="102">
        <v>5.0999999999999996</v>
      </c>
      <c r="G38" s="102">
        <v>5.0999999999999996</v>
      </c>
      <c r="H38" s="102">
        <v>5.0999999999999996</v>
      </c>
      <c r="I38" s="102">
        <v>5.0999999999999996</v>
      </c>
      <c r="J38" s="102">
        <v>5.0999999999999996</v>
      </c>
      <c r="K38" s="102">
        <v>5.0999999999999996</v>
      </c>
      <c r="L38" s="102">
        <v>5.0999999999999996</v>
      </c>
      <c r="M38" s="102">
        <v>5.0999999999999996</v>
      </c>
      <c r="N38" s="102">
        <v>5.0999999999999996</v>
      </c>
      <c r="O38" s="102">
        <v>5.0999999999999996</v>
      </c>
      <c r="P38" s="102">
        <v>5.0999999999999996</v>
      </c>
      <c r="Q38" s="102">
        <v>5.0999999999999996</v>
      </c>
      <c r="R38" s="102">
        <v>5.0999999999999996</v>
      </c>
      <c r="S38" s="102">
        <v>5.0999999999999996</v>
      </c>
      <c r="T38" s="102">
        <v>5.0999999999999996</v>
      </c>
      <c r="U38" s="102">
        <v>5.0999999999999996</v>
      </c>
      <c r="V38" s="102">
        <v>5.0999999999999996</v>
      </c>
      <c r="W38" s="102">
        <v>5.0999999999999996</v>
      </c>
      <c r="X38" s="102">
        <v>5.0999999999999996</v>
      </c>
      <c r="Y38" s="102">
        <v>5.0999999999999996</v>
      </c>
      <c r="Z38" s="102">
        <v>5.0999999999999996</v>
      </c>
      <c r="AA38" s="102">
        <v>5.0999999999999996</v>
      </c>
      <c r="AB38" s="102">
        <v>5.0999999999999996</v>
      </c>
      <c r="AC38" s="102">
        <v>5.0999999999999996</v>
      </c>
      <c r="AD38" s="102">
        <v>5.0999999999999996</v>
      </c>
      <c r="AE38" s="102">
        <v>5.0999999999999996</v>
      </c>
      <c r="AF38" s="102">
        <v>5.0999999999999996</v>
      </c>
      <c r="AG38" s="130">
        <v>14.9</v>
      </c>
      <c r="AH38" s="12">
        <f t="shared" si="8"/>
        <v>5.0999999999999996</v>
      </c>
      <c r="AI38" s="11">
        <f t="shared" si="9"/>
        <v>5.0999999999999996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25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25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25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25">
      <c r="A42" s="89" t="s">
        <v>225</v>
      </c>
      <c r="B42" s="102">
        <v>5.2</v>
      </c>
      <c r="C42" s="102">
        <v>5.2</v>
      </c>
      <c r="D42" s="102">
        <v>5.2</v>
      </c>
      <c r="E42" s="102">
        <v>5.2</v>
      </c>
      <c r="F42" s="102">
        <v>5.2</v>
      </c>
      <c r="G42" s="102">
        <v>5.2</v>
      </c>
      <c r="H42" s="102">
        <v>5.2</v>
      </c>
      <c r="I42" s="102">
        <v>5.2</v>
      </c>
      <c r="J42" s="102">
        <v>5.2</v>
      </c>
      <c r="K42" s="102">
        <v>5.2</v>
      </c>
      <c r="L42" s="102">
        <v>5.2</v>
      </c>
      <c r="M42" s="102">
        <v>5.2</v>
      </c>
      <c r="N42" s="102">
        <v>5.2</v>
      </c>
      <c r="O42" s="102">
        <v>5.2</v>
      </c>
      <c r="P42" s="102">
        <v>5.2</v>
      </c>
      <c r="Q42" s="102">
        <v>5.2</v>
      </c>
      <c r="R42" s="102">
        <v>5.2</v>
      </c>
      <c r="S42" s="102">
        <v>5.2</v>
      </c>
      <c r="T42" s="102">
        <v>5.2</v>
      </c>
      <c r="U42" s="102">
        <v>5.2</v>
      </c>
      <c r="V42" s="102">
        <v>5.2</v>
      </c>
      <c r="W42" s="102">
        <v>5.2</v>
      </c>
      <c r="X42" s="102">
        <v>5.2</v>
      </c>
      <c r="Y42" s="102">
        <v>5.2</v>
      </c>
      <c r="Z42" s="102">
        <v>5.2</v>
      </c>
      <c r="AA42" s="102">
        <v>5.2</v>
      </c>
      <c r="AB42" s="102">
        <v>5.2</v>
      </c>
      <c r="AC42" s="102">
        <v>5.2</v>
      </c>
      <c r="AD42" s="102">
        <v>5.2</v>
      </c>
      <c r="AE42" s="102">
        <v>5.2</v>
      </c>
      <c r="AF42" s="102">
        <v>5.2</v>
      </c>
      <c r="AG42" s="130">
        <v>13.6</v>
      </c>
      <c r="AH42" s="12">
        <f t="shared" si="8"/>
        <v>5.2</v>
      </c>
      <c r="AI42" s="11">
        <f t="shared" si="9"/>
        <v>5.2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25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25">
      <c r="A44" s="89" t="s">
        <v>223</v>
      </c>
      <c r="B44" s="102">
        <v>0</v>
      </c>
      <c r="C44" s="102">
        <v>0</v>
      </c>
      <c r="D44" s="102">
        <v>0</v>
      </c>
      <c r="E44" s="102">
        <v>0</v>
      </c>
      <c r="F44" s="102">
        <v>0</v>
      </c>
      <c r="G44" s="102">
        <v>0</v>
      </c>
      <c r="H44" s="102">
        <v>0</v>
      </c>
      <c r="I44" s="102">
        <v>0</v>
      </c>
      <c r="J44" s="102">
        <v>0</v>
      </c>
      <c r="K44" s="102">
        <v>0</v>
      </c>
      <c r="L44" s="102">
        <v>0</v>
      </c>
      <c r="M44" s="102">
        <v>0</v>
      </c>
      <c r="N44" s="102">
        <v>0</v>
      </c>
      <c r="O44" s="102">
        <v>0</v>
      </c>
      <c r="P44" s="102">
        <v>0</v>
      </c>
      <c r="Q44" s="102">
        <v>0</v>
      </c>
      <c r="R44" s="102">
        <v>0</v>
      </c>
      <c r="S44" s="102">
        <v>0</v>
      </c>
      <c r="T44" s="102">
        <v>0</v>
      </c>
      <c r="U44" s="102">
        <v>0</v>
      </c>
      <c r="V44" s="102">
        <v>0</v>
      </c>
      <c r="W44" s="102">
        <v>0</v>
      </c>
      <c r="X44" s="102">
        <v>0</v>
      </c>
      <c r="Y44" s="102">
        <v>0</v>
      </c>
      <c r="Z44" s="102">
        <v>0</v>
      </c>
      <c r="AA44" s="102">
        <v>0</v>
      </c>
      <c r="AB44" s="102">
        <v>0</v>
      </c>
      <c r="AC44" s="102">
        <v>0</v>
      </c>
      <c r="AD44" s="102">
        <v>0</v>
      </c>
      <c r="AE44" s="102">
        <v>0</v>
      </c>
      <c r="AF44" s="102">
        <v>0</v>
      </c>
      <c r="AG44" s="130">
        <v>12</v>
      </c>
      <c r="AH44" s="12">
        <f t="shared" si="8"/>
        <v>0</v>
      </c>
      <c r="AI44" s="11">
        <f t="shared" si="9"/>
        <v>0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25">
      <c r="A45" s="89" t="s">
        <v>222</v>
      </c>
      <c r="B45" s="102">
        <v>3.5</v>
      </c>
      <c r="C45" s="102">
        <v>3.5</v>
      </c>
      <c r="D45" s="102">
        <v>3.5</v>
      </c>
      <c r="E45" s="102">
        <v>3.5</v>
      </c>
      <c r="F45" s="102">
        <v>3.5</v>
      </c>
      <c r="G45" s="102">
        <v>3.5</v>
      </c>
      <c r="H45" s="102">
        <v>3.5</v>
      </c>
      <c r="I45" s="102">
        <v>3.5</v>
      </c>
      <c r="J45" s="102">
        <v>3.5</v>
      </c>
      <c r="K45" s="102">
        <v>3.5</v>
      </c>
      <c r="L45" s="102">
        <v>3.5</v>
      </c>
      <c r="M45" s="102">
        <v>3.5</v>
      </c>
      <c r="N45" s="102">
        <v>3.5</v>
      </c>
      <c r="O45" s="102">
        <v>3.5</v>
      </c>
      <c r="P45" s="102">
        <v>3.5</v>
      </c>
      <c r="Q45" s="102">
        <v>3.5</v>
      </c>
      <c r="R45" s="102">
        <v>3.5</v>
      </c>
      <c r="S45" s="102">
        <v>3.5</v>
      </c>
      <c r="T45" s="102">
        <v>3.5</v>
      </c>
      <c r="U45" s="102">
        <v>3.5</v>
      </c>
      <c r="V45" s="102">
        <v>3.5</v>
      </c>
      <c r="W45" s="102">
        <v>3.5</v>
      </c>
      <c r="X45" s="102">
        <v>3.5</v>
      </c>
      <c r="Y45" s="102">
        <v>3.5</v>
      </c>
      <c r="Z45" s="102">
        <v>3.5</v>
      </c>
      <c r="AA45" s="102">
        <v>3.5</v>
      </c>
      <c r="AB45" s="102">
        <v>3.5</v>
      </c>
      <c r="AC45" s="102">
        <v>3.5</v>
      </c>
      <c r="AD45" s="102">
        <v>3.5</v>
      </c>
      <c r="AE45" s="102">
        <v>3.5</v>
      </c>
      <c r="AF45" s="102">
        <v>3.5</v>
      </c>
      <c r="AG45" s="130">
        <v>12</v>
      </c>
      <c r="AH45" s="12">
        <f t="shared" si="8"/>
        <v>3.5</v>
      </c>
      <c r="AI45" s="11">
        <f t="shared" si="9"/>
        <v>3.5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25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25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25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25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25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25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25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25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25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25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25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.75" thickBot="1" x14ac:dyDescent="0.3">
      <c r="A57" s="124" t="s">
        <v>210</v>
      </c>
      <c r="B57" s="122">
        <v>21.5</v>
      </c>
      <c r="C57" s="122">
        <v>21.5</v>
      </c>
      <c r="D57" s="122">
        <v>21.5</v>
      </c>
      <c r="E57" s="122">
        <v>28.1</v>
      </c>
      <c r="F57" s="122">
        <v>28.1</v>
      </c>
      <c r="G57" s="122">
        <v>28.1</v>
      </c>
      <c r="H57" s="122">
        <v>27.9</v>
      </c>
      <c r="I57" s="122">
        <v>28</v>
      </c>
      <c r="J57" s="122">
        <v>28</v>
      </c>
      <c r="K57" s="122">
        <v>28</v>
      </c>
      <c r="L57" s="122">
        <v>28</v>
      </c>
      <c r="M57" s="122">
        <v>28</v>
      </c>
      <c r="N57" s="123">
        <f>13.6+9.1</f>
        <v>22.7</v>
      </c>
      <c r="O57" s="123">
        <f>16+10.6</f>
        <v>26.6</v>
      </c>
      <c r="P57" s="123">
        <f>26.9</f>
        <v>26.9</v>
      </c>
      <c r="Q57" s="123">
        <f>26.9</f>
        <v>26.9</v>
      </c>
      <c r="R57" s="123">
        <f>17.2+10.8</f>
        <v>28</v>
      </c>
      <c r="S57" s="123">
        <v>37</v>
      </c>
      <c r="T57" s="123">
        <v>11</v>
      </c>
      <c r="U57" s="123">
        <v>11</v>
      </c>
      <c r="V57" s="123">
        <v>11</v>
      </c>
      <c r="W57" s="123">
        <v>11</v>
      </c>
      <c r="X57" s="123">
        <v>48</v>
      </c>
      <c r="Y57" s="123">
        <v>48</v>
      </c>
      <c r="Z57" s="122">
        <v>48</v>
      </c>
      <c r="AA57" s="122">
        <v>47</v>
      </c>
      <c r="AB57" s="122">
        <v>50.2</v>
      </c>
      <c r="AC57" s="122">
        <v>50.2</v>
      </c>
      <c r="AD57" s="122">
        <v>50.2</v>
      </c>
      <c r="AE57" s="122">
        <v>50.2</v>
      </c>
      <c r="AF57" s="122">
        <v>50.2</v>
      </c>
      <c r="AG57" s="86">
        <v>240</v>
      </c>
      <c r="AH57" s="12">
        <f t="shared" si="8"/>
        <v>50.2</v>
      </c>
      <c r="AI57" s="11">
        <f t="shared" si="9"/>
        <v>11</v>
      </c>
      <c r="AK57" s="19"/>
    </row>
    <row r="58" spans="1:88" ht="15.75" thickBot="1" x14ac:dyDescent="0.3">
      <c r="A58" s="121" t="s">
        <v>209</v>
      </c>
      <c r="B58" s="76">
        <f t="shared" ref="B58:AF58" si="22">SUM(B11:B56)</f>
        <v>518.19999999999993</v>
      </c>
      <c r="C58" s="76">
        <f t="shared" si="22"/>
        <v>518.19999999999993</v>
      </c>
      <c r="D58" s="76">
        <f t="shared" si="22"/>
        <v>518.19999999999993</v>
      </c>
      <c r="E58" s="76">
        <f t="shared" si="22"/>
        <v>507.8</v>
      </c>
      <c r="F58" s="76">
        <f t="shared" si="22"/>
        <v>506.50000000000006</v>
      </c>
      <c r="G58" s="76">
        <f t="shared" si="22"/>
        <v>505.50000000000006</v>
      </c>
      <c r="H58" s="76">
        <f t="shared" si="22"/>
        <v>505.8</v>
      </c>
      <c r="I58" s="76">
        <f t="shared" si="22"/>
        <v>506.00000000000006</v>
      </c>
      <c r="J58" s="76">
        <f t="shared" si="22"/>
        <v>505.00000000000006</v>
      </c>
      <c r="K58" s="76">
        <f t="shared" si="22"/>
        <v>505.00000000000006</v>
      </c>
      <c r="L58" s="76">
        <f t="shared" ref="L58:M58" si="23">SUM(L11:L56)</f>
        <v>505.00000000000006</v>
      </c>
      <c r="M58" s="76">
        <f t="shared" si="23"/>
        <v>505.00000000000006</v>
      </c>
      <c r="N58" s="76">
        <f t="shared" si="22"/>
        <v>504.40000000000003</v>
      </c>
      <c r="O58" s="76">
        <f t="shared" si="22"/>
        <v>504.40000000000003</v>
      </c>
      <c r="P58" s="76">
        <f t="shared" si="22"/>
        <v>502.50000000000006</v>
      </c>
      <c r="Q58" s="76">
        <f t="shared" ref="Q58" si="24">SUM(Q11:Q56)</f>
        <v>502.50000000000006</v>
      </c>
      <c r="R58" s="76">
        <f t="shared" si="22"/>
        <v>505.40000000000003</v>
      </c>
      <c r="S58" s="76">
        <f t="shared" ref="S58:T58" si="25">SUM(S11:S56)</f>
        <v>505.40000000000003</v>
      </c>
      <c r="T58" s="76">
        <f t="shared" si="25"/>
        <v>505.40000000000003</v>
      </c>
      <c r="U58" s="76">
        <f t="shared" ref="U58:V58" si="26">SUM(U11:U56)</f>
        <v>505.40000000000003</v>
      </c>
      <c r="V58" s="76">
        <f t="shared" si="26"/>
        <v>505.40000000000003</v>
      </c>
      <c r="W58" s="76">
        <f t="shared" ref="W58:X58" si="27">SUM(W11:W56)</f>
        <v>505.40000000000003</v>
      </c>
      <c r="X58" s="76">
        <f t="shared" si="27"/>
        <v>505.40000000000003</v>
      </c>
      <c r="Y58" s="76">
        <f t="shared" ref="Y58:Z58" si="28">SUM(Y11:Y56)</f>
        <v>505.40000000000003</v>
      </c>
      <c r="Z58" s="76">
        <f t="shared" si="28"/>
        <v>505.40000000000003</v>
      </c>
      <c r="AA58" s="76">
        <f t="shared" ref="AA58" si="29">SUM(AA11:AA56)</f>
        <v>505.40000000000003</v>
      </c>
      <c r="AB58" s="76">
        <f t="shared" si="22"/>
        <v>501.5</v>
      </c>
      <c r="AC58" s="76">
        <f t="shared" si="22"/>
        <v>515.20000000000005</v>
      </c>
      <c r="AD58" s="76">
        <f t="shared" si="22"/>
        <v>515.20000000000005</v>
      </c>
      <c r="AE58" s="76">
        <f t="shared" si="22"/>
        <v>515.20000000000005</v>
      </c>
      <c r="AF58" s="76">
        <f t="shared" si="22"/>
        <v>515.20000000000005</v>
      </c>
      <c r="AG58" s="93">
        <f>SUM(AG14:AG56)</f>
        <v>1042.4000000000001</v>
      </c>
      <c r="AH58" s="12">
        <f t="shared" si="8"/>
        <v>518.19999999999993</v>
      </c>
      <c r="AI58" s="11">
        <f t="shared" si="9"/>
        <v>501.5</v>
      </c>
      <c r="AK58" s="19"/>
    </row>
    <row r="59" spans="1:88" x14ac:dyDescent="0.25">
      <c r="A59" s="120" t="s">
        <v>208</v>
      </c>
      <c r="B59" s="102">
        <v>261</v>
      </c>
      <c r="C59" s="102">
        <v>201</v>
      </c>
      <c r="D59" s="102">
        <v>150</v>
      </c>
      <c r="E59" s="102">
        <v>99.4</v>
      </c>
      <c r="F59" s="102">
        <v>99.4</v>
      </c>
      <c r="G59" s="102">
        <v>77</v>
      </c>
      <c r="H59" s="102">
        <v>100.5</v>
      </c>
      <c r="I59" s="102">
        <v>100.4</v>
      </c>
      <c r="J59" s="102">
        <v>0</v>
      </c>
      <c r="K59" s="102">
        <v>0</v>
      </c>
      <c r="L59" s="102">
        <v>0</v>
      </c>
      <c r="M59" s="102">
        <v>0</v>
      </c>
      <c r="N59" s="119">
        <v>0</v>
      </c>
      <c r="O59" s="119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19">
        <v>0</v>
      </c>
      <c r="X59" s="119">
        <v>0</v>
      </c>
      <c r="Y59" s="119">
        <v>0</v>
      </c>
      <c r="Z59" s="102">
        <v>60.3</v>
      </c>
      <c r="AA59" s="102">
        <v>276.10000000000002</v>
      </c>
      <c r="AB59" s="102">
        <v>245</v>
      </c>
      <c r="AC59" s="102">
        <v>204</v>
      </c>
      <c r="AD59" s="102">
        <v>204</v>
      </c>
      <c r="AE59" s="102">
        <v>180</v>
      </c>
      <c r="AF59" s="102">
        <v>181</v>
      </c>
      <c r="AG59" s="88">
        <v>456</v>
      </c>
      <c r="AH59" s="12">
        <f t="shared" si="8"/>
        <v>276.10000000000002</v>
      </c>
      <c r="AI59" s="11">
        <f t="shared" si="9"/>
        <v>0</v>
      </c>
      <c r="AK59" s="19"/>
    </row>
    <row r="60" spans="1:88" x14ac:dyDescent="0.25">
      <c r="A60" s="118" t="s">
        <v>207</v>
      </c>
      <c r="B60" s="70">
        <v>18.8</v>
      </c>
      <c r="C60" s="70">
        <v>18.600000000000001</v>
      </c>
      <c r="D60" s="70">
        <v>18.8</v>
      </c>
      <c r="E60" s="70">
        <v>18.8</v>
      </c>
      <c r="F60" s="70">
        <v>18.8</v>
      </c>
      <c r="G60" s="70">
        <v>19.100000000000001</v>
      </c>
      <c r="H60" s="70">
        <v>18.600000000000001</v>
      </c>
      <c r="I60" s="70">
        <v>18.998999999999999</v>
      </c>
      <c r="J60" s="70">
        <v>19</v>
      </c>
      <c r="K60" s="70">
        <v>19</v>
      </c>
      <c r="L60" s="70">
        <v>19</v>
      </c>
      <c r="M60" s="70">
        <v>19</v>
      </c>
      <c r="N60" s="70">
        <v>19</v>
      </c>
      <c r="O60" s="70">
        <v>19</v>
      </c>
      <c r="P60" s="70">
        <v>19</v>
      </c>
      <c r="Q60" s="70">
        <v>19</v>
      </c>
      <c r="R60" s="70">
        <v>19</v>
      </c>
      <c r="S60" s="70">
        <v>19</v>
      </c>
      <c r="T60" s="70">
        <v>19</v>
      </c>
      <c r="U60" s="70">
        <v>19</v>
      </c>
      <c r="V60" s="70">
        <v>19</v>
      </c>
      <c r="W60" s="70">
        <v>19</v>
      </c>
      <c r="X60" s="70">
        <v>19</v>
      </c>
      <c r="Y60" s="70">
        <v>19</v>
      </c>
      <c r="Z60" s="70">
        <v>19</v>
      </c>
      <c r="AA60" s="70">
        <v>19</v>
      </c>
      <c r="AB60" s="70">
        <v>20.6</v>
      </c>
      <c r="AC60" s="70">
        <v>20.399999999999999</v>
      </c>
      <c r="AD60" s="70">
        <v>20.399999999999999</v>
      </c>
      <c r="AE60" s="70">
        <v>20.399999999999999</v>
      </c>
      <c r="AF60" s="70">
        <v>29</v>
      </c>
      <c r="AG60" s="86">
        <v>60</v>
      </c>
      <c r="AH60" s="12">
        <f t="shared" si="8"/>
        <v>29</v>
      </c>
      <c r="AI60" s="11">
        <f t="shared" si="9"/>
        <v>18.600000000000001</v>
      </c>
      <c r="AK60" s="19"/>
    </row>
    <row r="61" spans="1:88" ht="15.75" thickBot="1" x14ac:dyDescent="0.3">
      <c r="A61" s="117" t="s">
        <v>206</v>
      </c>
      <c r="B61" s="110">
        <v>0</v>
      </c>
      <c r="C61" s="110">
        <v>0</v>
      </c>
      <c r="D61" s="110">
        <v>0</v>
      </c>
      <c r="E61" s="110">
        <v>0</v>
      </c>
      <c r="F61" s="110">
        <v>0</v>
      </c>
      <c r="G61" s="110">
        <v>0</v>
      </c>
      <c r="H61" s="110">
        <v>0</v>
      </c>
      <c r="I61" s="110">
        <v>0</v>
      </c>
      <c r="J61" s="110">
        <v>0</v>
      </c>
      <c r="K61" s="110">
        <v>0</v>
      </c>
      <c r="L61" s="110">
        <v>0</v>
      </c>
      <c r="M61" s="110">
        <v>0</v>
      </c>
      <c r="N61" s="110">
        <v>0</v>
      </c>
      <c r="O61" s="110">
        <v>0</v>
      </c>
      <c r="P61" s="110">
        <v>0</v>
      </c>
      <c r="Q61" s="110">
        <v>0</v>
      </c>
      <c r="R61" s="110">
        <v>22.5</v>
      </c>
      <c r="S61" s="110">
        <v>0</v>
      </c>
      <c r="T61" s="110">
        <v>0</v>
      </c>
      <c r="U61" s="110">
        <v>21.2</v>
      </c>
      <c r="V61" s="110">
        <v>21.2</v>
      </c>
      <c r="W61" s="110">
        <v>21.2</v>
      </c>
      <c r="X61" s="110">
        <v>21.2</v>
      </c>
      <c r="Y61" s="110">
        <v>21.2</v>
      </c>
      <c r="Z61" s="110">
        <v>21.2</v>
      </c>
      <c r="AA61" s="110">
        <v>21.2</v>
      </c>
      <c r="AB61" s="110">
        <v>21.3</v>
      </c>
      <c r="AC61" s="110">
        <v>21.2</v>
      </c>
      <c r="AD61" s="110">
        <v>21.2</v>
      </c>
      <c r="AE61" s="110">
        <v>21.2</v>
      </c>
      <c r="AF61" s="110">
        <v>16.2</v>
      </c>
      <c r="AG61" s="109">
        <v>22.1</v>
      </c>
      <c r="AH61" s="12">
        <f t="shared" si="8"/>
        <v>22.5</v>
      </c>
      <c r="AI61" s="11">
        <f t="shared" si="9"/>
        <v>0</v>
      </c>
      <c r="AK61" s="19"/>
    </row>
    <row r="62" spans="1:88" ht="15.75" thickBot="1" x14ac:dyDescent="0.3">
      <c r="A62" s="116" t="s">
        <v>205</v>
      </c>
      <c r="B62" s="76">
        <f t="shared" ref="B62:AG62" si="30">SUM(B59:B61)</f>
        <v>279.8</v>
      </c>
      <c r="C62" s="76">
        <f t="shared" si="30"/>
        <v>219.6</v>
      </c>
      <c r="D62" s="76">
        <f t="shared" si="30"/>
        <v>168.8</v>
      </c>
      <c r="E62" s="76">
        <f t="shared" si="30"/>
        <v>118.2</v>
      </c>
      <c r="F62" s="76">
        <f t="shared" si="30"/>
        <v>118.2</v>
      </c>
      <c r="G62" s="76">
        <f t="shared" si="30"/>
        <v>96.1</v>
      </c>
      <c r="H62" s="76">
        <f t="shared" si="30"/>
        <v>119.1</v>
      </c>
      <c r="I62" s="76">
        <f t="shared" si="30"/>
        <v>119.399</v>
      </c>
      <c r="J62" s="76">
        <f t="shared" si="30"/>
        <v>19</v>
      </c>
      <c r="K62" s="76">
        <f t="shared" si="30"/>
        <v>19</v>
      </c>
      <c r="L62" s="76">
        <f t="shared" si="30"/>
        <v>19</v>
      </c>
      <c r="M62" s="76">
        <f t="shared" ref="M62" si="31">SUM(M59:M61)</f>
        <v>19</v>
      </c>
      <c r="N62" s="76">
        <f t="shared" si="30"/>
        <v>19</v>
      </c>
      <c r="O62" s="76">
        <f t="shared" si="30"/>
        <v>19</v>
      </c>
      <c r="P62" s="76">
        <f t="shared" si="30"/>
        <v>19</v>
      </c>
      <c r="Q62" s="76">
        <f t="shared" ref="Q62" si="32">SUM(Q59:Q61)</f>
        <v>19</v>
      </c>
      <c r="R62" s="76">
        <f t="shared" si="30"/>
        <v>41.5</v>
      </c>
      <c r="S62" s="76">
        <f t="shared" ref="S62:T62" si="33">SUM(S59:S61)</f>
        <v>19</v>
      </c>
      <c r="T62" s="76">
        <f t="shared" si="33"/>
        <v>19</v>
      </c>
      <c r="U62" s="76">
        <f t="shared" ref="U62:V62" si="34">SUM(U59:U61)</f>
        <v>40.200000000000003</v>
      </c>
      <c r="V62" s="76">
        <f t="shared" si="34"/>
        <v>40.200000000000003</v>
      </c>
      <c r="W62" s="76">
        <f t="shared" ref="W62:X62" si="35">SUM(W59:W61)</f>
        <v>40.200000000000003</v>
      </c>
      <c r="X62" s="76">
        <f t="shared" si="35"/>
        <v>40.200000000000003</v>
      </c>
      <c r="Y62" s="76">
        <f t="shared" ref="Y62:Z62" si="36">SUM(Y59:Y61)</f>
        <v>40.200000000000003</v>
      </c>
      <c r="Z62" s="76">
        <f t="shared" si="36"/>
        <v>100.5</v>
      </c>
      <c r="AA62" s="76">
        <f t="shared" ref="AA62" si="37">SUM(AA59:AA61)</f>
        <v>316.3</v>
      </c>
      <c r="AB62" s="76">
        <f t="shared" si="30"/>
        <v>286.90000000000003</v>
      </c>
      <c r="AC62" s="76">
        <f t="shared" si="30"/>
        <v>245.6</v>
      </c>
      <c r="AD62" s="76">
        <f t="shared" si="30"/>
        <v>245.6</v>
      </c>
      <c r="AE62" s="76">
        <f t="shared" si="30"/>
        <v>221.6</v>
      </c>
      <c r="AF62" s="76">
        <f t="shared" si="30"/>
        <v>226.2</v>
      </c>
      <c r="AG62" s="93">
        <f t="shared" si="30"/>
        <v>538.1</v>
      </c>
      <c r="AH62" s="12">
        <f t="shared" si="8"/>
        <v>316.3</v>
      </c>
      <c r="AI62" s="11">
        <f t="shared" si="9"/>
        <v>19</v>
      </c>
      <c r="AK62" s="19"/>
    </row>
    <row r="63" spans="1:88" x14ac:dyDescent="0.25">
      <c r="A63" s="89" t="s">
        <v>204</v>
      </c>
      <c r="B63" s="102">
        <v>64.8</v>
      </c>
      <c r="C63" s="102">
        <v>64.8</v>
      </c>
      <c r="D63" s="102">
        <v>64.7</v>
      </c>
      <c r="E63" s="102">
        <v>65</v>
      </c>
      <c r="F63" s="102">
        <v>65</v>
      </c>
      <c r="G63" s="102">
        <v>60</v>
      </c>
      <c r="H63" s="102">
        <v>97</v>
      </c>
      <c r="I63" s="102">
        <v>97</v>
      </c>
      <c r="J63" s="102">
        <v>60.9</v>
      </c>
      <c r="K63" s="102">
        <v>96</v>
      </c>
      <c r="L63" s="102">
        <v>96</v>
      </c>
      <c r="M63" s="102">
        <v>96</v>
      </c>
      <c r="N63" s="102">
        <v>60</v>
      </c>
      <c r="O63" s="102">
        <v>60.6</v>
      </c>
      <c r="P63" s="102">
        <v>96</v>
      </c>
      <c r="Q63" s="102">
        <v>80</v>
      </c>
      <c r="R63" s="102">
        <v>97</v>
      </c>
      <c r="S63" s="102">
        <v>96.9</v>
      </c>
      <c r="T63" s="102">
        <v>96.9</v>
      </c>
      <c r="U63" s="102">
        <v>96.9</v>
      </c>
      <c r="V63" s="102">
        <v>96.6</v>
      </c>
      <c r="W63" s="102">
        <v>96.6</v>
      </c>
      <c r="X63" s="102">
        <v>66.900000000000006</v>
      </c>
      <c r="Y63" s="102">
        <v>91.6</v>
      </c>
      <c r="Z63" s="102">
        <v>91.6</v>
      </c>
      <c r="AA63" s="102">
        <v>130.80000000000001</v>
      </c>
      <c r="AB63" s="102">
        <v>131.80000000000001</v>
      </c>
      <c r="AC63" s="102">
        <v>131.30000000000001</v>
      </c>
      <c r="AD63" s="102">
        <v>120</v>
      </c>
      <c r="AE63" s="102">
        <v>65</v>
      </c>
      <c r="AF63" s="102">
        <v>60</v>
      </c>
      <c r="AG63" s="88">
        <v>144</v>
      </c>
      <c r="AH63" s="12">
        <f t="shared" si="8"/>
        <v>131.80000000000001</v>
      </c>
      <c r="AI63" s="11">
        <f t="shared" si="9"/>
        <v>60</v>
      </c>
      <c r="AK63" s="19"/>
    </row>
    <row r="64" spans="1:88" x14ac:dyDescent="0.25">
      <c r="A64" s="87" t="s">
        <v>203</v>
      </c>
      <c r="B64" s="70">
        <v>50.6</v>
      </c>
      <c r="C64" s="70">
        <v>50</v>
      </c>
      <c r="D64" s="70">
        <v>37</v>
      </c>
      <c r="E64" s="70">
        <v>34.799999999999997</v>
      </c>
      <c r="F64" s="70">
        <v>34.799999999999997</v>
      </c>
      <c r="G64" s="70">
        <v>34.799999999999997</v>
      </c>
      <c r="H64" s="70">
        <v>69.900000000000006</v>
      </c>
      <c r="I64" s="70">
        <v>69.900000000000006</v>
      </c>
      <c r="J64" s="70">
        <v>45</v>
      </c>
      <c r="K64" s="70">
        <v>46.2</v>
      </c>
      <c r="L64" s="70">
        <v>46.2</v>
      </c>
      <c r="M64" s="70">
        <v>46.2</v>
      </c>
      <c r="N64" s="70">
        <v>34</v>
      </c>
      <c r="O64" s="70">
        <v>35.700000000000003</v>
      </c>
      <c r="P64" s="70">
        <v>70</v>
      </c>
      <c r="Q64" s="70">
        <v>60</v>
      </c>
      <c r="R64" s="70">
        <v>33.9</v>
      </c>
      <c r="S64" s="70">
        <v>60.3</v>
      </c>
      <c r="T64" s="70">
        <v>60.3</v>
      </c>
      <c r="U64" s="70">
        <v>61.9</v>
      </c>
      <c r="V64" s="70">
        <v>62.9</v>
      </c>
      <c r="W64" s="70">
        <v>44</v>
      </c>
      <c r="X64" s="70">
        <v>44.1</v>
      </c>
      <c r="Y64" s="70">
        <v>42.6</v>
      </c>
      <c r="Z64" s="102">
        <v>45.8</v>
      </c>
      <c r="AA64" s="102">
        <v>47.8</v>
      </c>
      <c r="AB64" s="102">
        <v>48.4</v>
      </c>
      <c r="AC64" s="102">
        <v>49</v>
      </c>
      <c r="AD64" s="102">
        <v>49</v>
      </c>
      <c r="AE64" s="102">
        <v>49</v>
      </c>
      <c r="AF64" s="102">
        <v>34.5</v>
      </c>
      <c r="AG64" s="86">
        <v>70</v>
      </c>
      <c r="AH64" s="12">
        <f t="shared" si="8"/>
        <v>70</v>
      </c>
      <c r="AI64" s="11">
        <f t="shared" si="9"/>
        <v>33.9</v>
      </c>
      <c r="AK64" s="19"/>
    </row>
    <row r="65" spans="1:75" x14ac:dyDescent="0.25">
      <c r="A65" s="87" t="s">
        <v>202</v>
      </c>
      <c r="B65" s="70">
        <v>54.9</v>
      </c>
      <c r="C65" s="70">
        <v>48.5</v>
      </c>
      <c r="D65" s="70">
        <v>48.8</v>
      </c>
      <c r="E65" s="70">
        <v>48.9</v>
      </c>
      <c r="F65" s="70">
        <v>32</v>
      </c>
      <c r="G65" s="70">
        <v>46</v>
      </c>
      <c r="H65" s="70">
        <v>46.5</v>
      </c>
      <c r="I65" s="70">
        <v>46.5</v>
      </c>
      <c r="J65" s="70">
        <v>44.2</v>
      </c>
      <c r="K65" s="70">
        <v>44.1</v>
      </c>
      <c r="L65" s="70">
        <v>44.1</v>
      </c>
      <c r="M65" s="70">
        <v>32</v>
      </c>
      <c r="N65" s="70">
        <v>32.5</v>
      </c>
      <c r="O65" s="70">
        <v>32.5</v>
      </c>
      <c r="P65" s="70">
        <v>46.4</v>
      </c>
      <c r="Q65" s="70">
        <v>46</v>
      </c>
      <c r="R65" s="70">
        <v>45</v>
      </c>
      <c r="S65" s="70">
        <v>22.2</v>
      </c>
      <c r="T65" s="70">
        <v>22.2</v>
      </c>
      <c r="U65" s="70">
        <v>22.3</v>
      </c>
      <c r="V65" s="70">
        <v>22.3</v>
      </c>
      <c r="W65" s="70">
        <v>53</v>
      </c>
      <c r="X65" s="70">
        <v>53.9</v>
      </c>
      <c r="Y65" s="70">
        <v>53.9</v>
      </c>
      <c r="Z65" s="102">
        <v>53.9</v>
      </c>
      <c r="AA65" s="102">
        <v>53.9</v>
      </c>
      <c r="AB65" s="102">
        <v>54.6</v>
      </c>
      <c r="AC65" s="102">
        <v>69.5</v>
      </c>
      <c r="AD65" s="102">
        <v>69.5</v>
      </c>
      <c r="AE65" s="102">
        <v>69.5</v>
      </c>
      <c r="AF65" s="102">
        <v>69</v>
      </c>
      <c r="AG65" s="86">
        <v>69</v>
      </c>
      <c r="AH65" s="12">
        <f t="shared" si="8"/>
        <v>69.5</v>
      </c>
      <c r="AI65" s="11">
        <f t="shared" si="9"/>
        <v>22.2</v>
      </c>
      <c r="AK65" s="19"/>
    </row>
    <row r="66" spans="1:75" x14ac:dyDescent="0.25">
      <c r="A66" s="87" t="s">
        <v>201</v>
      </c>
      <c r="B66" s="70">
        <v>51.6</v>
      </c>
      <c r="C66" s="70">
        <v>52.1</v>
      </c>
      <c r="D66" s="70">
        <v>58.5</v>
      </c>
      <c r="E66" s="70">
        <v>60.4</v>
      </c>
      <c r="F66" s="70">
        <v>60.4</v>
      </c>
      <c r="G66" s="70">
        <v>60.4</v>
      </c>
      <c r="H66" s="70">
        <v>60.2</v>
      </c>
      <c r="I66" s="70">
        <v>60.2</v>
      </c>
      <c r="J66" s="70">
        <v>60.2</v>
      </c>
      <c r="K66" s="122">
        <v>60.2</v>
      </c>
      <c r="L66" s="122">
        <v>60.2</v>
      </c>
      <c r="M66" s="122">
        <v>60.2</v>
      </c>
      <c r="N66" s="70">
        <v>56.4</v>
      </c>
      <c r="O66" s="70">
        <v>58</v>
      </c>
      <c r="P66" s="70">
        <v>57.4</v>
      </c>
      <c r="Q66" s="70">
        <v>57.4</v>
      </c>
      <c r="R66" s="70">
        <v>55.4</v>
      </c>
      <c r="S66" s="70">
        <v>60.9</v>
      </c>
      <c r="T66" s="70">
        <v>60.9</v>
      </c>
      <c r="U66" s="70">
        <v>60.9</v>
      </c>
      <c r="V66" s="70">
        <v>60.9</v>
      </c>
      <c r="W66" s="70">
        <v>60.9</v>
      </c>
      <c r="X66" s="70">
        <v>60.9</v>
      </c>
      <c r="Y66" s="70">
        <v>60.9</v>
      </c>
      <c r="Z66" s="102">
        <v>55.4</v>
      </c>
      <c r="AA66" s="102">
        <v>55.4</v>
      </c>
      <c r="AB66" s="102">
        <v>57.7</v>
      </c>
      <c r="AC66" s="102">
        <v>57.7</v>
      </c>
      <c r="AD66" s="102">
        <v>57.7</v>
      </c>
      <c r="AE66" s="102">
        <v>57.7</v>
      </c>
      <c r="AF66" s="102">
        <v>57.7</v>
      </c>
      <c r="AG66" s="86">
        <v>60</v>
      </c>
      <c r="AH66" s="12">
        <f t="shared" si="8"/>
        <v>60.9</v>
      </c>
      <c r="AI66" s="11">
        <f t="shared" si="9"/>
        <v>51.6</v>
      </c>
      <c r="AK66" s="19"/>
    </row>
    <row r="67" spans="1:75" x14ac:dyDescent="0.25">
      <c r="A67" s="87" t="s">
        <v>200</v>
      </c>
      <c r="B67" s="102">
        <v>10.199999999999999</v>
      </c>
      <c r="C67" s="102">
        <v>10.199999999999999</v>
      </c>
      <c r="D67" s="102">
        <v>0</v>
      </c>
      <c r="E67" s="70">
        <v>0</v>
      </c>
      <c r="F67" s="70">
        <v>0</v>
      </c>
      <c r="G67" s="70">
        <v>0</v>
      </c>
      <c r="H67" s="70">
        <v>10</v>
      </c>
      <c r="I67" s="70">
        <v>10</v>
      </c>
      <c r="J67" s="70">
        <v>14.8</v>
      </c>
      <c r="K67" s="70">
        <v>10.1</v>
      </c>
      <c r="L67" s="70">
        <v>10.1</v>
      </c>
      <c r="M67" s="70">
        <v>10.1</v>
      </c>
      <c r="N67" s="70">
        <v>10.4</v>
      </c>
      <c r="O67" s="70">
        <v>10.199999999999999</v>
      </c>
      <c r="P67" s="70">
        <v>10.3</v>
      </c>
      <c r="Q67" s="70">
        <v>10.3</v>
      </c>
      <c r="R67" s="70">
        <v>10.4</v>
      </c>
      <c r="S67" s="70">
        <v>10.199999999999999</v>
      </c>
      <c r="T67" s="70">
        <v>10.199999999999999</v>
      </c>
      <c r="U67" s="70">
        <v>10.199999999999999</v>
      </c>
      <c r="V67" s="70">
        <v>10.199999999999999</v>
      </c>
      <c r="W67" s="70">
        <v>10.199999999999999</v>
      </c>
      <c r="X67" s="70">
        <v>11</v>
      </c>
      <c r="Y67" s="70">
        <v>11</v>
      </c>
      <c r="Z67" s="102">
        <v>11.5</v>
      </c>
      <c r="AA67" s="102">
        <v>23.3</v>
      </c>
      <c r="AB67" s="102">
        <v>23</v>
      </c>
      <c r="AC67" s="102">
        <v>23</v>
      </c>
      <c r="AD67" s="102">
        <v>15</v>
      </c>
      <c r="AE67" s="102">
        <v>15</v>
      </c>
      <c r="AF67" s="102">
        <v>10</v>
      </c>
      <c r="AG67" s="86">
        <v>30</v>
      </c>
      <c r="AH67" s="12">
        <f t="shared" si="8"/>
        <v>23.3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25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0.6</v>
      </c>
      <c r="I68" s="102">
        <v>0.6</v>
      </c>
      <c r="J68" s="102">
        <v>1.8</v>
      </c>
      <c r="K68" s="102">
        <v>0.5</v>
      </c>
      <c r="L68" s="102">
        <v>0.5</v>
      </c>
      <c r="M68" s="102">
        <v>0.5</v>
      </c>
      <c r="N68" s="70">
        <v>2</v>
      </c>
      <c r="O68" s="70">
        <v>3.3</v>
      </c>
      <c r="P68" s="70">
        <v>8.3000000000000007</v>
      </c>
      <c r="Q68" s="70">
        <v>8.3000000000000007</v>
      </c>
      <c r="R68" s="70">
        <v>14</v>
      </c>
      <c r="S68" s="70">
        <v>4.0999999999999996</v>
      </c>
      <c r="T68" s="70">
        <v>4.0999999999999996</v>
      </c>
      <c r="U68" s="70">
        <v>3.5</v>
      </c>
      <c r="V68" s="70">
        <v>1.6</v>
      </c>
      <c r="W68" s="70">
        <v>1</v>
      </c>
      <c r="X68" s="70">
        <v>0.3</v>
      </c>
      <c r="Y68" s="70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14</v>
      </c>
      <c r="AI68" s="11">
        <f t="shared" si="9"/>
        <v>0</v>
      </c>
      <c r="AK68" s="19"/>
      <c r="AY68" s="1" t="s">
        <v>198</v>
      </c>
      <c r="AZ68" s="78">
        <f>ROUND(C81,0)</f>
        <v>35</v>
      </c>
      <c r="BA68" s="83">
        <f t="shared" ref="BA68:BD72" si="38">D81</f>
        <v>44.7</v>
      </c>
      <c r="BB68" s="83">
        <f t="shared" si="38"/>
        <v>42.7</v>
      </c>
      <c r="BC68" s="83">
        <f t="shared" si="38"/>
        <v>38.700000000000003</v>
      </c>
      <c r="BD68" s="83">
        <f t="shared" si="38"/>
        <v>39.5</v>
      </c>
      <c r="BE68" s="78">
        <f>I81</f>
        <v>27.9</v>
      </c>
      <c r="BF68" s="78">
        <f>K81</f>
        <v>62</v>
      </c>
      <c r="BG68" s="78">
        <f t="shared" ref="BG68:BP72" si="39">M81</f>
        <v>61</v>
      </c>
      <c r="BH68" s="78">
        <f t="shared" si="39"/>
        <v>66</v>
      </c>
      <c r="BI68" s="78">
        <f t="shared" si="39"/>
        <v>57</v>
      </c>
      <c r="BJ68" s="78">
        <f t="shared" si="39"/>
        <v>62.7</v>
      </c>
      <c r="BK68" s="78">
        <f t="shared" si="39"/>
        <v>70</v>
      </c>
      <c r="BL68" s="78">
        <f t="shared" si="39"/>
        <v>56</v>
      </c>
      <c r="BM68" s="78">
        <f t="shared" si="39"/>
        <v>59.6</v>
      </c>
      <c r="BN68" s="78">
        <f t="shared" si="39"/>
        <v>57.4</v>
      </c>
      <c r="BO68" s="78">
        <f t="shared" si="39"/>
        <v>61.2</v>
      </c>
      <c r="BP68" s="78">
        <f t="shared" si="39"/>
        <v>58.7</v>
      </c>
      <c r="BQ68" s="78">
        <f>X81</f>
        <v>58.5</v>
      </c>
      <c r="BR68" s="78">
        <f>Z81</f>
        <v>49.1</v>
      </c>
      <c r="BS68" s="83">
        <f>AB81</f>
        <v>12.8</v>
      </c>
      <c r="BT68" s="83">
        <f t="shared" ref="BT68:BV72" si="40">AD81</f>
        <v>26</v>
      </c>
      <c r="BU68" s="83">
        <f t="shared" si="40"/>
        <v>29</v>
      </c>
      <c r="BV68" s="83">
        <f t="shared" si="40"/>
        <v>24</v>
      </c>
      <c r="BW68" s="83">
        <f>B81</f>
        <v>37.200000000000003</v>
      </c>
    </row>
    <row r="69" spans="1:75" x14ac:dyDescent="0.25">
      <c r="A69" s="87" t="s">
        <v>197</v>
      </c>
      <c r="B69" s="70">
        <v>14.2</v>
      </c>
      <c r="C69" s="70">
        <v>14.3</v>
      </c>
      <c r="D69" s="70">
        <v>14.3</v>
      </c>
      <c r="E69" s="70">
        <v>14</v>
      </c>
      <c r="F69" s="70">
        <v>14</v>
      </c>
      <c r="G69" s="70">
        <v>14</v>
      </c>
      <c r="H69" s="70">
        <v>14.2</v>
      </c>
      <c r="I69" s="70">
        <v>14.2</v>
      </c>
      <c r="J69" s="70">
        <v>14</v>
      </c>
      <c r="K69" s="70">
        <v>14</v>
      </c>
      <c r="L69" s="70">
        <v>14</v>
      </c>
      <c r="M69" s="70">
        <v>14</v>
      </c>
      <c r="N69" s="70">
        <v>14</v>
      </c>
      <c r="O69" s="70">
        <v>14</v>
      </c>
      <c r="P69" s="70">
        <v>14</v>
      </c>
      <c r="Q69" s="70">
        <v>14</v>
      </c>
      <c r="R69" s="70">
        <v>14</v>
      </c>
      <c r="S69" s="70">
        <v>14</v>
      </c>
      <c r="T69" s="70">
        <v>14</v>
      </c>
      <c r="U69" s="70">
        <v>14</v>
      </c>
      <c r="V69" s="70">
        <v>14</v>
      </c>
      <c r="W69" s="70">
        <v>14</v>
      </c>
      <c r="X69" s="70">
        <v>14</v>
      </c>
      <c r="Y69" s="70">
        <v>14</v>
      </c>
      <c r="Z69" s="70">
        <v>14</v>
      </c>
      <c r="AA69" s="70">
        <v>14</v>
      </c>
      <c r="AB69" s="70">
        <v>14.3</v>
      </c>
      <c r="AC69" s="70">
        <v>14.3</v>
      </c>
      <c r="AD69" s="70">
        <v>14.3</v>
      </c>
      <c r="AE69" s="70">
        <v>14.3</v>
      </c>
      <c r="AF69" s="70">
        <v>14.3</v>
      </c>
      <c r="AG69" s="86">
        <v>24</v>
      </c>
      <c r="AH69" s="12">
        <f t="shared" si="8"/>
        <v>14.3</v>
      </c>
      <c r="AI69" s="11">
        <f t="shared" si="9"/>
        <v>14</v>
      </c>
      <c r="AK69" s="19"/>
      <c r="AY69" s="1" t="s">
        <v>196</v>
      </c>
      <c r="AZ69" s="78">
        <f>ROUND(C82,0)</f>
        <v>0</v>
      </c>
      <c r="BA69" s="83">
        <f t="shared" si="38"/>
        <v>0</v>
      </c>
      <c r="BB69" s="83">
        <f t="shared" si="38"/>
        <v>0</v>
      </c>
      <c r="BC69" s="83">
        <f t="shared" si="38"/>
        <v>0</v>
      </c>
      <c r="BD69" s="83">
        <f t="shared" si="38"/>
        <v>0</v>
      </c>
      <c r="BE69" s="78">
        <f>I82</f>
        <v>0</v>
      </c>
      <c r="BF69" s="78">
        <f>K82</f>
        <v>90.8</v>
      </c>
      <c r="BG69" s="78">
        <f t="shared" si="39"/>
        <v>101</v>
      </c>
      <c r="BH69" s="78">
        <f t="shared" si="39"/>
        <v>92.4</v>
      </c>
      <c r="BI69" s="78">
        <f t="shared" si="39"/>
        <v>90</v>
      </c>
      <c r="BJ69" s="78">
        <f t="shared" si="39"/>
        <v>102.8</v>
      </c>
      <c r="BK69" s="78">
        <f t="shared" si="39"/>
        <v>100</v>
      </c>
      <c r="BL69" s="78">
        <f t="shared" si="39"/>
        <v>96</v>
      </c>
      <c r="BM69" s="78">
        <f t="shared" si="39"/>
        <v>68.599999999999994</v>
      </c>
      <c r="BN69" s="78">
        <f t="shared" si="39"/>
        <v>95.5</v>
      </c>
      <c r="BO69" s="78">
        <f t="shared" si="39"/>
        <v>67.2</v>
      </c>
      <c r="BP69" s="78">
        <f t="shared" si="39"/>
        <v>67</v>
      </c>
      <c r="BQ69" s="78">
        <f>X82</f>
        <v>63.6</v>
      </c>
      <c r="BR69" s="78">
        <f>Z82</f>
        <v>55.1</v>
      </c>
      <c r="BS69" s="83">
        <f>AB82</f>
        <v>0</v>
      </c>
      <c r="BT69" s="83">
        <f t="shared" si="40"/>
        <v>0</v>
      </c>
      <c r="BU69" s="83">
        <f t="shared" si="40"/>
        <v>0</v>
      </c>
      <c r="BV69" s="83">
        <f t="shared" si="40"/>
        <v>0</v>
      </c>
      <c r="BW69" s="83">
        <f>B82</f>
        <v>0</v>
      </c>
    </row>
    <row r="70" spans="1:75" x14ac:dyDescent="0.25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110</v>
      </c>
      <c r="BA70" s="83">
        <f t="shared" si="38"/>
        <v>142.30000000000001</v>
      </c>
      <c r="BB70" s="83">
        <f t="shared" si="38"/>
        <v>178</v>
      </c>
      <c r="BC70" s="83">
        <f t="shared" si="38"/>
        <v>215</v>
      </c>
      <c r="BD70" s="83">
        <f t="shared" si="38"/>
        <v>246</v>
      </c>
      <c r="BE70" s="78">
        <f>I83</f>
        <v>277</v>
      </c>
      <c r="BF70" s="78">
        <f>K83</f>
        <v>473</v>
      </c>
      <c r="BG70" s="78">
        <f t="shared" si="39"/>
        <v>470</v>
      </c>
      <c r="BH70" s="78">
        <f t="shared" si="39"/>
        <v>410</v>
      </c>
      <c r="BI70" s="78">
        <f t="shared" si="39"/>
        <v>415</v>
      </c>
      <c r="BJ70" s="78">
        <f t="shared" si="39"/>
        <v>369</v>
      </c>
      <c r="BK70" s="78">
        <f t="shared" si="39"/>
        <v>362</v>
      </c>
      <c r="BL70" s="78">
        <f t="shared" si="39"/>
        <v>402</v>
      </c>
      <c r="BM70" s="78">
        <f t="shared" si="39"/>
        <v>364.6</v>
      </c>
      <c r="BN70" s="78">
        <f t="shared" si="39"/>
        <v>405.6</v>
      </c>
      <c r="BO70" s="78">
        <f t="shared" si="39"/>
        <v>440.5</v>
      </c>
      <c r="BP70" s="78">
        <f t="shared" si="39"/>
        <v>389.1</v>
      </c>
      <c r="BQ70" s="78">
        <f>X83</f>
        <v>333.7</v>
      </c>
      <c r="BR70" s="78">
        <f>Z83</f>
        <v>233.7</v>
      </c>
      <c r="BS70" s="83">
        <f>AB83</f>
        <v>15.6</v>
      </c>
      <c r="BT70" s="83">
        <f t="shared" si="40"/>
        <v>43</v>
      </c>
      <c r="BU70" s="83">
        <f t="shared" si="40"/>
        <v>1.8</v>
      </c>
      <c r="BV70" s="83">
        <f t="shared" si="40"/>
        <v>23</v>
      </c>
      <c r="BW70" s="83">
        <f>B83</f>
        <v>88.3</v>
      </c>
    </row>
    <row r="71" spans="1:75" s="115" customFormat="1" x14ac:dyDescent="0.25">
      <c r="A71" s="87" t="s">
        <v>193</v>
      </c>
      <c r="B71" s="70">
        <v>11.8</v>
      </c>
      <c r="C71" s="70">
        <v>11.6</v>
      </c>
      <c r="D71" s="70">
        <v>11.6</v>
      </c>
      <c r="E71" s="70">
        <v>11.8</v>
      </c>
      <c r="F71" s="70">
        <v>11.8</v>
      </c>
      <c r="G71" s="70">
        <v>11.8</v>
      </c>
      <c r="H71" s="70">
        <v>10.8</v>
      </c>
      <c r="I71" s="70">
        <v>10.8</v>
      </c>
      <c r="J71" s="70">
        <v>4.2</v>
      </c>
      <c r="K71" s="70">
        <v>3.7</v>
      </c>
      <c r="L71" s="70">
        <v>3.7</v>
      </c>
      <c r="M71" s="70">
        <v>3.7</v>
      </c>
      <c r="N71" s="70">
        <v>3.7</v>
      </c>
      <c r="O71" s="70">
        <v>3.7</v>
      </c>
      <c r="P71" s="70">
        <v>3.7</v>
      </c>
      <c r="Q71" s="70">
        <v>3.7</v>
      </c>
      <c r="R71" s="70">
        <v>3.7</v>
      </c>
      <c r="S71" s="70">
        <v>3.7</v>
      </c>
      <c r="T71" s="70">
        <v>3.7</v>
      </c>
      <c r="U71" s="70">
        <v>3.7</v>
      </c>
      <c r="V71" s="70">
        <v>3.7</v>
      </c>
      <c r="W71" s="70">
        <v>3.7</v>
      </c>
      <c r="X71" s="70">
        <v>3.7</v>
      </c>
      <c r="Y71" s="70">
        <v>3.7</v>
      </c>
      <c r="Z71" s="70">
        <v>3.7</v>
      </c>
      <c r="AA71" s="70">
        <v>3.7</v>
      </c>
      <c r="AB71" s="70">
        <v>11.9</v>
      </c>
      <c r="AC71" s="70">
        <v>11.9</v>
      </c>
      <c r="AD71" s="70">
        <v>11.9</v>
      </c>
      <c r="AE71" s="70">
        <v>11.9</v>
      </c>
      <c r="AF71" s="70">
        <v>11.9</v>
      </c>
      <c r="AG71" s="86">
        <v>14.1</v>
      </c>
      <c r="AH71" s="12">
        <f t="shared" si="8"/>
        <v>11.9</v>
      </c>
      <c r="AI71" s="11">
        <f t="shared" si="9"/>
        <v>3.7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38"/>
        <v>0</v>
      </c>
      <c r="BB71" s="83">
        <f t="shared" si="38"/>
        <v>0</v>
      </c>
      <c r="BC71" s="83">
        <f t="shared" si="38"/>
        <v>0</v>
      </c>
      <c r="BD71" s="83">
        <f t="shared" si="38"/>
        <v>0</v>
      </c>
      <c r="BE71" s="78">
        <f>I84</f>
        <v>0</v>
      </c>
      <c r="BF71" s="78">
        <f>K84</f>
        <v>56.8</v>
      </c>
      <c r="BG71" s="78">
        <f t="shared" si="39"/>
        <v>57</v>
      </c>
      <c r="BH71" s="78">
        <f t="shared" si="39"/>
        <v>52</v>
      </c>
      <c r="BI71" s="78">
        <f t="shared" si="39"/>
        <v>29</v>
      </c>
      <c r="BJ71" s="78">
        <f t="shared" si="39"/>
        <v>45.3</v>
      </c>
      <c r="BK71" s="78">
        <f t="shared" si="39"/>
        <v>45.3</v>
      </c>
      <c r="BL71" s="78">
        <f t="shared" si="39"/>
        <v>35.5</v>
      </c>
      <c r="BM71" s="78">
        <f t="shared" si="39"/>
        <v>50.3</v>
      </c>
      <c r="BN71" s="78">
        <f t="shared" si="39"/>
        <v>43.8</v>
      </c>
      <c r="BO71" s="78">
        <f t="shared" si="39"/>
        <v>30</v>
      </c>
      <c r="BP71" s="78">
        <f t="shared" si="39"/>
        <v>33.700000000000003</v>
      </c>
      <c r="BQ71" s="78">
        <f>X84</f>
        <v>21.5</v>
      </c>
      <c r="BR71" s="78">
        <f>Z84</f>
        <v>16.600000000000001</v>
      </c>
      <c r="BS71" s="83">
        <f>AB84</f>
        <v>0</v>
      </c>
      <c r="BT71" s="83">
        <f t="shared" si="40"/>
        <v>0</v>
      </c>
      <c r="BU71" s="83">
        <f t="shared" si="40"/>
        <v>0</v>
      </c>
      <c r="BV71" s="83">
        <f t="shared" si="40"/>
        <v>0</v>
      </c>
      <c r="BW71" s="83">
        <f>B84</f>
        <v>0</v>
      </c>
    </row>
    <row r="72" spans="1:75" x14ac:dyDescent="0.25">
      <c r="A72" s="111" t="s">
        <v>191</v>
      </c>
      <c r="B72" s="70">
        <v>7.2</v>
      </c>
      <c r="C72" s="70">
        <v>7.2</v>
      </c>
      <c r="D72" s="70">
        <v>7.2</v>
      </c>
      <c r="E72" s="70">
        <v>7.2</v>
      </c>
      <c r="F72" s="70">
        <v>7.2</v>
      </c>
      <c r="G72" s="70">
        <v>7.2</v>
      </c>
      <c r="H72" s="70">
        <v>7.2</v>
      </c>
      <c r="I72" s="70">
        <v>7.2</v>
      </c>
      <c r="J72" s="70">
        <v>7.2</v>
      </c>
      <c r="K72" s="70">
        <v>7.2</v>
      </c>
      <c r="L72" s="70">
        <v>7.2</v>
      </c>
      <c r="M72" s="70">
        <v>7.2</v>
      </c>
      <c r="N72" s="70">
        <v>7.2</v>
      </c>
      <c r="O72" s="70">
        <v>7.2</v>
      </c>
      <c r="P72" s="70">
        <v>7.2</v>
      </c>
      <c r="Q72" s="70">
        <v>7.2</v>
      </c>
      <c r="R72" s="70">
        <v>7.2</v>
      </c>
      <c r="S72" s="70">
        <v>7.2</v>
      </c>
      <c r="T72" s="70">
        <v>7.2</v>
      </c>
      <c r="U72" s="70">
        <v>7.2</v>
      </c>
      <c r="V72" s="70">
        <v>7.2</v>
      </c>
      <c r="W72" s="70">
        <v>7.2</v>
      </c>
      <c r="X72" s="70">
        <v>7.2</v>
      </c>
      <c r="Y72" s="70">
        <v>7.2</v>
      </c>
      <c r="Z72" s="70">
        <v>7.2</v>
      </c>
      <c r="AA72" s="70">
        <v>7.2</v>
      </c>
      <c r="AB72" s="70">
        <v>6.5</v>
      </c>
      <c r="AC72" s="70">
        <v>6.5</v>
      </c>
      <c r="AD72" s="70">
        <v>6.5</v>
      </c>
      <c r="AE72" s="70">
        <v>6.5</v>
      </c>
      <c r="AF72" s="70">
        <v>6.5</v>
      </c>
      <c r="AG72" s="86">
        <v>14</v>
      </c>
      <c r="AH72" s="12">
        <f t="shared" si="8"/>
        <v>7.2</v>
      </c>
      <c r="AI72" s="11">
        <f t="shared" si="9"/>
        <v>6.5</v>
      </c>
      <c r="AK72" s="19"/>
      <c r="AY72" s="1" t="s">
        <v>190</v>
      </c>
      <c r="AZ72" s="78">
        <f>ROUND(C85,0)</f>
        <v>0</v>
      </c>
      <c r="BA72" s="83">
        <f t="shared" si="38"/>
        <v>0</v>
      </c>
      <c r="BB72" s="83">
        <f t="shared" si="38"/>
        <v>0</v>
      </c>
      <c r="BC72" s="83">
        <f t="shared" si="38"/>
        <v>0</v>
      </c>
      <c r="BD72" s="83">
        <f t="shared" si="38"/>
        <v>0</v>
      </c>
      <c r="BE72" s="78">
        <f>I85</f>
        <v>0</v>
      </c>
      <c r="BF72" s="78">
        <f>K85</f>
        <v>129.9</v>
      </c>
      <c r="BG72" s="78">
        <f t="shared" si="39"/>
        <v>121</v>
      </c>
      <c r="BH72" s="78">
        <f t="shared" si="39"/>
        <v>123.6</v>
      </c>
      <c r="BI72" s="78">
        <f t="shared" si="39"/>
        <v>117.2</v>
      </c>
      <c r="BJ72" s="78">
        <f t="shared" si="39"/>
        <v>105.9</v>
      </c>
      <c r="BK72" s="78">
        <f t="shared" si="39"/>
        <v>105.9</v>
      </c>
      <c r="BL72" s="78">
        <f t="shared" si="39"/>
        <v>128.69999999999999</v>
      </c>
      <c r="BM72" s="78">
        <f t="shared" si="39"/>
        <v>130.9</v>
      </c>
      <c r="BN72" s="78">
        <f t="shared" si="39"/>
        <v>144.5</v>
      </c>
      <c r="BO72" s="78">
        <f t="shared" si="39"/>
        <v>0</v>
      </c>
      <c r="BP72" s="78">
        <f t="shared" si="39"/>
        <v>0</v>
      </c>
      <c r="BQ72" s="78">
        <f>X85</f>
        <v>0</v>
      </c>
      <c r="BR72" s="78">
        <f>Z85</f>
        <v>0</v>
      </c>
      <c r="BS72" s="83">
        <f>AB85</f>
        <v>0</v>
      </c>
      <c r="BT72" s="83">
        <f t="shared" si="40"/>
        <v>0</v>
      </c>
      <c r="BU72" s="83">
        <f t="shared" si="40"/>
        <v>0</v>
      </c>
      <c r="BV72" s="83">
        <f t="shared" si="40"/>
        <v>0</v>
      </c>
      <c r="BW72" s="83">
        <f>B85</f>
        <v>0</v>
      </c>
    </row>
    <row r="73" spans="1:75" x14ac:dyDescent="0.25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0</v>
      </c>
      <c r="I73" s="70">
        <v>0</v>
      </c>
      <c r="J73" s="70">
        <v>0</v>
      </c>
      <c r="K73" s="70">
        <v>0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8"/>
        <v>4</v>
      </c>
      <c r="AI73" s="11">
        <f t="shared" si="9"/>
        <v>0</v>
      </c>
      <c r="AK73" s="19"/>
      <c r="AY73" s="1" t="s">
        <v>188</v>
      </c>
      <c r="AZ73" s="78">
        <f>ROUND(C91,0)</f>
        <v>46</v>
      </c>
      <c r="BA73" s="78">
        <f>D91</f>
        <v>45.4</v>
      </c>
      <c r="BB73" s="78">
        <f>E91</f>
        <v>43.4</v>
      </c>
      <c r="BC73" s="78">
        <f>F91</f>
        <v>40.9</v>
      </c>
      <c r="BD73" s="78">
        <f>G91</f>
        <v>42.9</v>
      </c>
      <c r="BE73" s="78">
        <f>I91</f>
        <v>42</v>
      </c>
      <c r="BF73" s="78">
        <f>K91</f>
        <v>47.4</v>
      </c>
      <c r="BG73" s="78">
        <f t="shared" ref="BG73:BP73" si="41">M91</f>
        <v>43</v>
      </c>
      <c r="BH73" s="78">
        <f t="shared" si="41"/>
        <v>42</v>
      </c>
      <c r="BI73" s="78">
        <f t="shared" si="41"/>
        <v>17</v>
      </c>
      <c r="BJ73" s="78">
        <f t="shared" si="41"/>
        <v>30.8</v>
      </c>
      <c r="BK73" s="78">
        <f t="shared" si="41"/>
        <v>30.8</v>
      </c>
      <c r="BL73" s="78">
        <f t="shared" si="41"/>
        <v>30.8</v>
      </c>
      <c r="BM73" s="78">
        <f t="shared" si="41"/>
        <v>15.7</v>
      </c>
      <c r="BN73" s="78">
        <f t="shared" si="41"/>
        <v>40.299999999999997</v>
      </c>
      <c r="BO73" s="78">
        <f t="shared" si="41"/>
        <v>58.3</v>
      </c>
      <c r="BP73" s="78">
        <f t="shared" si="41"/>
        <v>50.8</v>
      </c>
      <c r="BQ73" s="78">
        <f>X91</f>
        <v>40.9</v>
      </c>
      <c r="BR73" s="78">
        <f>Z91</f>
        <v>43.7</v>
      </c>
      <c r="BS73" s="78">
        <f>AB91</f>
        <v>39.5</v>
      </c>
      <c r="BT73" s="78">
        <f>AD91</f>
        <v>40</v>
      </c>
      <c r="BU73" s="78">
        <f>AE91</f>
        <v>44.8</v>
      </c>
      <c r="BV73" s="78">
        <f>AF91</f>
        <v>45</v>
      </c>
      <c r="BW73" s="78">
        <f>B91</f>
        <v>46.4</v>
      </c>
    </row>
    <row r="74" spans="1:75" x14ac:dyDescent="0.25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.75" thickBot="1" x14ac:dyDescent="0.3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3.54</v>
      </c>
      <c r="Z75" s="113">
        <v>3.54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3.54</v>
      </c>
      <c r="AK75" s="19"/>
      <c r="AZ75" s="78">
        <f t="shared" ref="AZ75:BW80" si="42">VALUE(AZ68)</f>
        <v>35</v>
      </c>
      <c r="BA75" s="78">
        <f t="shared" si="42"/>
        <v>44.7</v>
      </c>
      <c r="BB75" s="78">
        <f t="shared" si="42"/>
        <v>42.7</v>
      </c>
      <c r="BC75" s="78">
        <f t="shared" si="42"/>
        <v>38.700000000000003</v>
      </c>
      <c r="BD75" s="78">
        <f t="shared" si="42"/>
        <v>39.5</v>
      </c>
      <c r="BE75" s="78">
        <f t="shared" si="42"/>
        <v>27.9</v>
      </c>
      <c r="BF75" s="78">
        <f t="shared" si="42"/>
        <v>62</v>
      </c>
      <c r="BG75" s="78">
        <f t="shared" si="42"/>
        <v>61</v>
      </c>
      <c r="BH75" s="78">
        <f t="shared" si="42"/>
        <v>66</v>
      </c>
      <c r="BI75" s="78">
        <f t="shared" si="42"/>
        <v>57</v>
      </c>
      <c r="BJ75" s="78">
        <f t="shared" si="42"/>
        <v>62.7</v>
      </c>
      <c r="BK75" s="78">
        <f t="shared" si="42"/>
        <v>70</v>
      </c>
      <c r="BL75" s="78">
        <f t="shared" si="42"/>
        <v>56</v>
      </c>
      <c r="BM75" s="78">
        <f t="shared" si="42"/>
        <v>59.6</v>
      </c>
      <c r="BN75" s="78">
        <f t="shared" si="42"/>
        <v>57.4</v>
      </c>
      <c r="BO75" s="78">
        <f t="shared" si="42"/>
        <v>61.2</v>
      </c>
      <c r="BP75" s="78">
        <f t="shared" si="42"/>
        <v>58.7</v>
      </c>
      <c r="BQ75" s="78">
        <f t="shared" si="42"/>
        <v>58.5</v>
      </c>
      <c r="BR75" s="78">
        <f t="shared" si="42"/>
        <v>49.1</v>
      </c>
      <c r="BS75" s="78">
        <f t="shared" si="42"/>
        <v>12.8</v>
      </c>
      <c r="BT75" s="78">
        <f t="shared" si="42"/>
        <v>26</v>
      </c>
      <c r="BU75" s="78">
        <f t="shared" si="42"/>
        <v>29</v>
      </c>
      <c r="BV75" s="78">
        <f t="shared" si="42"/>
        <v>24</v>
      </c>
      <c r="BW75" s="78">
        <f t="shared" si="42"/>
        <v>37.200000000000003</v>
      </c>
    </row>
    <row r="76" spans="1:75" ht="15.75" thickBot="1" x14ac:dyDescent="0.3">
      <c r="A76" s="77" t="s">
        <v>186</v>
      </c>
      <c r="B76" s="76">
        <f t="shared" ref="B76:AG76" si="43">SUM(B63:B75)</f>
        <v>274.83999999999997</v>
      </c>
      <c r="C76" s="76">
        <f t="shared" si="43"/>
        <v>268.24</v>
      </c>
      <c r="D76" s="76">
        <f t="shared" si="43"/>
        <v>251.64</v>
      </c>
      <c r="E76" s="76">
        <f t="shared" si="43"/>
        <v>251.64</v>
      </c>
      <c r="F76" s="76">
        <f t="shared" si="43"/>
        <v>234.74</v>
      </c>
      <c r="G76" s="76">
        <f t="shared" si="43"/>
        <v>243.74</v>
      </c>
      <c r="H76" s="76">
        <f t="shared" si="43"/>
        <v>321.94000000000005</v>
      </c>
      <c r="I76" s="76">
        <f t="shared" si="43"/>
        <v>321.94000000000005</v>
      </c>
      <c r="J76" s="76">
        <f t="shared" si="43"/>
        <v>257.84000000000003</v>
      </c>
      <c r="K76" s="76">
        <f t="shared" si="43"/>
        <v>287.54000000000002</v>
      </c>
      <c r="L76" s="76">
        <f t="shared" si="43"/>
        <v>291.54000000000002</v>
      </c>
      <c r="M76" s="76">
        <f t="shared" si="43"/>
        <v>279.44</v>
      </c>
      <c r="N76" s="76">
        <f t="shared" si="43"/>
        <v>229.73999999999998</v>
      </c>
      <c r="O76" s="76">
        <f t="shared" si="43"/>
        <v>234.73999999999998</v>
      </c>
      <c r="P76" s="76">
        <f t="shared" si="43"/>
        <v>322.84000000000003</v>
      </c>
      <c r="Q76" s="76">
        <f t="shared" ref="Q76" si="44">SUM(Q63:Q75)</f>
        <v>296.44</v>
      </c>
      <c r="R76" s="76">
        <f t="shared" si="43"/>
        <v>290.14000000000004</v>
      </c>
      <c r="S76" s="76">
        <f t="shared" ref="S76:T76" si="45">SUM(S63:S75)</f>
        <v>289.03999999999996</v>
      </c>
      <c r="T76" s="76">
        <f t="shared" si="45"/>
        <v>289.03999999999996</v>
      </c>
      <c r="U76" s="76">
        <f t="shared" ref="U76:V76" si="46">SUM(U63:U75)</f>
        <v>290.14000000000004</v>
      </c>
      <c r="V76" s="76">
        <f t="shared" si="46"/>
        <v>288.94</v>
      </c>
      <c r="W76" s="76">
        <f t="shared" ref="W76:X76" si="47">SUM(W63:W75)</f>
        <v>300.14</v>
      </c>
      <c r="X76" s="76">
        <f t="shared" si="47"/>
        <v>271.54000000000002</v>
      </c>
      <c r="Y76" s="76">
        <f t="shared" ref="Y76:Z76" si="48">SUM(Y63:Y75)</f>
        <v>294.44</v>
      </c>
      <c r="Z76" s="76">
        <f t="shared" si="48"/>
        <v>292.64</v>
      </c>
      <c r="AA76" s="76">
        <f t="shared" ref="AA76" si="49">SUM(AA63:AA75)</f>
        <v>345.64000000000004</v>
      </c>
      <c r="AB76" s="76">
        <f t="shared" si="43"/>
        <v>357.74</v>
      </c>
      <c r="AC76" s="76">
        <f t="shared" si="43"/>
        <v>372.74</v>
      </c>
      <c r="AD76" s="76">
        <f t="shared" si="43"/>
        <v>353.44</v>
      </c>
      <c r="AE76" s="76">
        <f t="shared" si="43"/>
        <v>298.44</v>
      </c>
      <c r="AF76" s="76">
        <f t="shared" si="43"/>
        <v>273.44</v>
      </c>
      <c r="AG76" s="93">
        <f t="shared" si="43"/>
        <v>489.91</v>
      </c>
      <c r="AH76" s="12">
        <f t="shared" si="8"/>
        <v>372.74</v>
      </c>
      <c r="AI76" s="11">
        <f t="shared" si="9"/>
        <v>229.73999999999998</v>
      </c>
      <c r="AK76" s="19"/>
      <c r="AZ76" s="78">
        <f t="shared" si="42"/>
        <v>0</v>
      </c>
      <c r="BA76" s="78">
        <f t="shared" si="42"/>
        <v>0</v>
      </c>
      <c r="BB76" s="78">
        <f t="shared" si="42"/>
        <v>0</v>
      </c>
      <c r="BC76" s="78">
        <f t="shared" si="42"/>
        <v>0</v>
      </c>
      <c r="BD76" s="78">
        <f t="shared" si="42"/>
        <v>0</v>
      </c>
      <c r="BE76" s="78">
        <f t="shared" si="42"/>
        <v>0</v>
      </c>
      <c r="BF76" s="78">
        <f t="shared" si="42"/>
        <v>90.8</v>
      </c>
      <c r="BG76" s="78">
        <f t="shared" si="42"/>
        <v>101</v>
      </c>
      <c r="BH76" s="78">
        <f t="shared" si="42"/>
        <v>92.4</v>
      </c>
      <c r="BI76" s="78">
        <f t="shared" si="42"/>
        <v>90</v>
      </c>
      <c r="BJ76" s="78">
        <f t="shared" si="42"/>
        <v>102.8</v>
      </c>
      <c r="BK76" s="78">
        <f t="shared" si="42"/>
        <v>100</v>
      </c>
      <c r="BL76" s="78">
        <f t="shared" si="42"/>
        <v>96</v>
      </c>
      <c r="BM76" s="78">
        <f t="shared" si="42"/>
        <v>68.599999999999994</v>
      </c>
      <c r="BN76" s="78">
        <f t="shared" si="42"/>
        <v>95.5</v>
      </c>
      <c r="BO76" s="78">
        <f t="shared" si="42"/>
        <v>67.2</v>
      </c>
      <c r="BP76" s="78">
        <f t="shared" si="42"/>
        <v>67</v>
      </c>
      <c r="BQ76" s="78">
        <f t="shared" si="42"/>
        <v>63.6</v>
      </c>
      <c r="BR76" s="78">
        <f t="shared" si="42"/>
        <v>55.1</v>
      </c>
      <c r="BS76" s="78">
        <f t="shared" si="42"/>
        <v>0</v>
      </c>
      <c r="BT76" s="78">
        <f t="shared" si="42"/>
        <v>0</v>
      </c>
      <c r="BU76" s="78">
        <f t="shared" si="42"/>
        <v>0</v>
      </c>
      <c r="BV76" s="78">
        <f t="shared" si="42"/>
        <v>0</v>
      </c>
      <c r="BW76" s="78">
        <f t="shared" si="42"/>
        <v>0</v>
      </c>
    </row>
    <row r="77" spans="1:75" x14ac:dyDescent="0.25">
      <c r="A77" s="89" t="s">
        <v>185</v>
      </c>
      <c r="B77" s="102">
        <v>13.9</v>
      </c>
      <c r="C77" s="102">
        <v>14</v>
      </c>
      <c r="D77" s="102">
        <v>14</v>
      </c>
      <c r="E77" s="102">
        <v>25</v>
      </c>
      <c r="F77" s="102">
        <v>25</v>
      </c>
      <c r="G77" s="102">
        <v>25</v>
      </c>
      <c r="H77" s="102">
        <v>30</v>
      </c>
      <c r="I77" s="102">
        <v>30</v>
      </c>
      <c r="J77" s="102">
        <v>13.7</v>
      </c>
      <c r="K77" s="102">
        <v>0</v>
      </c>
      <c r="L77" s="102">
        <v>0</v>
      </c>
      <c r="M77" s="102">
        <v>0</v>
      </c>
      <c r="N77" s="102">
        <v>0</v>
      </c>
      <c r="O77" s="102">
        <v>0</v>
      </c>
      <c r="P77" s="102"/>
      <c r="Q77" s="102">
        <v>0</v>
      </c>
      <c r="R77" s="102"/>
      <c r="S77" s="102"/>
      <c r="T77" s="102"/>
      <c r="U77" s="102"/>
      <c r="V77" s="102"/>
      <c r="W77" s="102"/>
      <c r="X77" s="102">
        <v>10.4</v>
      </c>
      <c r="Y77" s="102">
        <v>10.4</v>
      </c>
      <c r="Z77" s="102">
        <v>13.89</v>
      </c>
      <c r="AA77" s="102">
        <v>49.2</v>
      </c>
      <c r="AB77" s="102">
        <v>49.8</v>
      </c>
      <c r="AC77" s="102">
        <v>29.1</v>
      </c>
      <c r="AD77" s="102">
        <v>29.1</v>
      </c>
      <c r="AE77" s="102">
        <v>20</v>
      </c>
      <c r="AF77" s="102">
        <v>0</v>
      </c>
      <c r="AG77" s="88">
        <v>60</v>
      </c>
      <c r="AH77" s="12">
        <f t="shared" si="8"/>
        <v>49.8</v>
      </c>
      <c r="AI77" s="11">
        <f t="shared" si="9"/>
        <v>0</v>
      </c>
      <c r="AK77" s="19"/>
      <c r="AZ77" s="78">
        <f t="shared" si="42"/>
        <v>110</v>
      </c>
      <c r="BA77" s="78">
        <f t="shared" si="42"/>
        <v>142.30000000000001</v>
      </c>
      <c r="BB77" s="78">
        <f t="shared" si="42"/>
        <v>178</v>
      </c>
      <c r="BC77" s="78">
        <f t="shared" si="42"/>
        <v>215</v>
      </c>
      <c r="BD77" s="78">
        <f t="shared" si="42"/>
        <v>246</v>
      </c>
      <c r="BE77" s="78">
        <f t="shared" si="42"/>
        <v>277</v>
      </c>
      <c r="BF77" s="78">
        <f t="shared" si="42"/>
        <v>473</v>
      </c>
      <c r="BG77" s="78">
        <f t="shared" si="42"/>
        <v>470</v>
      </c>
      <c r="BH77" s="78">
        <f t="shared" si="42"/>
        <v>410</v>
      </c>
      <c r="BI77" s="78">
        <f t="shared" si="42"/>
        <v>415</v>
      </c>
      <c r="BJ77" s="78">
        <f t="shared" si="42"/>
        <v>369</v>
      </c>
      <c r="BK77" s="78">
        <f t="shared" si="42"/>
        <v>362</v>
      </c>
      <c r="BL77" s="78">
        <f t="shared" si="42"/>
        <v>402</v>
      </c>
      <c r="BM77" s="78">
        <f t="shared" si="42"/>
        <v>364.6</v>
      </c>
      <c r="BN77" s="78">
        <f t="shared" si="42"/>
        <v>405.6</v>
      </c>
      <c r="BO77" s="78">
        <f t="shared" si="42"/>
        <v>440.5</v>
      </c>
      <c r="BP77" s="78">
        <f t="shared" si="42"/>
        <v>389.1</v>
      </c>
      <c r="BQ77" s="78">
        <f t="shared" si="42"/>
        <v>333.7</v>
      </c>
      <c r="BR77" s="78">
        <f t="shared" si="42"/>
        <v>233.7</v>
      </c>
      <c r="BS77" s="78">
        <f t="shared" si="42"/>
        <v>15.6</v>
      </c>
      <c r="BT77" s="78">
        <f t="shared" si="42"/>
        <v>43</v>
      </c>
      <c r="BU77" s="78">
        <f t="shared" si="42"/>
        <v>1.8</v>
      </c>
      <c r="BV77" s="78">
        <f t="shared" si="42"/>
        <v>23</v>
      </c>
      <c r="BW77" s="78">
        <f t="shared" si="42"/>
        <v>88.3</v>
      </c>
    </row>
    <row r="78" spans="1:75" x14ac:dyDescent="0.25">
      <c r="A78" s="87" t="s">
        <v>184</v>
      </c>
      <c r="B78" s="70">
        <v>5</v>
      </c>
      <c r="C78" s="70">
        <v>5</v>
      </c>
      <c r="D78" s="70">
        <v>5</v>
      </c>
      <c r="E78" s="70">
        <v>11.5</v>
      </c>
      <c r="F78" s="70">
        <v>11.5</v>
      </c>
      <c r="G78" s="70">
        <v>11.5</v>
      </c>
      <c r="H78" s="70">
        <v>13.8</v>
      </c>
      <c r="I78" s="70">
        <v>13.8</v>
      </c>
      <c r="J78" s="70">
        <v>6</v>
      </c>
      <c r="K78" s="70">
        <v>0</v>
      </c>
      <c r="L78" s="70">
        <v>0</v>
      </c>
      <c r="M78" s="70">
        <v>0</v>
      </c>
      <c r="N78" s="70">
        <v>0</v>
      </c>
      <c r="O78" s="70">
        <v>0</v>
      </c>
      <c r="P78" s="70"/>
      <c r="Q78" s="70">
        <v>0</v>
      </c>
      <c r="R78" s="70"/>
      <c r="S78" s="70"/>
      <c r="T78" s="70"/>
      <c r="U78" s="70"/>
      <c r="V78" s="70"/>
      <c r="W78" s="70"/>
      <c r="X78" s="70">
        <v>4.7</v>
      </c>
      <c r="Y78" s="70">
        <v>4.7</v>
      </c>
      <c r="Z78" s="70">
        <v>3.4</v>
      </c>
      <c r="AA78" s="70">
        <v>29.3</v>
      </c>
      <c r="AB78" s="70">
        <v>22</v>
      </c>
      <c r="AC78" s="70">
        <v>13.9</v>
      </c>
      <c r="AD78" s="70">
        <v>13.9</v>
      </c>
      <c r="AE78" s="70">
        <v>8.5</v>
      </c>
      <c r="AF78" s="70">
        <v>0</v>
      </c>
      <c r="AG78" s="86">
        <v>32</v>
      </c>
      <c r="AH78" s="12">
        <f t="shared" si="8"/>
        <v>29.3</v>
      </c>
      <c r="AI78" s="11">
        <f t="shared" si="9"/>
        <v>0</v>
      </c>
      <c r="AK78" s="19"/>
      <c r="AZ78" s="78">
        <f t="shared" si="42"/>
        <v>0</v>
      </c>
      <c r="BA78" s="78">
        <f t="shared" si="42"/>
        <v>0</v>
      </c>
      <c r="BB78" s="78">
        <f t="shared" si="42"/>
        <v>0</v>
      </c>
      <c r="BC78" s="78">
        <f t="shared" si="42"/>
        <v>0</v>
      </c>
      <c r="BD78" s="78">
        <f t="shared" si="42"/>
        <v>0</v>
      </c>
      <c r="BE78" s="78">
        <f t="shared" si="42"/>
        <v>0</v>
      </c>
      <c r="BF78" s="78">
        <f t="shared" si="42"/>
        <v>56.8</v>
      </c>
      <c r="BG78" s="78">
        <f t="shared" si="42"/>
        <v>57</v>
      </c>
      <c r="BH78" s="78">
        <f t="shared" si="42"/>
        <v>52</v>
      </c>
      <c r="BI78" s="78">
        <f t="shared" si="42"/>
        <v>29</v>
      </c>
      <c r="BJ78" s="78">
        <f t="shared" si="42"/>
        <v>45.3</v>
      </c>
      <c r="BK78" s="78">
        <f t="shared" si="42"/>
        <v>45.3</v>
      </c>
      <c r="BL78" s="78">
        <f t="shared" si="42"/>
        <v>35.5</v>
      </c>
      <c r="BM78" s="78">
        <f t="shared" si="42"/>
        <v>50.3</v>
      </c>
      <c r="BN78" s="78">
        <f t="shared" si="42"/>
        <v>43.8</v>
      </c>
      <c r="BO78" s="78">
        <f t="shared" si="42"/>
        <v>30</v>
      </c>
      <c r="BP78" s="78">
        <f t="shared" si="42"/>
        <v>33.700000000000003</v>
      </c>
      <c r="BQ78" s="78">
        <f t="shared" si="42"/>
        <v>21.5</v>
      </c>
      <c r="BR78" s="78">
        <f t="shared" si="42"/>
        <v>16.600000000000001</v>
      </c>
      <c r="BS78" s="78">
        <f t="shared" si="42"/>
        <v>0</v>
      </c>
      <c r="BT78" s="78">
        <f t="shared" si="42"/>
        <v>0</v>
      </c>
      <c r="BU78" s="78">
        <f t="shared" si="42"/>
        <v>0</v>
      </c>
      <c r="BV78" s="78">
        <f t="shared" si="42"/>
        <v>0</v>
      </c>
      <c r="BW78" s="78">
        <f t="shared" si="42"/>
        <v>0</v>
      </c>
    </row>
    <row r="79" spans="1:75" ht="15.75" thickBot="1" x14ac:dyDescent="0.3">
      <c r="A79" s="111" t="s">
        <v>183</v>
      </c>
      <c r="B79" s="110">
        <v>1.8</v>
      </c>
      <c r="C79" s="110">
        <v>1.8</v>
      </c>
      <c r="D79" s="110">
        <v>1.8</v>
      </c>
      <c r="E79" s="110">
        <v>4.2</v>
      </c>
      <c r="F79" s="110">
        <v>4.2</v>
      </c>
      <c r="G79" s="110">
        <v>4.2</v>
      </c>
      <c r="H79" s="110">
        <v>5</v>
      </c>
      <c r="I79" s="110">
        <v>5</v>
      </c>
      <c r="J79" s="110">
        <v>2.2000000000000002</v>
      </c>
      <c r="K79" s="110">
        <v>0</v>
      </c>
      <c r="L79" s="110">
        <v>0</v>
      </c>
      <c r="M79" s="110">
        <v>0</v>
      </c>
      <c r="N79" s="110"/>
      <c r="O79" s="110"/>
      <c r="P79" s="110"/>
      <c r="Q79" s="110">
        <v>0</v>
      </c>
      <c r="R79" s="110"/>
      <c r="S79" s="110"/>
      <c r="T79" s="110"/>
      <c r="U79" s="110"/>
      <c r="V79" s="110"/>
      <c r="W79" s="110"/>
      <c r="X79" s="110">
        <v>1.7</v>
      </c>
      <c r="Y79" s="110">
        <v>1.7</v>
      </c>
      <c r="Z79" s="110">
        <v>1.3</v>
      </c>
      <c r="AA79" s="110">
        <v>10.7</v>
      </c>
      <c r="AB79" s="110">
        <v>8</v>
      </c>
      <c r="AC79" s="110">
        <v>5.0999999999999996</v>
      </c>
      <c r="AD79" s="110">
        <v>5.0999999999999996</v>
      </c>
      <c r="AE79" s="110">
        <v>3.1</v>
      </c>
      <c r="AF79" s="110">
        <v>0</v>
      </c>
      <c r="AG79" s="109">
        <v>14</v>
      </c>
      <c r="AH79" s="12">
        <f t="shared" si="8"/>
        <v>10.7</v>
      </c>
      <c r="AI79" s="11">
        <f t="shared" si="9"/>
        <v>0</v>
      </c>
      <c r="AK79" s="19"/>
      <c r="AZ79" s="78">
        <f t="shared" si="42"/>
        <v>0</v>
      </c>
      <c r="BA79" s="78">
        <f t="shared" si="42"/>
        <v>0</v>
      </c>
      <c r="BB79" s="78">
        <f t="shared" si="42"/>
        <v>0</v>
      </c>
      <c r="BC79" s="78">
        <f t="shared" si="42"/>
        <v>0</v>
      </c>
      <c r="BD79" s="78">
        <f t="shared" si="42"/>
        <v>0</v>
      </c>
      <c r="BE79" s="78">
        <f t="shared" si="42"/>
        <v>0</v>
      </c>
      <c r="BF79" s="78">
        <f t="shared" si="42"/>
        <v>129.9</v>
      </c>
      <c r="BG79" s="78">
        <f t="shared" si="42"/>
        <v>121</v>
      </c>
      <c r="BH79" s="78">
        <f t="shared" si="42"/>
        <v>123.6</v>
      </c>
      <c r="BI79" s="78">
        <f t="shared" si="42"/>
        <v>117.2</v>
      </c>
      <c r="BJ79" s="78">
        <f t="shared" si="42"/>
        <v>105.9</v>
      </c>
      <c r="BK79" s="78">
        <f t="shared" si="42"/>
        <v>105.9</v>
      </c>
      <c r="BL79" s="78">
        <f t="shared" si="42"/>
        <v>128.69999999999999</v>
      </c>
      <c r="BM79" s="78">
        <f t="shared" si="42"/>
        <v>130.9</v>
      </c>
      <c r="BN79" s="78">
        <f t="shared" si="42"/>
        <v>144.5</v>
      </c>
      <c r="BO79" s="78">
        <f t="shared" si="42"/>
        <v>0</v>
      </c>
      <c r="BP79" s="78">
        <f t="shared" si="42"/>
        <v>0</v>
      </c>
      <c r="BQ79" s="78">
        <f t="shared" si="42"/>
        <v>0</v>
      </c>
      <c r="BR79" s="78">
        <f t="shared" si="42"/>
        <v>0</v>
      </c>
      <c r="BS79" s="78">
        <f t="shared" si="42"/>
        <v>0</v>
      </c>
      <c r="BT79" s="78">
        <f t="shared" si="42"/>
        <v>0</v>
      </c>
      <c r="BU79" s="78">
        <f t="shared" si="42"/>
        <v>0</v>
      </c>
      <c r="BV79" s="78">
        <f t="shared" si="42"/>
        <v>0</v>
      </c>
      <c r="BW79" s="78">
        <f t="shared" si="42"/>
        <v>0</v>
      </c>
    </row>
    <row r="80" spans="1:75" ht="15.75" thickBot="1" x14ac:dyDescent="0.3">
      <c r="A80" s="77" t="s">
        <v>182</v>
      </c>
      <c r="B80" s="76">
        <f t="shared" ref="B80:AF80" si="50">B77+B78+B79</f>
        <v>20.7</v>
      </c>
      <c r="C80" s="76">
        <f t="shared" si="50"/>
        <v>20.8</v>
      </c>
      <c r="D80" s="76">
        <f t="shared" si="50"/>
        <v>20.8</v>
      </c>
      <c r="E80" s="76">
        <f t="shared" si="50"/>
        <v>40.700000000000003</v>
      </c>
      <c r="F80" s="76">
        <f t="shared" si="50"/>
        <v>40.700000000000003</v>
      </c>
      <c r="G80" s="76">
        <f t="shared" si="50"/>
        <v>40.700000000000003</v>
      </c>
      <c r="H80" s="76">
        <f t="shared" si="50"/>
        <v>48.8</v>
      </c>
      <c r="I80" s="76">
        <f t="shared" si="50"/>
        <v>48.8</v>
      </c>
      <c r="J80" s="76">
        <f t="shared" si="50"/>
        <v>21.9</v>
      </c>
      <c r="K80" s="76">
        <f t="shared" si="50"/>
        <v>0</v>
      </c>
      <c r="L80" s="76">
        <f t="shared" si="50"/>
        <v>0</v>
      </c>
      <c r="M80" s="76">
        <f t="shared" si="50"/>
        <v>0</v>
      </c>
      <c r="N80" s="76">
        <f t="shared" si="50"/>
        <v>0</v>
      </c>
      <c r="O80" s="76">
        <f t="shared" si="50"/>
        <v>0</v>
      </c>
      <c r="P80" s="76">
        <f t="shared" si="50"/>
        <v>0</v>
      </c>
      <c r="Q80" s="76">
        <f t="shared" ref="Q80" si="51">Q77+Q78+Q79</f>
        <v>0</v>
      </c>
      <c r="R80" s="76">
        <f t="shared" si="50"/>
        <v>0</v>
      </c>
      <c r="S80" s="76">
        <f t="shared" ref="S80:T80" si="52">S77+S78+S79</f>
        <v>0</v>
      </c>
      <c r="T80" s="76">
        <f t="shared" si="52"/>
        <v>0</v>
      </c>
      <c r="U80" s="76">
        <f t="shared" ref="U80:V80" si="53">U77+U78+U79</f>
        <v>0</v>
      </c>
      <c r="V80" s="76">
        <f t="shared" si="53"/>
        <v>0</v>
      </c>
      <c r="W80" s="76">
        <f t="shared" ref="W80:X80" si="54">W77+W78+W79</f>
        <v>0</v>
      </c>
      <c r="X80" s="76">
        <f t="shared" si="54"/>
        <v>16.8</v>
      </c>
      <c r="Y80" s="76">
        <f t="shared" ref="Y80:Z80" si="55">Y77+Y78+Y79</f>
        <v>16.8</v>
      </c>
      <c r="Z80" s="76">
        <f t="shared" si="55"/>
        <v>18.59</v>
      </c>
      <c r="AA80" s="76">
        <f t="shared" ref="AA80" si="56">AA77+AA78+AA79</f>
        <v>89.2</v>
      </c>
      <c r="AB80" s="76">
        <f t="shared" si="50"/>
        <v>79.8</v>
      </c>
      <c r="AC80" s="76">
        <f t="shared" si="50"/>
        <v>48.1</v>
      </c>
      <c r="AD80" s="76">
        <f t="shared" si="50"/>
        <v>48.1</v>
      </c>
      <c r="AE80" s="76">
        <f t="shared" si="50"/>
        <v>31.6</v>
      </c>
      <c r="AF80" s="76">
        <f t="shared" si="50"/>
        <v>0</v>
      </c>
      <c r="AG80" s="93">
        <f>SUM(AG77:AG79)</f>
        <v>106</v>
      </c>
      <c r="AH80" s="12">
        <f t="shared" si="8"/>
        <v>89.2</v>
      </c>
      <c r="AI80" s="11">
        <f t="shared" si="9"/>
        <v>0</v>
      </c>
      <c r="AK80" s="19"/>
      <c r="AZ80" s="78">
        <f t="shared" si="42"/>
        <v>46</v>
      </c>
      <c r="BA80" s="78">
        <f t="shared" si="42"/>
        <v>45.4</v>
      </c>
      <c r="BB80" s="78">
        <f t="shared" si="42"/>
        <v>43.4</v>
      </c>
      <c r="BC80" s="78">
        <f t="shared" si="42"/>
        <v>40.9</v>
      </c>
      <c r="BD80" s="78">
        <f t="shared" si="42"/>
        <v>42.9</v>
      </c>
      <c r="BE80" s="78">
        <f t="shared" si="42"/>
        <v>42</v>
      </c>
      <c r="BF80" s="78">
        <f t="shared" si="42"/>
        <v>47.4</v>
      </c>
      <c r="BG80" s="78">
        <f t="shared" si="42"/>
        <v>43</v>
      </c>
      <c r="BH80" s="78">
        <f t="shared" si="42"/>
        <v>42</v>
      </c>
      <c r="BI80" s="78">
        <f t="shared" si="42"/>
        <v>17</v>
      </c>
      <c r="BJ80" s="78">
        <f t="shared" si="42"/>
        <v>30.8</v>
      </c>
      <c r="BK80" s="78">
        <f t="shared" si="42"/>
        <v>30.8</v>
      </c>
      <c r="BL80" s="78">
        <f t="shared" si="42"/>
        <v>30.8</v>
      </c>
      <c r="BM80" s="78">
        <f t="shared" si="42"/>
        <v>15.7</v>
      </c>
      <c r="BN80" s="78">
        <f t="shared" si="42"/>
        <v>40.299999999999997</v>
      </c>
      <c r="BO80" s="78">
        <f t="shared" si="42"/>
        <v>58.3</v>
      </c>
      <c r="BP80" s="78">
        <f t="shared" si="42"/>
        <v>50.8</v>
      </c>
      <c r="BQ80" s="78">
        <f t="shared" si="42"/>
        <v>40.9</v>
      </c>
      <c r="BR80" s="78">
        <f t="shared" si="42"/>
        <v>43.7</v>
      </c>
      <c r="BS80" s="78">
        <f t="shared" si="42"/>
        <v>39.5</v>
      </c>
      <c r="BT80" s="78">
        <f t="shared" si="42"/>
        <v>40</v>
      </c>
      <c r="BU80" s="78">
        <f t="shared" si="42"/>
        <v>44.8</v>
      </c>
      <c r="BV80" s="78">
        <f t="shared" si="42"/>
        <v>45</v>
      </c>
      <c r="BW80" s="78">
        <f t="shared" si="42"/>
        <v>46.4</v>
      </c>
    </row>
    <row r="81" spans="1:64" x14ac:dyDescent="0.25">
      <c r="A81" s="89" t="s">
        <v>157</v>
      </c>
      <c r="B81" s="102">
        <v>37.200000000000003</v>
      </c>
      <c r="C81" s="102">
        <v>35</v>
      </c>
      <c r="D81" s="102">
        <v>44.7</v>
      </c>
      <c r="E81" s="102">
        <v>42.7</v>
      </c>
      <c r="F81" s="102">
        <v>38.700000000000003</v>
      </c>
      <c r="G81" s="102">
        <v>39.5</v>
      </c>
      <c r="H81" s="102">
        <v>21.5</v>
      </c>
      <c r="I81" s="102">
        <v>27.9</v>
      </c>
      <c r="J81" s="102">
        <v>48.5</v>
      </c>
      <c r="K81" s="102">
        <v>62</v>
      </c>
      <c r="L81" s="102">
        <v>63.2</v>
      </c>
      <c r="M81" s="102">
        <v>61</v>
      </c>
      <c r="N81" s="102">
        <v>66</v>
      </c>
      <c r="O81" s="102">
        <v>57</v>
      </c>
      <c r="P81" s="102">
        <v>62.7</v>
      </c>
      <c r="Q81" s="102">
        <v>70</v>
      </c>
      <c r="R81" s="102">
        <v>56</v>
      </c>
      <c r="S81" s="102">
        <v>59.6</v>
      </c>
      <c r="T81" s="102">
        <v>57.4</v>
      </c>
      <c r="U81" s="102">
        <v>61.2</v>
      </c>
      <c r="V81" s="102">
        <v>58.7</v>
      </c>
      <c r="W81" s="102">
        <v>60.8</v>
      </c>
      <c r="X81" s="102">
        <v>58.5</v>
      </c>
      <c r="Y81" s="102">
        <v>51.6</v>
      </c>
      <c r="Z81" s="102">
        <v>49.1</v>
      </c>
      <c r="AA81" s="102">
        <v>15.8</v>
      </c>
      <c r="AB81" s="102">
        <v>12.8</v>
      </c>
      <c r="AC81" s="102">
        <v>12.6</v>
      </c>
      <c r="AD81" s="102">
        <v>26</v>
      </c>
      <c r="AE81" s="102">
        <v>29</v>
      </c>
      <c r="AF81" s="102">
        <v>24</v>
      </c>
      <c r="AG81" s="88"/>
      <c r="AH81" s="12">
        <f t="shared" si="8"/>
        <v>70</v>
      </c>
      <c r="AI81" s="11">
        <f t="shared" si="9"/>
        <v>12.6</v>
      </c>
      <c r="AK81" s="19"/>
      <c r="AY81" s="78"/>
    </row>
    <row r="82" spans="1:64" x14ac:dyDescent="0.25">
      <c r="A82" s="87" t="s">
        <v>160</v>
      </c>
      <c r="B82" s="70">
        <v>0</v>
      </c>
      <c r="C82" s="70">
        <v>0</v>
      </c>
      <c r="D82" s="70">
        <v>0</v>
      </c>
      <c r="E82" s="70">
        <v>0</v>
      </c>
      <c r="F82" s="70">
        <v>0</v>
      </c>
      <c r="G82" s="70">
        <v>0</v>
      </c>
      <c r="H82" s="70">
        <v>0</v>
      </c>
      <c r="I82" s="70">
        <v>0</v>
      </c>
      <c r="J82" s="70">
        <v>77.5</v>
      </c>
      <c r="K82" s="70">
        <v>90.8</v>
      </c>
      <c r="L82" s="70">
        <v>98.6</v>
      </c>
      <c r="M82" s="70">
        <v>101</v>
      </c>
      <c r="N82" s="70">
        <v>92.4</v>
      </c>
      <c r="O82" s="70">
        <v>90</v>
      </c>
      <c r="P82" s="70">
        <v>102.8</v>
      </c>
      <c r="Q82" s="70">
        <v>100</v>
      </c>
      <c r="R82" s="70">
        <v>96</v>
      </c>
      <c r="S82" s="70">
        <v>68.599999999999994</v>
      </c>
      <c r="T82" s="70">
        <v>95.5</v>
      </c>
      <c r="U82" s="70">
        <v>67.2</v>
      </c>
      <c r="V82" s="70">
        <v>67</v>
      </c>
      <c r="W82" s="70">
        <v>61.6</v>
      </c>
      <c r="X82" s="70">
        <v>63.6</v>
      </c>
      <c r="Y82" s="70">
        <v>56.1</v>
      </c>
      <c r="Z82" s="70">
        <v>55.1</v>
      </c>
      <c r="AA82" s="70">
        <v>0</v>
      </c>
      <c r="AB82" s="70">
        <v>0</v>
      </c>
      <c r="AC82" s="70">
        <v>0</v>
      </c>
      <c r="AD82" s="70"/>
      <c r="AE82" s="70"/>
      <c r="AF82" s="70"/>
      <c r="AG82" s="86"/>
      <c r="AH82" s="12">
        <f t="shared" ref="AH82:AH125" si="57">MAX(B82:AF82)</f>
        <v>102.8</v>
      </c>
      <c r="AI82" s="11">
        <f t="shared" ref="AI82:AI125" si="58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25">
      <c r="A83" s="87" t="s">
        <v>181</v>
      </c>
      <c r="B83" s="70">
        <v>88.3</v>
      </c>
      <c r="C83" s="70">
        <v>110.4</v>
      </c>
      <c r="D83" s="70">
        <v>142.30000000000001</v>
      </c>
      <c r="E83" s="70">
        <v>178</v>
      </c>
      <c r="F83" s="70">
        <v>215</v>
      </c>
      <c r="G83" s="70">
        <v>246</v>
      </c>
      <c r="H83" s="70">
        <v>197</v>
      </c>
      <c r="I83" s="70">
        <v>277</v>
      </c>
      <c r="J83" s="70">
        <v>394</v>
      </c>
      <c r="K83" s="70">
        <v>473</v>
      </c>
      <c r="L83" s="70">
        <v>486</v>
      </c>
      <c r="M83" s="70">
        <v>470</v>
      </c>
      <c r="N83" s="70">
        <v>410</v>
      </c>
      <c r="O83" s="70">
        <v>415</v>
      </c>
      <c r="P83" s="70">
        <v>369</v>
      </c>
      <c r="Q83" s="70">
        <v>362</v>
      </c>
      <c r="R83" s="70">
        <v>402</v>
      </c>
      <c r="S83" s="70">
        <v>364.6</v>
      </c>
      <c r="T83" s="70">
        <v>405.6</v>
      </c>
      <c r="U83" s="70">
        <v>440.5</v>
      </c>
      <c r="V83" s="70">
        <v>389.1</v>
      </c>
      <c r="W83" s="70">
        <v>386.1</v>
      </c>
      <c r="X83" s="70">
        <v>333.7</v>
      </c>
      <c r="Y83" s="70">
        <v>230</v>
      </c>
      <c r="Z83" s="70">
        <v>233.7</v>
      </c>
      <c r="AA83" s="70">
        <v>3.1</v>
      </c>
      <c r="AB83" s="70">
        <v>15.6</v>
      </c>
      <c r="AC83" s="70">
        <v>41</v>
      </c>
      <c r="AD83" s="70">
        <v>43</v>
      </c>
      <c r="AE83" s="70">
        <v>1.8</v>
      </c>
      <c r="AF83" s="70">
        <v>23</v>
      </c>
      <c r="AG83" s="96"/>
      <c r="AH83" s="12">
        <f t="shared" si="57"/>
        <v>486</v>
      </c>
      <c r="AI83" s="11">
        <f t="shared" si="58"/>
        <v>1.8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25">
      <c r="A84" s="87" t="s">
        <v>161</v>
      </c>
      <c r="B84" s="70">
        <v>0</v>
      </c>
      <c r="C84" s="70">
        <v>0</v>
      </c>
      <c r="D84" s="70">
        <v>0</v>
      </c>
      <c r="E84" s="85">
        <v>0</v>
      </c>
      <c r="F84" s="85">
        <v>0</v>
      </c>
      <c r="G84" s="85">
        <v>0</v>
      </c>
      <c r="H84" s="85">
        <v>0</v>
      </c>
      <c r="I84" s="85">
        <v>0</v>
      </c>
      <c r="J84" s="85">
        <v>40.799999999999997</v>
      </c>
      <c r="K84" s="85">
        <v>56.8</v>
      </c>
      <c r="L84" s="85">
        <v>58.1</v>
      </c>
      <c r="M84" s="85">
        <v>57</v>
      </c>
      <c r="N84" s="85">
        <v>52</v>
      </c>
      <c r="O84" s="85">
        <v>29</v>
      </c>
      <c r="P84" s="85">
        <v>45.3</v>
      </c>
      <c r="Q84" s="85">
        <v>45.3</v>
      </c>
      <c r="R84" s="85">
        <v>35.5</v>
      </c>
      <c r="S84" s="85">
        <v>50.3</v>
      </c>
      <c r="T84" s="85">
        <v>43.8</v>
      </c>
      <c r="U84" s="85">
        <v>30</v>
      </c>
      <c r="V84" s="85">
        <v>33.700000000000003</v>
      </c>
      <c r="W84" s="85">
        <v>28.2</v>
      </c>
      <c r="X84" s="85">
        <v>21.5</v>
      </c>
      <c r="Y84" s="85">
        <v>14.8</v>
      </c>
      <c r="Z84" s="85">
        <v>16.600000000000001</v>
      </c>
      <c r="AA84" s="85">
        <v>0</v>
      </c>
      <c r="AB84" s="85">
        <v>0</v>
      </c>
      <c r="AC84" s="85">
        <v>0</v>
      </c>
      <c r="AD84" s="85"/>
      <c r="AE84" s="85"/>
      <c r="AF84" s="85"/>
      <c r="AG84" s="96"/>
      <c r="AH84" s="12">
        <f t="shared" si="57"/>
        <v>58.1</v>
      </c>
      <c r="AI84" s="11">
        <f t="shared" si="58"/>
        <v>0</v>
      </c>
      <c r="AK84" s="19"/>
      <c r="AY84" s="78"/>
      <c r="BF84" s="83"/>
      <c r="BG84" s="78">
        <f t="array" ref="BG84:BL107">TRANSPOSE(AZ68:BW73)</f>
        <v>35</v>
      </c>
      <c r="BH84" s="78">
        <v>0</v>
      </c>
      <c r="BI84" s="78">
        <v>110</v>
      </c>
      <c r="BJ84" s="78">
        <v>0</v>
      </c>
      <c r="BK84" s="78">
        <v>0</v>
      </c>
      <c r="BL84" s="78">
        <v>46</v>
      </c>
    </row>
    <row r="85" spans="1:64" x14ac:dyDescent="0.25">
      <c r="A85" s="87" t="s">
        <v>180</v>
      </c>
      <c r="B85" s="102">
        <v>0</v>
      </c>
      <c r="C85" s="102">
        <v>0</v>
      </c>
      <c r="D85" s="102">
        <v>0</v>
      </c>
      <c r="E85" s="102">
        <v>0</v>
      </c>
      <c r="F85" s="102">
        <v>0</v>
      </c>
      <c r="G85" s="102">
        <v>0</v>
      </c>
      <c r="H85" s="102">
        <v>0</v>
      </c>
      <c r="I85" s="102">
        <v>0</v>
      </c>
      <c r="J85" s="102">
        <v>123</v>
      </c>
      <c r="K85" s="102">
        <v>129.9</v>
      </c>
      <c r="L85" s="102">
        <v>126.7</v>
      </c>
      <c r="M85" s="102">
        <v>121</v>
      </c>
      <c r="N85" s="102">
        <v>123.6</v>
      </c>
      <c r="O85" s="102">
        <v>117.2</v>
      </c>
      <c r="P85" s="102">
        <v>105.9</v>
      </c>
      <c r="Q85" s="102">
        <v>105.9</v>
      </c>
      <c r="R85" s="102">
        <v>128.69999999999999</v>
      </c>
      <c r="S85" s="102">
        <v>130.9</v>
      </c>
      <c r="T85" s="102">
        <v>144.5</v>
      </c>
      <c r="U85" s="102">
        <v>0</v>
      </c>
      <c r="V85" s="102">
        <v>0</v>
      </c>
      <c r="W85" s="102">
        <v>0</v>
      </c>
      <c r="X85" s="102">
        <v>0</v>
      </c>
      <c r="Y85" s="102">
        <v>0</v>
      </c>
      <c r="Z85" s="102">
        <v>0</v>
      </c>
      <c r="AA85" s="102">
        <v>0</v>
      </c>
      <c r="AB85" s="102">
        <v>0</v>
      </c>
      <c r="AC85" s="102">
        <v>0</v>
      </c>
      <c r="AD85" s="102"/>
      <c r="AE85" s="102"/>
      <c r="AF85" s="102"/>
      <c r="AG85" s="96"/>
      <c r="AH85" s="12">
        <f t="shared" si="57"/>
        <v>144.5</v>
      </c>
      <c r="AI85" s="11">
        <f t="shared" si="58"/>
        <v>0</v>
      </c>
      <c r="AK85" s="19"/>
      <c r="AY85" s="78"/>
      <c r="BF85" s="83"/>
      <c r="BG85" s="78">
        <v>44.7</v>
      </c>
      <c r="BH85" s="78">
        <v>0</v>
      </c>
      <c r="BI85" s="78">
        <v>142.30000000000001</v>
      </c>
      <c r="BJ85" s="78">
        <v>0</v>
      </c>
      <c r="BK85" s="78">
        <v>0</v>
      </c>
      <c r="BL85" s="78">
        <v>45.4</v>
      </c>
    </row>
    <row r="86" spans="1:64" x14ac:dyDescent="0.25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57"/>
        <v>0</v>
      </c>
      <c r="AI86" s="11">
        <f t="shared" si="58"/>
        <v>0</v>
      </c>
      <c r="AK86" s="19"/>
      <c r="AY86" s="78"/>
      <c r="BF86" s="83"/>
      <c r="BG86" s="78">
        <v>42.7</v>
      </c>
      <c r="BH86" s="78">
        <v>0</v>
      </c>
      <c r="BI86" s="78">
        <v>178</v>
      </c>
      <c r="BJ86" s="78">
        <v>0</v>
      </c>
      <c r="BK86" s="78">
        <v>0</v>
      </c>
      <c r="BL86" s="78">
        <v>43.4</v>
      </c>
    </row>
    <row r="87" spans="1:64" ht="15.75" thickBot="1" x14ac:dyDescent="0.3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57"/>
        <v>0</v>
      </c>
      <c r="AI87" s="11">
        <f t="shared" si="58"/>
        <v>0</v>
      </c>
      <c r="AK87" s="19"/>
      <c r="AL87" s="108" t="s">
        <v>177</v>
      </c>
      <c r="AM87" s="108"/>
      <c r="AY87" s="78"/>
      <c r="BF87" s="78"/>
      <c r="BG87" s="78">
        <v>38.700000000000003</v>
      </c>
      <c r="BH87" s="78">
        <v>0</v>
      </c>
      <c r="BI87" s="78">
        <v>215</v>
      </c>
      <c r="BJ87" s="78">
        <v>0</v>
      </c>
      <c r="BK87" s="78">
        <v>0</v>
      </c>
      <c r="BL87" s="78">
        <v>40.9</v>
      </c>
    </row>
    <row r="88" spans="1:64" x14ac:dyDescent="0.25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57"/>
        <v>0</v>
      </c>
      <c r="AI88" s="11">
        <f t="shared" si="58"/>
        <v>0</v>
      </c>
      <c r="AK88" s="107"/>
      <c r="AL88" s="106"/>
      <c r="AM88" s="106"/>
      <c r="AN88" s="105"/>
      <c r="AY88" s="78"/>
      <c r="BF88" s="78"/>
      <c r="BG88" s="78">
        <v>39.5</v>
      </c>
      <c r="BH88" s="78">
        <v>0</v>
      </c>
      <c r="BI88" s="78">
        <v>246</v>
      </c>
      <c r="BJ88" s="78">
        <v>0</v>
      </c>
      <c r="BK88" s="78">
        <v>0</v>
      </c>
      <c r="BL88" s="78">
        <v>42.9</v>
      </c>
    </row>
    <row r="89" spans="1:64" x14ac:dyDescent="0.25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57"/>
        <v>0</v>
      </c>
      <c r="AI89" s="11">
        <f t="shared" si="58"/>
        <v>0</v>
      </c>
      <c r="AK89" s="104" t="s">
        <v>174</v>
      </c>
      <c r="AL89" s="70"/>
      <c r="AM89" s="85"/>
      <c r="AN89" s="103"/>
      <c r="AY89" s="78"/>
      <c r="BF89" s="78"/>
      <c r="BG89" s="78">
        <v>27.9</v>
      </c>
      <c r="BH89" s="78">
        <v>0</v>
      </c>
      <c r="BI89" s="78">
        <v>277</v>
      </c>
      <c r="BJ89" s="78">
        <v>0</v>
      </c>
      <c r="BK89" s="78">
        <v>0</v>
      </c>
      <c r="BL89" s="78">
        <v>42</v>
      </c>
    </row>
    <row r="90" spans="1:64" x14ac:dyDescent="0.25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57"/>
        <v>0</v>
      </c>
      <c r="AI90" s="11">
        <f t="shared" si="58"/>
        <v>0</v>
      </c>
      <c r="AK90" s="104" t="s">
        <v>172</v>
      </c>
      <c r="AL90" s="85"/>
      <c r="AM90" s="85"/>
      <c r="AN90" s="103"/>
      <c r="AY90" s="78"/>
      <c r="BF90" s="78"/>
      <c r="BG90" s="78">
        <v>62</v>
      </c>
      <c r="BH90" s="78">
        <v>90.8</v>
      </c>
      <c r="BI90" s="78">
        <v>473</v>
      </c>
      <c r="BJ90" s="78">
        <v>56.8</v>
      </c>
      <c r="BK90" s="78">
        <v>129.9</v>
      </c>
      <c r="BL90" s="78">
        <v>47.4</v>
      </c>
    </row>
    <row r="91" spans="1:64" ht="15.75" thickBot="1" x14ac:dyDescent="0.3">
      <c r="A91" s="82" t="s">
        <v>171</v>
      </c>
      <c r="B91" s="97">
        <v>46.4</v>
      </c>
      <c r="C91" s="97">
        <v>46</v>
      </c>
      <c r="D91" s="97">
        <v>45.4</v>
      </c>
      <c r="E91" s="97">
        <v>43.4</v>
      </c>
      <c r="F91" s="97">
        <v>40.9</v>
      </c>
      <c r="G91" s="97">
        <v>42.9</v>
      </c>
      <c r="H91" s="97">
        <v>43.6</v>
      </c>
      <c r="I91" s="97">
        <v>42</v>
      </c>
      <c r="J91" s="97">
        <v>44.9</v>
      </c>
      <c r="K91" s="97">
        <v>47.4</v>
      </c>
      <c r="L91" s="97">
        <v>49.6</v>
      </c>
      <c r="M91" s="97">
        <v>43</v>
      </c>
      <c r="N91" s="97">
        <v>42</v>
      </c>
      <c r="O91" s="97">
        <v>17</v>
      </c>
      <c r="P91" s="97">
        <v>30.8</v>
      </c>
      <c r="Q91" s="97">
        <v>30.8</v>
      </c>
      <c r="R91" s="97">
        <v>30.8</v>
      </c>
      <c r="S91" s="97">
        <v>15.7</v>
      </c>
      <c r="T91" s="97">
        <v>40.299999999999997</v>
      </c>
      <c r="U91" s="97">
        <v>58.3</v>
      </c>
      <c r="V91" s="97">
        <v>50.8</v>
      </c>
      <c r="W91" s="97">
        <v>48.8</v>
      </c>
      <c r="X91" s="97">
        <v>40.9</v>
      </c>
      <c r="Y91" s="97">
        <v>41.4</v>
      </c>
      <c r="Z91" s="97">
        <v>43.7</v>
      </c>
      <c r="AA91" s="97">
        <v>41.1</v>
      </c>
      <c r="AB91" s="97">
        <v>39.5</v>
      </c>
      <c r="AC91" s="97">
        <v>40</v>
      </c>
      <c r="AD91" s="97">
        <v>40</v>
      </c>
      <c r="AE91" s="97">
        <v>44.8</v>
      </c>
      <c r="AF91" s="97">
        <v>45</v>
      </c>
      <c r="AG91" s="80"/>
      <c r="AH91" s="12">
        <f t="shared" si="57"/>
        <v>58.3</v>
      </c>
      <c r="AI91" s="11">
        <f t="shared" si="58"/>
        <v>15.7</v>
      </c>
      <c r="AK91" s="98"/>
      <c r="AL91" s="102"/>
      <c r="AM91" s="102"/>
      <c r="AN91" s="101"/>
      <c r="AY91" s="78"/>
      <c r="BF91" s="78"/>
      <c r="BG91" s="78">
        <v>61</v>
      </c>
      <c r="BH91" s="78">
        <v>101</v>
      </c>
      <c r="BI91" s="78">
        <v>470</v>
      </c>
      <c r="BJ91" s="78">
        <v>57</v>
      </c>
      <c r="BK91" s="78">
        <v>121</v>
      </c>
      <c r="BL91" s="78">
        <v>43</v>
      </c>
    </row>
    <row r="92" spans="1:64" ht="15.75" thickBot="1" x14ac:dyDescent="0.3">
      <c r="A92" s="77" t="s">
        <v>170</v>
      </c>
      <c r="B92" s="76">
        <f t="shared" ref="B92:AF92" si="59">SUMIF(B81:B91,"&gt;0")</f>
        <v>171.9</v>
      </c>
      <c r="C92" s="76">
        <f t="shared" si="59"/>
        <v>191.4</v>
      </c>
      <c r="D92" s="76">
        <f t="shared" si="59"/>
        <v>232.4</v>
      </c>
      <c r="E92" s="76">
        <f t="shared" si="59"/>
        <v>264.09999999999997</v>
      </c>
      <c r="F92" s="76">
        <f t="shared" si="59"/>
        <v>294.59999999999997</v>
      </c>
      <c r="G92" s="76">
        <f t="shared" si="59"/>
        <v>328.4</v>
      </c>
      <c r="H92" s="76">
        <f t="shared" si="59"/>
        <v>262.10000000000002</v>
      </c>
      <c r="I92" s="76">
        <f t="shared" si="59"/>
        <v>346.9</v>
      </c>
      <c r="J92" s="76">
        <f t="shared" si="59"/>
        <v>728.69999999999993</v>
      </c>
      <c r="K92" s="76">
        <f t="shared" si="59"/>
        <v>859.89999999999986</v>
      </c>
      <c r="L92" s="76">
        <f t="shared" si="59"/>
        <v>882.2</v>
      </c>
      <c r="M92" s="76">
        <f t="shared" si="59"/>
        <v>853</v>
      </c>
      <c r="N92" s="76">
        <f t="shared" si="59"/>
        <v>786</v>
      </c>
      <c r="O92" s="76">
        <f t="shared" si="59"/>
        <v>725.2</v>
      </c>
      <c r="P92" s="76">
        <f t="shared" si="59"/>
        <v>716.49999999999989</v>
      </c>
      <c r="Q92" s="76">
        <f t="shared" ref="Q92" si="60">SUMIF(Q81:Q91,"&gt;0")</f>
        <v>713.99999999999989</v>
      </c>
      <c r="R92" s="76">
        <f t="shared" si="59"/>
        <v>749</v>
      </c>
      <c r="S92" s="76">
        <f t="shared" ref="S92:T92" si="61">SUMIF(S81:S91,"&gt;0")</f>
        <v>689.7</v>
      </c>
      <c r="T92" s="76">
        <f t="shared" si="61"/>
        <v>787.09999999999991</v>
      </c>
      <c r="U92" s="76">
        <f t="shared" ref="U92:V92" si="62">SUMIF(U81:U91,"&gt;0")</f>
        <v>657.19999999999993</v>
      </c>
      <c r="V92" s="76">
        <f t="shared" si="62"/>
        <v>599.30000000000007</v>
      </c>
      <c r="W92" s="76">
        <f t="shared" ref="W92:X92" si="63">SUMIF(W81:W91,"&gt;0")</f>
        <v>585.5</v>
      </c>
      <c r="X92" s="76">
        <f t="shared" si="63"/>
        <v>518.19999999999993</v>
      </c>
      <c r="Y92" s="76">
        <f t="shared" ref="Y92:Z92" si="64">SUMIF(Y81:Y91,"&gt;0")</f>
        <v>393.9</v>
      </c>
      <c r="Z92" s="76">
        <f t="shared" si="64"/>
        <v>398.2</v>
      </c>
      <c r="AA92" s="76">
        <f t="shared" ref="AA92" si="65">SUMIF(AA81:AA91,"&gt;0")</f>
        <v>60</v>
      </c>
      <c r="AB92" s="76">
        <f t="shared" si="59"/>
        <v>67.900000000000006</v>
      </c>
      <c r="AC92" s="76">
        <f t="shared" si="59"/>
        <v>93.6</v>
      </c>
      <c r="AD92" s="76">
        <f t="shared" si="59"/>
        <v>109</v>
      </c>
      <c r="AE92" s="76">
        <f t="shared" si="59"/>
        <v>75.599999999999994</v>
      </c>
      <c r="AF92" s="76">
        <f t="shared" si="59"/>
        <v>92</v>
      </c>
      <c r="AG92" s="75">
        <f>SUM(AG81:AG91)</f>
        <v>0</v>
      </c>
      <c r="AH92" s="12">
        <f t="shared" si="57"/>
        <v>882.2</v>
      </c>
      <c r="AI92" s="11">
        <f t="shared" si="58"/>
        <v>60</v>
      </c>
      <c r="AK92" s="98"/>
      <c r="AL92" s="97"/>
      <c r="AM92" s="100"/>
      <c r="AN92" s="220"/>
      <c r="AY92" s="78"/>
      <c r="BF92" s="78"/>
      <c r="BG92" s="78">
        <v>66</v>
      </c>
      <c r="BH92" s="78">
        <v>92.4</v>
      </c>
      <c r="BI92" s="78">
        <v>410</v>
      </c>
      <c r="BJ92" s="78">
        <v>52</v>
      </c>
      <c r="BK92" s="78">
        <v>123.6</v>
      </c>
      <c r="BL92" s="78">
        <v>42</v>
      </c>
    </row>
    <row r="93" spans="1:64" x14ac:dyDescent="0.25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57"/>
        <v>0</v>
      </c>
      <c r="AI93" s="11">
        <f t="shared" si="58"/>
        <v>0</v>
      </c>
      <c r="AK93" s="98"/>
      <c r="AL93" s="97"/>
      <c r="AM93" s="97"/>
      <c r="AN93" s="221"/>
      <c r="BF93" s="78"/>
      <c r="BG93" s="78">
        <v>57</v>
      </c>
      <c r="BH93" s="78">
        <v>90</v>
      </c>
      <c r="BI93" s="78">
        <v>415</v>
      </c>
      <c r="BJ93" s="78">
        <v>29</v>
      </c>
      <c r="BK93" s="78">
        <v>117.2</v>
      </c>
      <c r="BL93" s="78">
        <v>17</v>
      </c>
    </row>
    <row r="94" spans="1:64" ht="15.75" thickBot="1" x14ac:dyDescent="0.3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57"/>
        <v>0</v>
      </c>
      <c r="AI94" s="11">
        <f t="shared" si="58"/>
        <v>0</v>
      </c>
      <c r="AK94" s="95"/>
      <c r="AL94" s="67"/>
      <c r="AM94" s="67"/>
      <c r="AN94" s="94"/>
      <c r="BF94" s="78"/>
      <c r="BG94" s="78">
        <v>62.7</v>
      </c>
      <c r="BH94" s="78">
        <v>102.8</v>
      </c>
      <c r="BI94" s="78">
        <v>369</v>
      </c>
      <c r="BJ94" s="78">
        <v>45.3</v>
      </c>
      <c r="BK94" s="78">
        <v>105.9</v>
      </c>
      <c r="BL94" s="78">
        <v>30.8</v>
      </c>
    </row>
    <row r="95" spans="1:64" ht="15.75" thickBot="1" x14ac:dyDescent="0.3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57"/>
        <v>0</v>
      </c>
      <c r="AI95" s="11">
        <f t="shared" si="58"/>
        <v>0</v>
      </c>
      <c r="BF95" s="78"/>
      <c r="BG95" s="78">
        <v>70</v>
      </c>
      <c r="BH95" s="78">
        <v>100</v>
      </c>
      <c r="BI95" s="78">
        <v>362</v>
      </c>
      <c r="BJ95" s="78">
        <v>45.3</v>
      </c>
      <c r="BK95" s="78">
        <v>105.9</v>
      </c>
      <c r="BL95" s="78">
        <v>30.8</v>
      </c>
    </row>
    <row r="96" spans="1:64" ht="15.75" thickBot="1" x14ac:dyDescent="0.3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57"/>
        <v>0</v>
      </c>
      <c r="AI96" s="11">
        <f t="shared" si="58"/>
        <v>0</v>
      </c>
      <c r="BF96" s="78"/>
      <c r="BG96" s="78">
        <v>56</v>
      </c>
      <c r="BH96" s="78">
        <v>96</v>
      </c>
      <c r="BI96" s="78">
        <v>402</v>
      </c>
      <c r="BJ96" s="78">
        <v>35.5</v>
      </c>
      <c r="BK96" s="78">
        <v>128.69999999999999</v>
      </c>
      <c r="BL96" s="78">
        <v>30.8</v>
      </c>
    </row>
    <row r="97" spans="1:64" ht="15.75" thickBot="1" x14ac:dyDescent="0.3">
      <c r="A97" s="77" t="s">
        <v>165</v>
      </c>
      <c r="B97" s="90">
        <f t="shared" ref="B97:AG97" si="66">B58+B62+B80+B76+B92+B96</f>
        <v>1265.44</v>
      </c>
      <c r="C97" s="90">
        <f t="shared" si="66"/>
        <v>1218.24</v>
      </c>
      <c r="D97" s="90">
        <f t="shared" si="66"/>
        <v>1191.8399999999999</v>
      </c>
      <c r="E97" s="90">
        <f t="shared" si="66"/>
        <v>1182.44</v>
      </c>
      <c r="F97" s="90">
        <f t="shared" si="66"/>
        <v>1194.74</v>
      </c>
      <c r="G97" s="90">
        <f t="shared" si="66"/>
        <v>1214.44</v>
      </c>
      <c r="H97" s="90">
        <f t="shared" si="66"/>
        <v>1257.74</v>
      </c>
      <c r="I97" s="90">
        <f t="shared" si="66"/>
        <v>1343.0390000000002</v>
      </c>
      <c r="J97" s="90">
        <f t="shared" si="66"/>
        <v>1532.44</v>
      </c>
      <c r="K97" s="90">
        <f t="shared" si="66"/>
        <v>1671.4399999999998</v>
      </c>
      <c r="L97" s="90">
        <f t="shared" si="66"/>
        <v>1697.74</v>
      </c>
      <c r="M97" s="90">
        <f t="shared" si="66"/>
        <v>1656.44</v>
      </c>
      <c r="N97" s="90">
        <f t="shared" si="66"/>
        <v>1539.14</v>
      </c>
      <c r="O97" s="90">
        <f t="shared" si="66"/>
        <v>1483.3400000000001</v>
      </c>
      <c r="P97" s="90">
        <f t="shared" si="66"/>
        <v>1560.84</v>
      </c>
      <c r="Q97" s="90">
        <f t="shared" ref="Q97" si="67">Q58+Q62+Q80+Q76+Q92+Q96</f>
        <v>1531.94</v>
      </c>
      <c r="R97" s="90">
        <f t="shared" si="66"/>
        <v>1586.0400000000002</v>
      </c>
      <c r="S97" s="90">
        <f t="shared" ref="S97:T97" si="68">S58+S62+S80+S76+S92+S96</f>
        <v>1503.14</v>
      </c>
      <c r="T97" s="90">
        <f t="shared" si="68"/>
        <v>1600.54</v>
      </c>
      <c r="U97" s="90">
        <f t="shared" ref="U97:V97" si="69">U58+U62+U80+U76+U92+U96</f>
        <v>1492.94</v>
      </c>
      <c r="V97" s="90">
        <f t="shared" si="69"/>
        <v>1433.8400000000001</v>
      </c>
      <c r="W97" s="90">
        <f t="shared" ref="W97:X97" si="70">W58+W62+W80+W76+W92+W96</f>
        <v>1431.24</v>
      </c>
      <c r="X97" s="90">
        <f t="shared" si="70"/>
        <v>1352.1399999999999</v>
      </c>
      <c r="Y97" s="90">
        <f t="shared" ref="Y97:Z97" si="71">Y58+Y62+Y80+Y76+Y92+Y96</f>
        <v>1250.7399999999998</v>
      </c>
      <c r="Z97" s="90">
        <f t="shared" si="71"/>
        <v>1315.3300000000002</v>
      </c>
      <c r="AA97" s="90">
        <f t="shared" ref="AA97" si="72">AA58+AA62+AA80+AA76+AA92+AA96</f>
        <v>1316.5400000000002</v>
      </c>
      <c r="AB97" s="90">
        <f t="shared" si="66"/>
        <v>1293.8400000000001</v>
      </c>
      <c r="AC97" s="90">
        <f t="shared" si="66"/>
        <v>1275.24</v>
      </c>
      <c r="AD97" s="90">
        <f t="shared" si="66"/>
        <v>1271.3400000000001</v>
      </c>
      <c r="AE97" s="90">
        <f t="shared" si="66"/>
        <v>1142.44</v>
      </c>
      <c r="AF97" s="90">
        <f t="shared" si="66"/>
        <v>1106.8400000000001</v>
      </c>
      <c r="AG97" s="93">
        <f t="shared" si="66"/>
        <v>2231.81</v>
      </c>
      <c r="AH97" s="12">
        <f t="shared" si="57"/>
        <v>1697.74</v>
      </c>
      <c r="AI97" s="11">
        <f t="shared" si="58"/>
        <v>1106.8400000000001</v>
      </c>
      <c r="BF97" s="78"/>
      <c r="BG97" s="78">
        <v>59.6</v>
      </c>
      <c r="BH97" s="78">
        <v>68.599999999999994</v>
      </c>
      <c r="BI97" s="78">
        <v>364.6</v>
      </c>
      <c r="BJ97" s="78">
        <v>50.3</v>
      </c>
      <c r="BK97" s="78">
        <v>130.9</v>
      </c>
      <c r="BL97" s="78">
        <v>15.7</v>
      </c>
    </row>
    <row r="98" spans="1:64" ht="15.75" thickBot="1" x14ac:dyDescent="0.3">
      <c r="A98" s="92" t="s">
        <v>164</v>
      </c>
      <c r="B98" s="91">
        <v>250</v>
      </c>
      <c r="C98" s="91">
        <v>250</v>
      </c>
      <c r="D98" s="91">
        <v>250</v>
      </c>
      <c r="E98" s="91">
        <v>250</v>
      </c>
      <c r="F98" s="91">
        <v>250</v>
      </c>
      <c r="G98" s="91">
        <v>240</v>
      </c>
      <c r="H98" s="91">
        <v>200</v>
      </c>
      <c r="I98" s="91">
        <v>150</v>
      </c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>
        <v>150</v>
      </c>
      <c r="Z98" s="91">
        <v>150</v>
      </c>
      <c r="AA98" s="91">
        <v>200</v>
      </c>
      <c r="AB98" s="91">
        <v>200</v>
      </c>
      <c r="AC98" s="91">
        <v>200</v>
      </c>
      <c r="AD98" s="91">
        <v>200</v>
      </c>
      <c r="AE98" s="91">
        <v>200</v>
      </c>
      <c r="AF98" s="91">
        <v>200</v>
      </c>
      <c r="AG98" s="75"/>
      <c r="AH98" s="12">
        <f t="shared" si="57"/>
        <v>250</v>
      </c>
      <c r="AI98" s="11">
        <f t="shared" si="58"/>
        <v>150</v>
      </c>
      <c r="BF98" s="78"/>
      <c r="BG98" s="78">
        <v>57.4</v>
      </c>
      <c r="BH98" s="78">
        <v>95.5</v>
      </c>
      <c r="BI98" s="78">
        <v>405.6</v>
      </c>
      <c r="BJ98" s="78">
        <v>43.8</v>
      </c>
      <c r="BK98" s="78">
        <v>144.5</v>
      </c>
      <c r="BL98" s="78">
        <v>40.299999999999997</v>
      </c>
    </row>
    <row r="99" spans="1:64" ht="15.75" thickBot="1" x14ac:dyDescent="0.3">
      <c r="A99" s="77" t="s">
        <v>163</v>
      </c>
      <c r="B99" s="90">
        <f t="shared" ref="B99:AF99" si="73">B97+B98</f>
        <v>1515.44</v>
      </c>
      <c r="C99" s="90">
        <f t="shared" si="73"/>
        <v>1468.24</v>
      </c>
      <c r="D99" s="90">
        <f t="shared" si="73"/>
        <v>1441.84</v>
      </c>
      <c r="E99" s="90">
        <f t="shared" si="73"/>
        <v>1432.44</v>
      </c>
      <c r="F99" s="90">
        <f t="shared" si="73"/>
        <v>1444.74</v>
      </c>
      <c r="G99" s="90">
        <f t="shared" si="73"/>
        <v>1454.44</v>
      </c>
      <c r="H99" s="90">
        <f t="shared" si="73"/>
        <v>1457.74</v>
      </c>
      <c r="I99" s="90">
        <f t="shared" si="73"/>
        <v>1493.0390000000002</v>
      </c>
      <c r="J99" s="90">
        <f t="shared" si="73"/>
        <v>1532.44</v>
      </c>
      <c r="K99" s="90">
        <f t="shared" si="73"/>
        <v>1671.4399999999998</v>
      </c>
      <c r="L99" s="90">
        <f t="shared" si="73"/>
        <v>1697.74</v>
      </c>
      <c r="M99" s="90">
        <f t="shared" si="73"/>
        <v>1656.44</v>
      </c>
      <c r="N99" s="90">
        <f t="shared" si="73"/>
        <v>1539.14</v>
      </c>
      <c r="O99" s="90">
        <f t="shared" si="73"/>
        <v>1483.3400000000001</v>
      </c>
      <c r="P99" s="90">
        <f t="shared" si="73"/>
        <v>1560.84</v>
      </c>
      <c r="Q99" s="90">
        <f t="shared" ref="Q99" si="74">Q97+Q98</f>
        <v>1531.94</v>
      </c>
      <c r="R99" s="90">
        <f t="shared" si="73"/>
        <v>1586.0400000000002</v>
      </c>
      <c r="S99" s="90">
        <f t="shared" ref="S99:T99" si="75">S97+S98</f>
        <v>1503.14</v>
      </c>
      <c r="T99" s="90">
        <f t="shared" si="75"/>
        <v>1600.54</v>
      </c>
      <c r="U99" s="90">
        <f t="shared" ref="U99:V99" si="76">U97+U98</f>
        <v>1492.94</v>
      </c>
      <c r="V99" s="90">
        <f t="shared" si="76"/>
        <v>1433.8400000000001</v>
      </c>
      <c r="W99" s="90">
        <f t="shared" ref="W99:X99" si="77">W97+W98</f>
        <v>1431.24</v>
      </c>
      <c r="X99" s="90">
        <f t="shared" si="77"/>
        <v>1352.1399999999999</v>
      </c>
      <c r="Y99" s="90">
        <f t="shared" ref="Y99:Z99" si="78">Y97+Y98</f>
        <v>1400.7399999999998</v>
      </c>
      <c r="Z99" s="90">
        <f t="shared" si="78"/>
        <v>1465.3300000000002</v>
      </c>
      <c r="AA99" s="90">
        <f t="shared" ref="AA99" si="79">AA97+AA98</f>
        <v>1516.5400000000002</v>
      </c>
      <c r="AB99" s="90">
        <f t="shared" si="73"/>
        <v>1493.8400000000001</v>
      </c>
      <c r="AC99" s="90">
        <f t="shared" si="73"/>
        <v>1475.24</v>
      </c>
      <c r="AD99" s="90">
        <f t="shared" si="73"/>
        <v>1471.3400000000001</v>
      </c>
      <c r="AE99" s="90">
        <f t="shared" si="73"/>
        <v>1342.44</v>
      </c>
      <c r="AF99" s="90">
        <f t="shared" si="73"/>
        <v>1306.8400000000001</v>
      </c>
      <c r="AG99" s="75">
        <f>AG96+AG92+AG80+AG76+AG58+AG98</f>
        <v>1693.71</v>
      </c>
      <c r="AH99" s="12">
        <f t="shared" si="57"/>
        <v>1697.74</v>
      </c>
      <c r="AI99" s="11">
        <f t="shared" si="58"/>
        <v>1306.8400000000001</v>
      </c>
      <c r="BF99" s="78"/>
      <c r="BG99" s="78">
        <v>61.2</v>
      </c>
      <c r="BH99" s="78">
        <v>67.2</v>
      </c>
      <c r="BI99" s="78">
        <v>440.5</v>
      </c>
      <c r="BJ99" s="78">
        <v>30</v>
      </c>
      <c r="BK99" s="78">
        <v>0</v>
      </c>
      <c r="BL99" s="78">
        <v>58.3</v>
      </c>
    </row>
    <row r="100" spans="1:64" ht="15.75" thickBot="1" x14ac:dyDescent="0.3">
      <c r="A100" s="77" t="s">
        <v>162</v>
      </c>
      <c r="B100" s="90">
        <f t="shared" ref="B100:AF100" si="80">B99-(B107)</f>
        <v>1515.44</v>
      </c>
      <c r="C100" s="90">
        <f t="shared" si="80"/>
        <v>1468.24</v>
      </c>
      <c r="D100" s="90">
        <f t="shared" si="80"/>
        <v>1441.84</v>
      </c>
      <c r="E100" s="90">
        <f t="shared" si="80"/>
        <v>1432.44</v>
      </c>
      <c r="F100" s="90">
        <f t="shared" si="80"/>
        <v>1444.74</v>
      </c>
      <c r="G100" s="90">
        <f t="shared" si="80"/>
        <v>1454.44</v>
      </c>
      <c r="H100" s="90">
        <f t="shared" si="80"/>
        <v>1457.74</v>
      </c>
      <c r="I100" s="90">
        <f t="shared" si="80"/>
        <v>1493.0390000000002</v>
      </c>
      <c r="J100" s="90">
        <f t="shared" si="80"/>
        <v>1532.44</v>
      </c>
      <c r="K100" s="90">
        <f t="shared" si="80"/>
        <v>1671.4399999999998</v>
      </c>
      <c r="L100" s="90">
        <f t="shared" si="80"/>
        <v>1697.74</v>
      </c>
      <c r="M100" s="90">
        <f t="shared" si="80"/>
        <v>1656.44</v>
      </c>
      <c r="N100" s="90">
        <f t="shared" si="80"/>
        <v>1539.14</v>
      </c>
      <c r="O100" s="90">
        <f t="shared" si="80"/>
        <v>1483.3400000000001</v>
      </c>
      <c r="P100" s="90">
        <f t="shared" si="80"/>
        <v>1560.84</v>
      </c>
      <c r="Q100" s="90">
        <f t="shared" ref="Q100" si="81">Q99-(Q107)</f>
        <v>1530.94</v>
      </c>
      <c r="R100" s="90">
        <f t="shared" si="80"/>
        <v>1586.0400000000002</v>
      </c>
      <c r="S100" s="90">
        <f t="shared" ref="S100:T100" si="82">S99-(S107)</f>
        <v>1503.14</v>
      </c>
      <c r="T100" s="90">
        <f t="shared" si="82"/>
        <v>1600.54</v>
      </c>
      <c r="U100" s="90">
        <f t="shared" ref="U100:V100" si="83">U99-(U107)</f>
        <v>1492.94</v>
      </c>
      <c r="V100" s="90">
        <f t="shared" si="83"/>
        <v>1433.8400000000001</v>
      </c>
      <c r="W100" s="90">
        <f t="shared" ref="W100:X100" si="84">W99-(W107)</f>
        <v>1431.24</v>
      </c>
      <c r="X100" s="90">
        <f t="shared" si="84"/>
        <v>1352.1399999999999</v>
      </c>
      <c r="Y100" s="90">
        <f t="shared" ref="Y100:Z100" si="85">Y99-(Y107)</f>
        <v>1400.7399999999998</v>
      </c>
      <c r="Z100" s="90">
        <f t="shared" si="85"/>
        <v>1465.3300000000002</v>
      </c>
      <c r="AA100" s="90">
        <f t="shared" ref="AA100" si="86">AA99-(AA107)</f>
        <v>1516.5400000000002</v>
      </c>
      <c r="AB100" s="90">
        <f t="shared" si="80"/>
        <v>1493.8400000000001</v>
      </c>
      <c r="AC100" s="90">
        <f t="shared" si="80"/>
        <v>1475.24</v>
      </c>
      <c r="AD100" s="90">
        <f t="shared" si="80"/>
        <v>1471.3400000000001</v>
      </c>
      <c r="AE100" s="90">
        <f t="shared" si="80"/>
        <v>1342.44</v>
      </c>
      <c r="AF100" s="90">
        <f t="shared" si="80"/>
        <v>1306.8400000000001</v>
      </c>
      <c r="AG100" s="75"/>
      <c r="AH100" s="12">
        <f t="shared" si="57"/>
        <v>1697.74</v>
      </c>
      <c r="AI100" s="11">
        <f t="shared" si="58"/>
        <v>1306.8400000000001</v>
      </c>
      <c r="BF100" s="78"/>
      <c r="BG100" s="78">
        <v>58.7</v>
      </c>
      <c r="BH100" s="78">
        <v>67</v>
      </c>
      <c r="BI100" s="78">
        <v>389.1</v>
      </c>
      <c r="BJ100" s="78">
        <v>33.700000000000003</v>
      </c>
      <c r="BK100" s="78">
        <v>0</v>
      </c>
      <c r="BL100" s="78">
        <v>50.8</v>
      </c>
    </row>
    <row r="101" spans="1:64" x14ac:dyDescent="0.25">
      <c r="A101" s="89" t="s">
        <v>161</v>
      </c>
      <c r="B101" s="85">
        <f t="shared" ref="B101:AF101" si="87">IF(B84&lt;0,B84*-1,0)</f>
        <v>0</v>
      </c>
      <c r="C101" s="85">
        <f t="shared" si="87"/>
        <v>0</v>
      </c>
      <c r="D101" s="85">
        <f t="shared" si="87"/>
        <v>0</v>
      </c>
      <c r="E101" s="85">
        <f t="shared" si="87"/>
        <v>0</v>
      </c>
      <c r="F101" s="85">
        <f t="shared" si="87"/>
        <v>0</v>
      </c>
      <c r="G101" s="85">
        <f t="shared" si="87"/>
        <v>0</v>
      </c>
      <c r="H101" s="85">
        <f t="shared" si="87"/>
        <v>0</v>
      </c>
      <c r="I101" s="85">
        <f t="shared" si="87"/>
        <v>0</v>
      </c>
      <c r="J101" s="85">
        <f t="shared" si="87"/>
        <v>0</v>
      </c>
      <c r="K101" s="85">
        <f t="shared" si="87"/>
        <v>0</v>
      </c>
      <c r="L101" s="85">
        <f t="shared" si="87"/>
        <v>0</v>
      </c>
      <c r="M101" s="85">
        <f t="shared" si="87"/>
        <v>0</v>
      </c>
      <c r="N101" s="85">
        <f t="shared" si="87"/>
        <v>0</v>
      </c>
      <c r="O101" s="85">
        <f t="shared" si="87"/>
        <v>0</v>
      </c>
      <c r="P101" s="85">
        <f t="shared" si="87"/>
        <v>0</v>
      </c>
      <c r="Q101" s="85">
        <f t="shared" ref="Q101" si="88">IF(Q84&lt;0,Q84*-1,0)</f>
        <v>0</v>
      </c>
      <c r="R101" s="85">
        <f t="shared" si="87"/>
        <v>0</v>
      </c>
      <c r="S101" s="85">
        <f t="shared" ref="S101:T101" si="89">IF(S84&lt;0,S84*-1,0)</f>
        <v>0</v>
      </c>
      <c r="T101" s="85">
        <f t="shared" si="89"/>
        <v>0</v>
      </c>
      <c r="U101" s="85">
        <f t="shared" ref="U101:V101" si="90">IF(U84&lt;0,U84*-1,0)</f>
        <v>0</v>
      </c>
      <c r="V101" s="85">
        <f t="shared" si="90"/>
        <v>0</v>
      </c>
      <c r="W101" s="85">
        <f t="shared" ref="W101:X101" si="91">IF(W84&lt;0,W84*-1,0)</f>
        <v>0</v>
      </c>
      <c r="X101" s="85">
        <f t="shared" si="91"/>
        <v>0</v>
      </c>
      <c r="Y101" s="85">
        <f t="shared" ref="Y101:Z101" si="92">IF(Y84&lt;0,Y84*-1,0)</f>
        <v>0</v>
      </c>
      <c r="Z101" s="85">
        <f t="shared" si="92"/>
        <v>0</v>
      </c>
      <c r="AA101" s="85">
        <f t="shared" ref="AA101" si="93">IF(AA84&lt;0,AA84*-1,0)</f>
        <v>0</v>
      </c>
      <c r="AB101" s="85">
        <f t="shared" si="87"/>
        <v>0</v>
      </c>
      <c r="AC101" s="85">
        <f t="shared" si="87"/>
        <v>0</v>
      </c>
      <c r="AD101" s="85">
        <f t="shared" si="87"/>
        <v>0</v>
      </c>
      <c r="AE101" s="85">
        <f t="shared" si="87"/>
        <v>0</v>
      </c>
      <c r="AF101" s="85">
        <f t="shared" si="87"/>
        <v>0</v>
      </c>
      <c r="AG101" s="88"/>
      <c r="AH101" s="12">
        <f t="shared" si="57"/>
        <v>0</v>
      </c>
      <c r="AI101" s="11">
        <f t="shared" si="58"/>
        <v>0</v>
      </c>
      <c r="BF101" s="83"/>
      <c r="BG101" s="78">
        <v>58.5</v>
      </c>
      <c r="BH101" s="78">
        <v>63.6</v>
      </c>
      <c r="BI101" s="78">
        <v>333.7</v>
      </c>
      <c r="BJ101" s="78">
        <v>21.5</v>
      </c>
      <c r="BK101" s="78">
        <v>0</v>
      </c>
      <c r="BL101" s="78">
        <v>40.9</v>
      </c>
    </row>
    <row r="102" spans="1:64" x14ac:dyDescent="0.25">
      <c r="A102" s="87" t="s">
        <v>160</v>
      </c>
      <c r="B102" s="85">
        <f t="shared" ref="B102:AF102" si="94">IF(B82&lt;0,B82*-1,0)</f>
        <v>0</v>
      </c>
      <c r="C102" s="85">
        <f t="shared" si="94"/>
        <v>0</v>
      </c>
      <c r="D102" s="85">
        <f t="shared" si="94"/>
        <v>0</v>
      </c>
      <c r="E102" s="85">
        <f t="shared" si="94"/>
        <v>0</v>
      </c>
      <c r="F102" s="85">
        <f t="shared" si="94"/>
        <v>0</v>
      </c>
      <c r="G102" s="85">
        <f t="shared" si="94"/>
        <v>0</v>
      </c>
      <c r="H102" s="85">
        <f t="shared" si="94"/>
        <v>0</v>
      </c>
      <c r="I102" s="85">
        <f t="shared" si="94"/>
        <v>0</v>
      </c>
      <c r="J102" s="85">
        <f t="shared" si="94"/>
        <v>0</v>
      </c>
      <c r="K102" s="85">
        <f t="shared" si="94"/>
        <v>0</v>
      </c>
      <c r="L102" s="85">
        <f t="shared" si="94"/>
        <v>0</v>
      </c>
      <c r="M102" s="85">
        <f t="shared" si="94"/>
        <v>0</v>
      </c>
      <c r="N102" s="85">
        <f t="shared" si="94"/>
        <v>0</v>
      </c>
      <c r="O102" s="85">
        <f t="shared" si="94"/>
        <v>0</v>
      </c>
      <c r="P102" s="85">
        <f t="shared" si="94"/>
        <v>0</v>
      </c>
      <c r="Q102" s="85">
        <f t="shared" ref="Q102" si="95">IF(Q82&lt;0,Q82*-1,0)</f>
        <v>0</v>
      </c>
      <c r="R102" s="85">
        <f t="shared" si="94"/>
        <v>0</v>
      </c>
      <c r="S102" s="85">
        <f t="shared" ref="S102:T102" si="96">IF(S82&lt;0,S82*-1,0)</f>
        <v>0</v>
      </c>
      <c r="T102" s="85">
        <f t="shared" si="96"/>
        <v>0</v>
      </c>
      <c r="U102" s="85">
        <f t="shared" ref="U102:V102" si="97">IF(U82&lt;0,U82*-1,0)</f>
        <v>0</v>
      </c>
      <c r="V102" s="85">
        <f t="shared" si="97"/>
        <v>0</v>
      </c>
      <c r="W102" s="85">
        <f t="shared" ref="W102:X102" si="98">IF(W82&lt;0,W82*-1,0)</f>
        <v>0</v>
      </c>
      <c r="X102" s="85">
        <f t="shared" si="98"/>
        <v>0</v>
      </c>
      <c r="Y102" s="85">
        <f t="shared" ref="Y102:Z102" si="99">IF(Y82&lt;0,Y82*-1,0)</f>
        <v>0</v>
      </c>
      <c r="Z102" s="85">
        <f t="shared" si="99"/>
        <v>0</v>
      </c>
      <c r="AA102" s="85">
        <f t="shared" ref="AA102" si="100">IF(AA82&lt;0,AA82*-1,0)</f>
        <v>0</v>
      </c>
      <c r="AB102" s="85">
        <f t="shared" si="94"/>
        <v>0</v>
      </c>
      <c r="AC102" s="85">
        <f t="shared" si="94"/>
        <v>0</v>
      </c>
      <c r="AD102" s="85">
        <f t="shared" si="94"/>
        <v>0</v>
      </c>
      <c r="AE102" s="85">
        <f t="shared" si="94"/>
        <v>0</v>
      </c>
      <c r="AF102" s="85">
        <f t="shared" si="94"/>
        <v>0</v>
      </c>
      <c r="AG102" s="86"/>
      <c r="AH102" s="12">
        <f t="shared" si="57"/>
        <v>0</v>
      </c>
      <c r="AI102" s="11">
        <f t="shared" si="58"/>
        <v>0</v>
      </c>
      <c r="BF102" s="83"/>
      <c r="BG102" s="78">
        <v>49.1</v>
      </c>
      <c r="BH102" s="78">
        <v>55.1</v>
      </c>
      <c r="BI102" s="78">
        <v>233.7</v>
      </c>
      <c r="BJ102" s="78">
        <v>16.600000000000001</v>
      </c>
      <c r="BK102" s="78">
        <v>0</v>
      </c>
      <c r="BL102" s="78">
        <v>43.7</v>
      </c>
    </row>
    <row r="103" spans="1:64" x14ac:dyDescent="0.25">
      <c r="A103" s="82" t="s">
        <v>159</v>
      </c>
      <c r="B103" s="85">
        <f t="shared" ref="B103:AF103" si="101">IF(B85&lt;0,B85*-1,0)</f>
        <v>0</v>
      </c>
      <c r="C103" s="85">
        <f t="shared" si="101"/>
        <v>0</v>
      </c>
      <c r="D103" s="85">
        <f t="shared" si="101"/>
        <v>0</v>
      </c>
      <c r="E103" s="85">
        <f t="shared" si="101"/>
        <v>0</v>
      </c>
      <c r="F103" s="85">
        <f t="shared" si="101"/>
        <v>0</v>
      </c>
      <c r="G103" s="85">
        <f t="shared" si="101"/>
        <v>0</v>
      </c>
      <c r="H103" s="85">
        <f t="shared" si="101"/>
        <v>0</v>
      </c>
      <c r="I103" s="85">
        <f t="shared" si="101"/>
        <v>0</v>
      </c>
      <c r="J103" s="85">
        <f t="shared" si="101"/>
        <v>0</v>
      </c>
      <c r="K103" s="85">
        <f t="shared" si="101"/>
        <v>0</v>
      </c>
      <c r="L103" s="85">
        <f t="shared" si="101"/>
        <v>0</v>
      </c>
      <c r="M103" s="85">
        <f t="shared" si="101"/>
        <v>0</v>
      </c>
      <c r="N103" s="85">
        <f t="shared" si="101"/>
        <v>0</v>
      </c>
      <c r="O103" s="85">
        <f t="shared" si="101"/>
        <v>0</v>
      </c>
      <c r="P103" s="85">
        <f t="shared" si="101"/>
        <v>0</v>
      </c>
      <c r="Q103" s="85">
        <f t="shared" ref="Q103" si="102">IF(Q85&lt;0,Q85*-1,0)</f>
        <v>0</v>
      </c>
      <c r="R103" s="85">
        <f t="shared" si="101"/>
        <v>0</v>
      </c>
      <c r="S103" s="85">
        <f t="shared" ref="S103:T103" si="103">IF(S85&lt;0,S85*-1,0)</f>
        <v>0</v>
      </c>
      <c r="T103" s="85">
        <f t="shared" si="103"/>
        <v>0</v>
      </c>
      <c r="U103" s="85">
        <f t="shared" ref="U103:V103" si="104">IF(U85&lt;0,U85*-1,0)</f>
        <v>0</v>
      </c>
      <c r="V103" s="85">
        <f t="shared" si="104"/>
        <v>0</v>
      </c>
      <c r="W103" s="85">
        <f t="shared" ref="W103:X103" si="105">IF(W85&lt;0,W85*-1,0)</f>
        <v>0</v>
      </c>
      <c r="X103" s="85">
        <f t="shared" si="105"/>
        <v>0</v>
      </c>
      <c r="Y103" s="85">
        <f t="shared" ref="Y103:Z103" si="106">IF(Y85&lt;0,Y85*-1,0)</f>
        <v>0</v>
      </c>
      <c r="Z103" s="85">
        <f t="shared" si="106"/>
        <v>0</v>
      </c>
      <c r="AA103" s="85">
        <f t="shared" ref="AA103" si="107">IF(AA85&lt;0,AA85*-1,0)</f>
        <v>0</v>
      </c>
      <c r="AB103" s="85">
        <f t="shared" si="101"/>
        <v>0</v>
      </c>
      <c r="AC103" s="85">
        <f t="shared" si="101"/>
        <v>0</v>
      </c>
      <c r="AD103" s="85">
        <f t="shared" si="101"/>
        <v>0</v>
      </c>
      <c r="AE103" s="85">
        <f t="shared" si="101"/>
        <v>0</v>
      </c>
      <c r="AF103" s="85">
        <f t="shared" si="101"/>
        <v>0</v>
      </c>
      <c r="AG103" s="84"/>
      <c r="AH103" s="12">
        <f t="shared" si="57"/>
        <v>0</v>
      </c>
      <c r="AI103" s="11">
        <f t="shared" si="58"/>
        <v>0</v>
      </c>
      <c r="BF103" s="83"/>
      <c r="BG103" s="78">
        <v>12.8</v>
      </c>
      <c r="BH103" s="78">
        <v>0</v>
      </c>
      <c r="BI103" s="78">
        <v>15.6</v>
      </c>
      <c r="BJ103" s="78">
        <v>0</v>
      </c>
      <c r="BK103" s="78">
        <v>0</v>
      </c>
      <c r="BL103" s="78">
        <v>39.5</v>
      </c>
    </row>
    <row r="104" spans="1:64" x14ac:dyDescent="0.25">
      <c r="A104" s="82" t="s">
        <v>158</v>
      </c>
      <c r="B104" s="85">
        <f t="shared" ref="B104:AF104" si="108">IF(B83&lt;0,B83*-1,0)</f>
        <v>0</v>
      </c>
      <c r="C104" s="85">
        <f t="shared" si="108"/>
        <v>0</v>
      </c>
      <c r="D104" s="85">
        <f t="shared" si="108"/>
        <v>0</v>
      </c>
      <c r="E104" s="85">
        <f t="shared" si="108"/>
        <v>0</v>
      </c>
      <c r="F104" s="85">
        <f t="shared" si="108"/>
        <v>0</v>
      </c>
      <c r="G104" s="85">
        <f t="shared" si="108"/>
        <v>0</v>
      </c>
      <c r="H104" s="85">
        <f t="shared" si="108"/>
        <v>0</v>
      </c>
      <c r="I104" s="85">
        <f t="shared" si="108"/>
        <v>0</v>
      </c>
      <c r="J104" s="85">
        <f t="shared" si="108"/>
        <v>0</v>
      </c>
      <c r="K104" s="85">
        <f t="shared" si="108"/>
        <v>0</v>
      </c>
      <c r="L104" s="85">
        <f t="shared" si="108"/>
        <v>0</v>
      </c>
      <c r="M104" s="85">
        <f t="shared" si="108"/>
        <v>0</v>
      </c>
      <c r="N104" s="85">
        <f t="shared" si="108"/>
        <v>0</v>
      </c>
      <c r="O104" s="85">
        <f t="shared" si="108"/>
        <v>0</v>
      </c>
      <c r="P104" s="85">
        <f t="shared" si="108"/>
        <v>0</v>
      </c>
      <c r="Q104" s="85">
        <f t="shared" ref="Q104" si="109">IF(Q83&lt;0,Q83*-1,0)</f>
        <v>0</v>
      </c>
      <c r="R104" s="85">
        <f t="shared" si="108"/>
        <v>0</v>
      </c>
      <c r="S104" s="85">
        <f t="shared" ref="S104:T104" si="110">IF(S83&lt;0,S83*-1,0)</f>
        <v>0</v>
      </c>
      <c r="T104" s="85">
        <f t="shared" si="110"/>
        <v>0</v>
      </c>
      <c r="U104" s="85">
        <f t="shared" ref="U104:V104" si="111">IF(U83&lt;0,U83*-1,0)</f>
        <v>0</v>
      </c>
      <c r="V104" s="85">
        <f t="shared" si="111"/>
        <v>0</v>
      </c>
      <c r="W104" s="85">
        <f t="shared" ref="W104:X104" si="112">IF(W83&lt;0,W83*-1,0)</f>
        <v>0</v>
      </c>
      <c r="X104" s="85">
        <f t="shared" si="112"/>
        <v>0</v>
      </c>
      <c r="Y104" s="85">
        <f t="shared" ref="Y104:Z104" si="113">IF(Y83&lt;0,Y83*-1,0)</f>
        <v>0</v>
      </c>
      <c r="Z104" s="85">
        <f t="shared" si="113"/>
        <v>0</v>
      </c>
      <c r="AA104" s="85">
        <f t="shared" ref="AA104" si="114">IF(AA83&lt;0,AA83*-1,0)</f>
        <v>0</v>
      </c>
      <c r="AB104" s="85">
        <f t="shared" si="108"/>
        <v>0</v>
      </c>
      <c r="AC104" s="85">
        <f t="shared" si="108"/>
        <v>0</v>
      </c>
      <c r="AD104" s="85">
        <f t="shared" si="108"/>
        <v>0</v>
      </c>
      <c r="AE104" s="85">
        <f t="shared" si="108"/>
        <v>0</v>
      </c>
      <c r="AF104" s="85">
        <f t="shared" si="108"/>
        <v>0</v>
      </c>
      <c r="AG104" s="84"/>
      <c r="AH104" s="12">
        <f t="shared" si="57"/>
        <v>0</v>
      </c>
      <c r="AI104" s="11">
        <f t="shared" si="58"/>
        <v>0</v>
      </c>
      <c r="BF104" s="83"/>
      <c r="BG104" s="78">
        <v>26</v>
      </c>
      <c r="BH104" s="78">
        <v>0</v>
      </c>
      <c r="BI104" s="78">
        <v>43</v>
      </c>
      <c r="BJ104" s="78">
        <v>0</v>
      </c>
      <c r="BK104" s="78">
        <v>0</v>
      </c>
      <c r="BL104" s="78">
        <v>40</v>
      </c>
    </row>
    <row r="105" spans="1:64" x14ac:dyDescent="0.25">
      <c r="A105" s="82" t="s">
        <v>157</v>
      </c>
      <c r="B105" s="85">
        <f t="shared" ref="B105:AF105" si="115">IF(B81&lt;0,B81*-1,0)</f>
        <v>0</v>
      </c>
      <c r="C105" s="85">
        <f t="shared" si="115"/>
        <v>0</v>
      </c>
      <c r="D105" s="85">
        <f t="shared" si="115"/>
        <v>0</v>
      </c>
      <c r="E105" s="85">
        <f t="shared" si="115"/>
        <v>0</v>
      </c>
      <c r="F105" s="85">
        <f t="shared" si="115"/>
        <v>0</v>
      </c>
      <c r="G105" s="85">
        <f t="shared" si="115"/>
        <v>0</v>
      </c>
      <c r="H105" s="85">
        <f t="shared" si="115"/>
        <v>0</v>
      </c>
      <c r="I105" s="85">
        <f t="shared" si="115"/>
        <v>0</v>
      </c>
      <c r="J105" s="85">
        <f t="shared" si="115"/>
        <v>0</v>
      </c>
      <c r="K105" s="85">
        <f t="shared" si="115"/>
        <v>0</v>
      </c>
      <c r="L105" s="85">
        <f t="shared" si="115"/>
        <v>0</v>
      </c>
      <c r="M105" s="85">
        <f t="shared" si="115"/>
        <v>0</v>
      </c>
      <c r="N105" s="85">
        <f t="shared" si="115"/>
        <v>0</v>
      </c>
      <c r="O105" s="85">
        <f t="shared" si="115"/>
        <v>0</v>
      </c>
      <c r="P105" s="85">
        <f t="shared" si="115"/>
        <v>0</v>
      </c>
      <c r="Q105" s="85">
        <f t="shared" ref="Q105" si="116">IF(Q81&lt;0,Q81*-1,0)</f>
        <v>0</v>
      </c>
      <c r="R105" s="85">
        <f t="shared" si="115"/>
        <v>0</v>
      </c>
      <c r="S105" s="85">
        <f t="shared" ref="S105:T105" si="117">IF(S81&lt;0,S81*-1,0)</f>
        <v>0</v>
      </c>
      <c r="T105" s="85">
        <f t="shared" si="117"/>
        <v>0</v>
      </c>
      <c r="U105" s="85">
        <f t="shared" ref="U105:V105" si="118">IF(U81&lt;0,U81*-1,0)</f>
        <v>0</v>
      </c>
      <c r="V105" s="85">
        <f t="shared" si="118"/>
        <v>0</v>
      </c>
      <c r="W105" s="85">
        <f t="shared" ref="W105:X105" si="119">IF(W81&lt;0,W81*-1,0)</f>
        <v>0</v>
      </c>
      <c r="X105" s="85">
        <f t="shared" si="119"/>
        <v>0</v>
      </c>
      <c r="Y105" s="85">
        <f t="shared" ref="Y105:Z105" si="120">IF(Y81&lt;0,Y81*-1,0)</f>
        <v>0</v>
      </c>
      <c r="Z105" s="85">
        <f t="shared" si="120"/>
        <v>0</v>
      </c>
      <c r="AA105" s="85">
        <f t="shared" ref="AA105" si="121">IF(AA81&lt;0,AA81*-1,0)</f>
        <v>0</v>
      </c>
      <c r="AB105" s="85">
        <f t="shared" si="115"/>
        <v>0</v>
      </c>
      <c r="AC105" s="85">
        <f t="shared" si="115"/>
        <v>0</v>
      </c>
      <c r="AD105" s="85">
        <f t="shared" si="115"/>
        <v>0</v>
      </c>
      <c r="AE105" s="85">
        <f t="shared" si="115"/>
        <v>0</v>
      </c>
      <c r="AF105" s="85">
        <f t="shared" si="115"/>
        <v>0</v>
      </c>
      <c r="AG105" s="84"/>
      <c r="AH105" s="12">
        <f t="shared" si="57"/>
        <v>0</v>
      </c>
      <c r="AI105" s="11">
        <f t="shared" si="58"/>
        <v>0</v>
      </c>
      <c r="BF105" s="83"/>
      <c r="BG105" s="78">
        <v>29</v>
      </c>
      <c r="BH105" s="78">
        <v>0</v>
      </c>
      <c r="BI105" s="78">
        <v>1.8</v>
      </c>
      <c r="BJ105" s="78">
        <v>0</v>
      </c>
      <c r="BK105" s="78">
        <v>0</v>
      </c>
      <c r="BL105" s="78">
        <v>44.8</v>
      </c>
    </row>
    <row r="106" spans="1:64" ht="15.75" thickBot="1" x14ac:dyDescent="0.3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1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57"/>
        <v>1</v>
      </c>
      <c r="AI106" s="11">
        <f t="shared" si="58"/>
        <v>0</v>
      </c>
      <c r="BG106" s="78">
        <v>24</v>
      </c>
      <c r="BH106" s="78">
        <v>0</v>
      </c>
      <c r="BI106" s="78">
        <v>23</v>
      </c>
      <c r="BJ106" s="78">
        <v>0</v>
      </c>
      <c r="BK106" s="78">
        <v>0</v>
      </c>
      <c r="BL106" s="78">
        <v>45</v>
      </c>
    </row>
    <row r="107" spans="1:64" ht="15.75" thickBot="1" x14ac:dyDescent="0.3">
      <c r="A107" s="79" t="s">
        <v>155</v>
      </c>
      <c r="B107" s="76">
        <f t="shared" ref="B107:AF107" si="122">SUM(B101:B106)</f>
        <v>0</v>
      </c>
      <c r="C107" s="76">
        <f t="shared" si="122"/>
        <v>0</v>
      </c>
      <c r="D107" s="76">
        <f t="shared" si="122"/>
        <v>0</v>
      </c>
      <c r="E107" s="76">
        <f t="shared" si="122"/>
        <v>0</v>
      </c>
      <c r="F107" s="76">
        <f t="shared" si="122"/>
        <v>0</v>
      </c>
      <c r="G107" s="76">
        <f t="shared" si="122"/>
        <v>0</v>
      </c>
      <c r="H107" s="76">
        <f t="shared" si="122"/>
        <v>0</v>
      </c>
      <c r="I107" s="76">
        <f t="shared" si="122"/>
        <v>0</v>
      </c>
      <c r="J107" s="76">
        <f t="shared" si="122"/>
        <v>0</v>
      </c>
      <c r="K107" s="76">
        <f t="shared" si="122"/>
        <v>0</v>
      </c>
      <c r="L107" s="76">
        <f t="shared" si="122"/>
        <v>0</v>
      </c>
      <c r="M107" s="76">
        <f t="shared" si="122"/>
        <v>0</v>
      </c>
      <c r="N107" s="76">
        <f t="shared" si="122"/>
        <v>0</v>
      </c>
      <c r="O107" s="76">
        <f t="shared" si="122"/>
        <v>0</v>
      </c>
      <c r="P107" s="76">
        <f t="shared" si="122"/>
        <v>0</v>
      </c>
      <c r="Q107" s="76">
        <f t="shared" ref="Q107" si="123">SUM(Q101:Q106)</f>
        <v>1</v>
      </c>
      <c r="R107" s="76">
        <f t="shared" si="122"/>
        <v>0</v>
      </c>
      <c r="S107" s="76">
        <f t="shared" ref="S107:T107" si="124">SUM(S101:S106)</f>
        <v>0</v>
      </c>
      <c r="T107" s="76">
        <f t="shared" si="124"/>
        <v>0</v>
      </c>
      <c r="U107" s="76">
        <f t="shared" ref="U107:V107" si="125">SUM(U101:U106)</f>
        <v>0</v>
      </c>
      <c r="V107" s="76">
        <f t="shared" si="125"/>
        <v>0</v>
      </c>
      <c r="W107" s="76">
        <f t="shared" ref="W107:X107" si="126">SUM(W101:W106)</f>
        <v>0</v>
      </c>
      <c r="X107" s="76">
        <f t="shared" si="126"/>
        <v>0</v>
      </c>
      <c r="Y107" s="76">
        <f t="shared" ref="Y107:Z107" si="127">SUM(Y101:Y106)</f>
        <v>0</v>
      </c>
      <c r="Z107" s="76">
        <f t="shared" si="127"/>
        <v>0</v>
      </c>
      <c r="AA107" s="76">
        <f t="shared" ref="AA107" si="128">SUM(AA101:AA106)</f>
        <v>0</v>
      </c>
      <c r="AB107" s="76">
        <f t="shared" si="122"/>
        <v>0</v>
      </c>
      <c r="AC107" s="76">
        <f t="shared" si="122"/>
        <v>0</v>
      </c>
      <c r="AD107" s="76">
        <f t="shared" si="122"/>
        <v>0</v>
      </c>
      <c r="AE107" s="76">
        <f t="shared" si="122"/>
        <v>0</v>
      </c>
      <c r="AF107" s="76">
        <f t="shared" si="122"/>
        <v>0</v>
      </c>
      <c r="AG107" s="75"/>
      <c r="AH107" s="12">
        <f t="shared" si="57"/>
        <v>1</v>
      </c>
      <c r="AI107" s="11">
        <f t="shared" si="58"/>
        <v>0</v>
      </c>
      <c r="AK107" s="19"/>
      <c r="BG107" s="78">
        <v>37.200000000000003</v>
      </c>
      <c r="BH107" s="78">
        <v>0</v>
      </c>
      <c r="BI107" s="78">
        <v>88.3</v>
      </c>
      <c r="BJ107" s="78">
        <v>0</v>
      </c>
      <c r="BK107" s="78">
        <v>0</v>
      </c>
      <c r="BL107" s="78">
        <v>46.4</v>
      </c>
    </row>
    <row r="108" spans="1:64" ht="15.75" thickBot="1" x14ac:dyDescent="0.3">
      <c r="A108" s="77" t="s">
        <v>154</v>
      </c>
      <c r="B108" s="76">
        <f t="shared" ref="B108:AF108" si="129">B92-B107</f>
        <v>171.9</v>
      </c>
      <c r="C108" s="76">
        <f t="shared" si="129"/>
        <v>191.4</v>
      </c>
      <c r="D108" s="76">
        <f t="shared" si="129"/>
        <v>232.4</v>
      </c>
      <c r="E108" s="76">
        <f t="shared" si="129"/>
        <v>264.09999999999997</v>
      </c>
      <c r="F108" s="76">
        <f t="shared" si="129"/>
        <v>294.59999999999997</v>
      </c>
      <c r="G108" s="76">
        <f t="shared" si="129"/>
        <v>328.4</v>
      </c>
      <c r="H108" s="76">
        <f t="shared" si="129"/>
        <v>262.10000000000002</v>
      </c>
      <c r="I108" s="76">
        <f t="shared" si="129"/>
        <v>346.9</v>
      </c>
      <c r="J108" s="76">
        <f t="shared" si="129"/>
        <v>728.69999999999993</v>
      </c>
      <c r="K108" s="76">
        <f t="shared" si="129"/>
        <v>859.89999999999986</v>
      </c>
      <c r="L108" s="76">
        <f t="shared" si="129"/>
        <v>882.2</v>
      </c>
      <c r="M108" s="76">
        <f t="shared" si="129"/>
        <v>853</v>
      </c>
      <c r="N108" s="76">
        <f t="shared" si="129"/>
        <v>786</v>
      </c>
      <c r="O108" s="76">
        <f t="shared" si="129"/>
        <v>725.2</v>
      </c>
      <c r="P108" s="76">
        <f t="shared" si="129"/>
        <v>716.49999999999989</v>
      </c>
      <c r="Q108" s="76">
        <f t="shared" ref="Q108" si="130">Q92-Q107</f>
        <v>712.99999999999989</v>
      </c>
      <c r="R108" s="76">
        <f t="shared" si="129"/>
        <v>749</v>
      </c>
      <c r="S108" s="76">
        <f t="shared" ref="S108:T108" si="131">S92-S107</f>
        <v>689.7</v>
      </c>
      <c r="T108" s="76">
        <f t="shared" si="131"/>
        <v>787.09999999999991</v>
      </c>
      <c r="U108" s="76">
        <f t="shared" ref="U108:V108" si="132">U92-U107</f>
        <v>657.19999999999993</v>
      </c>
      <c r="V108" s="76">
        <f t="shared" si="132"/>
        <v>599.30000000000007</v>
      </c>
      <c r="W108" s="76">
        <f t="shared" ref="W108:X108" si="133">W92-W107</f>
        <v>585.5</v>
      </c>
      <c r="X108" s="76">
        <f t="shared" si="133"/>
        <v>518.19999999999993</v>
      </c>
      <c r="Y108" s="76">
        <f t="shared" ref="Y108:Z108" si="134">Y92-Y107</f>
        <v>393.9</v>
      </c>
      <c r="Z108" s="76">
        <f t="shared" si="134"/>
        <v>398.2</v>
      </c>
      <c r="AA108" s="76">
        <f t="shared" ref="AA108" si="135">AA92-AA107</f>
        <v>60</v>
      </c>
      <c r="AB108" s="76">
        <f t="shared" si="129"/>
        <v>67.900000000000006</v>
      </c>
      <c r="AC108" s="76">
        <f t="shared" si="129"/>
        <v>93.6</v>
      </c>
      <c r="AD108" s="76">
        <f t="shared" si="129"/>
        <v>109</v>
      </c>
      <c r="AE108" s="76">
        <f t="shared" si="129"/>
        <v>75.599999999999994</v>
      </c>
      <c r="AF108" s="76">
        <f t="shared" si="129"/>
        <v>92</v>
      </c>
      <c r="AG108" s="75"/>
      <c r="AH108" s="12">
        <f t="shared" si="57"/>
        <v>882.2</v>
      </c>
      <c r="AI108" s="11">
        <f t="shared" si="58"/>
        <v>60</v>
      </c>
    </row>
    <row r="109" spans="1:64" x14ac:dyDescent="0.25">
      <c r="A109" s="25" t="s">
        <v>153</v>
      </c>
      <c r="B109" s="74">
        <v>50.042000000000002</v>
      </c>
      <c r="C109" s="74">
        <v>50.073</v>
      </c>
      <c r="D109" s="74">
        <v>49.984000000000002</v>
      </c>
      <c r="E109" s="74">
        <v>49.988999999999997</v>
      </c>
      <c r="F109" s="74">
        <v>49.988999999999997</v>
      </c>
      <c r="G109" s="74">
        <v>50.03</v>
      </c>
      <c r="H109" s="74">
        <v>5.0460000000000003</v>
      </c>
      <c r="I109" s="74">
        <v>50.02</v>
      </c>
      <c r="J109" s="74">
        <v>50.029000000000003</v>
      </c>
      <c r="K109" s="74">
        <v>50.128999999999998</v>
      </c>
      <c r="L109" s="74">
        <v>50.057000000000002</v>
      </c>
      <c r="M109" s="74">
        <v>49.96</v>
      </c>
      <c r="N109" s="74">
        <v>49.966000000000001</v>
      </c>
      <c r="O109" s="74">
        <v>49.984000000000002</v>
      </c>
      <c r="P109" s="74">
        <v>50.021000000000001</v>
      </c>
      <c r="Q109" s="74">
        <v>50.021000000000001</v>
      </c>
      <c r="R109" s="74">
        <v>50.01</v>
      </c>
      <c r="S109" s="74">
        <v>49.97</v>
      </c>
      <c r="T109" s="74">
        <v>50.05</v>
      </c>
      <c r="U109" s="74">
        <v>50.03</v>
      </c>
      <c r="V109" s="74">
        <v>50.08</v>
      </c>
      <c r="W109" s="74">
        <v>50.15</v>
      </c>
      <c r="X109" s="74">
        <v>50.14</v>
      </c>
      <c r="Y109" s="74">
        <v>50.23</v>
      </c>
      <c r="Z109" s="74">
        <v>50.08</v>
      </c>
      <c r="AA109" s="74">
        <v>49.97</v>
      </c>
      <c r="AB109" s="74">
        <v>49.951999999999998</v>
      </c>
      <c r="AC109" s="74">
        <v>49.951999999999998</v>
      </c>
      <c r="AD109" s="74">
        <v>50.012999999999998</v>
      </c>
      <c r="AE109" s="74">
        <v>49.944000000000003</v>
      </c>
      <c r="AF109" s="74">
        <v>50.031999999999996</v>
      </c>
      <c r="AG109" s="73"/>
      <c r="AH109" s="12">
        <f t="shared" si="57"/>
        <v>50.23</v>
      </c>
      <c r="AI109" s="11">
        <f t="shared" si="58"/>
        <v>5.0460000000000003</v>
      </c>
    </row>
    <row r="110" spans="1:64" x14ac:dyDescent="0.25">
      <c r="A110" s="22" t="s">
        <v>152</v>
      </c>
      <c r="B110" s="70">
        <v>128.19999999999999</v>
      </c>
      <c r="C110" s="70">
        <v>128.1</v>
      </c>
      <c r="D110" s="70">
        <v>128.80000000000001</v>
      </c>
      <c r="E110" s="70">
        <v>129.1</v>
      </c>
      <c r="F110" s="70">
        <v>129.1</v>
      </c>
      <c r="G110" s="70">
        <v>126.3</v>
      </c>
      <c r="H110" s="70">
        <v>125</v>
      </c>
      <c r="I110" s="70">
        <v>124.3</v>
      </c>
      <c r="J110" s="70">
        <v>125.5</v>
      </c>
      <c r="K110" s="70">
        <v>122.7</v>
      </c>
      <c r="L110" s="70">
        <v>120.1</v>
      </c>
      <c r="M110" s="70">
        <v>123.8</v>
      </c>
      <c r="N110" s="70">
        <v>125.9</v>
      </c>
      <c r="O110" s="70">
        <v>123.9</v>
      </c>
      <c r="P110" s="70">
        <v>123.1</v>
      </c>
      <c r="Q110" s="70">
        <v>123.1</v>
      </c>
      <c r="R110" s="70">
        <v>121.9</v>
      </c>
      <c r="S110" s="70">
        <v>125</v>
      </c>
      <c r="T110" s="70">
        <v>125</v>
      </c>
      <c r="U110" s="70">
        <v>121.8</v>
      </c>
      <c r="V110" s="70">
        <v>125</v>
      </c>
      <c r="W110" s="70">
        <v>125</v>
      </c>
      <c r="X110" s="70">
        <v>129.1</v>
      </c>
      <c r="Y110" s="70">
        <v>134.5</v>
      </c>
      <c r="Z110" s="70">
        <v>126.6</v>
      </c>
      <c r="AA110" s="70">
        <v>126.6</v>
      </c>
      <c r="AB110" s="70">
        <v>129.4</v>
      </c>
      <c r="AC110" s="70">
        <v>129.4</v>
      </c>
      <c r="AD110" s="70">
        <v>130.1</v>
      </c>
      <c r="AE110" s="70">
        <v>129.4</v>
      </c>
      <c r="AF110" s="70">
        <v>128.80000000000001</v>
      </c>
      <c r="AG110" s="69"/>
      <c r="AH110" s="12">
        <f t="shared" si="57"/>
        <v>134.5</v>
      </c>
      <c r="AI110" s="11">
        <f t="shared" si="58"/>
        <v>120.1</v>
      </c>
    </row>
    <row r="111" spans="1:64" x14ac:dyDescent="0.25">
      <c r="A111" s="22" t="s">
        <v>151</v>
      </c>
      <c r="B111" s="70">
        <v>131.9</v>
      </c>
      <c r="C111" s="70">
        <v>131.6</v>
      </c>
      <c r="D111" s="70">
        <v>132.30000000000001</v>
      </c>
      <c r="E111" s="70">
        <v>132.4</v>
      </c>
      <c r="F111" s="70">
        <v>132.4</v>
      </c>
      <c r="G111" s="70">
        <v>130.30000000000001</v>
      </c>
      <c r="H111" s="70">
        <v>128.5</v>
      </c>
      <c r="I111" s="70">
        <v>128.19999999999999</v>
      </c>
      <c r="J111" s="70">
        <v>128.4</v>
      </c>
      <c r="K111" s="70">
        <v>126.5</v>
      </c>
      <c r="L111" s="70">
        <v>124.1</v>
      </c>
      <c r="M111" s="70">
        <v>126.9</v>
      </c>
      <c r="N111" s="70">
        <v>128.4</v>
      </c>
      <c r="O111" s="70">
        <v>127.4</v>
      </c>
      <c r="P111" s="70">
        <v>127.1</v>
      </c>
      <c r="Q111" s="70">
        <v>127.1</v>
      </c>
      <c r="R111" s="70">
        <v>125.8</v>
      </c>
      <c r="S111" s="70">
        <v>127.6</v>
      </c>
      <c r="T111" s="70">
        <v>127.6</v>
      </c>
      <c r="U111" s="70">
        <v>125.5</v>
      </c>
      <c r="V111" s="70">
        <v>128.80000000000001</v>
      </c>
      <c r="W111" s="70">
        <v>128.80000000000001</v>
      </c>
      <c r="X111" s="70">
        <v>131.69999999999999</v>
      </c>
      <c r="Y111" s="70">
        <v>133</v>
      </c>
      <c r="Z111" s="70">
        <v>128.9</v>
      </c>
      <c r="AA111" s="70">
        <v>128.9</v>
      </c>
      <c r="AB111" s="70">
        <v>130.80000000000001</v>
      </c>
      <c r="AC111" s="70">
        <v>130.80000000000001</v>
      </c>
      <c r="AD111" s="70">
        <v>132.4</v>
      </c>
      <c r="AE111" s="70">
        <v>132.1</v>
      </c>
      <c r="AF111" s="70">
        <v>132.19999999999999</v>
      </c>
      <c r="AG111" s="69"/>
      <c r="AH111" s="12">
        <f t="shared" si="57"/>
        <v>133</v>
      </c>
      <c r="AI111" s="11">
        <f t="shared" si="58"/>
        <v>124.1</v>
      </c>
    </row>
    <row r="112" spans="1:64" x14ac:dyDescent="0.25">
      <c r="A112" s="22" t="s">
        <v>150</v>
      </c>
      <c r="B112" s="70">
        <v>132.9</v>
      </c>
      <c r="C112" s="70">
        <v>133</v>
      </c>
      <c r="D112" s="70">
        <v>133.69999999999999</v>
      </c>
      <c r="E112" s="70">
        <v>133.4</v>
      </c>
      <c r="F112" s="70">
        <v>133.4</v>
      </c>
      <c r="G112" s="70">
        <v>132.4</v>
      </c>
      <c r="H112" s="70">
        <v>128.19999999999999</v>
      </c>
      <c r="I112" s="70">
        <v>128.69999999999999</v>
      </c>
      <c r="J112" s="70">
        <v>128.80000000000001</v>
      </c>
      <c r="K112" s="70">
        <v>125.9</v>
      </c>
      <c r="L112" s="70">
        <v>125.4</v>
      </c>
      <c r="M112" s="70">
        <v>130.6</v>
      </c>
      <c r="N112" s="70">
        <v>129.30000000000001</v>
      </c>
      <c r="O112" s="70">
        <v>129.19999999999999</v>
      </c>
      <c r="P112" s="70">
        <v>130.6</v>
      </c>
      <c r="Q112" s="70">
        <v>130.6</v>
      </c>
      <c r="R112" s="70">
        <v>131.80000000000001</v>
      </c>
      <c r="S112" s="70">
        <v>132.19999999999999</v>
      </c>
      <c r="T112" s="70">
        <v>132.19999999999999</v>
      </c>
      <c r="U112" s="70">
        <v>134.30000000000001</v>
      </c>
      <c r="V112" s="70">
        <v>133</v>
      </c>
      <c r="W112" s="70">
        <v>133</v>
      </c>
      <c r="X112" s="70">
        <v>135</v>
      </c>
      <c r="Y112" s="70">
        <v>135</v>
      </c>
      <c r="Z112" s="70">
        <v>134.1</v>
      </c>
      <c r="AA112" s="70">
        <v>134.1</v>
      </c>
      <c r="AB112" s="70">
        <v>133.4</v>
      </c>
      <c r="AC112" s="70">
        <v>133.4</v>
      </c>
      <c r="AD112" s="70">
        <v>132</v>
      </c>
      <c r="AE112" s="70">
        <v>128.30000000000001</v>
      </c>
      <c r="AF112" s="70">
        <v>130.19999999999999</v>
      </c>
      <c r="AG112" s="69"/>
      <c r="AH112" s="12">
        <f t="shared" si="57"/>
        <v>135</v>
      </c>
      <c r="AI112" s="11">
        <f t="shared" si="58"/>
        <v>125.4</v>
      </c>
    </row>
    <row r="113" spans="1:35" x14ac:dyDescent="0.25">
      <c r="A113" s="72" t="s">
        <v>149</v>
      </c>
      <c r="B113" s="70">
        <v>134.19999999999999</v>
      </c>
      <c r="C113" s="70">
        <v>134.4</v>
      </c>
      <c r="D113" s="70">
        <v>135.19999999999999</v>
      </c>
      <c r="E113" s="70">
        <v>134.4</v>
      </c>
      <c r="F113" s="70">
        <v>134.4</v>
      </c>
      <c r="G113" s="70">
        <v>133.1</v>
      </c>
      <c r="H113" s="70">
        <v>128</v>
      </c>
      <c r="I113" s="70">
        <v>129.69999999999999</v>
      </c>
      <c r="J113" s="70">
        <v>131.1</v>
      </c>
      <c r="K113" s="70">
        <v>128.5</v>
      </c>
      <c r="L113" s="70">
        <v>125.2</v>
      </c>
      <c r="M113" s="70">
        <v>127</v>
      </c>
      <c r="N113" s="70">
        <v>126.2</v>
      </c>
      <c r="O113" s="70">
        <v>125.1</v>
      </c>
      <c r="P113" s="70">
        <v>129.9</v>
      </c>
      <c r="Q113" s="70">
        <v>129.9</v>
      </c>
      <c r="R113" s="70">
        <v>131.6</v>
      </c>
      <c r="S113" s="70">
        <v>132.30000000000001</v>
      </c>
      <c r="T113" s="70">
        <v>132.30000000000001</v>
      </c>
      <c r="U113" s="70">
        <v>133</v>
      </c>
      <c r="V113" s="70">
        <v>132.80000000000001</v>
      </c>
      <c r="W113" s="70">
        <v>132.80000000000001</v>
      </c>
      <c r="X113" s="70">
        <v>135.30000000000001</v>
      </c>
      <c r="Y113" s="70">
        <v>135.30000000000001</v>
      </c>
      <c r="Z113" s="70">
        <v>133.80000000000001</v>
      </c>
      <c r="AA113" s="70">
        <v>133.80000000000001</v>
      </c>
      <c r="AB113" s="70">
        <v>133</v>
      </c>
      <c r="AC113" s="70">
        <v>133</v>
      </c>
      <c r="AD113" s="70">
        <v>131.19999999999999</v>
      </c>
      <c r="AE113" s="70">
        <v>129.9</v>
      </c>
      <c r="AF113" s="70">
        <v>130.30000000000001</v>
      </c>
      <c r="AG113" s="69"/>
      <c r="AH113" s="12">
        <f t="shared" si="57"/>
        <v>135.30000000000001</v>
      </c>
      <c r="AI113" s="11">
        <f t="shared" si="58"/>
        <v>125.1</v>
      </c>
    </row>
    <row r="114" spans="1:35" x14ac:dyDescent="0.25">
      <c r="A114" s="72" t="s">
        <v>148</v>
      </c>
      <c r="B114" s="56">
        <v>135.19999999999999</v>
      </c>
      <c r="C114" s="56">
        <v>134.30000000000001</v>
      </c>
      <c r="D114" s="56">
        <v>135.4</v>
      </c>
      <c r="E114" s="56">
        <v>134.80000000000001</v>
      </c>
      <c r="F114" s="56">
        <v>134.80000000000001</v>
      </c>
      <c r="G114" s="56">
        <v>133</v>
      </c>
      <c r="H114" s="56">
        <v>132.4</v>
      </c>
      <c r="I114" s="56">
        <v>131.69999999999999</v>
      </c>
      <c r="J114" s="56">
        <v>134.6</v>
      </c>
      <c r="K114" s="56">
        <v>133.4</v>
      </c>
      <c r="L114" s="56"/>
      <c r="M114" s="56"/>
      <c r="N114" s="56"/>
      <c r="O114" s="56"/>
      <c r="P114" s="56"/>
      <c r="Q114" s="56"/>
      <c r="R114" s="56"/>
      <c r="S114" s="56">
        <v>130.19999999999999</v>
      </c>
      <c r="T114" s="56">
        <v>130.19999999999999</v>
      </c>
      <c r="U114" s="56">
        <v>130.19999999999999</v>
      </c>
      <c r="V114" s="56">
        <v>133.69999999999999</v>
      </c>
      <c r="W114" s="56">
        <v>133.69999999999999</v>
      </c>
      <c r="X114" s="56">
        <v>134.4</v>
      </c>
      <c r="Y114" s="56">
        <v>134.4</v>
      </c>
      <c r="Z114" s="56">
        <v>131</v>
      </c>
      <c r="AA114" s="56">
        <v>131</v>
      </c>
      <c r="AB114" s="56">
        <v>135.80000000000001</v>
      </c>
      <c r="AC114" s="56">
        <v>135.80000000000001</v>
      </c>
      <c r="AD114" s="56">
        <v>134.5</v>
      </c>
      <c r="AE114" s="56">
        <v>134.80000000000001</v>
      </c>
      <c r="AF114" s="56">
        <v>134.1</v>
      </c>
      <c r="AG114" s="71"/>
      <c r="AH114" s="12">
        <f t="shared" si="57"/>
        <v>135.80000000000001</v>
      </c>
      <c r="AI114" s="11">
        <f t="shared" si="58"/>
        <v>130.19999999999999</v>
      </c>
    </row>
    <row r="115" spans="1:35" x14ac:dyDescent="0.25">
      <c r="A115" s="22" t="s">
        <v>147</v>
      </c>
      <c r="B115" s="70">
        <v>129.9</v>
      </c>
      <c r="C115" s="70">
        <v>131.5</v>
      </c>
      <c r="D115" s="70">
        <v>133</v>
      </c>
      <c r="E115" s="70">
        <v>131.80000000000001</v>
      </c>
      <c r="F115" s="70">
        <v>131.80000000000001</v>
      </c>
      <c r="G115" s="70">
        <v>133.30000000000001</v>
      </c>
      <c r="H115" s="70">
        <v>132.1</v>
      </c>
      <c r="I115" s="70">
        <v>132</v>
      </c>
      <c r="J115" s="70">
        <v>133.30000000000001</v>
      </c>
      <c r="K115" s="70">
        <v>129</v>
      </c>
      <c r="L115" s="70">
        <v>130.5</v>
      </c>
      <c r="M115" s="70">
        <v>129</v>
      </c>
      <c r="N115" s="70">
        <v>130.4</v>
      </c>
      <c r="O115" s="70">
        <v>132</v>
      </c>
      <c r="P115" s="70">
        <v>126.8</v>
      </c>
      <c r="Q115" s="70">
        <v>126.8</v>
      </c>
      <c r="R115" s="70">
        <v>128.30000000000001</v>
      </c>
      <c r="S115" s="70">
        <v>129.80000000000001</v>
      </c>
      <c r="T115" s="70">
        <v>129.80000000000001</v>
      </c>
      <c r="U115" s="70">
        <v>128.1</v>
      </c>
      <c r="V115" s="70">
        <v>129.69999999999999</v>
      </c>
      <c r="W115" s="70">
        <v>129.69999999999999</v>
      </c>
      <c r="X115" s="70">
        <v>133.30000000000001</v>
      </c>
      <c r="Y115" s="70">
        <v>133.30000000000001</v>
      </c>
      <c r="Z115" s="70">
        <v>129.30000000000001</v>
      </c>
      <c r="AA115" s="70">
        <v>129.30000000000001</v>
      </c>
      <c r="AB115" s="70">
        <v>135</v>
      </c>
      <c r="AC115" s="70">
        <v>135</v>
      </c>
      <c r="AD115" s="70">
        <v>133.4</v>
      </c>
      <c r="AE115" s="70">
        <v>133.9</v>
      </c>
      <c r="AF115" s="70">
        <v>133.30000000000001</v>
      </c>
      <c r="AG115" s="69"/>
      <c r="AH115" s="12">
        <f t="shared" si="57"/>
        <v>135</v>
      </c>
      <c r="AI115" s="11">
        <f t="shared" si="58"/>
        <v>126.8</v>
      </c>
    </row>
    <row r="116" spans="1:35" ht="15.75" thickBot="1" x14ac:dyDescent="0.3">
      <c r="A116" s="22" t="s">
        <v>146</v>
      </c>
      <c r="B116" s="67">
        <v>66.099999999999994</v>
      </c>
      <c r="C116" s="67">
        <v>65.599999999999994</v>
      </c>
      <c r="D116" s="67">
        <v>65.900000000000006</v>
      </c>
      <c r="E116" s="67">
        <v>66</v>
      </c>
      <c r="F116" s="67">
        <v>66</v>
      </c>
      <c r="G116" s="67">
        <v>64.900000000000006</v>
      </c>
      <c r="H116" s="67">
        <v>64.5</v>
      </c>
      <c r="I116" s="67">
        <v>64.400000000000006</v>
      </c>
      <c r="J116" s="67">
        <v>64.5</v>
      </c>
      <c r="K116" s="67">
        <v>63.3</v>
      </c>
      <c r="L116" s="67">
        <v>62.5</v>
      </c>
      <c r="M116" s="67">
        <v>63.3</v>
      </c>
      <c r="N116" s="67">
        <v>64.2</v>
      </c>
      <c r="O116" s="67">
        <v>63.7</v>
      </c>
      <c r="P116" s="67">
        <v>63.2</v>
      </c>
      <c r="Q116" s="67">
        <v>63.2</v>
      </c>
      <c r="R116" s="67">
        <v>62.6</v>
      </c>
      <c r="S116" s="67">
        <v>62.6</v>
      </c>
      <c r="T116" s="67">
        <v>62.6</v>
      </c>
      <c r="U116" s="67">
        <v>62.7</v>
      </c>
      <c r="V116" s="67">
        <v>64.5</v>
      </c>
      <c r="W116" s="67">
        <v>64.5</v>
      </c>
      <c r="X116" s="67">
        <v>66.3</v>
      </c>
      <c r="Y116" s="67">
        <v>66.3</v>
      </c>
      <c r="Z116" s="67">
        <v>64.8</v>
      </c>
      <c r="AA116" s="67">
        <v>64.8</v>
      </c>
      <c r="AB116" s="67">
        <v>66.099999999999994</v>
      </c>
      <c r="AC116" s="67">
        <v>66.099999999999994</v>
      </c>
      <c r="AD116" s="67">
        <v>66.8</v>
      </c>
      <c r="AE116" s="67">
        <v>66.5</v>
      </c>
      <c r="AF116" s="67">
        <v>66.5</v>
      </c>
      <c r="AG116" s="66"/>
      <c r="AH116" s="12">
        <f t="shared" si="57"/>
        <v>66.8</v>
      </c>
      <c r="AI116" s="11">
        <f t="shared" si="58"/>
        <v>62.5</v>
      </c>
    </row>
    <row r="117" spans="1:35" ht="15.75" thickBot="1" x14ac:dyDescent="0.3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57"/>
        <v>0</v>
      </c>
      <c r="AI117" s="11">
        <f t="shared" si="58"/>
        <v>0</v>
      </c>
    </row>
    <row r="118" spans="1:35" ht="15.75" thickBot="1" x14ac:dyDescent="0.3">
      <c r="A118" s="65" t="s">
        <v>144</v>
      </c>
      <c r="B118" s="64">
        <f t="shared" ref="B118:O118" si="136">SUM(B22,B28,B31:B32,B66,B68:B69,B71,B73,B119:B123,B155,B161,B167,B176,B178,B190,B197,B200:B201,B208,B210,B212,B216:B218,B220:B222,B227,B233:B234,B236:B238,B246,B251)</f>
        <v>149.04000000000002</v>
      </c>
      <c r="C118" s="64">
        <f t="shared" si="136"/>
        <v>144.44</v>
      </c>
      <c r="D118" s="64">
        <f t="shared" si="136"/>
        <v>137.73999999999998</v>
      </c>
      <c r="E118" s="64">
        <f t="shared" si="136"/>
        <v>126.83999999999999</v>
      </c>
      <c r="F118" s="64">
        <f t="shared" si="136"/>
        <v>138.54000000000002</v>
      </c>
      <c r="G118" s="64">
        <f t="shared" si="136"/>
        <v>149.84000000000003</v>
      </c>
      <c r="H118" s="64">
        <f t="shared" si="136"/>
        <v>196.73999999999998</v>
      </c>
      <c r="I118" s="64">
        <f t="shared" si="136"/>
        <v>214.24</v>
      </c>
      <c r="J118" s="64">
        <f t="shared" si="136"/>
        <v>240.83999999999997</v>
      </c>
      <c r="K118" s="64">
        <f t="shared" si="136"/>
        <v>319.33999999999997</v>
      </c>
      <c r="L118" s="64">
        <f t="shared" si="136"/>
        <v>370.64</v>
      </c>
      <c r="M118" s="64">
        <f t="shared" si="136"/>
        <v>331.34</v>
      </c>
      <c r="N118" s="64">
        <f t="shared" si="136"/>
        <v>316.24000000000007</v>
      </c>
      <c r="O118" s="64">
        <f t="shared" si="136"/>
        <v>320.94</v>
      </c>
      <c r="P118" s="64">
        <v>42</v>
      </c>
      <c r="Q118" s="64">
        <v>42</v>
      </c>
      <c r="R118" s="64">
        <f t="shared" ref="R118" si="137">SUM(R22,R28,R31:R32,R66,R68:R69,R71,R73,R119:R123,R155,R161,R167,R176,R178,R190,R197,R200:R201,R208,R210,R212,R216:R218,R220:R222,R227,R233:R234,R236:R238,R246,R251)</f>
        <v>292.44</v>
      </c>
      <c r="S118" s="64">
        <f t="shared" ref="S118:T118" si="138">SUM(S22,S28,S31:S32,S66,S68:S69,S71,S73,S119:S123,S155,S161,S167,S176,S178,S190,S197,S200:S201,S208,S210,S212,S216:S218,S220:S222,S227,S233:S234,S236:S238,S246,S251)</f>
        <v>311.04000000000002</v>
      </c>
      <c r="T118" s="64">
        <f t="shared" si="138"/>
        <v>318.74</v>
      </c>
      <c r="U118" s="64">
        <f t="shared" ref="U118:V118" si="139">SUM(U22,U28,U31:U32,U66,U68:U69,U71,U73,U119:U123,U155,U161,U167,U176,U178,U190,U197,U200:U201,U208,U210,U212,U216:U218,U220:U222,U227,U233:U234,U236:U238,U246,U251)</f>
        <v>308.83999999999997</v>
      </c>
      <c r="V118" s="64">
        <f t="shared" si="139"/>
        <v>313.74</v>
      </c>
      <c r="W118" s="64">
        <f t="shared" ref="W118:X118" si="140">SUM(W22,W28,W31:W32,W66,W68:W69,W71,W73,W119:W123,W155,W161,W167,W176,W178,W190,W197,W200:W201,W208,W210,W212,W216:W218,W220:W222,W227,W233:W234,W236:W238,W246,W251)</f>
        <v>331.84</v>
      </c>
      <c r="X118" s="64">
        <f t="shared" si="140"/>
        <v>322.14000000000004</v>
      </c>
      <c r="Y118" s="64">
        <f t="shared" ref="Y118:Z118" si="141">SUM(Y22,Y28,Y31:Y32,Y66,Y68:Y69,Y71,Y73,Y119:Y123,Y155,Y161,Y167,Y176,Y178,Y190,Y197,Y200:Y201,Y208,Y210,Y212,Y216:Y218,Y220:Y222,Y227,Y233:Y234,Y236:Y238,Y246,Y251)</f>
        <v>318.33999999999997</v>
      </c>
      <c r="Z118" s="64">
        <f t="shared" si="141"/>
        <v>283.94</v>
      </c>
      <c r="AA118" s="64">
        <f t="shared" ref="AA118" si="142">SUM(AA22,AA28,AA31:AA32,AA66,AA68:AA69,AA71,AA73,AA119:AA123,AA155,AA161,AA167,AA176,AA178,AA190,AA197,AA200:AA201,AA208,AA210,AA212,AA216:AA218,AA220:AA222,AA227,AA233:AA234,AA236:AA238,AA246,AA251)</f>
        <v>326.64000000000004</v>
      </c>
      <c r="AB118" s="64">
        <f>SUM(AB22,AB28,AB31:AB32,AB66,AB68:AB69,AB71,AB73,AB119:AB123,AB155,AB161,AB167,AB176,AB178,AB190,AB197,AB200:AB201,AB208,AB210,AB212,AB216:AB218,AB220:AB222,AB227,AB233:AB234,AB236:AB238,AB246,AB251)</f>
        <v>278.24000000000007</v>
      </c>
      <c r="AC118" s="64">
        <f t="shared" ref="AC118:AF118" si="143">SUM(AC22,AC28,AC31:AC32,AC66,AC68:AC69,AC71,AC73,AC119:AC123,AC155,AC161,AC167,AC176,AC178,AC190,AC197,AC200:AC201,AC208,AC210,AC212,AC216:AC218,AC220:AC222,AC227,AC233:AC234,AC236:AC238,AC246,AC251)</f>
        <v>278.24000000000007</v>
      </c>
      <c r="AD118" s="64">
        <f t="shared" si="143"/>
        <v>209.64000000000001</v>
      </c>
      <c r="AE118" s="64">
        <f t="shared" si="143"/>
        <v>182.04000000000002</v>
      </c>
      <c r="AF118" s="64">
        <f t="shared" si="143"/>
        <v>163.14000000000001</v>
      </c>
      <c r="AG118" s="63"/>
      <c r="AH118" s="12">
        <f t="shared" si="57"/>
        <v>370.64</v>
      </c>
      <c r="AI118" s="11">
        <f t="shared" si="58"/>
        <v>42</v>
      </c>
    </row>
    <row r="119" spans="1:35" x14ac:dyDescent="0.25">
      <c r="A119" s="59" t="s">
        <v>143</v>
      </c>
      <c r="B119" s="62">
        <v>15.4</v>
      </c>
      <c r="C119" s="62">
        <v>20.7</v>
      </c>
      <c r="D119" s="62">
        <v>18.3</v>
      </c>
      <c r="E119" s="62">
        <v>12.8</v>
      </c>
      <c r="F119" s="62">
        <v>12</v>
      </c>
      <c r="G119" s="62">
        <v>12.3</v>
      </c>
      <c r="H119" s="62">
        <v>35.9</v>
      </c>
      <c r="I119" s="62">
        <v>31.6</v>
      </c>
      <c r="J119" s="62">
        <v>35</v>
      </c>
      <c r="K119" s="62">
        <v>41.3</v>
      </c>
      <c r="L119" s="62">
        <v>37.799999999999997</v>
      </c>
      <c r="M119" s="62">
        <v>41</v>
      </c>
      <c r="N119" s="62">
        <v>33.1</v>
      </c>
      <c r="O119" s="62">
        <v>44.9</v>
      </c>
      <c r="P119" s="62">
        <v>63.4</v>
      </c>
      <c r="Q119" s="62">
        <v>63.4</v>
      </c>
      <c r="R119" s="62">
        <v>40</v>
      </c>
      <c r="S119" s="62">
        <v>43.5</v>
      </c>
      <c r="T119" s="62">
        <v>31.2</v>
      </c>
      <c r="U119" s="62">
        <v>36.4</v>
      </c>
      <c r="V119" s="62">
        <v>33</v>
      </c>
      <c r="W119" s="62">
        <v>39.799999999999997</v>
      </c>
      <c r="X119" s="62">
        <v>34.5</v>
      </c>
      <c r="Y119" s="62">
        <v>39.4</v>
      </c>
      <c r="Z119" s="62">
        <v>25.1</v>
      </c>
      <c r="AA119" s="62">
        <v>18.3</v>
      </c>
      <c r="AB119" s="62">
        <v>19.399999999999999</v>
      </c>
      <c r="AC119" s="62">
        <v>19.399999999999999</v>
      </c>
      <c r="AD119" s="62">
        <v>14.1</v>
      </c>
      <c r="AE119" s="62">
        <v>15</v>
      </c>
      <c r="AF119" s="62">
        <v>11.2</v>
      </c>
      <c r="AG119" s="55">
        <v>75</v>
      </c>
      <c r="AH119" s="12">
        <f t="shared" si="57"/>
        <v>63.4</v>
      </c>
      <c r="AI119" s="11">
        <f t="shared" si="58"/>
        <v>11.2</v>
      </c>
    </row>
    <row r="120" spans="1:35" x14ac:dyDescent="0.25">
      <c r="A120" s="57" t="s">
        <v>142</v>
      </c>
      <c r="B120" s="61">
        <v>29.1</v>
      </c>
      <c r="C120" s="61">
        <v>35.9</v>
      </c>
      <c r="D120" s="61">
        <v>30.5</v>
      </c>
      <c r="E120" s="61">
        <v>25.5</v>
      </c>
      <c r="F120" s="61">
        <v>23.5</v>
      </c>
      <c r="G120" s="61">
        <v>22.8</v>
      </c>
      <c r="H120" s="61">
        <v>56.9</v>
      </c>
      <c r="I120" s="61">
        <v>44.9</v>
      </c>
      <c r="J120" s="61">
        <v>49.6</v>
      </c>
      <c r="K120" s="61">
        <v>50.3</v>
      </c>
      <c r="L120" s="61">
        <v>46.5</v>
      </c>
      <c r="M120" s="61">
        <v>49</v>
      </c>
      <c r="N120" s="61">
        <v>41.7</v>
      </c>
      <c r="O120" s="61">
        <v>54.3</v>
      </c>
      <c r="P120" s="61">
        <v>82.1</v>
      </c>
      <c r="Q120" s="61">
        <v>82.1</v>
      </c>
      <c r="R120" s="61">
        <v>48.2</v>
      </c>
      <c r="S120" s="61">
        <v>55.8</v>
      </c>
      <c r="T120" s="61">
        <v>38.200000000000003</v>
      </c>
      <c r="U120" s="61">
        <v>44.1</v>
      </c>
      <c r="V120" s="61">
        <v>40.4</v>
      </c>
      <c r="W120" s="61">
        <v>49.4</v>
      </c>
      <c r="X120" s="61">
        <v>42.4</v>
      </c>
      <c r="Y120" s="61">
        <v>54.6</v>
      </c>
      <c r="Z120" s="61">
        <v>37.1</v>
      </c>
      <c r="AA120" s="61">
        <v>27.6</v>
      </c>
      <c r="AB120" s="61">
        <v>27.9</v>
      </c>
      <c r="AC120" s="61">
        <v>27.9</v>
      </c>
      <c r="AD120" s="61">
        <v>24</v>
      </c>
      <c r="AE120" s="61">
        <v>27</v>
      </c>
      <c r="AF120" s="61">
        <v>19.899999999999999</v>
      </c>
      <c r="AG120" s="55">
        <v>240</v>
      </c>
      <c r="AH120" s="12">
        <f t="shared" si="57"/>
        <v>82.1</v>
      </c>
      <c r="AI120" s="11">
        <f t="shared" si="58"/>
        <v>19.899999999999999</v>
      </c>
    </row>
    <row r="121" spans="1:35" x14ac:dyDescent="0.25">
      <c r="A121" s="57" t="s">
        <v>141</v>
      </c>
      <c r="B121" s="61">
        <v>-38</v>
      </c>
      <c r="C121" s="61">
        <v>-53</v>
      </c>
      <c r="D121" s="61">
        <v>-55</v>
      </c>
      <c r="E121" s="61">
        <v>-60.7</v>
      </c>
      <c r="F121" s="61">
        <v>-57.5</v>
      </c>
      <c r="G121" s="61">
        <v>-52.6</v>
      </c>
      <c r="H121" s="61">
        <v>-88.4</v>
      </c>
      <c r="I121" s="61">
        <v>-65.3</v>
      </c>
      <c r="J121" s="61">
        <v>-52</v>
      </c>
      <c r="K121" s="61">
        <v>-14.5</v>
      </c>
      <c r="L121" s="61">
        <v>0</v>
      </c>
      <c r="M121" s="61">
        <v>-25</v>
      </c>
      <c r="N121" s="61">
        <f>-6.2-7.4</f>
        <v>-13.600000000000001</v>
      </c>
      <c r="O121" s="61">
        <f>-15-16.7</f>
        <v>-31.7</v>
      </c>
      <c r="P121" s="61">
        <f>-32-33</f>
        <v>-65</v>
      </c>
      <c r="Q121" s="61">
        <f>-32-33</f>
        <v>-65</v>
      </c>
      <c r="R121" s="61">
        <f>-8.6-9.4</f>
        <v>-18</v>
      </c>
      <c r="S121" s="61">
        <v>-36</v>
      </c>
      <c r="T121" s="61">
        <v>-3</v>
      </c>
      <c r="U121" s="61">
        <v>-1.9</v>
      </c>
      <c r="V121" s="61">
        <v>-5</v>
      </c>
      <c r="W121" s="61">
        <v>-20</v>
      </c>
      <c r="X121" s="61">
        <v>-20</v>
      </c>
      <c r="Y121" s="61">
        <v>-4.5999999999999996</v>
      </c>
      <c r="Z121" s="61">
        <v>-28</v>
      </c>
      <c r="AA121" s="61">
        <v>33</v>
      </c>
      <c r="AB121" s="61">
        <v>-15.2</v>
      </c>
      <c r="AC121" s="61">
        <v>-15.2</v>
      </c>
      <c r="AD121" s="61">
        <v>-24</v>
      </c>
      <c r="AE121" s="61">
        <v>-37</v>
      </c>
      <c r="AF121" s="61">
        <v>-45</v>
      </c>
      <c r="AG121" s="55">
        <v>240</v>
      </c>
      <c r="AH121" s="12">
        <f t="shared" si="57"/>
        <v>33</v>
      </c>
      <c r="AI121" s="11">
        <f t="shared" si="58"/>
        <v>-88.4</v>
      </c>
    </row>
    <row r="122" spans="1:35" ht="15.75" thickBot="1" x14ac:dyDescent="0.3">
      <c r="A122" s="57" t="s">
        <v>140</v>
      </c>
      <c r="B122" s="61">
        <v>6.1</v>
      </c>
      <c r="C122" s="61">
        <v>5.9</v>
      </c>
      <c r="D122" s="61">
        <v>6.5</v>
      </c>
      <c r="E122" s="61">
        <v>11.8</v>
      </c>
      <c r="F122" s="61">
        <v>13</v>
      </c>
      <c r="G122" s="61">
        <v>13.7</v>
      </c>
      <c r="H122" s="61">
        <v>16.600000000000001</v>
      </c>
      <c r="I122" s="61">
        <v>20.100000000000001</v>
      </c>
      <c r="J122" s="61">
        <v>12.2</v>
      </c>
      <c r="K122" s="61">
        <v>6.4</v>
      </c>
      <c r="L122" s="61">
        <v>7</v>
      </c>
      <c r="M122" s="61">
        <v>0</v>
      </c>
      <c r="N122" s="61">
        <v>1</v>
      </c>
      <c r="O122" s="61">
        <v>-3.7</v>
      </c>
      <c r="P122" s="61">
        <v>-7.9</v>
      </c>
      <c r="Q122" s="61">
        <v>-7.9</v>
      </c>
      <c r="R122" s="61">
        <v>-4</v>
      </c>
      <c r="S122" s="61">
        <v>-1.3</v>
      </c>
      <c r="T122" s="61">
        <v>0</v>
      </c>
      <c r="U122" s="61">
        <v>-2</v>
      </c>
      <c r="V122" s="61">
        <v>13.4</v>
      </c>
      <c r="W122" s="61">
        <v>15.4</v>
      </c>
      <c r="X122" s="61">
        <v>12.6</v>
      </c>
      <c r="Y122" s="61">
        <v>18.600000000000001</v>
      </c>
      <c r="Z122" s="61">
        <v>25.4</v>
      </c>
      <c r="AA122" s="61">
        <v>37.799999999999997</v>
      </c>
      <c r="AB122" s="61">
        <v>39.200000000000003</v>
      </c>
      <c r="AC122" s="61">
        <v>39.200000000000003</v>
      </c>
      <c r="AD122" s="61">
        <v>17</v>
      </c>
      <c r="AE122" s="61">
        <v>5</v>
      </c>
      <c r="AF122" s="61">
        <v>3</v>
      </c>
      <c r="AG122" s="55">
        <v>60</v>
      </c>
      <c r="AH122" s="12">
        <f t="shared" si="57"/>
        <v>39.200000000000003</v>
      </c>
      <c r="AI122" s="11">
        <f t="shared" si="58"/>
        <v>-7.9</v>
      </c>
    </row>
    <row r="123" spans="1:35" x14ac:dyDescent="0.25">
      <c r="A123" s="59" t="s">
        <v>139</v>
      </c>
      <c r="B123" s="58">
        <v>26.8</v>
      </c>
      <c r="C123" s="58">
        <v>24.9</v>
      </c>
      <c r="D123" s="58">
        <v>21</v>
      </c>
      <c r="E123" s="58">
        <v>19.2</v>
      </c>
      <c r="F123" s="58">
        <v>29.3</v>
      </c>
      <c r="G123" s="58">
        <v>37.5</v>
      </c>
      <c r="H123" s="58">
        <v>64</v>
      </c>
      <c r="I123" s="58">
        <v>71.2</v>
      </c>
      <c r="J123" s="58">
        <v>89.9</v>
      </c>
      <c r="K123" s="58">
        <v>131.5</v>
      </c>
      <c r="L123" s="58">
        <v>171</v>
      </c>
      <c r="M123" s="58">
        <v>158</v>
      </c>
      <c r="N123" s="58">
        <v>148</v>
      </c>
      <c r="O123" s="58">
        <v>148.19999999999999</v>
      </c>
      <c r="P123" s="58">
        <v>134</v>
      </c>
      <c r="Q123" s="58">
        <v>134</v>
      </c>
      <c r="R123" s="58">
        <v>109.2</v>
      </c>
      <c r="S123" s="58">
        <v>136.4</v>
      </c>
      <c r="T123" s="58">
        <v>139.69999999999999</v>
      </c>
      <c r="U123" s="58">
        <v>120.2</v>
      </c>
      <c r="V123" s="58">
        <v>121.8</v>
      </c>
      <c r="W123" s="58">
        <v>137.69999999999999</v>
      </c>
      <c r="X123" s="58">
        <v>143.80000000000001</v>
      </c>
      <c r="Y123" s="58">
        <v>101.8</v>
      </c>
      <c r="Z123" s="58">
        <v>121.3</v>
      </c>
      <c r="AA123" s="58">
        <v>106.9</v>
      </c>
      <c r="AB123" s="58">
        <v>91.9</v>
      </c>
      <c r="AC123" s="58">
        <v>91.9</v>
      </c>
      <c r="AD123" s="58">
        <v>63.5</v>
      </c>
      <c r="AE123" s="58">
        <v>57</v>
      </c>
      <c r="AF123" s="58">
        <v>59</v>
      </c>
      <c r="AG123" s="60">
        <v>120</v>
      </c>
      <c r="AH123" s="12">
        <f t="shared" si="57"/>
        <v>171</v>
      </c>
      <c r="AI123" s="11">
        <f t="shared" si="58"/>
        <v>19.2</v>
      </c>
    </row>
    <row r="124" spans="1:35" x14ac:dyDescent="0.25">
      <c r="A124" s="57" t="s">
        <v>138</v>
      </c>
      <c r="B124" s="58">
        <v>29</v>
      </c>
      <c r="C124" s="58">
        <v>27.7</v>
      </c>
      <c r="D124" s="58">
        <v>26</v>
      </c>
      <c r="E124" s="58">
        <v>25</v>
      </c>
      <c r="F124" s="58">
        <v>30.2</v>
      </c>
      <c r="G124" s="58">
        <v>33.700000000000003</v>
      </c>
      <c r="H124" s="58">
        <v>47.5</v>
      </c>
      <c r="I124" s="58">
        <v>51</v>
      </c>
      <c r="J124" s="58">
        <v>63</v>
      </c>
      <c r="K124" s="58">
        <v>79.7</v>
      </c>
      <c r="L124" s="58">
        <v>101.5</v>
      </c>
      <c r="M124" s="58">
        <v>92</v>
      </c>
      <c r="N124" s="58">
        <v>88</v>
      </c>
      <c r="O124" s="58">
        <v>88</v>
      </c>
      <c r="P124" s="58">
        <v>79.400000000000006</v>
      </c>
      <c r="Q124" s="58">
        <v>79.400000000000006</v>
      </c>
      <c r="R124" s="58">
        <v>68.099999999999994</v>
      </c>
      <c r="S124" s="58">
        <v>75.900000000000006</v>
      </c>
      <c r="T124" s="58">
        <v>77.400000000000006</v>
      </c>
      <c r="U124" s="58">
        <v>69.599999999999994</v>
      </c>
      <c r="V124" s="58">
        <v>69.900000000000006</v>
      </c>
      <c r="W124" s="58">
        <v>76.900000000000006</v>
      </c>
      <c r="X124" s="58">
        <v>79.900000000000006</v>
      </c>
      <c r="Y124" s="58">
        <v>59.9</v>
      </c>
      <c r="Z124" s="58">
        <v>70</v>
      </c>
      <c r="AA124" s="58">
        <v>64.7</v>
      </c>
      <c r="AB124" s="58">
        <v>61.4</v>
      </c>
      <c r="AC124" s="58">
        <v>61.4</v>
      </c>
      <c r="AD124" s="58">
        <v>47.9</v>
      </c>
      <c r="AE124" s="58">
        <v>44</v>
      </c>
      <c r="AF124" s="58">
        <v>47</v>
      </c>
      <c r="AG124" s="60"/>
      <c r="AH124" s="12">
        <f t="shared" si="57"/>
        <v>101.5</v>
      </c>
      <c r="AI124" s="11">
        <f t="shared" si="58"/>
        <v>25</v>
      </c>
    </row>
    <row r="125" spans="1:35" x14ac:dyDescent="0.25">
      <c r="A125" s="57" t="s">
        <v>137</v>
      </c>
      <c r="B125" s="58">
        <v>0</v>
      </c>
      <c r="C125" s="58">
        <v>0</v>
      </c>
      <c r="D125" s="58">
        <v>0</v>
      </c>
      <c r="E125" s="58">
        <v>0</v>
      </c>
      <c r="F125" s="58">
        <v>0</v>
      </c>
      <c r="G125" s="58">
        <v>0</v>
      </c>
      <c r="H125" s="58">
        <v>0</v>
      </c>
      <c r="I125" s="58">
        <v>0</v>
      </c>
      <c r="J125" s="58">
        <v>0</v>
      </c>
      <c r="K125" s="58">
        <v>0</v>
      </c>
      <c r="L125" s="58">
        <v>0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-37.799999999999997</v>
      </c>
      <c r="AA125" s="58">
        <v>-45.8</v>
      </c>
      <c r="AB125" s="58">
        <v>-44.2</v>
      </c>
      <c r="AC125" s="58">
        <v>-44.2</v>
      </c>
      <c r="AD125" s="58">
        <v>-6</v>
      </c>
      <c r="AE125" s="58">
        <v>6</v>
      </c>
      <c r="AF125" s="58">
        <v>20.5</v>
      </c>
      <c r="AG125" s="60"/>
      <c r="AH125" s="12">
        <f t="shared" si="57"/>
        <v>20.5</v>
      </c>
      <c r="AI125" s="11">
        <f t="shared" si="58"/>
        <v>-45.8</v>
      </c>
    </row>
    <row r="126" spans="1:35" ht="15.75" thickBot="1" x14ac:dyDescent="0.3">
      <c r="A126" s="57" t="s">
        <v>136</v>
      </c>
      <c r="B126" s="58">
        <v>78.599999999999994</v>
      </c>
      <c r="C126" s="58">
        <v>69</v>
      </c>
      <c r="D126" s="58">
        <v>73.8</v>
      </c>
      <c r="E126" s="58">
        <v>65.900000000000006</v>
      </c>
      <c r="F126" s="58">
        <v>75.2</v>
      </c>
      <c r="G126" s="58">
        <v>83.1</v>
      </c>
      <c r="H126" s="58">
        <v>67.400000000000006</v>
      </c>
      <c r="I126" s="58">
        <v>87.4</v>
      </c>
      <c r="J126" s="58">
        <v>89</v>
      </c>
      <c r="K126" s="58">
        <v>90.2</v>
      </c>
      <c r="L126" s="58">
        <v>70.3</v>
      </c>
      <c r="M126" s="58">
        <v>76</v>
      </c>
      <c r="N126" s="58">
        <v>68</v>
      </c>
      <c r="O126" s="58">
        <v>75</v>
      </c>
      <c r="P126" s="58">
        <v>65</v>
      </c>
      <c r="Q126" s="58">
        <v>65</v>
      </c>
      <c r="R126" s="58">
        <v>90.6</v>
      </c>
      <c r="S126" s="58">
        <v>42.1</v>
      </c>
      <c r="T126" s="58">
        <v>58.5</v>
      </c>
      <c r="U126" s="58">
        <v>100.1</v>
      </c>
      <c r="V126" s="58">
        <v>89.6</v>
      </c>
      <c r="W126" s="58">
        <v>86.8</v>
      </c>
      <c r="X126" s="58">
        <v>71</v>
      </c>
      <c r="Y126" s="58">
        <v>68.2</v>
      </c>
      <c r="Z126" s="58">
        <v>76.900000000000006</v>
      </c>
      <c r="AA126" s="58">
        <v>51.1</v>
      </c>
      <c r="AB126" s="58">
        <v>45</v>
      </c>
      <c r="AC126" s="58">
        <v>45</v>
      </c>
      <c r="AD126" s="58">
        <v>42</v>
      </c>
      <c r="AE126" s="58">
        <v>39</v>
      </c>
      <c r="AF126" s="58">
        <v>43</v>
      </c>
      <c r="AG126" s="55"/>
      <c r="AH126" s="12">
        <f>MAX(B126:AF126)</f>
        <v>100.1</v>
      </c>
      <c r="AI126" s="11">
        <f>MIN(B126:AF126)</f>
        <v>39</v>
      </c>
    </row>
    <row r="127" spans="1:35" x14ac:dyDescent="0.25">
      <c r="A127" s="59" t="s">
        <v>135</v>
      </c>
      <c r="B127" s="58">
        <v>-143</v>
      </c>
      <c r="C127" s="58">
        <v>-114.9</v>
      </c>
      <c r="D127" s="58">
        <v>-85.5</v>
      </c>
      <c r="E127" s="58">
        <v>-66.8</v>
      </c>
      <c r="F127" s="58">
        <v>-55.6</v>
      </c>
      <c r="G127" s="58">
        <v>-44.8</v>
      </c>
      <c r="H127" s="58">
        <v>-42.1</v>
      </c>
      <c r="I127" s="58">
        <v>-38.1</v>
      </c>
      <c r="J127" s="58">
        <v>35</v>
      </c>
      <c r="K127" s="58">
        <v>39</v>
      </c>
      <c r="L127" s="58">
        <v>66.900000000000006</v>
      </c>
      <c r="M127" s="58">
        <v>54</v>
      </c>
      <c r="N127" s="58">
        <v>50</v>
      </c>
      <c r="O127" s="58">
        <v>50.2</v>
      </c>
      <c r="P127" s="58">
        <v>40.4</v>
      </c>
      <c r="Q127" s="58">
        <v>40.4</v>
      </c>
      <c r="R127" s="58">
        <v>28.5</v>
      </c>
      <c r="S127" s="58">
        <v>42.4</v>
      </c>
      <c r="T127" s="58">
        <v>44.8</v>
      </c>
      <c r="U127" s="58">
        <v>35.5</v>
      </c>
      <c r="V127" s="58">
        <v>28.5</v>
      </c>
      <c r="W127" s="58">
        <v>42.6</v>
      </c>
      <c r="X127" s="58">
        <v>46.6</v>
      </c>
      <c r="Y127" s="58">
        <v>24</v>
      </c>
      <c r="Z127" s="58">
        <v>4.3</v>
      </c>
      <c r="AA127" s="58">
        <v>-107.1</v>
      </c>
      <c r="AB127" s="58">
        <v>-101.4</v>
      </c>
      <c r="AC127" s="58">
        <v>-101.4</v>
      </c>
      <c r="AD127" s="58">
        <v>-85</v>
      </c>
      <c r="AE127" s="58">
        <v>-89</v>
      </c>
      <c r="AF127" s="58">
        <v>-90</v>
      </c>
      <c r="AG127" s="55"/>
      <c r="AH127" s="12">
        <f>MAX(B127:AF127)</f>
        <v>66.900000000000006</v>
      </c>
      <c r="AI127" s="11">
        <f>MIN(B127:AF127)</f>
        <v>-143</v>
      </c>
    </row>
    <row r="128" spans="1:35" x14ac:dyDescent="0.25">
      <c r="A128" s="57" t="s">
        <v>134</v>
      </c>
      <c r="B128" s="56">
        <v>-30.1</v>
      </c>
      <c r="C128" s="56">
        <v>-25.6</v>
      </c>
      <c r="D128" s="56">
        <v>-22.9</v>
      </c>
      <c r="E128" s="56">
        <v>-20.8</v>
      </c>
      <c r="F128" s="56">
        <v>-21.1</v>
      </c>
      <c r="G128" s="56">
        <v>-22.8</v>
      </c>
      <c r="H128" s="56">
        <v>-32.1</v>
      </c>
      <c r="I128" s="56">
        <v>-34.1</v>
      </c>
      <c r="J128" s="56">
        <v>-42</v>
      </c>
      <c r="K128" s="56">
        <v>-49.1</v>
      </c>
      <c r="L128" s="56">
        <v>-52</v>
      </c>
      <c r="M128" s="56">
        <v>-57</v>
      </c>
      <c r="N128" s="56">
        <v>-46</v>
      </c>
      <c r="O128" s="56">
        <v>-47</v>
      </c>
      <c r="P128" s="56">
        <v>-42.1</v>
      </c>
      <c r="Q128" s="56">
        <v>-42.1</v>
      </c>
      <c r="R128" s="56">
        <v>-40.9</v>
      </c>
      <c r="S128" s="56">
        <v>-22.2</v>
      </c>
      <c r="T128" s="56">
        <v>-49</v>
      </c>
      <c r="U128" s="56">
        <v>-20.3</v>
      </c>
      <c r="V128" s="56">
        <v>-21.5</v>
      </c>
      <c r="W128" s="56">
        <v>-17.2</v>
      </c>
      <c r="X128" s="56">
        <v>-22.7</v>
      </c>
      <c r="Y128" s="56">
        <v>-16.2</v>
      </c>
      <c r="Z128" s="56">
        <v>-12.4</v>
      </c>
      <c r="AA128" s="56">
        <v>-8.1</v>
      </c>
      <c r="AB128" s="56">
        <v>-2.7</v>
      </c>
      <c r="AC128" s="56">
        <v>-2.7</v>
      </c>
      <c r="AD128" s="56">
        <v>-8</v>
      </c>
      <c r="AE128" s="56">
        <v>-2</v>
      </c>
      <c r="AF128" s="56">
        <v>-1</v>
      </c>
      <c r="AG128" s="55"/>
      <c r="AH128" s="12">
        <f>MAX(B128:AF128)</f>
        <v>-1</v>
      </c>
      <c r="AI128" s="11">
        <f>MIN(B128:AF128)</f>
        <v>-57</v>
      </c>
    </row>
    <row r="129" spans="1:37" x14ac:dyDescent="0.25">
      <c r="A129" s="57" t="s">
        <v>133</v>
      </c>
      <c r="B129" s="56">
        <v>68.7</v>
      </c>
      <c r="C129" s="56">
        <v>65.400000000000006</v>
      </c>
      <c r="D129" s="56">
        <v>58.9</v>
      </c>
      <c r="E129" s="56">
        <v>54.2</v>
      </c>
      <c r="F129" s="56">
        <v>55</v>
      </c>
      <c r="G129" s="56">
        <v>55</v>
      </c>
      <c r="H129" s="56">
        <v>66.400000000000006</v>
      </c>
      <c r="I129" s="56">
        <v>70.2</v>
      </c>
      <c r="J129" s="56">
        <v>69</v>
      </c>
      <c r="K129" s="56">
        <v>70</v>
      </c>
      <c r="L129" s="56">
        <v>70</v>
      </c>
      <c r="M129" s="56">
        <v>68</v>
      </c>
      <c r="N129" s="56">
        <v>41</v>
      </c>
      <c r="O129" s="56">
        <v>60.6</v>
      </c>
      <c r="P129" s="56">
        <v>62.5</v>
      </c>
      <c r="Q129" s="56">
        <v>62.5</v>
      </c>
      <c r="R129" s="56">
        <v>54.9</v>
      </c>
      <c r="S129" s="56">
        <v>67.099999999999994</v>
      </c>
      <c r="T129" s="56">
        <v>72.7</v>
      </c>
      <c r="U129" s="56">
        <v>69.2</v>
      </c>
      <c r="V129" s="56">
        <v>63.66</v>
      </c>
      <c r="W129" s="56">
        <v>56.1</v>
      </c>
      <c r="X129" s="56">
        <v>34.200000000000003</v>
      </c>
      <c r="Y129" s="56">
        <v>15.5</v>
      </c>
      <c r="Z129" s="56">
        <v>25.4</v>
      </c>
      <c r="AA129" s="56">
        <v>50.6</v>
      </c>
      <c r="AB129" s="56">
        <v>50.9</v>
      </c>
      <c r="AC129" s="56">
        <v>50.9</v>
      </c>
      <c r="AD129" s="56">
        <v>44</v>
      </c>
      <c r="AE129" s="56">
        <v>36.799999999999997</v>
      </c>
      <c r="AF129" s="56">
        <v>36</v>
      </c>
      <c r="AG129" s="55"/>
      <c r="AH129" s="12">
        <f>MAX(B129:AF129)</f>
        <v>72.7</v>
      </c>
      <c r="AI129" s="11">
        <f>MIN(B129:AF129)</f>
        <v>15.5</v>
      </c>
    </row>
    <row r="130" spans="1:37" ht="15.75" thickBot="1" x14ac:dyDescent="0.3">
      <c r="A130" s="57" t="s">
        <v>132</v>
      </c>
      <c r="B130" s="56">
        <v>79.400000000000006</v>
      </c>
      <c r="C130" s="56">
        <v>73.8</v>
      </c>
      <c r="D130" s="56">
        <v>72</v>
      </c>
      <c r="E130" s="56">
        <v>65.599999999999994</v>
      </c>
      <c r="F130" s="56">
        <v>65.900000000000006</v>
      </c>
      <c r="G130" s="56">
        <v>65</v>
      </c>
      <c r="H130" s="56">
        <v>73.7</v>
      </c>
      <c r="I130" s="56">
        <v>79.900000000000006</v>
      </c>
      <c r="J130" s="56">
        <v>71</v>
      </c>
      <c r="K130" s="56">
        <v>70.7</v>
      </c>
      <c r="L130" s="56">
        <v>68.8</v>
      </c>
      <c r="M130" s="56">
        <v>66</v>
      </c>
      <c r="N130" s="56">
        <v>44</v>
      </c>
      <c r="O130" s="56">
        <v>60</v>
      </c>
      <c r="P130" s="56">
        <v>59.7</v>
      </c>
      <c r="Q130" s="56">
        <v>59.7</v>
      </c>
      <c r="R130" s="56">
        <v>54.8</v>
      </c>
      <c r="S130" s="56">
        <v>75.099999999999994</v>
      </c>
      <c r="T130" s="56">
        <v>78.099999999999994</v>
      </c>
      <c r="U130" s="56">
        <v>77.099999999999994</v>
      </c>
      <c r="V130" s="56">
        <v>65.7</v>
      </c>
      <c r="W130" s="56">
        <v>58.6</v>
      </c>
      <c r="X130" s="56">
        <v>45.5</v>
      </c>
      <c r="Y130" s="56">
        <v>38.299999999999997</v>
      </c>
      <c r="Z130" s="56">
        <v>38.799999999999997</v>
      </c>
      <c r="AA130" s="56">
        <v>64.8</v>
      </c>
      <c r="AB130" s="56">
        <v>65.099999999999994</v>
      </c>
      <c r="AC130" s="56">
        <v>65.099999999999994</v>
      </c>
      <c r="AD130" s="56">
        <v>55</v>
      </c>
      <c r="AE130" s="56">
        <v>53</v>
      </c>
      <c r="AF130" s="56">
        <v>46</v>
      </c>
      <c r="AG130" s="55"/>
      <c r="AH130" s="12">
        <f>MAX(B130:AF130)</f>
        <v>79.900000000000006</v>
      </c>
      <c r="AI130" s="11">
        <f>MIN(B130:AF130)</f>
        <v>38.299999999999997</v>
      </c>
    </row>
    <row r="131" spans="1:37" x14ac:dyDescent="0.25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25">
      <c r="A132" s="47" t="s">
        <v>130</v>
      </c>
      <c r="B132" s="51">
        <v>1983.55</v>
      </c>
      <c r="C132" s="51">
        <v>1982.8</v>
      </c>
      <c r="D132" s="51">
        <v>1982.62</v>
      </c>
      <c r="E132" s="51">
        <v>1982.63</v>
      </c>
      <c r="F132" s="51">
        <v>1982.65</v>
      </c>
      <c r="G132" s="51">
        <v>1982.72</v>
      </c>
      <c r="H132" s="51"/>
      <c r="I132" s="51">
        <v>1982.71</v>
      </c>
      <c r="J132" s="51"/>
      <c r="K132" s="51">
        <v>1982.97</v>
      </c>
      <c r="L132" s="51"/>
      <c r="M132" s="51">
        <v>1983.3</v>
      </c>
      <c r="N132" s="51">
        <v>1983.6</v>
      </c>
      <c r="O132" s="51">
        <v>1983.98</v>
      </c>
      <c r="P132" s="51">
        <v>1984.2</v>
      </c>
      <c r="Q132" s="51">
        <v>1984.5</v>
      </c>
      <c r="R132" s="51">
        <v>1984.74</v>
      </c>
      <c r="S132" s="51">
        <v>1984.98</v>
      </c>
      <c r="T132" s="51">
        <v>1985.25</v>
      </c>
      <c r="U132" s="51">
        <v>1985.47</v>
      </c>
      <c r="V132" s="51">
        <v>1985.7</v>
      </c>
      <c r="W132" s="51"/>
      <c r="X132" s="51">
        <v>1985.9</v>
      </c>
      <c r="Y132" s="51"/>
      <c r="Z132" s="51">
        <v>1986.12</v>
      </c>
      <c r="AA132" s="51"/>
      <c r="AB132" s="51">
        <v>1985.8</v>
      </c>
      <c r="AC132" s="51"/>
      <c r="AD132" s="51">
        <v>1985.6</v>
      </c>
      <c r="AE132" s="51">
        <v>1985.25</v>
      </c>
      <c r="AF132" s="50">
        <v>1985</v>
      </c>
      <c r="AG132" s="44"/>
      <c r="AH132" s="12"/>
      <c r="AI132" s="11"/>
    </row>
    <row r="133" spans="1:37" x14ac:dyDescent="0.25">
      <c r="A133" s="47" t="s">
        <v>129</v>
      </c>
      <c r="B133" s="49">
        <v>520.9</v>
      </c>
      <c r="C133" s="49">
        <v>521.1</v>
      </c>
      <c r="D133" s="49">
        <v>521.32000000000005</v>
      </c>
      <c r="E133" s="49">
        <v>521.54</v>
      </c>
      <c r="F133" s="49">
        <v>521.75</v>
      </c>
      <c r="G133" s="49">
        <v>521.98</v>
      </c>
      <c r="H133" s="49"/>
      <c r="I133" s="49">
        <v>522.03</v>
      </c>
      <c r="J133" s="49"/>
      <c r="K133" s="49">
        <v>522.1</v>
      </c>
      <c r="L133" s="49"/>
      <c r="M133" s="49">
        <v>522.07000000000005</v>
      </c>
      <c r="N133" s="49">
        <v>522.1</v>
      </c>
      <c r="O133" s="49">
        <v>522.25</v>
      </c>
      <c r="P133" s="49">
        <v>522.35</v>
      </c>
      <c r="Q133" s="49">
        <v>522.35</v>
      </c>
      <c r="R133" s="49"/>
      <c r="S133" s="49">
        <v>522.27</v>
      </c>
      <c r="T133" s="49">
        <v>522</v>
      </c>
      <c r="U133" s="49">
        <v>522.14</v>
      </c>
      <c r="V133" s="49">
        <v>522.05999999999995</v>
      </c>
      <c r="W133" s="49"/>
      <c r="X133" s="49">
        <v>522</v>
      </c>
      <c r="Y133" s="49"/>
      <c r="Z133" s="49">
        <v>521.98</v>
      </c>
      <c r="AA133" s="49"/>
      <c r="AB133" s="49">
        <v>521.74</v>
      </c>
      <c r="AC133" s="49"/>
      <c r="AD133" s="49">
        <v>521.47</v>
      </c>
      <c r="AE133" s="49"/>
      <c r="AF133" s="48"/>
      <c r="AG133" s="44"/>
      <c r="AH133" s="12"/>
      <c r="AI133" s="11"/>
    </row>
    <row r="134" spans="1:37" x14ac:dyDescent="0.25">
      <c r="A134" s="47" t="s">
        <v>128</v>
      </c>
      <c r="B134" s="49">
        <v>623.77</v>
      </c>
      <c r="C134" s="49">
        <v>623.72</v>
      </c>
      <c r="D134" s="49">
        <v>623.66999999999996</v>
      </c>
      <c r="E134" s="49">
        <v>623.91</v>
      </c>
      <c r="F134" s="49">
        <v>624</v>
      </c>
      <c r="G134" s="49">
        <v>624.45000000000005</v>
      </c>
      <c r="H134" s="49"/>
      <c r="I134" s="49">
        <v>624.5</v>
      </c>
      <c r="J134" s="49"/>
      <c r="K134" s="49">
        <v>624.71</v>
      </c>
      <c r="L134" s="49"/>
      <c r="M134" s="49">
        <v>624.41999999999996</v>
      </c>
      <c r="N134" s="49">
        <v>624.55999999999995</v>
      </c>
      <c r="O134" s="49">
        <v>624.67999999999995</v>
      </c>
      <c r="P134" s="49">
        <v>624.59</v>
      </c>
      <c r="Q134" s="49">
        <v>624.16999999999996</v>
      </c>
      <c r="R134" s="49">
        <v>624.13</v>
      </c>
      <c r="S134" s="49">
        <v>624.30999999999995</v>
      </c>
      <c r="T134" s="49">
        <v>624.25</v>
      </c>
      <c r="U134" s="49">
        <v>624.24</v>
      </c>
      <c r="V134" s="49">
        <v>624.08000000000004</v>
      </c>
      <c r="W134" s="49"/>
      <c r="X134" s="49">
        <v>623.97</v>
      </c>
      <c r="Y134" s="49"/>
      <c r="Z134" s="49">
        <v>623.95000000000005</v>
      </c>
      <c r="AA134" s="49"/>
      <c r="AB134" s="49">
        <v>623.74</v>
      </c>
      <c r="AC134" s="49"/>
      <c r="AD134" s="49">
        <v>623.9</v>
      </c>
      <c r="AE134" s="49">
        <v>623.9</v>
      </c>
      <c r="AF134" s="48">
        <v>623.9</v>
      </c>
      <c r="AG134" s="44"/>
      <c r="AH134" s="12"/>
      <c r="AI134" s="11"/>
    </row>
    <row r="135" spans="1:37" x14ac:dyDescent="0.25">
      <c r="A135" s="47" t="s">
        <v>127</v>
      </c>
      <c r="B135" s="49">
        <v>335.55</v>
      </c>
      <c r="C135" s="49">
        <v>335.39</v>
      </c>
      <c r="D135" s="49">
        <v>335.55</v>
      </c>
      <c r="E135" s="49">
        <v>335.72</v>
      </c>
      <c r="F135" s="49">
        <v>335.84</v>
      </c>
      <c r="G135" s="49">
        <v>336.01</v>
      </c>
      <c r="H135" s="49"/>
      <c r="I135" s="49">
        <v>336.08</v>
      </c>
      <c r="J135" s="49"/>
      <c r="K135" s="49">
        <v>336.17</v>
      </c>
      <c r="L135" s="49"/>
      <c r="M135" s="49">
        <v>336.22</v>
      </c>
      <c r="N135" s="49">
        <v>336.25</v>
      </c>
      <c r="O135" s="49">
        <v>336.28</v>
      </c>
      <c r="P135" s="49">
        <v>336.35</v>
      </c>
      <c r="Q135" s="49">
        <v>336.45</v>
      </c>
      <c r="R135" s="49">
        <v>336.47</v>
      </c>
      <c r="S135" s="49">
        <v>336.6</v>
      </c>
      <c r="T135" s="49">
        <v>336.67</v>
      </c>
      <c r="U135" s="49">
        <v>337.03</v>
      </c>
      <c r="V135" s="49">
        <v>337.3</v>
      </c>
      <c r="W135" s="49"/>
      <c r="X135" s="49">
        <v>337.47</v>
      </c>
      <c r="Y135" s="49"/>
      <c r="Z135" s="49">
        <v>337.39</v>
      </c>
      <c r="AA135" s="49"/>
      <c r="AB135" s="49">
        <v>337.33</v>
      </c>
      <c r="AC135" s="49"/>
      <c r="AD135" s="49">
        <v>337.18</v>
      </c>
      <c r="AE135" s="49">
        <v>337.01</v>
      </c>
      <c r="AF135" s="48">
        <v>336.8</v>
      </c>
      <c r="AG135" s="44"/>
      <c r="AH135" s="12"/>
      <c r="AI135" s="11"/>
    </row>
    <row r="136" spans="1:37" x14ac:dyDescent="0.25">
      <c r="A136" s="47" t="s">
        <v>126</v>
      </c>
      <c r="B136" s="49">
        <v>882.9</v>
      </c>
      <c r="C136" s="49">
        <v>883.1</v>
      </c>
      <c r="D136" s="49">
        <v>883.3</v>
      </c>
      <c r="E136" s="49">
        <v>884.5</v>
      </c>
      <c r="F136" s="49">
        <v>885.2</v>
      </c>
      <c r="G136" s="49">
        <v>885.8</v>
      </c>
      <c r="H136" s="49"/>
      <c r="I136" s="49">
        <v>886.4</v>
      </c>
      <c r="J136" s="49"/>
      <c r="K136" s="49">
        <v>886.3</v>
      </c>
      <c r="L136" s="49"/>
      <c r="M136" s="49">
        <v>886.2</v>
      </c>
      <c r="N136" s="49">
        <v>886.2</v>
      </c>
      <c r="O136" s="49">
        <v>886.2</v>
      </c>
      <c r="P136" s="49">
        <v>886.3</v>
      </c>
      <c r="Q136" s="49"/>
      <c r="R136" s="49">
        <v>886.3</v>
      </c>
      <c r="S136" s="49">
        <v>886.3</v>
      </c>
      <c r="T136" s="49">
        <v>886.3</v>
      </c>
      <c r="U136" s="49">
        <v>886.2</v>
      </c>
      <c r="V136" s="49">
        <v>886.1</v>
      </c>
      <c r="W136" s="49"/>
      <c r="X136" s="49">
        <v>886.1</v>
      </c>
      <c r="Y136" s="49"/>
      <c r="Z136" s="49">
        <v>886</v>
      </c>
      <c r="AA136" s="49"/>
      <c r="AB136" s="49">
        <v>885.2</v>
      </c>
      <c r="AC136" s="49"/>
      <c r="AD136" s="49">
        <v>884.4</v>
      </c>
      <c r="AE136" s="49">
        <v>884.2</v>
      </c>
      <c r="AF136" s="48">
        <v>884.2</v>
      </c>
      <c r="AG136" s="44"/>
      <c r="AH136" s="12"/>
      <c r="AI136" s="11"/>
    </row>
    <row r="137" spans="1:37" ht="15.75" thickBot="1" x14ac:dyDescent="0.3">
      <c r="A137" s="47" t="s">
        <v>125</v>
      </c>
      <c r="B137" s="46">
        <v>1501.1</v>
      </c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.75" thickBot="1" x14ac:dyDescent="0.3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25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25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25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25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25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25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25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25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25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25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25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25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25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25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25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25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25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25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25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25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25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25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25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25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25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25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25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25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25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25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25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25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25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25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25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25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25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25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25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25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25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25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25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25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25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25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25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25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25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25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25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25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25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25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25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25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25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25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25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25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25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25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25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25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25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25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25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25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25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25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25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25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25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25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25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25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25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25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25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25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25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25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25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25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25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25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25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25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25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25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25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25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25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25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25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25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25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25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25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25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25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25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25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25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.75" thickBot="1" x14ac:dyDescent="0.3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.75" thickBot="1" x14ac:dyDescent="0.3">
      <c r="A244" s="31" t="s">
        <v>17</v>
      </c>
      <c r="B244" s="30">
        <f t="shared" ref="B244:AG244" si="144">SUM(B139:B243)</f>
        <v>0</v>
      </c>
      <c r="C244" s="14">
        <f t="shared" si="144"/>
        <v>0</v>
      </c>
      <c r="D244" s="14">
        <f t="shared" si="144"/>
        <v>0</v>
      </c>
      <c r="E244" s="14">
        <f t="shared" si="144"/>
        <v>0</v>
      </c>
      <c r="F244" s="14">
        <f t="shared" si="144"/>
        <v>0</v>
      </c>
      <c r="G244" s="14">
        <f t="shared" si="144"/>
        <v>0</v>
      </c>
      <c r="H244" s="14">
        <f t="shared" si="144"/>
        <v>0</v>
      </c>
      <c r="I244" s="14">
        <f t="shared" si="144"/>
        <v>0</v>
      </c>
      <c r="J244" s="14">
        <f t="shared" si="144"/>
        <v>0</v>
      </c>
      <c r="K244" s="14">
        <f t="shared" si="144"/>
        <v>0</v>
      </c>
      <c r="L244" s="14">
        <f t="shared" si="144"/>
        <v>0</v>
      </c>
      <c r="M244" s="14">
        <f t="shared" si="144"/>
        <v>0</v>
      </c>
      <c r="N244" s="14">
        <f t="shared" si="144"/>
        <v>0</v>
      </c>
      <c r="O244" s="14">
        <f t="shared" si="144"/>
        <v>0</v>
      </c>
      <c r="P244" s="14">
        <f t="shared" si="144"/>
        <v>0</v>
      </c>
      <c r="Q244" s="14">
        <f t="shared" si="144"/>
        <v>0</v>
      </c>
      <c r="R244" s="14">
        <f t="shared" si="144"/>
        <v>0</v>
      </c>
      <c r="S244" s="14">
        <f t="shared" si="144"/>
        <v>0</v>
      </c>
      <c r="T244" s="14">
        <f t="shared" si="144"/>
        <v>0</v>
      </c>
      <c r="U244" s="14">
        <f t="shared" si="144"/>
        <v>0</v>
      </c>
      <c r="V244" s="14">
        <f t="shared" si="144"/>
        <v>0</v>
      </c>
      <c r="W244" s="14">
        <f t="shared" si="144"/>
        <v>0</v>
      </c>
      <c r="X244" s="14">
        <f t="shared" si="144"/>
        <v>0</v>
      </c>
      <c r="Y244" s="14">
        <f t="shared" si="144"/>
        <v>0</v>
      </c>
      <c r="Z244" s="14">
        <f t="shared" si="144"/>
        <v>0</v>
      </c>
      <c r="AA244" s="14">
        <f t="shared" si="144"/>
        <v>0</v>
      </c>
      <c r="AB244" s="14">
        <f t="shared" si="144"/>
        <v>0</v>
      </c>
      <c r="AC244" s="14">
        <f t="shared" si="144"/>
        <v>0</v>
      </c>
      <c r="AD244" s="14">
        <f t="shared" si="144"/>
        <v>0</v>
      </c>
      <c r="AE244" s="14">
        <f t="shared" si="144"/>
        <v>0</v>
      </c>
      <c r="AF244" s="29">
        <f t="shared" si="144"/>
        <v>0</v>
      </c>
      <c r="AG244" s="28">
        <f t="shared" si="144"/>
        <v>412.72299999999984</v>
      </c>
      <c r="AH244" s="12"/>
      <c r="AI244" s="11"/>
      <c r="AK244" s="19"/>
    </row>
    <row r="245" spans="1:37" ht="15.75" thickBot="1" x14ac:dyDescent="0.3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25">
      <c r="A246" s="25" t="s">
        <v>16</v>
      </c>
      <c r="B246" s="24">
        <f t="shared" ref="B246:B251" si="145">AF246</f>
        <v>0.3</v>
      </c>
      <c r="C246" s="24">
        <v>0.3</v>
      </c>
      <c r="D246" s="24">
        <f t="shared" ref="D246:AF251" si="146">C246</f>
        <v>0.3</v>
      </c>
      <c r="E246" s="24">
        <f t="shared" si="146"/>
        <v>0.3</v>
      </c>
      <c r="F246" s="24">
        <f t="shared" si="146"/>
        <v>0.3</v>
      </c>
      <c r="G246" s="24">
        <f t="shared" si="146"/>
        <v>0.3</v>
      </c>
      <c r="H246" s="24">
        <f t="shared" si="146"/>
        <v>0.3</v>
      </c>
      <c r="I246" s="24">
        <f t="shared" si="146"/>
        <v>0.3</v>
      </c>
      <c r="J246" s="24">
        <f t="shared" si="146"/>
        <v>0.3</v>
      </c>
      <c r="K246" s="24">
        <f t="shared" si="146"/>
        <v>0.3</v>
      </c>
      <c r="L246" s="24">
        <f t="shared" si="146"/>
        <v>0.3</v>
      </c>
      <c r="M246" s="24">
        <f t="shared" si="146"/>
        <v>0.3</v>
      </c>
      <c r="N246" s="24">
        <f t="shared" si="146"/>
        <v>0.3</v>
      </c>
      <c r="O246" s="24">
        <f t="shared" si="146"/>
        <v>0.3</v>
      </c>
      <c r="P246" s="24">
        <f t="shared" si="146"/>
        <v>0.3</v>
      </c>
      <c r="Q246" s="24">
        <f t="shared" si="146"/>
        <v>0.3</v>
      </c>
      <c r="R246" s="24">
        <f t="shared" si="146"/>
        <v>0.3</v>
      </c>
      <c r="S246" s="24">
        <f t="shared" si="146"/>
        <v>0.3</v>
      </c>
      <c r="T246" s="24">
        <f t="shared" si="146"/>
        <v>0.3</v>
      </c>
      <c r="U246" s="24">
        <f t="shared" si="146"/>
        <v>0.3</v>
      </c>
      <c r="V246" s="24">
        <f t="shared" si="146"/>
        <v>0.3</v>
      </c>
      <c r="W246" s="24">
        <f t="shared" si="146"/>
        <v>0.3</v>
      </c>
      <c r="X246" s="24">
        <f t="shared" si="146"/>
        <v>0.3</v>
      </c>
      <c r="Y246" s="24">
        <f t="shared" si="146"/>
        <v>0.3</v>
      </c>
      <c r="Z246" s="24">
        <f t="shared" si="146"/>
        <v>0.3</v>
      </c>
      <c r="AA246" s="24">
        <f t="shared" si="146"/>
        <v>0.3</v>
      </c>
      <c r="AB246" s="24">
        <f t="shared" si="146"/>
        <v>0.3</v>
      </c>
      <c r="AC246" s="24">
        <f t="shared" si="146"/>
        <v>0.3</v>
      </c>
      <c r="AD246" s="24">
        <f t="shared" si="146"/>
        <v>0.3</v>
      </c>
      <c r="AE246" s="24">
        <f t="shared" si="146"/>
        <v>0.3</v>
      </c>
      <c r="AF246" s="24">
        <f t="shared" si="146"/>
        <v>0.3</v>
      </c>
      <c r="AG246" s="23">
        <v>2.4</v>
      </c>
      <c r="AH246" s="12"/>
      <c r="AI246" s="11"/>
      <c r="AK246" s="19"/>
    </row>
    <row r="247" spans="1:37" x14ac:dyDescent="0.25">
      <c r="A247" s="22" t="s">
        <v>15</v>
      </c>
      <c r="B247" s="21">
        <f t="shared" si="145"/>
        <v>0.4</v>
      </c>
      <c r="C247" s="21">
        <v>0.4</v>
      </c>
      <c r="D247" s="21">
        <f t="shared" si="146"/>
        <v>0.4</v>
      </c>
      <c r="E247" s="21">
        <f t="shared" si="146"/>
        <v>0.4</v>
      </c>
      <c r="F247" s="21">
        <f t="shared" si="146"/>
        <v>0.4</v>
      </c>
      <c r="G247" s="21">
        <f t="shared" si="146"/>
        <v>0.4</v>
      </c>
      <c r="H247" s="21">
        <f t="shared" si="146"/>
        <v>0.4</v>
      </c>
      <c r="I247" s="21">
        <f t="shared" si="146"/>
        <v>0.4</v>
      </c>
      <c r="J247" s="21">
        <f t="shared" si="146"/>
        <v>0.4</v>
      </c>
      <c r="K247" s="21">
        <f t="shared" si="146"/>
        <v>0.4</v>
      </c>
      <c r="L247" s="21">
        <f t="shared" si="146"/>
        <v>0.4</v>
      </c>
      <c r="M247" s="21">
        <f t="shared" si="146"/>
        <v>0.4</v>
      </c>
      <c r="N247" s="21">
        <f t="shared" si="146"/>
        <v>0.4</v>
      </c>
      <c r="O247" s="21">
        <f t="shared" si="146"/>
        <v>0.4</v>
      </c>
      <c r="P247" s="21">
        <f t="shared" si="146"/>
        <v>0.4</v>
      </c>
      <c r="Q247" s="21">
        <f t="shared" si="146"/>
        <v>0.4</v>
      </c>
      <c r="R247" s="21">
        <f t="shared" si="146"/>
        <v>0.4</v>
      </c>
      <c r="S247" s="21">
        <f t="shared" si="146"/>
        <v>0.4</v>
      </c>
      <c r="T247" s="21">
        <f t="shared" si="146"/>
        <v>0.4</v>
      </c>
      <c r="U247" s="21">
        <f t="shared" si="146"/>
        <v>0.4</v>
      </c>
      <c r="V247" s="21">
        <f t="shared" si="146"/>
        <v>0.4</v>
      </c>
      <c r="W247" s="21">
        <f t="shared" si="146"/>
        <v>0.4</v>
      </c>
      <c r="X247" s="21">
        <f t="shared" si="146"/>
        <v>0.4</v>
      </c>
      <c r="Y247" s="21">
        <f t="shared" si="146"/>
        <v>0.4</v>
      </c>
      <c r="Z247" s="21">
        <f t="shared" si="146"/>
        <v>0.4</v>
      </c>
      <c r="AA247" s="21">
        <f t="shared" si="146"/>
        <v>0.4</v>
      </c>
      <c r="AB247" s="21">
        <f t="shared" si="146"/>
        <v>0.4</v>
      </c>
      <c r="AC247" s="21">
        <f t="shared" si="146"/>
        <v>0.4</v>
      </c>
      <c r="AD247" s="21">
        <f t="shared" si="146"/>
        <v>0.4</v>
      </c>
      <c r="AE247" s="21">
        <f t="shared" si="146"/>
        <v>0.4</v>
      </c>
      <c r="AF247" s="21">
        <f t="shared" si="146"/>
        <v>0.4</v>
      </c>
      <c r="AG247" s="20">
        <v>2</v>
      </c>
      <c r="AH247" s="12"/>
      <c r="AI247" s="11"/>
      <c r="AK247" s="19"/>
    </row>
    <row r="248" spans="1:37" x14ac:dyDescent="0.25">
      <c r="A248" s="22" t="s">
        <v>14</v>
      </c>
      <c r="B248" s="21">
        <f t="shared" si="145"/>
        <v>1.5</v>
      </c>
      <c r="C248" s="21">
        <v>1.5</v>
      </c>
      <c r="D248" s="21">
        <f t="shared" si="146"/>
        <v>1.5</v>
      </c>
      <c r="E248" s="21">
        <f t="shared" si="146"/>
        <v>1.5</v>
      </c>
      <c r="F248" s="21">
        <f t="shared" si="146"/>
        <v>1.5</v>
      </c>
      <c r="G248" s="21">
        <f t="shared" si="146"/>
        <v>1.5</v>
      </c>
      <c r="H248" s="21">
        <f t="shared" si="146"/>
        <v>1.5</v>
      </c>
      <c r="I248" s="21">
        <f t="shared" si="146"/>
        <v>1.5</v>
      </c>
      <c r="J248" s="21">
        <f t="shared" si="146"/>
        <v>1.5</v>
      </c>
      <c r="K248" s="21">
        <f t="shared" si="146"/>
        <v>1.5</v>
      </c>
      <c r="L248" s="21">
        <f t="shared" si="146"/>
        <v>1.5</v>
      </c>
      <c r="M248" s="21">
        <f t="shared" si="146"/>
        <v>1.5</v>
      </c>
      <c r="N248" s="21">
        <f t="shared" si="146"/>
        <v>1.5</v>
      </c>
      <c r="O248" s="21">
        <f t="shared" si="146"/>
        <v>1.5</v>
      </c>
      <c r="P248" s="21">
        <f t="shared" si="146"/>
        <v>1.5</v>
      </c>
      <c r="Q248" s="21">
        <f t="shared" si="146"/>
        <v>1.5</v>
      </c>
      <c r="R248" s="21">
        <f t="shared" si="146"/>
        <v>1.5</v>
      </c>
      <c r="S248" s="21">
        <f t="shared" si="146"/>
        <v>1.5</v>
      </c>
      <c r="T248" s="21">
        <f t="shared" si="146"/>
        <v>1.5</v>
      </c>
      <c r="U248" s="21">
        <f t="shared" si="146"/>
        <v>1.5</v>
      </c>
      <c r="V248" s="21">
        <f t="shared" si="146"/>
        <v>1.5</v>
      </c>
      <c r="W248" s="21">
        <f t="shared" si="146"/>
        <v>1.5</v>
      </c>
      <c r="X248" s="21">
        <f t="shared" si="146"/>
        <v>1.5</v>
      </c>
      <c r="Y248" s="21">
        <f t="shared" si="146"/>
        <v>1.5</v>
      </c>
      <c r="Z248" s="21">
        <f t="shared" si="146"/>
        <v>1.5</v>
      </c>
      <c r="AA248" s="21">
        <f t="shared" si="146"/>
        <v>1.5</v>
      </c>
      <c r="AB248" s="21">
        <f t="shared" si="146"/>
        <v>1.5</v>
      </c>
      <c r="AC248" s="21">
        <f t="shared" si="146"/>
        <v>1.5</v>
      </c>
      <c r="AD248" s="21">
        <f t="shared" si="146"/>
        <v>1.5</v>
      </c>
      <c r="AE248" s="21">
        <f t="shared" si="146"/>
        <v>1.5</v>
      </c>
      <c r="AF248" s="21">
        <f t="shared" si="146"/>
        <v>1.5</v>
      </c>
      <c r="AG248" s="20">
        <v>1.5</v>
      </c>
      <c r="AH248" s="12"/>
      <c r="AI248" s="11"/>
      <c r="AK248" s="19"/>
    </row>
    <row r="249" spans="1:37" x14ac:dyDescent="0.25">
      <c r="A249" s="22" t="s">
        <v>13</v>
      </c>
      <c r="B249" s="21">
        <f t="shared" si="145"/>
        <v>0.3</v>
      </c>
      <c r="C249" s="21">
        <v>0.3</v>
      </c>
      <c r="D249" s="21">
        <f t="shared" si="146"/>
        <v>0.3</v>
      </c>
      <c r="E249" s="21">
        <f t="shared" si="146"/>
        <v>0.3</v>
      </c>
      <c r="F249" s="21">
        <f t="shared" si="146"/>
        <v>0.3</v>
      </c>
      <c r="G249" s="21">
        <f t="shared" si="146"/>
        <v>0.3</v>
      </c>
      <c r="H249" s="21">
        <f t="shared" si="146"/>
        <v>0.3</v>
      </c>
      <c r="I249" s="21">
        <f t="shared" si="146"/>
        <v>0.3</v>
      </c>
      <c r="J249" s="21">
        <f t="shared" si="146"/>
        <v>0.3</v>
      </c>
      <c r="K249" s="21">
        <f t="shared" si="146"/>
        <v>0.3</v>
      </c>
      <c r="L249" s="21">
        <f t="shared" si="146"/>
        <v>0.3</v>
      </c>
      <c r="M249" s="21">
        <f t="shared" si="146"/>
        <v>0.3</v>
      </c>
      <c r="N249" s="21">
        <f t="shared" si="146"/>
        <v>0.3</v>
      </c>
      <c r="O249" s="21">
        <f t="shared" si="146"/>
        <v>0.3</v>
      </c>
      <c r="P249" s="21">
        <f t="shared" si="146"/>
        <v>0.3</v>
      </c>
      <c r="Q249" s="21">
        <f t="shared" si="146"/>
        <v>0.3</v>
      </c>
      <c r="R249" s="21">
        <f t="shared" si="146"/>
        <v>0.3</v>
      </c>
      <c r="S249" s="21">
        <f t="shared" si="146"/>
        <v>0.3</v>
      </c>
      <c r="T249" s="21">
        <f t="shared" si="146"/>
        <v>0.3</v>
      </c>
      <c r="U249" s="21">
        <f t="shared" si="146"/>
        <v>0.3</v>
      </c>
      <c r="V249" s="21">
        <f t="shared" si="146"/>
        <v>0.3</v>
      </c>
      <c r="W249" s="21">
        <f t="shared" si="146"/>
        <v>0.3</v>
      </c>
      <c r="X249" s="21">
        <f t="shared" si="146"/>
        <v>0.3</v>
      </c>
      <c r="Y249" s="21">
        <f t="shared" si="146"/>
        <v>0.3</v>
      </c>
      <c r="Z249" s="21">
        <f t="shared" si="146"/>
        <v>0.3</v>
      </c>
      <c r="AA249" s="21">
        <f t="shared" si="146"/>
        <v>0.3</v>
      </c>
      <c r="AB249" s="21">
        <f t="shared" si="146"/>
        <v>0.3</v>
      </c>
      <c r="AC249" s="21">
        <f t="shared" si="146"/>
        <v>0.3</v>
      </c>
      <c r="AD249" s="21">
        <f t="shared" si="146"/>
        <v>0.3</v>
      </c>
      <c r="AE249" s="21">
        <f t="shared" si="146"/>
        <v>0.3</v>
      </c>
      <c r="AF249" s="21">
        <f t="shared" si="146"/>
        <v>0.3</v>
      </c>
      <c r="AG249" s="20">
        <v>1</v>
      </c>
      <c r="AH249" s="12"/>
      <c r="AI249" s="11"/>
      <c r="AK249" s="19"/>
    </row>
    <row r="250" spans="1:37" x14ac:dyDescent="0.25">
      <c r="A250" s="22" t="s">
        <v>12</v>
      </c>
      <c r="B250" s="21">
        <f t="shared" si="145"/>
        <v>0.4</v>
      </c>
      <c r="C250" s="21">
        <v>0.4</v>
      </c>
      <c r="D250" s="21">
        <f t="shared" si="146"/>
        <v>0.4</v>
      </c>
      <c r="E250" s="21">
        <f t="shared" si="146"/>
        <v>0.4</v>
      </c>
      <c r="F250" s="21">
        <f t="shared" si="146"/>
        <v>0.4</v>
      </c>
      <c r="G250" s="21">
        <f t="shared" si="146"/>
        <v>0.4</v>
      </c>
      <c r="H250" s="21">
        <f t="shared" si="146"/>
        <v>0.4</v>
      </c>
      <c r="I250" s="21">
        <f t="shared" si="146"/>
        <v>0.4</v>
      </c>
      <c r="J250" s="21">
        <f t="shared" si="146"/>
        <v>0.4</v>
      </c>
      <c r="K250" s="21">
        <f t="shared" si="146"/>
        <v>0.4</v>
      </c>
      <c r="L250" s="21">
        <f t="shared" si="146"/>
        <v>0.4</v>
      </c>
      <c r="M250" s="21">
        <f t="shared" si="146"/>
        <v>0.4</v>
      </c>
      <c r="N250" s="21">
        <f t="shared" si="146"/>
        <v>0.4</v>
      </c>
      <c r="O250" s="21">
        <f t="shared" si="146"/>
        <v>0.4</v>
      </c>
      <c r="P250" s="21">
        <f t="shared" si="146"/>
        <v>0.4</v>
      </c>
      <c r="Q250" s="21">
        <f t="shared" si="146"/>
        <v>0.4</v>
      </c>
      <c r="R250" s="21">
        <f t="shared" si="146"/>
        <v>0.4</v>
      </c>
      <c r="S250" s="21">
        <f t="shared" si="146"/>
        <v>0.4</v>
      </c>
      <c r="T250" s="21">
        <f t="shared" si="146"/>
        <v>0.4</v>
      </c>
      <c r="U250" s="21">
        <f t="shared" si="146"/>
        <v>0.4</v>
      </c>
      <c r="V250" s="21">
        <f t="shared" si="146"/>
        <v>0.4</v>
      </c>
      <c r="W250" s="21">
        <f t="shared" si="146"/>
        <v>0.4</v>
      </c>
      <c r="X250" s="21">
        <f t="shared" si="146"/>
        <v>0.4</v>
      </c>
      <c r="Y250" s="21">
        <f t="shared" si="146"/>
        <v>0.4</v>
      </c>
      <c r="Z250" s="21">
        <f t="shared" si="146"/>
        <v>0.4</v>
      </c>
      <c r="AA250" s="21">
        <f t="shared" si="146"/>
        <v>0.4</v>
      </c>
      <c r="AB250" s="21">
        <f t="shared" si="146"/>
        <v>0.4</v>
      </c>
      <c r="AC250" s="21">
        <f t="shared" si="146"/>
        <v>0.4</v>
      </c>
      <c r="AD250" s="21">
        <f t="shared" si="146"/>
        <v>0.4</v>
      </c>
      <c r="AE250" s="21">
        <f t="shared" si="146"/>
        <v>0.4</v>
      </c>
      <c r="AF250" s="21">
        <f t="shared" si="146"/>
        <v>0.4</v>
      </c>
      <c r="AG250" s="20">
        <v>1</v>
      </c>
      <c r="AH250" s="12"/>
      <c r="AI250" s="11"/>
      <c r="AK250" s="19"/>
    </row>
    <row r="251" spans="1:37" ht="15.75" thickBot="1" x14ac:dyDescent="0.3">
      <c r="A251" s="18" t="s">
        <v>11</v>
      </c>
      <c r="B251" s="17">
        <f t="shared" si="145"/>
        <v>0.64</v>
      </c>
      <c r="C251" s="17">
        <v>0.64</v>
      </c>
      <c r="D251" s="17">
        <f t="shared" si="146"/>
        <v>0.64</v>
      </c>
      <c r="E251" s="17">
        <f t="shared" si="146"/>
        <v>0.64</v>
      </c>
      <c r="F251" s="17">
        <f t="shared" si="146"/>
        <v>0.64</v>
      </c>
      <c r="G251" s="17">
        <f t="shared" si="146"/>
        <v>0.64</v>
      </c>
      <c r="H251" s="17">
        <f t="shared" si="146"/>
        <v>0.64</v>
      </c>
      <c r="I251" s="17">
        <f t="shared" si="146"/>
        <v>0.64</v>
      </c>
      <c r="J251" s="17">
        <f t="shared" si="146"/>
        <v>0.64</v>
      </c>
      <c r="K251" s="17">
        <f t="shared" si="146"/>
        <v>0.64</v>
      </c>
      <c r="L251" s="17">
        <f t="shared" si="146"/>
        <v>0.64</v>
      </c>
      <c r="M251" s="17">
        <f t="shared" si="146"/>
        <v>0.64</v>
      </c>
      <c r="N251" s="17">
        <f t="shared" si="146"/>
        <v>0.64</v>
      </c>
      <c r="O251" s="17">
        <f t="shared" si="146"/>
        <v>0.64</v>
      </c>
      <c r="P251" s="17">
        <f t="shared" si="146"/>
        <v>0.64</v>
      </c>
      <c r="Q251" s="17">
        <f t="shared" si="146"/>
        <v>0.64</v>
      </c>
      <c r="R251" s="17">
        <f t="shared" si="146"/>
        <v>0.64</v>
      </c>
      <c r="S251" s="17">
        <f t="shared" si="146"/>
        <v>0.64</v>
      </c>
      <c r="T251" s="17">
        <f t="shared" si="146"/>
        <v>0.64</v>
      </c>
      <c r="U251" s="17">
        <f t="shared" si="146"/>
        <v>0.64</v>
      </c>
      <c r="V251" s="17">
        <f t="shared" si="146"/>
        <v>0.64</v>
      </c>
      <c r="W251" s="17">
        <f t="shared" si="146"/>
        <v>0.64</v>
      </c>
      <c r="X251" s="17">
        <f t="shared" si="146"/>
        <v>0.64</v>
      </c>
      <c r="Y251" s="17">
        <f t="shared" si="146"/>
        <v>0.64</v>
      </c>
      <c r="Z251" s="17">
        <f t="shared" si="146"/>
        <v>0.64</v>
      </c>
      <c r="AA251" s="17">
        <f t="shared" si="146"/>
        <v>0.64</v>
      </c>
      <c r="AB251" s="17">
        <f t="shared" si="146"/>
        <v>0.64</v>
      </c>
      <c r="AC251" s="17">
        <f t="shared" si="146"/>
        <v>0.64</v>
      </c>
      <c r="AD251" s="17">
        <f t="shared" si="146"/>
        <v>0.64</v>
      </c>
      <c r="AE251" s="17">
        <f t="shared" si="146"/>
        <v>0.64</v>
      </c>
      <c r="AF251" s="17">
        <f t="shared" si="146"/>
        <v>0.64</v>
      </c>
      <c r="AG251" s="16">
        <v>0.66</v>
      </c>
      <c r="AH251" s="12"/>
      <c r="AI251" s="11"/>
    </row>
    <row r="252" spans="1:37" ht="15.75" thickBot="1" x14ac:dyDescent="0.3">
      <c r="A252" s="15" t="s">
        <v>10</v>
      </c>
      <c r="B252" s="14">
        <f t="shared" ref="B252:AG252" si="147">SUM(B246:B251)</f>
        <v>3.54</v>
      </c>
      <c r="C252" s="14">
        <f t="shared" si="147"/>
        <v>3.54</v>
      </c>
      <c r="D252" s="14">
        <f t="shared" si="147"/>
        <v>3.54</v>
      </c>
      <c r="E252" s="14">
        <f t="shared" si="147"/>
        <v>3.54</v>
      </c>
      <c r="F252" s="14">
        <f t="shared" si="147"/>
        <v>3.54</v>
      </c>
      <c r="G252" s="14">
        <f t="shared" si="147"/>
        <v>3.54</v>
      </c>
      <c r="H252" s="14">
        <f t="shared" si="147"/>
        <v>3.54</v>
      </c>
      <c r="I252" s="14">
        <f t="shared" si="147"/>
        <v>3.54</v>
      </c>
      <c r="J252" s="14">
        <f t="shared" si="147"/>
        <v>3.54</v>
      </c>
      <c r="K252" s="14">
        <f t="shared" si="147"/>
        <v>3.54</v>
      </c>
      <c r="L252" s="14">
        <f t="shared" si="147"/>
        <v>3.54</v>
      </c>
      <c r="M252" s="14">
        <f t="shared" si="147"/>
        <v>3.54</v>
      </c>
      <c r="N252" s="14">
        <f t="shared" si="147"/>
        <v>3.54</v>
      </c>
      <c r="O252" s="14">
        <f t="shared" si="147"/>
        <v>3.54</v>
      </c>
      <c r="P252" s="14">
        <f t="shared" si="147"/>
        <v>3.54</v>
      </c>
      <c r="Q252" s="14">
        <f t="shared" si="147"/>
        <v>3.54</v>
      </c>
      <c r="R252" s="14">
        <f t="shared" si="147"/>
        <v>3.54</v>
      </c>
      <c r="S252" s="14">
        <f t="shared" si="147"/>
        <v>3.54</v>
      </c>
      <c r="T252" s="14">
        <f t="shared" si="147"/>
        <v>3.54</v>
      </c>
      <c r="U252" s="14">
        <f t="shared" si="147"/>
        <v>3.54</v>
      </c>
      <c r="V252" s="14">
        <f t="shared" si="147"/>
        <v>3.54</v>
      </c>
      <c r="W252" s="14">
        <f t="shared" si="147"/>
        <v>3.54</v>
      </c>
      <c r="X252" s="14">
        <f t="shared" si="147"/>
        <v>3.54</v>
      </c>
      <c r="Y252" s="14">
        <f t="shared" si="147"/>
        <v>3.54</v>
      </c>
      <c r="Z252" s="14">
        <f t="shared" si="147"/>
        <v>3.54</v>
      </c>
      <c r="AA252" s="14">
        <f t="shared" si="147"/>
        <v>3.54</v>
      </c>
      <c r="AB252" s="14">
        <f t="shared" si="147"/>
        <v>3.54</v>
      </c>
      <c r="AC252" s="14">
        <f t="shared" si="147"/>
        <v>3.54</v>
      </c>
      <c r="AD252" s="14">
        <f t="shared" si="147"/>
        <v>3.54</v>
      </c>
      <c r="AE252" s="14">
        <f t="shared" si="147"/>
        <v>3.54</v>
      </c>
      <c r="AF252" s="14">
        <f t="shared" si="147"/>
        <v>3.54</v>
      </c>
      <c r="AG252" s="13">
        <f t="shared" si="147"/>
        <v>8.56</v>
      </c>
      <c r="AH252" s="12"/>
      <c r="AI252" s="11"/>
    </row>
    <row r="253" spans="1:37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25">
      <c r="A256" s="9" t="s">
        <v>9</v>
      </c>
      <c r="B256" s="8">
        <f>MAX(G99:N99)</f>
        <v>1697.74</v>
      </c>
      <c r="C256" s="7">
        <f>INDEX(G9:N9,1,MATCH(MAX(G99:N99),G99:N99,0))</f>
        <v>0.3125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25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2080/10/25)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25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25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25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25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25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25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25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25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25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25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25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25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25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25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1054" priority="89">
      <formula>$AH11=0</formula>
    </cfRule>
  </conditionalFormatting>
  <conditionalFormatting sqref="A132:A253">
    <cfRule type="expression" dxfId="1053" priority="90">
      <formula>$AH132=0</formula>
    </cfRule>
  </conditionalFormatting>
  <conditionalFormatting sqref="B8">
    <cfRule type="expression" dxfId="1052" priority="147">
      <formula>C$9&gt;=20/24</formula>
    </cfRule>
    <cfRule type="expression" dxfId="1051" priority="146">
      <formula>C$9&lt;8/24</formula>
    </cfRule>
    <cfRule type="expression" dxfId="1050" priority="145">
      <formula>AND(C$9&gt;=8/24,C$9&lt;14/24)</formula>
    </cfRule>
    <cfRule type="expression" dxfId="1049" priority="144">
      <formula>AND(C$9&gt;=14/24,C$9&lt;20/24)</formula>
    </cfRule>
  </conditionalFormatting>
  <conditionalFormatting sqref="B11:D61 N12:Y56 E12:L61 M12:M74 E11 Z56:AF57 N57:P74 Q57:Y80 AB58:AF61 Z58:AA80 AB62:AG62 B62:L74 AB63:AF80 B75:P80 AG80">
    <cfRule type="expression" dxfId="1048" priority="40">
      <formula>B11&gt;$AG11</formula>
    </cfRule>
  </conditionalFormatting>
  <conditionalFormatting sqref="B53:Y57">
    <cfRule type="expression" dxfId="1047" priority="53">
      <formula>B$9&lt;8/24</formula>
    </cfRule>
  </conditionalFormatting>
  <conditionalFormatting sqref="B9:AF10 E11 B11:D52 E12:Y52 B59:D68 B69:AF74 B77:AF99 B101:AF117 B119:AF137 B244:AF244 B246:B252">
    <cfRule type="expression" dxfId="1046" priority="43">
      <formula>AND(B$9&gt;=8/24,B$9&lt;14/24)</formula>
    </cfRule>
    <cfRule type="expression" dxfId="1045" priority="44">
      <formula>B$9&lt;8/24</formula>
    </cfRule>
    <cfRule type="expression" dxfId="1044" priority="42">
      <formula>AND(B$9&gt;=14/24,B$9&lt;20/24)</formula>
    </cfRule>
  </conditionalFormatting>
  <conditionalFormatting sqref="D246:AF252">
    <cfRule type="expression" dxfId="1043" priority="130">
      <formula>AND(D$9&gt;=14/24,D$9&lt;20/24)</formula>
    </cfRule>
    <cfRule type="expression" dxfId="1042" priority="131">
      <formula>AND(D$9&gt;=8/24,D$9&lt;14/24)</formula>
    </cfRule>
    <cfRule type="expression" dxfId="1041" priority="129">
      <formula>D$9&gt;=20/24</formula>
    </cfRule>
    <cfRule type="expression" dxfId="1040" priority="132">
      <formula>D$9&lt;8/24</formula>
    </cfRule>
  </conditionalFormatting>
  <conditionalFormatting sqref="E11 B11:D52 E12:Y52 B59:D68 B69:AF74 B77:AF99 B9:AF10 B101:AF117 B119:AF137 B244:AF244 B246:B252">
    <cfRule type="expression" dxfId="1039" priority="41">
      <formula>B$9&gt;=20/24</formula>
    </cfRule>
  </conditionalFormatting>
  <conditionalFormatting sqref="E63:I67 J64:J67 K67:M67">
    <cfRule type="expression" dxfId="1038" priority="56">
      <formula>AND(E$9&gt;=8/24,E$9&lt;14/24)</formula>
    </cfRule>
    <cfRule type="expression" dxfId="1037" priority="54">
      <formula>E$9&gt;=20/24</formula>
    </cfRule>
    <cfRule type="expression" dxfId="1036" priority="55">
      <formula>AND(E$9&gt;=14/24,E$9&lt;20/24)</formula>
    </cfRule>
    <cfRule type="expression" dxfId="1035" priority="57">
      <formula>E$9&lt;8/24</formula>
    </cfRule>
  </conditionalFormatting>
  <conditionalFormatting sqref="E68:M68">
    <cfRule type="expression" dxfId="1034" priority="49">
      <formula>E$9&gt;=20/24</formula>
    </cfRule>
    <cfRule type="expression" dxfId="1033" priority="50">
      <formula>AND(E$9&gt;=14/24,E$9&lt;20/24)</formula>
    </cfRule>
    <cfRule type="expression" dxfId="1032" priority="51">
      <formula>AND(E$9&gt;=8/24,E$9&lt;14/24)</formula>
    </cfRule>
    <cfRule type="expression" dxfId="1031" priority="52">
      <formula>E$9&lt;8/24</formula>
    </cfRule>
  </conditionalFormatting>
  <conditionalFormatting sqref="E11:Y11 Z11:AF52">
    <cfRule type="expression" dxfId="1030" priority="58">
      <formula>E11&gt;$AG11</formula>
    </cfRule>
    <cfRule type="expression" dxfId="1029" priority="59">
      <formula>E$9&gt;=20/24</formula>
    </cfRule>
    <cfRule type="expression" dxfId="1028" priority="60">
      <formula>AND(E$9&gt;=14/24,E$9&lt;20/24)</formula>
    </cfRule>
    <cfRule type="expression" dxfId="1027" priority="61">
      <formula>AND(E$9&gt;=8/24,E$9&lt;14/24)</formula>
    </cfRule>
    <cfRule type="expression" dxfId="1026" priority="62">
      <formula>E$9&lt;8/24</formula>
    </cfRule>
  </conditionalFormatting>
  <conditionalFormatting sqref="E59:AF62">
    <cfRule type="expression" dxfId="1025" priority="67">
      <formula>E$9&gt;=20/24</formula>
    </cfRule>
    <cfRule type="expression" dxfId="1024" priority="68">
      <formula>AND(E$9&gt;=14/24,E$9&lt;20/24)</formula>
    </cfRule>
    <cfRule type="expression" dxfId="1023" priority="69">
      <formula>AND(E$9&gt;=8/24,E$9&lt;14/24)</formula>
    </cfRule>
    <cfRule type="expression" dxfId="1022" priority="70">
      <formula>E$9&lt;8/24</formula>
    </cfRule>
  </conditionalFormatting>
  <conditionalFormatting sqref="F63:M65">
    <cfRule type="expression" dxfId="1021" priority="81">
      <formula>F$9&gt;=20/24</formula>
    </cfRule>
    <cfRule type="expression" dxfId="1020" priority="82">
      <formula>AND(F$9&gt;=14/24,F$9&lt;20/24)</formula>
    </cfRule>
    <cfRule type="expression" dxfId="1019" priority="83">
      <formula>AND(F$9&gt;=8/24,F$9&lt;14/24)</formula>
    </cfRule>
    <cfRule type="expression" dxfId="1018" priority="84">
      <formula>F$9&lt;8/24</formula>
    </cfRule>
  </conditionalFormatting>
  <conditionalFormatting sqref="L68:Y68">
    <cfRule type="expression" dxfId="1017" priority="78">
      <formula>AND(L$9&gt;=14/24,L$9&lt;20/24)</formula>
    </cfRule>
    <cfRule type="expression" dxfId="1016" priority="80">
      <formula>L$9&lt;8/24</formula>
    </cfRule>
    <cfRule type="expression" dxfId="1015" priority="77">
      <formula>L$9&gt;=20/24</formula>
    </cfRule>
    <cfRule type="expression" dxfId="1014" priority="79">
      <formula>AND(L$9&gt;=8/24,L$9&lt;14/24)</formula>
    </cfRule>
  </conditionalFormatting>
  <conditionalFormatting sqref="M8 S8 AB8">
    <cfRule type="expression" dxfId="1013" priority="137">
      <formula>AND(N$9&gt;=8/24,N$9&lt;14/24)</formula>
    </cfRule>
    <cfRule type="expression" dxfId="1012" priority="136">
      <formula>AND(N$9&gt;=14/24,N$9&lt;20/24)</formula>
    </cfRule>
    <cfRule type="expression" dxfId="1011" priority="138">
      <formula>N$9&lt;8/24</formula>
    </cfRule>
  </conditionalFormatting>
  <conditionalFormatting sqref="N56:Y57">
    <cfRule type="expression" dxfId="1010" priority="46">
      <formula>N$9&gt;=20/24</formula>
    </cfRule>
    <cfRule type="expression" dxfId="1009" priority="47">
      <formula>AND(N$9&gt;=14/24,N$9&lt;20/24)</formula>
    </cfRule>
    <cfRule type="expression" dxfId="1008" priority="48">
      <formula>AND(N$9&gt;=8/24,N$9&lt;14/24)</formula>
    </cfRule>
  </conditionalFormatting>
  <conditionalFormatting sqref="N63:Y67">
    <cfRule type="expression" dxfId="1007" priority="87">
      <formula>AND(N$9&gt;=8/24,N$9&lt;14/24)</formula>
    </cfRule>
    <cfRule type="expression" dxfId="1006" priority="86">
      <formula>AND(N$9&gt;=14/24,N$9&lt;20/24)</formula>
    </cfRule>
    <cfRule type="expression" dxfId="1005" priority="85">
      <formula>N$9&gt;=20/24</formula>
    </cfRule>
    <cfRule type="expression" dxfId="1004" priority="88">
      <formula>N$9&lt;8/24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003" priority="135">
      <formula>N$9&gt;=20/24</formula>
    </cfRule>
  </conditionalFormatting>
  <conditionalFormatting sqref="S8">
    <cfRule type="expression" dxfId="1002" priority="122">
      <formula>U$9&gt;=20/24</formula>
    </cfRule>
    <cfRule type="expression" dxfId="1001" priority="123">
      <formula>AND(U$9&gt;=14/24,U$9&lt;20/24)</formula>
    </cfRule>
    <cfRule type="expression" dxfId="1000" priority="125">
      <formula>U$9&lt;8/24</formula>
    </cfRule>
    <cfRule type="expression" dxfId="999" priority="124">
      <formula>AND(U$9&gt;=8/24,U$9&lt;14/24)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Z53:AF54 N53:Y55 B53:M57">
    <cfRule type="expression" dxfId="998" priority="37">
      <formula>B$9&gt;=20/24</formula>
    </cfRule>
    <cfRule type="expression" dxfId="997" priority="38">
      <formula>AND(B$9&gt;=14/24,B$9&lt;20/24)</formula>
    </cfRule>
    <cfRule type="expression" dxfId="996" priority="39">
      <formula>AND(B$9&gt;=8/24,B$9&lt;14/24)</formula>
    </cfRule>
  </conditionalFormatting>
  <conditionalFormatting sqref="Z53:AF55">
    <cfRule type="expression" dxfId="995" priority="76">
      <formula>Z53&gt;$AG53</formula>
    </cfRule>
  </conditionalFormatting>
  <conditionalFormatting sqref="Z53:AF57">
    <cfRule type="expression" dxfId="994" priority="75">
      <formula>Z$9&lt;8/24</formula>
    </cfRule>
  </conditionalFormatting>
  <conditionalFormatting sqref="Z55:AF57">
    <cfRule type="expression" dxfId="993" priority="66">
      <formula>AND(Z$9&gt;=8/24,Z$9&lt;14/24)</formula>
    </cfRule>
    <cfRule type="expression" dxfId="992" priority="65">
      <formula>AND(Z$9&gt;=14/24,Z$9&lt;20/24)</formula>
    </cfRule>
    <cfRule type="expression" dxfId="991" priority="64">
      <formula>Z$9&gt;=20/24</formula>
    </cfRule>
  </conditionalFormatting>
  <conditionalFormatting sqref="Z63:AF68">
    <cfRule type="expression" dxfId="990" priority="74">
      <formula>Z$9&lt;8/24</formula>
    </cfRule>
    <cfRule type="expression" dxfId="989" priority="73">
      <formula>AND(Z$9&gt;=8/24,Z$9&lt;14/24)</formula>
    </cfRule>
    <cfRule type="expression" dxfId="988" priority="72">
      <formula>AND(Z$9&gt;=14/24,Z$9&lt;20/24)</formula>
    </cfRule>
    <cfRule type="expression" dxfId="987" priority="71">
      <formula>Z$9&gt;=20/24</formula>
    </cfRule>
  </conditionalFormatting>
  <conditionalFormatting sqref="AB8">
    <cfRule type="expression" dxfId="986" priority="121">
      <formula>AD$9&lt;8/24</formula>
    </cfRule>
    <cfRule type="expression" dxfId="985" priority="120">
      <formula>AND(AD$9&gt;=8/24,AD$9&lt;14/24)</formula>
    </cfRule>
    <cfRule type="expression" dxfId="984" priority="119">
      <formula>AND(AD$9&gt;=14/24,AD$9&lt;20/24)</formula>
    </cfRule>
    <cfRule type="expression" dxfId="983" priority="118">
      <formula>AD$9&gt;=20/24</formula>
    </cfRule>
  </conditionalFormatting>
  <conditionalFormatting sqref="AG58">
    <cfRule type="expression" dxfId="982" priority="113">
      <formula>AG58&gt;$AG58</formula>
    </cfRule>
  </conditionalFormatting>
  <conditionalFormatting sqref="AG62">
    <cfRule type="expression" dxfId="981" priority="97">
      <formula>AND(AG$9&gt;=14/24,AG$9&lt;20/24)</formula>
    </cfRule>
    <cfRule type="expression" dxfId="980" priority="98">
      <formula>AND(AG$9&gt;=8/24,AG$9&lt;14/24)</formula>
    </cfRule>
    <cfRule type="expression" dxfId="979" priority="99">
      <formula>AG$9&lt;8/24</formula>
    </cfRule>
    <cfRule type="expression" dxfId="978" priority="96">
      <formula>AG$9&gt;=20/24</formula>
    </cfRule>
  </conditionalFormatting>
  <conditionalFormatting sqref="AG75:AG76">
    <cfRule type="expression" dxfId="977" priority="91">
      <formula>AG75&gt;$AG75</formula>
    </cfRule>
  </conditionalFormatting>
  <conditionalFormatting sqref="AG80">
    <cfRule type="expression" dxfId="976" priority="92">
      <formula>AG$9&gt;=20/24</formula>
    </cfRule>
    <cfRule type="expression" dxfId="975" priority="93">
      <formula>AND(AG$9&gt;=14/24,AG$9&lt;20/24)</formula>
    </cfRule>
    <cfRule type="expression" dxfId="974" priority="94">
      <formula>AND(AG$9&gt;=8/24,AG$9&lt;14/24)</formula>
    </cfRule>
    <cfRule type="expression" dxfId="973" priority="95">
      <formula>AG$9&lt;8/24</formula>
    </cfRule>
  </conditionalFormatting>
  <conditionalFormatting sqref="AG97">
    <cfRule type="expression" dxfId="972" priority="116">
      <formula>AND(AG$9&gt;=8/24,AG$9&lt;14/24)</formula>
    </cfRule>
    <cfRule type="expression" dxfId="971" priority="115">
      <formula>AND(AG$9&gt;=14/24,AG$9&lt;20/24)</formula>
    </cfRule>
    <cfRule type="expression" dxfId="970" priority="114">
      <formula>AG$9&gt;=20/24</formula>
    </cfRule>
    <cfRule type="expression" dxfId="969" priority="117">
      <formula>AG$9&lt;8/24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968" priority="140">
      <formula>AND(AJ$9&gt;=14/24,AJ$9&lt;20/24)</formula>
    </cfRule>
    <cfRule type="expression" dxfId="967" priority="139">
      <formula>AJ$9&gt;=20/24</formula>
    </cfRule>
    <cfRule type="expression" dxfId="966" priority="141">
      <formula>AND(AJ$9&gt;=8/24,AJ$9&lt;14/24)</formula>
    </cfRule>
    <cfRule type="expression" dxfId="965" priority="142">
      <formula>AJ$9&lt;8/24</formula>
    </cfRule>
  </conditionalFormatting>
  <conditionalFormatting sqref="AL88:AN88 AL94:AN94">
    <cfRule type="expression" dxfId="964" priority="106">
      <formula>AL$9&gt;=20/24</formula>
    </cfRule>
    <cfRule type="expression" dxfId="963" priority="107">
      <formula>AND(AL$9&gt;=14/24,AL$9&lt;20/24)</formula>
    </cfRule>
    <cfRule type="expression" dxfId="962" priority="108">
      <formula>AND(AL$9&gt;=8/24,AL$9&lt;14/24)</formula>
    </cfRule>
    <cfRule type="expression" dxfId="961" priority="109">
      <formula>AL$9&lt;8/24</formula>
    </cfRule>
  </conditionalFormatting>
  <conditionalFormatting sqref="AM15:AM21 AN16:AR21">
    <cfRule type="expression" dxfId="960" priority="15">
      <formula>AND(AX$9&gt;=8/24,AX$9&lt;14/24)</formula>
    </cfRule>
    <cfRule type="expression" dxfId="959" priority="16">
      <formula>AX$9&lt;8/24</formula>
    </cfRule>
    <cfRule type="expression" dxfId="958" priority="13">
      <formula>AX$9&gt;=20/24</formula>
    </cfRule>
    <cfRule type="expression" dxfId="957" priority="14">
      <formula>AND(AX$9&gt;=14/24,AX$9&lt;20/24)</formula>
    </cfRule>
  </conditionalFormatting>
  <conditionalFormatting sqref="AN89:AN92">
    <cfRule type="expression" dxfId="956" priority="105">
      <formula>AN$9&lt;8/24</formula>
    </cfRule>
    <cfRule type="expression" dxfId="955" priority="104">
      <formula>AND(AN$9&gt;=8/24,AN$9&lt;14/24)</formula>
    </cfRule>
    <cfRule type="expression" dxfId="954" priority="103">
      <formula>AND(AN$9&gt;=14/24,AN$9&lt;20/24)</formula>
    </cfRule>
    <cfRule type="expression" dxfId="953" priority="102">
      <formula>AN$9&gt;=20/24</formula>
    </cfRule>
  </conditionalFormatting>
  <conditionalFormatting sqref="AN15:AR15">
    <cfRule type="expression" dxfId="952" priority="4">
      <formula>U$9&lt;8/24</formula>
    </cfRule>
    <cfRule type="expression" dxfId="951" priority="3">
      <formula>AND(U$9&gt;=8/24,U$9&lt;14/24)</formula>
    </cfRule>
    <cfRule type="expression" dxfId="950" priority="2">
      <formula>AND(U$9&gt;=14/24,U$9&lt;20/24)</formula>
    </cfRule>
    <cfRule type="expression" dxfId="949" priority="1">
      <formula>U$9&gt;=20/24</formula>
    </cfRule>
  </conditionalFormatting>
  <conditionalFormatting sqref="AS15">
    <cfRule type="expression" dxfId="948" priority="10">
      <formula>AND(AA$9&gt;=14/24,AA$9&lt;20/24)</formula>
    </cfRule>
    <cfRule type="expression" dxfId="947" priority="11">
      <formula>AND(AA$9&gt;=8/24,AA$9&lt;14/24)</formula>
    </cfRule>
    <cfRule type="expression" dxfId="946" priority="9">
      <formula>AA$9&gt;=20/24</formula>
    </cfRule>
    <cfRule type="expression" dxfId="945" priority="12">
      <formula>AA$9&lt;8/24</formula>
    </cfRule>
  </conditionalFormatting>
  <conditionalFormatting sqref="AS16:AS21">
    <cfRule type="expression" dxfId="944" priority="20">
      <formula>BE$9&lt;8/24</formula>
    </cfRule>
    <cfRule type="expression" dxfId="943" priority="17">
      <formula>BE$9&gt;=20/24</formula>
    </cfRule>
    <cfRule type="expression" dxfId="942" priority="19">
      <formula>AND(BE$9&gt;=8/24,BE$9&lt;14/24)</formula>
    </cfRule>
    <cfRule type="expression" dxfId="941" priority="18">
      <formula>AND(BE$9&gt;=14/24,BE$9&lt;20/24)</formula>
    </cfRule>
  </conditionalFormatting>
  <conditionalFormatting sqref="AT15 AX15:BJ15">
    <cfRule type="expression" dxfId="940" priority="24">
      <formula>AC$9&lt;8/24</formula>
    </cfRule>
    <cfRule type="expression" dxfId="939" priority="23">
      <formula>AND(AC$9&gt;=8/24,AC$9&lt;14/24)</formula>
    </cfRule>
    <cfRule type="expression" dxfId="938" priority="22">
      <formula>AND(AC$9&gt;=14/24,AC$9&lt;20/24)</formula>
    </cfRule>
    <cfRule type="expression" dxfId="937" priority="21">
      <formula>AC$9&gt;=20/24</formula>
    </cfRule>
  </conditionalFormatting>
  <conditionalFormatting sqref="AT16:AT21">
    <cfRule type="expression" dxfId="936" priority="28">
      <formula>BG$9&lt;8/24</formula>
    </cfRule>
    <cfRule type="expression" dxfId="935" priority="27">
      <formula>AND(BG$9&gt;=8/24,BG$9&lt;14/24)</formula>
    </cfRule>
    <cfRule type="expression" dxfId="934" priority="26">
      <formula>AND(BG$9&gt;=14/24,BG$9&lt;20/24)</formula>
    </cfRule>
    <cfRule type="expression" dxfId="933" priority="25">
      <formula>BG$9&gt;=20/24</formula>
    </cfRule>
  </conditionalFormatting>
  <conditionalFormatting sqref="AU15:AV15">
    <cfRule type="expression" dxfId="932" priority="32">
      <formula>AE$9&lt;8/24</formula>
    </cfRule>
    <cfRule type="expression" dxfId="931" priority="31">
      <formula>AND(AE$9&gt;=8/24,AE$9&lt;14/24)</formula>
    </cfRule>
    <cfRule type="expression" dxfId="930" priority="30">
      <formula>AND(AE$9&gt;=14/24,AE$9&lt;20/24)</formula>
    </cfRule>
    <cfRule type="expression" dxfId="929" priority="29">
      <formula>AE$9&gt;=20/24</formula>
    </cfRule>
  </conditionalFormatting>
  <conditionalFormatting sqref="AU16:BJ21">
    <cfRule type="expression" dxfId="928" priority="34">
      <formula>AND(BI$9&gt;=14/24,BI$9&lt;20/24)</formula>
    </cfRule>
    <cfRule type="expression" dxfId="927" priority="35">
      <formula>AND(BI$9&gt;=8/24,BI$9&lt;14/24)</formula>
    </cfRule>
    <cfRule type="expression" dxfId="926" priority="33">
      <formula>BI$9&gt;=20/24</formula>
    </cfRule>
    <cfRule type="expression" dxfId="925" priority="36">
      <formula>BI$9&lt;8/24</formula>
    </cfRule>
  </conditionalFormatting>
  <conditionalFormatting sqref="AW15">
    <cfRule type="expression" dxfId="924" priority="5">
      <formula>B$9&gt;=20/24</formula>
    </cfRule>
    <cfRule type="expression" dxfId="923" priority="6">
      <formula>AND(B$9&gt;=14/24,B$9&lt;20/24)</formula>
    </cfRule>
    <cfRule type="expression" dxfId="922" priority="7">
      <formula>AND(B$9&gt;=8/24,B$9&lt;14/24)</formula>
    </cfRule>
    <cfRule type="expression" dxfId="921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CB8F5-E467-43A5-BCEE-EB764A79CB56}">
  <dimension ref="A1:CJ294"/>
  <sheetViews>
    <sheetView zoomScale="106" workbookViewId="0">
      <pane xSplit="1" ySplit="10" topLeftCell="B117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V61" sqref="V61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20.25" hidden="1" x14ac:dyDescent="0.2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9.5" hidden="1" thickBot="1" x14ac:dyDescent="0.3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3">
      <c r="A4" s="162" t="s">
        <v>273</v>
      </c>
      <c r="B4" s="205" t="str">
        <f ca="1">"2080/"&amp;"10/"&amp;INT(MID(CELL("filename",D6),FIND("]",CELL("filename",D6))+1,200))</f>
        <v>2080/10/26</v>
      </c>
      <c r="C4" s="205"/>
      <c r="D4" s="205"/>
      <c r="E4" s="206" t="str">
        <f ca="1">"2080/"&amp;"10/"&amp;INT(MID(CELL("filename",G6),FIND("]",CELL("filename",G6))+1,200))</f>
        <v>2080/10/26</v>
      </c>
      <c r="F4" s="206"/>
      <c r="G4" s="206"/>
      <c r="H4" s="206" t="str">
        <f ca="1">TEXT(E4,"dddd")</f>
        <v>Saturday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3">
      <c r="A5" s="158"/>
      <c r="B5" s="161">
        <f t="shared" ref="B5:AE5" si="0">C92</f>
        <v>94</v>
      </c>
      <c r="C5" s="161">
        <f t="shared" si="0"/>
        <v>101.6</v>
      </c>
      <c r="D5" s="161">
        <f t="shared" si="0"/>
        <v>69.3</v>
      </c>
      <c r="E5" s="161">
        <f t="shared" si="0"/>
        <v>66.7</v>
      </c>
      <c r="F5" s="161">
        <f t="shared" si="0"/>
        <v>99.699999999999989</v>
      </c>
      <c r="G5" s="161">
        <f t="shared" si="0"/>
        <v>71</v>
      </c>
      <c r="H5" s="161">
        <f t="shared" si="0"/>
        <v>112.1</v>
      </c>
      <c r="I5" s="161">
        <f t="shared" si="0"/>
        <v>631.9</v>
      </c>
      <c r="J5" s="161">
        <f t="shared" si="0"/>
        <v>627</v>
      </c>
      <c r="K5" s="161">
        <f t="shared" si="0"/>
        <v>608.9</v>
      </c>
      <c r="L5" s="161">
        <f t="shared" si="0"/>
        <v>640.1</v>
      </c>
      <c r="M5" s="161">
        <f t="shared" si="0"/>
        <v>658.5</v>
      </c>
      <c r="N5" s="161">
        <f t="shared" si="0"/>
        <v>672.2</v>
      </c>
      <c r="O5" s="161">
        <f t="shared" si="0"/>
        <v>697.9</v>
      </c>
      <c r="P5" s="161">
        <f t="shared" si="0"/>
        <v>684.9</v>
      </c>
      <c r="Q5" s="161">
        <f t="shared" si="0"/>
        <v>712.9</v>
      </c>
      <c r="R5" s="161">
        <f t="shared" si="0"/>
        <v>731.59999999999991</v>
      </c>
      <c r="S5" s="161">
        <f t="shared" si="0"/>
        <v>734.19999999999993</v>
      </c>
      <c r="T5" s="161">
        <f t="shared" si="0"/>
        <v>744.90000000000009</v>
      </c>
      <c r="U5" s="161">
        <f t="shared" si="0"/>
        <v>663.9</v>
      </c>
      <c r="V5" s="161">
        <f t="shared" si="0"/>
        <v>656</v>
      </c>
      <c r="W5" s="161">
        <f t="shared" si="0"/>
        <v>511.00000000000006</v>
      </c>
      <c r="X5" s="161">
        <f t="shared" si="0"/>
        <v>201.3</v>
      </c>
      <c r="Y5" s="161">
        <f t="shared" si="0"/>
        <v>149.30000000000001</v>
      </c>
      <c r="Z5" s="161">
        <f t="shared" si="0"/>
        <v>66.599999999999994</v>
      </c>
      <c r="AA5" s="161">
        <f t="shared" si="0"/>
        <v>83.8</v>
      </c>
      <c r="AB5" s="161">
        <f t="shared" si="0"/>
        <v>122.1</v>
      </c>
      <c r="AC5" s="161">
        <f t="shared" si="0"/>
        <v>77.099999999999994</v>
      </c>
      <c r="AD5" s="161">
        <f t="shared" si="0"/>
        <v>55.400000000000006</v>
      </c>
      <c r="AE5" s="161">
        <f t="shared" si="0"/>
        <v>63.300000000000004</v>
      </c>
      <c r="AF5" s="161">
        <f>B92</f>
        <v>96.9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3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1549MW at 6:30hr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5" thickBot="1" x14ac:dyDescent="0.3">
      <c r="A7" s="151" t="str">
        <f>"Base Load="&amp;ROUND(MIN($B$7:$AF$7),0)</f>
        <v>Base Load=1145</v>
      </c>
      <c r="B7" s="150">
        <f t="shared" ref="B7:AF7" si="1">B100</f>
        <v>1296.2400000000002</v>
      </c>
      <c r="C7" s="150">
        <f t="shared" si="1"/>
        <v>1192.3400000000001</v>
      </c>
      <c r="D7" s="150">
        <f t="shared" si="1"/>
        <v>1199.94</v>
      </c>
      <c r="E7" s="150">
        <f t="shared" si="1"/>
        <v>1145.1399999999999</v>
      </c>
      <c r="F7" s="150">
        <f t="shared" si="1"/>
        <v>1155.94</v>
      </c>
      <c r="G7" s="150">
        <f t="shared" si="1"/>
        <v>1231.44</v>
      </c>
      <c r="H7" s="150">
        <f t="shared" si="1"/>
        <v>1322.9389999999999</v>
      </c>
      <c r="I7" s="150">
        <f t="shared" si="1"/>
        <v>1297.4389999999999</v>
      </c>
      <c r="J7" s="150">
        <f t="shared" si="1"/>
        <v>1549.3389999999999</v>
      </c>
      <c r="K7" s="150">
        <f t="shared" si="1"/>
        <v>1467.3389999999999</v>
      </c>
      <c r="L7" s="150">
        <f t="shared" si="1"/>
        <v>1474.14</v>
      </c>
      <c r="M7" s="150">
        <f t="shared" si="1"/>
        <v>1500.2400000000002</v>
      </c>
      <c r="N7" s="150">
        <f t="shared" si="1"/>
        <v>1524.3400000000001</v>
      </c>
      <c r="O7" s="150">
        <f t="shared" si="1"/>
        <v>1578.14</v>
      </c>
      <c r="P7" s="150">
        <f t="shared" si="1"/>
        <v>1573.8400000000001</v>
      </c>
      <c r="Q7" s="150">
        <f t="shared" si="1"/>
        <v>1525.04</v>
      </c>
      <c r="R7" s="150">
        <f t="shared" si="1"/>
        <v>1535.7400000000002</v>
      </c>
      <c r="S7" s="150">
        <f t="shared" si="1"/>
        <v>1555.74</v>
      </c>
      <c r="T7" s="150">
        <f t="shared" si="1"/>
        <v>1563.94</v>
      </c>
      <c r="U7" s="150">
        <f t="shared" si="1"/>
        <v>1546.94</v>
      </c>
      <c r="V7" s="150">
        <f t="shared" si="1"/>
        <v>1421.54</v>
      </c>
      <c r="W7" s="150">
        <f t="shared" si="1"/>
        <v>1399.1399999999999</v>
      </c>
      <c r="X7" s="150">
        <f t="shared" si="1"/>
        <v>1388.94</v>
      </c>
      <c r="Y7" s="150">
        <f t="shared" si="1"/>
        <v>1539.2</v>
      </c>
      <c r="Z7" s="150">
        <f t="shared" si="1"/>
        <v>1597.6000000000001</v>
      </c>
      <c r="AA7" s="150">
        <f t="shared" si="1"/>
        <v>1534.74</v>
      </c>
      <c r="AB7" s="150">
        <f t="shared" si="1"/>
        <v>1514.94</v>
      </c>
      <c r="AC7" s="150">
        <f t="shared" si="1"/>
        <v>1528.94</v>
      </c>
      <c r="AD7" s="150">
        <f t="shared" si="1"/>
        <v>1457.3400000000001</v>
      </c>
      <c r="AE7" s="150">
        <f t="shared" si="1"/>
        <v>1388.5400000000002</v>
      </c>
      <c r="AF7" s="150">
        <f t="shared" si="1"/>
        <v>1334.0400000000002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7.25" thickTop="1" thickBot="1" x14ac:dyDescent="0.3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1597.6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2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1597.6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.75" thickBot="1" x14ac:dyDescent="0.3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25">
      <c r="A11" s="89" t="s">
        <v>264</v>
      </c>
      <c r="B11" s="102">
        <v>24.8</v>
      </c>
      <c r="C11" s="102">
        <v>24.8</v>
      </c>
      <c r="D11" s="102">
        <v>24.8</v>
      </c>
      <c r="E11" s="102">
        <v>23.9</v>
      </c>
      <c r="F11" s="102">
        <v>23.9</v>
      </c>
      <c r="G11" s="102">
        <v>23.9</v>
      </c>
      <c r="H11" s="102">
        <v>22.6</v>
      </c>
      <c r="I11" s="102">
        <v>21.6</v>
      </c>
      <c r="J11" s="102">
        <v>21.6</v>
      </c>
      <c r="K11" s="102">
        <v>21.6</v>
      </c>
      <c r="L11" s="102">
        <v>22.1</v>
      </c>
      <c r="M11" s="102">
        <v>22.2</v>
      </c>
      <c r="N11" s="102">
        <v>22.2</v>
      </c>
      <c r="O11" s="102">
        <v>22.2</v>
      </c>
      <c r="P11" s="102">
        <v>22.2</v>
      </c>
      <c r="Q11" s="102">
        <v>21.2</v>
      </c>
      <c r="R11" s="102">
        <v>21.2</v>
      </c>
      <c r="S11" s="102">
        <v>21.2</v>
      </c>
      <c r="T11" s="102">
        <v>21.2</v>
      </c>
      <c r="U11" s="102">
        <v>21.2</v>
      </c>
      <c r="V11" s="102">
        <v>21.2</v>
      </c>
      <c r="W11" s="102">
        <v>21.2</v>
      </c>
      <c r="X11" s="102">
        <v>21.2</v>
      </c>
      <c r="Y11" s="102">
        <v>21.2</v>
      </c>
      <c r="Z11" s="102">
        <v>21.2</v>
      </c>
      <c r="AA11" s="102">
        <v>21.2</v>
      </c>
      <c r="AB11" s="102">
        <v>21.2</v>
      </c>
      <c r="AC11" s="102">
        <v>21.2</v>
      </c>
      <c r="AD11" s="102">
        <v>21.2</v>
      </c>
      <c r="AE11" s="102">
        <v>21.2</v>
      </c>
      <c r="AF11" s="102">
        <v>21.2</v>
      </c>
      <c r="AG11" s="140">
        <v>86</v>
      </c>
      <c r="AH11" s="12">
        <f t="shared" ref="AH11:AH16" si="2">MAX(B11:AF11)</f>
        <v>24.8</v>
      </c>
      <c r="AI11" s="11">
        <f t="shared" ref="AI11:AI16" si="3">MIN(B11:AF11)</f>
        <v>21.2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25">
      <c r="A12" s="89" t="s">
        <v>263</v>
      </c>
      <c r="B12" s="102">
        <v>8.6</v>
      </c>
      <c r="C12" s="102">
        <v>8.6</v>
      </c>
      <c r="D12" s="102">
        <v>8.6</v>
      </c>
      <c r="E12" s="102">
        <v>8.6</v>
      </c>
      <c r="F12" s="102">
        <v>8.6</v>
      </c>
      <c r="G12" s="102">
        <v>8.6</v>
      </c>
      <c r="H12" s="102">
        <v>8.6</v>
      </c>
      <c r="I12" s="102">
        <v>8.6</v>
      </c>
      <c r="J12" s="102">
        <v>8.6</v>
      </c>
      <c r="K12" s="102">
        <v>8.6</v>
      </c>
      <c r="L12" s="102">
        <v>8.6</v>
      </c>
      <c r="M12" s="102">
        <v>8.6</v>
      </c>
      <c r="N12" s="102">
        <v>8.6</v>
      </c>
      <c r="O12" s="102">
        <v>8.6</v>
      </c>
      <c r="P12" s="102">
        <v>8.6</v>
      </c>
      <c r="Q12" s="102">
        <v>8.6</v>
      </c>
      <c r="R12" s="102">
        <v>8.6</v>
      </c>
      <c r="S12" s="102">
        <v>8.6</v>
      </c>
      <c r="T12" s="102">
        <v>8.6</v>
      </c>
      <c r="U12" s="102">
        <v>8.6</v>
      </c>
      <c r="V12" s="102">
        <v>8.6</v>
      </c>
      <c r="W12" s="102">
        <v>8.6</v>
      </c>
      <c r="X12" s="102">
        <v>8.6</v>
      </c>
      <c r="Y12" s="102">
        <v>8.6</v>
      </c>
      <c r="Z12" s="102">
        <v>8.6</v>
      </c>
      <c r="AA12" s="102">
        <v>8.6</v>
      </c>
      <c r="AB12" s="102">
        <v>8.6</v>
      </c>
      <c r="AC12" s="102">
        <v>8.6</v>
      </c>
      <c r="AD12" s="102">
        <v>8.6</v>
      </c>
      <c r="AE12" s="102">
        <v>8.6</v>
      </c>
      <c r="AF12" s="102">
        <v>8.6</v>
      </c>
      <c r="AG12" s="130">
        <v>54</v>
      </c>
      <c r="AH12" s="12">
        <f t="shared" si="2"/>
        <v>8.6</v>
      </c>
      <c r="AI12" s="11">
        <f t="shared" si="3"/>
        <v>8.6</v>
      </c>
      <c r="AK12" s="19"/>
      <c r="AL12" s="6" t="str">
        <f ca="1">MID(CELL("filename",C7),FIND("]",CELL("filename",C7))+1,600)</f>
        <v>26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25">
      <c r="A13" s="89" t="s">
        <v>262</v>
      </c>
      <c r="B13" s="102">
        <v>15</v>
      </c>
      <c r="C13" s="102">
        <v>15</v>
      </c>
      <c r="D13" s="102">
        <v>15</v>
      </c>
      <c r="E13" s="102">
        <v>13.6</v>
      </c>
      <c r="F13" s="102">
        <v>13.6</v>
      </c>
      <c r="G13" s="102">
        <v>13.6</v>
      </c>
      <c r="H13" s="102">
        <v>13.4</v>
      </c>
      <c r="I13" s="102">
        <v>16.399999999999999</v>
      </c>
      <c r="J13" s="102">
        <v>16.399999999999999</v>
      </c>
      <c r="K13" s="102">
        <v>16.399999999999999</v>
      </c>
      <c r="L13" s="102">
        <v>14.1</v>
      </c>
      <c r="M13" s="102">
        <v>14.2</v>
      </c>
      <c r="N13" s="102">
        <v>14.2</v>
      </c>
      <c r="O13" s="102">
        <v>14.2</v>
      </c>
      <c r="P13" s="102">
        <v>14.2</v>
      </c>
      <c r="Q13" s="102">
        <v>14.2</v>
      </c>
      <c r="R13" s="102">
        <v>14.2</v>
      </c>
      <c r="S13" s="102">
        <v>14.2</v>
      </c>
      <c r="T13" s="102">
        <v>14.2</v>
      </c>
      <c r="U13" s="102">
        <v>14.2</v>
      </c>
      <c r="V13" s="102">
        <v>14.2</v>
      </c>
      <c r="W13" s="102">
        <v>14.2</v>
      </c>
      <c r="X13" s="102">
        <v>14.2</v>
      </c>
      <c r="Y13" s="102">
        <v>14.2</v>
      </c>
      <c r="Z13" s="102">
        <v>14.2</v>
      </c>
      <c r="AA13" s="102">
        <v>14.2</v>
      </c>
      <c r="AB13" s="102">
        <v>14.2</v>
      </c>
      <c r="AC13" s="102">
        <v>14.2</v>
      </c>
      <c r="AD13" s="102">
        <v>14.2</v>
      </c>
      <c r="AE13" s="102">
        <v>14.2</v>
      </c>
      <c r="AF13" s="102">
        <v>14.2</v>
      </c>
      <c r="AG13" s="130">
        <v>54</v>
      </c>
      <c r="AH13" s="12">
        <f t="shared" si="2"/>
        <v>16.399999999999999</v>
      </c>
      <c r="AI13" s="11">
        <f t="shared" si="3"/>
        <v>13.4</v>
      </c>
      <c r="AK13" s="19"/>
      <c r="AL13" s="6" t="str">
        <f ca="1">"Daily Load Curve(Excluding of Export) of Nepal ("&amp;A4&amp;" "&amp;B4&amp;")"</f>
        <v>Daily Load Curve(Excluding of Export) of Nepal (Nepali Date: 2080/10/26)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.75" thickBot="1" x14ac:dyDescent="0.3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.75" thickTop="1" x14ac:dyDescent="0.25">
      <c r="A15" s="89" t="s">
        <v>260</v>
      </c>
      <c r="B15" s="102">
        <v>46</v>
      </c>
      <c r="C15" s="102">
        <v>46</v>
      </c>
      <c r="D15" s="102">
        <v>46</v>
      </c>
      <c r="E15" s="102">
        <v>46.1</v>
      </c>
      <c r="F15" s="102">
        <v>46.1</v>
      </c>
      <c r="G15" s="102">
        <v>46.1</v>
      </c>
      <c r="H15" s="102">
        <v>45.7</v>
      </c>
      <c r="I15" s="102">
        <v>46</v>
      </c>
      <c r="J15" s="102">
        <v>46</v>
      </c>
      <c r="K15" s="102">
        <v>46</v>
      </c>
      <c r="L15" s="102">
        <v>46</v>
      </c>
      <c r="M15" s="102">
        <v>46</v>
      </c>
      <c r="N15" s="102">
        <v>46</v>
      </c>
      <c r="O15" s="102">
        <v>46</v>
      </c>
      <c r="P15" s="102">
        <v>46</v>
      </c>
      <c r="Q15" s="102">
        <v>46</v>
      </c>
      <c r="R15" s="102">
        <v>46</v>
      </c>
      <c r="S15" s="102">
        <v>46</v>
      </c>
      <c r="T15" s="102">
        <v>46</v>
      </c>
      <c r="U15" s="102">
        <v>46</v>
      </c>
      <c r="V15" s="102">
        <v>46</v>
      </c>
      <c r="W15" s="102">
        <v>46</v>
      </c>
      <c r="X15" s="102">
        <v>46</v>
      </c>
      <c r="Y15" s="102">
        <v>46</v>
      </c>
      <c r="Z15" s="123">
        <v>46</v>
      </c>
      <c r="AA15" s="123">
        <v>46</v>
      </c>
      <c r="AB15" s="123">
        <v>46</v>
      </c>
      <c r="AC15" s="123">
        <v>46</v>
      </c>
      <c r="AD15" s="123">
        <v>46</v>
      </c>
      <c r="AE15" s="123">
        <v>46</v>
      </c>
      <c r="AF15" s="123">
        <v>46</v>
      </c>
      <c r="AG15" s="130">
        <v>50</v>
      </c>
      <c r="AH15" s="12">
        <f t="shared" si="2"/>
        <v>46.1</v>
      </c>
      <c r="AI15" s="11">
        <f t="shared" si="3"/>
        <v>45.7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25">
      <c r="A16" s="89" t="s">
        <v>258</v>
      </c>
      <c r="B16" s="102">
        <v>16</v>
      </c>
      <c r="C16" s="102">
        <v>16</v>
      </c>
      <c r="D16" s="102">
        <v>16</v>
      </c>
      <c r="E16" s="102">
        <v>16</v>
      </c>
      <c r="F16" s="102">
        <v>16</v>
      </c>
      <c r="G16" s="102">
        <v>16</v>
      </c>
      <c r="H16" s="102">
        <v>16</v>
      </c>
      <c r="I16" s="102">
        <v>16</v>
      </c>
      <c r="J16" s="102">
        <v>16</v>
      </c>
      <c r="K16" s="102">
        <v>16</v>
      </c>
      <c r="L16" s="102">
        <v>16</v>
      </c>
      <c r="M16" s="102">
        <v>16</v>
      </c>
      <c r="N16" s="102">
        <v>16</v>
      </c>
      <c r="O16" s="102">
        <v>16</v>
      </c>
      <c r="P16" s="102">
        <v>16</v>
      </c>
      <c r="Q16" s="102">
        <v>16</v>
      </c>
      <c r="R16" s="102">
        <v>16</v>
      </c>
      <c r="S16" s="102">
        <v>16</v>
      </c>
      <c r="T16" s="102">
        <v>16</v>
      </c>
      <c r="U16" s="102">
        <v>16</v>
      </c>
      <c r="V16" s="102">
        <v>16</v>
      </c>
      <c r="W16" s="102">
        <v>16</v>
      </c>
      <c r="X16" s="102">
        <v>16</v>
      </c>
      <c r="Y16" s="102">
        <v>16</v>
      </c>
      <c r="Z16" s="102">
        <v>16</v>
      </c>
      <c r="AA16" s="102">
        <v>16</v>
      </c>
      <c r="AB16" s="102">
        <v>16</v>
      </c>
      <c r="AC16" s="102">
        <v>16</v>
      </c>
      <c r="AD16" s="102">
        <v>16</v>
      </c>
      <c r="AE16" s="102">
        <v>16</v>
      </c>
      <c r="AF16" s="102">
        <v>16</v>
      </c>
      <c r="AG16" s="130">
        <v>45</v>
      </c>
      <c r="AH16" s="12">
        <f t="shared" si="2"/>
        <v>16</v>
      </c>
      <c r="AI16" s="11">
        <f t="shared" si="3"/>
        <v>16</v>
      </c>
      <c r="AK16" s="19"/>
      <c r="AL16" s="135" t="s">
        <v>7</v>
      </c>
      <c r="AM16" s="134">
        <f t="shared" ref="AM16:AR16" si="4">B58</f>
        <v>515.20000000000005</v>
      </c>
      <c r="AN16" s="134">
        <f t="shared" si="4"/>
        <v>515.20000000000005</v>
      </c>
      <c r="AO16" s="134">
        <f t="shared" si="4"/>
        <v>515.20000000000005</v>
      </c>
      <c r="AP16" s="134">
        <f t="shared" si="4"/>
        <v>508.40000000000003</v>
      </c>
      <c r="AQ16" s="134">
        <f t="shared" si="4"/>
        <v>508.40000000000003</v>
      </c>
      <c r="AR16" s="134">
        <f t="shared" si="4"/>
        <v>508.40000000000003</v>
      </c>
      <c r="AS16" s="134">
        <f>I58</f>
        <v>516.79999999999995</v>
      </c>
      <c r="AT16" s="134">
        <f>K58</f>
        <v>516.79999999999995</v>
      </c>
      <c r="AU16" s="134">
        <f t="shared" ref="AU16:BD16" si="5">M58</f>
        <v>507.80000000000007</v>
      </c>
      <c r="AV16" s="134">
        <f t="shared" si="5"/>
        <v>507.80000000000007</v>
      </c>
      <c r="AW16" s="134">
        <f t="shared" si="5"/>
        <v>507.80000000000007</v>
      </c>
      <c r="AX16" s="134">
        <f t="shared" si="5"/>
        <v>507.80000000000007</v>
      </c>
      <c r="AY16" s="134">
        <f t="shared" si="5"/>
        <v>506.80000000000007</v>
      </c>
      <c r="AZ16" s="134">
        <f t="shared" si="5"/>
        <v>506.80000000000007</v>
      </c>
      <c r="BA16" s="134">
        <f t="shared" si="5"/>
        <v>506.80000000000007</v>
      </c>
      <c r="BB16" s="134">
        <f t="shared" si="5"/>
        <v>506.80000000000007</v>
      </c>
      <c r="BC16" s="134">
        <f t="shared" si="5"/>
        <v>506.80000000000007</v>
      </c>
      <c r="BD16" s="134">
        <f t="shared" si="5"/>
        <v>506.80000000000007</v>
      </c>
      <c r="BE16" s="133">
        <f>X58</f>
        <v>506.80000000000007</v>
      </c>
      <c r="BF16" s="133">
        <f>Z58</f>
        <v>506.80000000000007</v>
      </c>
      <c r="BG16" s="133">
        <f>AB58</f>
        <v>506.80000000000007</v>
      </c>
      <c r="BH16" s="133">
        <f>AD58</f>
        <v>506.80000000000007</v>
      </c>
      <c r="BI16" s="133">
        <f>AE58</f>
        <v>506.80000000000007</v>
      </c>
      <c r="BJ16" s="133">
        <f>AF58</f>
        <v>506.80000000000007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25">
      <c r="A17" s="89" t="s">
        <v>257</v>
      </c>
      <c r="B17" s="102">
        <v>20</v>
      </c>
      <c r="C17" s="102">
        <v>20</v>
      </c>
      <c r="D17" s="102">
        <v>20</v>
      </c>
      <c r="E17" s="102">
        <v>20</v>
      </c>
      <c r="F17" s="102">
        <v>20</v>
      </c>
      <c r="G17" s="102">
        <v>20</v>
      </c>
      <c r="H17" s="102">
        <v>20</v>
      </c>
      <c r="I17" s="102">
        <v>20</v>
      </c>
      <c r="J17" s="102">
        <v>20</v>
      </c>
      <c r="K17" s="102">
        <v>20</v>
      </c>
      <c r="L17" s="102">
        <v>20</v>
      </c>
      <c r="M17" s="102">
        <v>20</v>
      </c>
      <c r="N17" s="102">
        <v>20</v>
      </c>
      <c r="O17" s="102">
        <v>20</v>
      </c>
      <c r="P17" s="102">
        <v>20</v>
      </c>
      <c r="Q17" s="102">
        <v>20</v>
      </c>
      <c r="R17" s="102">
        <v>20</v>
      </c>
      <c r="S17" s="102">
        <v>20</v>
      </c>
      <c r="T17" s="102">
        <v>20</v>
      </c>
      <c r="U17" s="102">
        <v>20</v>
      </c>
      <c r="V17" s="102">
        <v>20</v>
      </c>
      <c r="W17" s="102">
        <v>20</v>
      </c>
      <c r="X17" s="102">
        <v>20</v>
      </c>
      <c r="Y17" s="102">
        <v>20</v>
      </c>
      <c r="Z17" s="102">
        <v>20</v>
      </c>
      <c r="AA17" s="102">
        <v>20</v>
      </c>
      <c r="AB17" s="102">
        <v>20</v>
      </c>
      <c r="AC17" s="102">
        <v>20</v>
      </c>
      <c r="AD17" s="102">
        <v>20</v>
      </c>
      <c r="AE17" s="102">
        <v>20</v>
      </c>
      <c r="AF17" s="102">
        <v>20</v>
      </c>
      <c r="AG17" s="130">
        <v>44</v>
      </c>
      <c r="AH17" s="12">
        <f>MAX(B17:AG17)</f>
        <v>44</v>
      </c>
      <c r="AI17" s="11">
        <f>MIN(B17:AG17)</f>
        <v>20</v>
      </c>
      <c r="AK17" s="19"/>
      <c r="AL17" s="135" t="s">
        <v>256</v>
      </c>
      <c r="AM17" s="134">
        <f t="shared" ref="AM17:AR17" si="6">B62</f>
        <v>226.2</v>
      </c>
      <c r="AN17" s="134">
        <f t="shared" si="6"/>
        <v>145.19999999999999</v>
      </c>
      <c r="AO17" s="134">
        <f t="shared" si="6"/>
        <v>145.19999999999999</v>
      </c>
      <c r="AP17" s="134">
        <f t="shared" si="6"/>
        <v>190.29999999999998</v>
      </c>
      <c r="AQ17" s="134">
        <f t="shared" si="6"/>
        <v>190.29999999999998</v>
      </c>
      <c r="AR17" s="134">
        <f t="shared" si="6"/>
        <v>192.5</v>
      </c>
      <c r="AS17" s="134">
        <f>I62</f>
        <v>259.3</v>
      </c>
      <c r="AT17" s="134">
        <f>K62</f>
        <v>39</v>
      </c>
      <c r="AU17" s="134">
        <f t="shared" ref="AU17:BD17" si="7">M62</f>
        <v>54.599999999999994</v>
      </c>
      <c r="AV17" s="134">
        <f t="shared" si="7"/>
        <v>54.400000000000006</v>
      </c>
      <c r="AW17" s="134">
        <f t="shared" si="7"/>
        <v>88.4</v>
      </c>
      <c r="AX17" s="134">
        <f t="shared" si="7"/>
        <v>53.5</v>
      </c>
      <c r="AY17" s="134">
        <f t="shared" si="7"/>
        <v>53.400000000000006</v>
      </c>
      <c r="AZ17" s="134">
        <f t="shared" si="7"/>
        <v>75.2</v>
      </c>
      <c r="BA17" s="134">
        <f t="shared" si="7"/>
        <v>75.2</v>
      </c>
      <c r="BB17" s="134">
        <f t="shared" si="7"/>
        <v>76.5</v>
      </c>
      <c r="BC17" s="134">
        <f t="shared" si="7"/>
        <v>51.5</v>
      </c>
      <c r="BD17" s="134">
        <f t="shared" si="7"/>
        <v>22.3</v>
      </c>
      <c r="BE17" s="133">
        <f>X62</f>
        <v>22.3</v>
      </c>
      <c r="BF17" s="133">
        <f>Z62</f>
        <v>422.3</v>
      </c>
      <c r="BG17" s="133">
        <f>AB62</f>
        <v>322.3</v>
      </c>
      <c r="BH17" s="133">
        <f>AD62</f>
        <v>282.3</v>
      </c>
      <c r="BI17" s="133">
        <f>AE62</f>
        <v>282.3</v>
      </c>
      <c r="BJ17" s="133">
        <f>AF62</f>
        <v>202.3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25">
      <c r="A18" s="89" t="s">
        <v>255</v>
      </c>
      <c r="B18" s="102">
        <v>12</v>
      </c>
      <c r="C18" s="102">
        <v>12</v>
      </c>
      <c r="D18" s="102">
        <v>12</v>
      </c>
      <c r="E18" s="102">
        <v>11</v>
      </c>
      <c r="F18" s="102">
        <v>11</v>
      </c>
      <c r="G18" s="102">
        <v>11</v>
      </c>
      <c r="H18" s="102">
        <v>11</v>
      </c>
      <c r="I18" s="102">
        <v>11</v>
      </c>
      <c r="J18" s="102">
        <v>11</v>
      </c>
      <c r="K18" s="102">
        <v>11</v>
      </c>
      <c r="L18" s="102">
        <v>10</v>
      </c>
      <c r="M18" s="102">
        <v>9.5</v>
      </c>
      <c r="N18" s="102">
        <v>9.5</v>
      </c>
      <c r="O18" s="102">
        <v>9.5</v>
      </c>
      <c r="P18" s="102">
        <v>9.5</v>
      </c>
      <c r="Q18" s="102">
        <v>9.5</v>
      </c>
      <c r="R18" s="102">
        <v>9.5</v>
      </c>
      <c r="S18" s="102">
        <v>9.5</v>
      </c>
      <c r="T18" s="102">
        <v>9.5</v>
      </c>
      <c r="U18" s="102">
        <v>9.5</v>
      </c>
      <c r="V18" s="102">
        <v>9.5</v>
      </c>
      <c r="W18" s="102">
        <v>9.5</v>
      </c>
      <c r="X18" s="102">
        <v>9.5</v>
      </c>
      <c r="Y18" s="102">
        <v>9.5</v>
      </c>
      <c r="Z18" s="102">
        <v>9.5</v>
      </c>
      <c r="AA18" s="102">
        <v>9.5</v>
      </c>
      <c r="AB18" s="102">
        <v>9.5</v>
      </c>
      <c r="AC18" s="102">
        <v>9.5</v>
      </c>
      <c r="AD18" s="102">
        <v>9.5</v>
      </c>
      <c r="AE18" s="102">
        <v>9.5</v>
      </c>
      <c r="AF18" s="102">
        <v>9.5</v>
      </c>
      <c r="AG18" s="130">
        <v>42</v>
      </c>
      <c r="AH18" s="12">
        <f t="shared" ref="AH18:AH81" si="8">MAX(B18:AF18)</f>
        <v>12</v>
      </c>
      <c r="AI18" s="11">
        <f t="shared" ref="AI18:AI81" si="9">MIN(B18:AF18)</f>
        <v>9.5</v>
      </c>
      <c r="AK18" s="19"/>
      <c r="AL18" s="135" t="s">
        <v>254</v>
      </c>
      <c r="AM18" s="134">
        <f t="shared" ref="AM18:AR18" si="10">B76</f>
        <v>257.94</v>
      </c>
      <c r="AN18" s="134">
        <f t="shared" si="10"/>
        <v>237.94</v>
      </c>
      <c r="AO18" s="134">
        <f t="shared" si="10"/>
        <v>237.94</v>
      </c>
      <c r="AP18" s="134">
        <f t="shared" si="10"/>
        <v>197.14</v>
      </c>
      <c r="AQ18" s="134">
        <f t="shared" si="10"/>
        <v>210.54</v>
      </c>
      <c r="AR18" s="134">
        <f t="shared" si="10"/>
        <v>250.84</v>
      </c>
      <c r="AS18" s="134">
        <f>I76</f>
        <v>359.23899999999998</v>
      </c>
      <c r="AT18" s="134">
        <f>K76</f>
        <v>284.53900000000004</v>
      </c>
      <c r="AU18" s="134">
        <f t="shared" ref="AU18:BD18" si="11">M76</f>
        <v>297.74</v>
      </c>
      <c r="AV18" s="134">
        <f t="shared" si="11"/>
        <v>303.64</v>
      </c>
      <c r="AW18" s="134">
        <f t="shared" si="11"/>
        <v>309.74000000000007</v>
      </c>
      <c r="AX18" s="134">
        <f t="shared" si="11"/>
        <v>314.64000000000004</v>
      </c>
      <c r="AY18" s="134">
        <f t="shared" si="11"/>
        <v>279.94000000000005</v>
      </c>
      <c r="AZ18" s="134">
        <f t="shared" si="11"/>
        <v>240.84</v>
      </c>
      <c r="BA18" s="134">
        <f t="shared" si="11"/>
        <v>242.14</v>
      </c>
      <c r="BB18" s="134">
        <f t="shared" si="11"/>
        <v>246.43999999999997</v>
      </c>
      <c r="BC18" s="134">
        <f t="shared" si="11"/>
        <v>243.73999999999995</v>
      </c>
      <c r="BD18" s="134">
        <f t="shared" si="11"/>
        <v>228.53999999999996</v>
      </c>
      <c r="BE18" s="133">
        <f>X76</f>
        <v>248.83999999999995</v>
      </c>
      <c r="BF18" s="133">
        <f>Z76</f>
        <v>369.2</v>
      </c>
      <c r="BG18" s="133">
        <f>AB76</f>
        <v>378.14</v>
      </c>
      <c r="BH18" s="133">
        <f>AD76</f>
        <v>362.53999999999996</v>
      </c>
      <c r="BI18" s="133">
        <f>AE76</f>
        <v>315.44</v>
      </c>
      <c r="BJ18" s="133">
        <f>AF76</f>
        <v>333.04000000000008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25">
      <c r="A19" s="89" t="s">
        <v>253</v>
      </c>
      <c r="B19" s="102">
        <v>18.399999999999999</v>
      </c>
      <c r="C19" s="102">
        <v>18.399999999999999</v>
      </c>
      <c r="D19" s="102">
        <v>18.399999999999999</v>
      </c>
      <c r="E19" s="102">
        <v>19.2</v>
      </c>
      <c r="F19" s="102">
        <v>19.2</v>
      </c>
      <c r="G19" s="102">
        <v>19.2</v>
      </c>
      <c r="H19" s="102">
        <v>18.899999999999999</v>
      </c>
      <c r="I19" s="102">
        <v>18.600000000000001</v>
      </c>
      <c r="J19" s="102">
        <v>18.600000000000001</v>
      </c>
      <c r="K19" s="102">
        <v>18.600000000000001</v>
      </c>
      <c r="L19" s="102">
        <v>18.3</v>
      </c>
      <c r="M19" s="102">
        <v>18.3</v>
      </c>
      <c r="N19" s="102">
        <v>18.3</v>
      </c>
      <c r="O19" s="102">
        <v>18.3</v>
      </c>
      <c r="P19" s="102">
        <v>18.3</v>
      </c>
      <c r="Q19" s="102">
        <v>18.3</v>
      </c>
      <c r="R19" s="102">
        <v>18.3</v>
      </c>
      <c r="S19" s="102">
        <v>18.3</v>
      </c>
      <c r="T19" s="102">
        <v>18.3</v>
      </c>
      <c r="U19" s="102">
        <v>18.3</v>
      </c>
      <c r="V19" s="102">
        <v>18.3</v>
      </c>
      <c r="W19" s="102">
        <v>18.3</v>
      </c>
      <c r="X19" s="102">
        <v>18.3</v>
      </c>
      <c r="Y19" s="102">
        <v>18.3</v>
      </c>
      <c r="Z19" s="102">
        <v>18.3</v>
      </c>
      <c r="AA19" s="102">
        <v>18.3</v>
      </c>
      <c r="AB19" s="102">
        <v>18.3</v>
      </c>
      <c r="AC19" s="102">
        <v>18.3</v>
      </c>
      <c r="AD19" s="102">
        <v>18.3</v>
      </c>
      <c r="AE19" s="102">
        <v>18.3</v>
      </c>
      <c r="AF19" s="102">
        <v>18.3</v>
      </c>
      <c r="AG19" s="130">
        <v>38.46</v>
      </c>
      <c r="AH19" s="12">
        <f t="shared" si="8"/>
        <v>19.2</v>
      </c>
      <c r="AI19" s="11">
        <f t="shared" si="9"/>
        <v>18.3</v>
      </c>
      <c r="AK19" s="19"/>
      <c r="AL19" s="135" t="s">
        <v>252</v>
      </c>
      <c r="AM19" s="134">
        <f t="shared" ref="AM19:AR19" si="12">B92</f>
        <v>96.9</v>
      </c>
      <c r="AN19" s="134">
        <f t="shared" si="12"/>
        <v>94</v>
      </c>
      <c r="AO19" s="134">
        <f t="shared" si="12"/>
        <v>101.6</v>
      </c>
      <c r="AP19" s="134">
        <f t="shared" si="12"/>
        <v>69.3</v>
      </c>
      <c r="AQ19" s="134">
        <f t="shared" si="12"/>
        <v>66.7</v>
      </c>
      <c r="AR19" s="134">
        <f t="shared" si="12"/>
        <v>99.699999999999989</v>
      </c>
      <c r="AS19" s="134">
        <f>I92</f>
        <v>112.1</v>
      </c>
      <c r="AT19" s="134">
        <f>K92</f>
        <v>627</v>
      </c>
      <c r="AU19" s="134">
        <f t="shared" ref="AU19:BD19" si="13">M92</f>
        <v>640.1</v>
      </c>
      <c r="AV19" s="134">
        <f t="shared" si="13"/>
        <v>658.5</v>
      </c>
      <c r="AW19" s="134">
        <f t="shared" si="13"/>
        <v>672.2</v>
      </c>
      <c r="AX19" s="134">
        <f t="shared" si="13"/>
        <v>697.9</v>
      </c>
      <c r="AY19" s="134">
        <f t="shared" si="13"/>
        <v>684.9</v>
      </c>
      <c r="AZ19" s="134">
        <f t="shared" si="13"/>
        <v>712.9</v>
      </c>
      <c r="BA19" s="134">
        <f t="shared" si="13"/>
        <v>731.59999999999991</v>
      </c>
      <c r="BB19" s="134">
        <f t="shared" si="13"/>
        <v>734.19999999999993</v>
      </c>
      <c r="BC19" s="134">
        <f t="shared" si="13"/>
        <v>744.90000000000009</v>
      </c>
      <c r="BD19" s="134">
        <f t="shared" si="13"/>
        <v>663.9</v>
      </c>
      <c r="BE19" s="133">
        <f>X92</f>
        <v>511.00000000000006</v>
      </c>
      <c r="BF19" s="133">
        <f>Z92</f>
        <v>149.30000000000001</v>
      </c>
      <c r="BG19" s="133">
        <f>AB92</f>
        <v>83.8</v>
      </c>
      <c r="BH19" s="133">
        <f>AD92</f>
        <v>77.099999999999994</v>
      </c>
      <c r="BI19" s="133">
        <f>AE92</f>
        <v>55.400000000000006</v>
      </c>
      <c r="BJ19" s="133">
        <f>AF92</f>
        <v>63.300000000000004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25">
      <c r="A20" s="89" t="s">
        <v>251</v>
      </c>
      <c r="B20" s="102">
        <v>14</v>
      </c>
      <c r="C20" s="102">
        <v>14</v>
      </c>
      <c r="D20" s="102">
        <v>14</v>
      </c>
      <c r="E20" s="102">
        <v>14</v>
      </c>
      <c r="F20" s="102">
        <v>14</v>
      </c>
      <c r="G20" s="102">
        <v>14</v>
      </c>
      <c r="H20" s="102">
        <v>14</v>
      </c>
      <c r="I20" s="102">
        <v>14</v>
      </c>
      <c r="J20" s="102">
        <v>14</v>
      </c>
      <c r="K20" s="102">
        <v>14</v>
      </c>
      <c r="L20" s="102">
        <v>14</v>
      </c>
      <c r="M20" s="102">
        <v>14</v>
      </c>
      <c r="N20" s="102">
        <v>14</v>
      </c>
      <c r="O20" s="102">
        <v>14</v>
      </c>
      <c r="P20" s="102">
        <v>14</v>
      </c>
      <c r="Q20" s="102">
        <v>14</v>
      </c>
      <c r="R20" s="102">
        <v>14</v>
      </c>
      <c r="S20" s="102">
        <v>14</v>
      </c>
      <c r="T20" s="102">
        <v>14</v>
      </c>
      <c r="U20" s="102">
        <v>14</v>
      </c>
      <c r="V20" s="102">
        <v>14</v>
      </c>
      <c r="W20" s="102">
        <v>14</v>
      </c>
      <c r="X20" s="102">
        <v>14</v>
      </c>
      <c r="Y20" s="102">
        <v>14</v>
      </c>
      <c r="Z20" s="102">
        <v>14</v>
      </c>
      <c r="AA20" s="102">
        <v>14</v>
      </c>
      <c r="AB20" s="102">
        <v>14</v>
      </c>
      <c r="AC20" s="102">
        <v>14</v>
      </c>
      <c r="AD20" s="102">
        <v>14</v>
      </c>
      <c r="AE20" s="102">
        <v>14</v>
      </c>
      <c r="AF20" s="102">
        <v>14</v>
      </c>
      <c r="AG20" s="130">
        <v>38.46</v>
      </c>
      <c r="AH20" s="12">
        <f t="shared" si="8"/>
        <v>14</v>
      </c>
      <c r="AI20" s="11">
        <f t="shared" si="9"/>
        <v>14</v>
      </c>
      <c r="AK20" s="19"/>
      <c r="AL20" s="135" t="s">
        <v>250</v>
      </c>
      <c r="AM20" s="134">
        <f t="shared" ref="AM20:AR20" si="14">B80</f>
        <v>0</v>
      </c>
      <c r="AN20" s="134">
        <f t="shared" si="14"/>
        <v>0</v>
      </c>
      <c r="AO20" s="134">
        <f t="shared" si="14"/>
        <v>0</v>
      </c>
      <c r="AP20" s="134">
        <f t="shared" si="14"/>
        <v>0</v>
      </c>
      <c r="AQ20" s="134">
        <f t="shared" si="14"/>
        <v>0</v>
      </c>
      <c r="AR20" s="134">
        <f t="shared" si="14"/>
        <v>0</v>
      </c>
      <c r="AS20" s="134">
        <f>I80</f>
        <v>0</v>
      </c>
      <c r="AT20" s="134">
        <f>K80</f>
        <v>0</v>
      </c>
      <c r="AU20" s="134">
        <f t="shared" ref="AU20:BD20" si="15">M80</f>
        <v>0</v>
      </c>
      <c r="AV20" s="134">
        <f t="shared" si="15"/>
        <v>0</v>
      </c>
      <c r="AW20" s="134">
        <f t="shared" si="15"/>
        <v>0</v>
      </c>
      <c r="AX20" s="134">
        <f t="shared" si="15"/>
        <v>0</v>
      </c>
      <c r="AY20" s="134">
        <f t="shared" si="15"/>
        <v>0</v>
      </c>
      <c r="AZ20" s="134">
        <f t="shared" si="15"/>
        <v>0</v>
      </c>
      <c r="BA20" s="134">
        <f t="shared" si="15"/>
        <v>0</v>
      </c>
      <c r="BB20" s="134">
        <f t="shared" si="15"/>
        <v>0</v>
      </c>
      <c r="BC20" s="134">
        <f t="shared" si="15"/>
        <v>0</v>
      </c>
      <c r="BD20" s="134">
        <f t="shared" si="15"/>
        <v>0</v>
      </c>
      <c r="BE20" s="133">
        <f>X80</f>
        <v>0</v>
      </c>
      <c r="BF20" s="133">
        <f>Z80</f>
        <v>0</v>
      </c>
      <c r="BG20" s="133">
        <f>AB80</f>
        <v>43.9</v>
      </c>
      <c r="BH20" s="133">
        <f>AD80</f>
        <v>48.599999999999994</v>
      </c>
      <c r="BI20" s="133">
        <f>AE80</f>
        <v>48.599999999999994</v>
      </c>
      <c r="BJ20" s="133">
        <f>AF80</f>
        <v>48.599999999999994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25">
      <c r="A21" s="89" t="s">
        <v>249</v>
      </c>
      <c r="B21" s="102">
        <v>0</v>
      </c>
      <c r="C21" s="102">
        <v>0</v>
      </c>
      <c r="D21" s="102">
        <v>0</v>
      </c>
      <c r="E21" s="102">
        <v>0</v>
      </c>
      <c r="F21" s="102">
        <v>0</v>
      </c>
      <c r="G21" s="102">
        <v>0</v>
      </c>
      <c r="H21" s="102">
        <v>0</v>
      </c>
      <c r="I21" s="102">
        <v>0</v>
      </c>
      <c r="J21" s="102">
        <v>0</v>
      </c>
      <c r="K21" s="102">
        <v>0</v>
      </c>
      <c r="L21" s="102">
        <v>0</v>
      </c>
      <c r="M21" s="102">
        <v>0</v>
      </c>
      <c r="N21" s="102">
        <v>0</v>
      </c>
      <c r="O21" s="102">
        <v>0</v>
      </c>
      <c r="P21" s="102">
        <v>0</v>
      </c>
      <c r="Q21" s="102">
        <v>0</v>
      </c>
      <c r="R21" s="102">
        <v>0</v>
      </c>
      <c r="S21" s="102">
        <v>0</v>
      </c>
      <c r="T21" s="102">
        <v>0</v>
      </c>
      <c r="U21" s="102">
        <v>0</v>
      </c>
      <c r="V21" s="102">
        <v>0</v>
      </c>
      <c r="W21" s="102">
        <v>0</v>
      </c>
      <c r="X21" s="102">
        <v>0</v>
      </c>
      <c r="Y21" s="102">
        <v>0</v>
      </c>
      <c r="Z21" s="102">
        <v>0</v>
      </c>
      <c r="AA21" s="102">
        <v>0</v>
      </c>
      <c r="AB21" s="102">
        <v>0</v>
      </c>
      <c r="AC21" s="102">
        <v>0</v>
      </c>
      <c r="AD21" s="102">
        <v>0</v>
      </c>
      <c r="AE21" s="102">
        <v>0</v>
      </c>
      <c r="AF21" s="102">
        <v>0</v>
      </c>
      <c r="AG21" s="130">
        <v>36</v>
      </c>
      <c r="AH21" s="12">
        <f t="shared" si="8"/>
        <v>0</v>
      </c>
      <c r="AI21" s="11">
        <f t="shared" si="9"/>
        <v>0</v>
      </c>
      <c r="AK21" s="19"/>
      <c r="AL21" s="135" t="s">
        <v>248</v>
      </c>
      <c r="AM21" s="134">
        <f t="shared" ref="AM21:AR21" si="16">B98</f>
        <v>200</v>
      </c>
      <c r="AN21" s="134">
        <f t="shared" si="16"/>
        <v>200</v>
      </c>
      <c r="AO21" s="134">
        <f t="shared" si="16"/>
        <v>200</v>
      </c>
      <c r="AP21" s="134">
        <f t="shared" si="16"/>
        <v>180</v>
      </c>
      <c r="AQ21" s="134">
        <f t="shared" si="16"/>
        <v>180</v>
      </c>
      <c r="AR21" s="134">
        <f t="shared" si="16"/>
        <v>180</v>
      </c>
      <c r="AS21" s="134">
        <f>I98</f>
        <v>50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100</v>
      </c>
      <c r="BF21" s="133">
        <f>Z98</f>
        <v>150</v>
      </c>
      <c r="BG21" s="133">
        <f>AB98</f>
        <v>180</v>
      </c>
      <c r="BH21" s="133">
        <f>AD98</f>
        <v>180</v>
      </c>
      <c r="BI21" s="133">
        <f>AE98</f>
        <v>180</v>
      </c>
      <c r="BJ21" s="133">
        <f>AF98</f>
        <v>180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25">
      <c r="A22" s="89" t="s">
        <v>247</v>
      </c>
      <c r="B22" s="102">
        <v>10.199999999999999</v>
      </c>
      <c r="C22" s="102">
        <v>10.199999999999999</v>
      </c>
      <c r="D22" s="102">
        <v>10.199999999999999</v>
      </c>
      <c r="E22" s="102">
        <v>8.8000000000000007</v>
      </c>
      <c r="F22" s="102">
        <v>8.8000000000000007</v>
      </c>
      <c r="G22" s="102">
        <v>8.8000000000000007</v>
      </c>
      <c r="H22" s="102">
        <v>10.9</v>
      </c>
      <c r="I22" s="102">
        <v>10.9</v>
      </c>
      <c r="J22" s="102">
        <v>10.9</v>
      </c>
      <c r="K22" s="102">
        <v>10.9</v>
      </c>
      <c r="L22" s="102">
        <v>10.9</v>
      </c>
      <c r="M22" s="102">
        <v>8.8000000000000007</v>
      </c>
      <c r="N22" s="102">
        <v>8.8000000000000007</v>
      </c>
      <c r="O22" s="102">
        <v>8.8000000000000007</v>
      </c>
      <c r="P22" s="102">
        <v>8.8000000000000007</v>
      </c>
      <c r="Q22" s="102">
        <v>8.8000000000000007</v>
      </c>
      <c r="R22" s="102">
        <v>8.8000000000000007</v>
      </c>
      <c r="S22" s="102">
        <v>8.8000000000000007</v>
      </c>
      <c r="T22" s="102">
        <v>8.8000000000000007</v>
      </c>
      <c r="U22" s="102">
        <v>8.8000000000000007</v>
      </c>
      <c r="V22" s="102">
        <v>8.8000000000000007</v>
      </c>
      <c r="W22" s="102">
        <v>8.8000000000000007</v>
      </c>
      <c r="X22" s="102">
        <v>8.8000000000000007</v>
      </c>
      <c r="Y22" s="102">
        <v>8.8000000000000007</v>
      </c>
      <c r="Z22" s="102">
        <v>8.8000000000000007</v>
      </c>
      <c r="AA22" s="102">
        <v>8.8000000000000007</v>
      </c>
      <c r="AB22" s="102">
        <v>8.8000000000000007</v>
      </c>
      <c r="AC22" s="102">
        <v>8.8000000000000007</v>
      </c>
      <c r="AD22" s="102">
        <v>8.8000000000000007</v>
      </c>
      <c r="AE22" s="102">
        <v>8.8000000000000007</v>
      </c>
      <c r="AF22" s="102">
        <v>8.8000000000000007</v>
      </c>
      <c r="AG22" s="88">
        <v>30</v>
      </c>
      <c r="AH22" s="12">
        <f t="shared" si="8"/>
        <v>10.9</v>
      </c>
      <c r="AI22" s="11">
        <f t="shared" si="9"/>
        <v>8.8000000000000007</v>
      </c>
      <c r="AK22" s="19"/>
      <c r="AL22" s="132" t="s">
        <v>246</v>
      </c>
      <c r="AM22" s="131">
        <f t="shared" ref="AM22:BJ22" si="18">SUM(AM16:AM21)</f>
        <v>1296.2400000000002</v>
      </c>
      <c r="AN22" s="131">
        <f t="shared" si="18"/>
        <v>1192.3400000000001</v>
      </c>
      <c r="AO22" s="131">
        <f t="shared" si="18"/>
        <v>1199.94</v>
      </c>
      <c r="AP22" s="131">
        <f t="shared" si="18"/>
        <v>1145.1399999999999</v>
      </c>
      <c r="AQ22" s="131">
        <f t="shared" si="18"/>
        <v>1155.94</v>
      </c>
      <c r="AR22" s="131">
        <f t="shared" si="18"/>
        <v>1231.44</v>
      </c>
      <c r="AS22" s="131">
        <f t="shared" si="18"/>
        <v>1297.4389999999999</v>
      </c>
      <c r="AT22" s="131">
        <f t="shared" si="18"/>
        <v>1467.3389999999999</v>
      </c>
      <c r="AU22" s="131">
        <f t="shared" si="18"/>
        <v>1500.2400000000002</v>
      </c>
      <c r="AV22" s="131">
        <f t="shared" si="18"/>
        <v>1524.3400000000001</v>
      </c>
      <c r="AW22" s="131">
        <f t="shared" si="18"/>
        <v>1578.14</v>
      </c>
      <c r="AX22" s="131">
        <f t="shared" si="18"/>
        <v>1573.8400000000001</v>
      </c>
      <c r="AY22" s="131">
        <f t="shared" si="18"/>
        <v>1525.04</v>
      </c>
      <c r="AZ22" s="131">
        <f t="shared" si="18"/>
        <v>1535.7400000000002</v>
      </c>
      <c r="BA22" s="131">
        <f t="shared" si="18"/>
        <v>1555.74</v>
      </c>
      <c r="BB22" s="131">
        <f t="shared" si="18"/>
        <v>1563.94</v>
      </c>
      <c r="BC22" s="131">
        <f t="shared" si="18"/>
        <v>1546.94</v>
      </c>
      <c r="BD22" s="131">
        <f t="shared" si="18"/>
        <v>1421.54</v>
      </c>
      <c r="BE22" s="131">
        <f t="shared" si="18"/>
        <v>1388.94</v>
      </c>
      <c r="BF22" s="131">
        <f t="shared" si="18"/>
        <v>1597.6000000000001</v>
      </c>
      <c r="BG22" s="131">
        <f t="shared" si="18"/>
        <v>1514.9400000000003</v>
      </c>
      <c r="BH22" s="131">
        <f t="shared" si="18"/>
        <v>1457.34</v>
      </c>
      <c r="BI22" s="131">
        <f t="shared" si="18"/>
        <v>1388.5400000000002</v>
      </c>
      <c r="BJ22" s="131">
        <f t="shared" si="18"/>
        <v>1334.0400000000002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25">
      <c r="A23" s="89" t="s">
        <v>245</v>
      </c>
      <c r="B23" s="102">
        <v>7.1</v>
      </c>
      <c r="C23" s="102">
        <v>7.1</v>
      </c>
      <c r="D23" s="102">
        <v>7.1</v>
      </c>
      <c r="E23" s="102">
        <v>7</v>
      </c>
      <c r="F23" s="102">
        <v>7</v>
      </c>
      <c r="G23" s="102">
        <v>7</v>
      </c>
      <c r="H23" s="102">
        <v>7</v>
      </c>
      <c r="I23" s="102">
        <v>7</v>
      </c>
      <c r="J23" s="102">
        <v>7</v>
      </c>
      <c r="K23" s="102">
        <v>7</v>
      </c>
      <c r="L23" s="102">
        <v>7</v>
      </c>
      <c r="M23" s="102">
        <v>7</v>
      </c>
      <c r="N23" s="102">
        <v>7</v>
      </c>
      <c r="O23" s="102">
        <v>7</v>
      </c>
      <c r="P23" s="102">
        <v>7</v>
      </c>
      <c r="Q23" s="102">
        <v>7</v>
      </c>
      <c r="R23" s="102">
        <v>7</v>
      </c>
      <c r="S23" s="102">
        <v>7</v>
      </c>
      <c r="T23" s="102">
        <v>7</v>
      </c>
      <c r="U23" s="102">
        <v>7</v>
      </c>
      <c r="V23" s="102">
        <v>7</v>
      </c>
      <c r="W23" s="102">
        <v>7</v>
      </c>
      <c r="X23" s="102">
        <v>7</v>
      </c>
      <c r="Y23" s="102">
        <v>7</v>
      </c>
      <c r="Z23" s="102">
        <v>7</v>
      </c>
      <c r="AA23" s="102">
        <v>7</v>
      </c>
      <c r="AB23" s="102">
        <v>7</v>
      </c>
      <c r="AC23" s="102">
        <v>7</v>
      </c>
      <c r="AD23" s="102">
        <v>7</v>
      </c>
      <c r="AE23" s="102">
        <v>7</v>
      </c>
      <c r="AF23" s="102">
        <v>7</v>
      </c>
      <c r="AG23" s="130">
        <v>24.2</v>
      </c>
      <c r="AH23" s="12">
        <f t="shared" si="8"/>
        <v>7.1</v>
      </c>
      <c r="AI23" s="11">
        <f t="shared" si="9"/>
        <v>7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25">
      <c r="A24" s="89" t="s">
        <v>244</v>
      </c>
      <c r="B24" s="102">
        <v>10</v>
      </c>
      <c r="C24" s="102">
        <v>10</v>
      </c>
      <c r="D24" s="102">
        <v>10</v>
      </c>
      <c r="E24" s="102">
        <v>6.9</v>
      </c>
      <c r="F24" s="102">
        <v>6.9</v>
      </c>
      <c r="G24" s="102">
        <v>6.9</v>
      </c>
      <c r="H24" s="102">
        <v>6.9</v>
      </c>
      <c r="I24" s="102">
        <v>6.9</v>
      </c>
      <c r="J24" s="102">
        <v>6.9</v>
      </c>
      <c r="K24" s="102">
        <v>6.9</v>
      </c>
      <c r="L24" s="102">
        <v>6.9</v>
      </c>
      <c r="M24" s="102">
        <v>6.9</v>
      </c>
      <c r="N24" s="102">
        <v>6.9</v>
      </c>
      <c r="O24" s="102">
        <v>6.9</v>
      </c>
      <c r="P24" s="102">
        <v>6.9</v>
      </c>
      <c r="Q24" s="102">
        <v>6.9</v>
      </c>
      <c r="R24" s="102">
        <v>6.9</v>
      </c>
      <c r="S24" s="102">
        <v>6.9</v>
      </c>
      <c r="T24" s="102">
        <v>6.9</v>
      </c>
      <c r="U24" s="102">
        <v>6.9</v>
      </c>
      <c r="V24" s="102">
        <v>6.9</v>
      </c>
      <c r="W24" s="102">
        <v>6.9</v>
      </c>
      <c r="X24" s="102">
        <v>6.9</v>
      </c>
      <c r="Y24" s="102">
        <v>6.9</v>
      </c>
      <c r="Z24" s="102">
        <v>6.9</v>
      </c>
      <c r="AA24" s="102">
        <v>6.9</v>
      </c>
      <c r="AB24" s="102">
        <v>6.9</v>
      </c>
      <c r="AC24" s="102">
        <v>6.9</v>
      </c>
      <c r="AD24" s="102">
        <v>6.9</v>
      </c>
      <c r="AE24" s="102">
        <v>6.9</v>
      </c>
      <c r="AF24" s="102">
        <v>6.9</v>
      </c>
      <c r="AG24" s="130">
        <v>28</v>
      </c>
      <c r="AH24" s="12">
        <f t="shared" si="8"/>
        <v>10</v>
      </c>
      <c r="AI24" s="11">
        <f t="shared" si="9"/>
        <v>6.9</v>
      </c>
      <c r="AK24" s="19"/>
      <c r="AL24" s="132" t="s">
        <v>243</v>
      </c>
      <c r="AM24" s="131">
        <f t="shared" ref="AM24:BJ24" si="21">AM22+AM23</f>
        <v>1296.2400000000002</v>
      </c>
      <c r="AN24" s="131">
        <f t="shared" si="21"/>
        <v>1192.3400000000001</v>
      </c>
      <c r="AO24" s="131">
        <f t="shared" si="21"/>
        <v>1199.94</v>
      </c>
      <c r="AP24" s="131">
        <f t="shared" si="21"/>
        <v>1145.1399999999999</v>
      </c>
      <c r="AQ24" s="131">
        <f t="shared" si="21"/>
        <v>1155.94</v>
      </c>
      <c r="AR24" s="131">
        <f t="shared" si="21"/>
        <v>1231.44</v>
      </c>
      <c r="AS24" s="131">
        <f t="shared" si="21"/>
        <v>1297.4389999999999</v>
      </c>
      <c r="AT24" s="131">
        <f t="shared" si="21"/>
        <v>1467.3389999999999</v>
      </c>
      <c r="AU24" s="131">
        <f t="shared" si="21"/>
        <v>1500.2400000000002</v>
      </c>
      <c r="AV24" s="131">
        <f t="shared" si="21"/>
        <v>1524.3400000000001</v>
      </c>
      <c r="AW24" s="131">
        <f t="shared" si="21"/>
        <v>1578.14</v>
      </c>
      <c r="AX24" s="131">
        <f t="shared" si="21"/>
        <v>1573.8400000000001</v>
      </c>
      <c r="AY24" s="131">
        <f t="shared" si="21"/>
        <v>1525.04</v>
      </c>
      <c r="AZ24" s="131">
        <f t="shared" si="21"/>
        <v>1535.7400000000002</v>
      </c>
      <c r="BA24" s="131">
        <f t="shared" si="21"/>
        <v>1555.74</v>
      </c>
      <c r="BB24" s="131">
        <f t="shared" si="21"/>
        <v>1563.94</v>
      </c>
      <c r="BC24" s="131">
        <f t="shared" si="21"/>
        <v>1546.94</v>
      </c>
      <c r="BD24" s="131">
        <f t="shared" si="21"/>
        <v>1421.54</v>
      </c>
      <c r="BE24" s="131">
        <f t="shared" si="21"/>
        <v>1388.94</v>
      </c>
      <c r="BF24" s="131">
        <f t="shared" si="21"/>
        <v>1597.6000000000001</v>
      </c>
      <c r="BG24" s="131">
        <f t="shared" si="21"/>
        <v>1514.9400000000003</v>
      </c>
      <c r="BH24" s="131">
        <f t="shared" si="21"/>
        <v>1457.34</v>
      </c>
      <c r="BI24" s="131">
        <f t="shared" si="21"/>
        <v>1388.5400000000002</v>
      </c>
      <c r="BJ24" s="131">
        <f t="shared" si="21"/>
        <v>1334.0400000000002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25">
      <c r="A25" s="89" t="s">
        <v>242</v>
      </c>
      <c r="B25" s="102">
        <v>7.6</v>
      </c>
      <c r="C25" s="102">
        <v>7.6</v>
      </c>
      <c r="D25" s="102">
        <v>7.6</v>
      </c>
      <c r="E25" s="102">
        <v>6.7</v>
      </c>
      <c r="F25" s="102">
        <v>6.7</v>
      </c>
      <c r="G25" s="102">
        <v>6.7</v>
      </c>
      <c r="H25" s="102">
        <v>18.600000000000001</v>
      </c>
      <c r="I25" s="102">
        <v>18.600000000000001</v>
      </c>
      <c r="J25" s="102">
        <v>18.600000000000001</v>
      </c>
      <c r="K25" s="102">
        <v>18.600000000000001</v>
      </c>
      <c r="L25" s="102">
        <v>18.600000000000001</v>
      </c>
      <c r="M25" s="102">
        <v>13</v>
      </c>
      <c r="N25" s="102">
        <v>13</v>
      </c>
      <c r="O25" s="102">
        <v>13</v>
      </c>
      <c r="P25" s="102">
        <v>13</v>
      </c>
      <c r="Q25" s="102">
        <v>13</v>
      </c>
      <c r="R25" s="102">
        <v>13</v>
      </c>
      <c r="S25" s="102">
        <v>13</v>
      </c>
      <c r="T25" s="102">
        <v>13</v>
      </c>
      <c r="U25" s="102">
        <v>13</v>
      </c>
      <c r="V25" s="102">
        <v>13</v>
      </c>
      <c r="W25" s="102">
        <v>13</v>
      </c>
      <c r="X25" s="102">
        <v>13</v>
      </c>
      <c r="Y25" s="102">
        <v>13</v>
      </c>
      <c r="Z25" s="102">
        <v>13</v>
      </c>
      <c r="AA25" s="102">
        <v>13</v>
      </c>
      <c r="AB25" s="102">
        <v>13</v>
      </c>
      <c r="AC25" s="102">
        <v>13</v>
      </c>
      <c r="AD25" s="102">
        <v>13</v>
      </c>
      <c r="AE25" s="102">
        <v>13</v>
      </c>
      <c r="AF25" s="102">
        <v>13</v>
      </c>
      <c r="AG25" s="88">
        <v>30</v>
      </c>
      <c r="AH25" s="12">
        <f t="shared" si="8"/>
        <v>18.600000000000001</v>
      </c>
      <c r="AI25" s="11">
        <f t="shared" si="9"/>
        <v>6.7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25">
      <c r="A26" s="89" t="s">
        <v>241</v>
      </c>
      <c r="B26" s="102">
        <v>11.9</v>
      </c>
      <c r="C26" s="102">
        <v>11.9</v>
      </c>
      <c r="D26" s="102">
        <v>11.9</v>
      </c>
      <c r="E26" s="102">
        <v>13</v>
      </c>
      <c r="F26" s="102">
        <v>13</v>
      </c>
      <c r="G26" s="102">
        <v>13</v>
      </c>
      <c r="H26" s="102">
        <v>15</v>
      </c>
      <c r="I26" s="102">
        <v>15</v>
      </c>
      <c r="J26" s="102">
        <v>15</v>
      </c>
      <c r="K26" s="102">
        <v>15</v>
      </c>
      <c r="L26" s="102">
        <v>15</v>
      </c>
      <c r="M26" s="102">
        <v>15</v>
      </c>
      <c r="N26" s="102">
        <v>15</v>
      </c>
      <c r="O26" s="102">
        <v>15</v>
      </c>
      <c r="P26" s="102">
        <v>15</v>
      </c>
      <c r="Q26" s="102">
        <v>15</v>
      </c>
      <c r="R26" s="102">
        <v>15</v>
      </c>
      <c r="S26" s="102">
        <v>15</v>
      </c>
      <c r="T26" s="102">
        <v>15</v>
      </c>
      <c r="U26" s="102">
        <v>15</v>
      </c>
      <c r="V26" s="102">
        <v>15</v>
      </c>
      <c r="W26" s="102">
        <v>15</v>
      </c>
      <c r="X26" s="102">
        <v>15</v>
      </c>
      <c r="Y26" s="102">
        <v>15</v>
      </c>
      <c r="Z26" s="102">
        <v>15</v>
      </c>
      <c r="AA26" s="102">
        <v>15</v>
      </c>
      <c r="AB26" s="102">
        <v>15</v>
      </c>
      <c r="AC26" s="102">
        <v>15</v>
      </c>
      <c r="AD26" s="102">
        <v>15</v>
      </c>
      <c r="AE26" s="102">
        <v>15</v>
      </c>
      <c r="AF26" s="102">
        <v>15</v>
      </c>
      <c r="AG26" s="130">
        <v>25</v>
      </c>
      <c r="AH26" s="12">
        <f t="shared" si="8"/>
        <v>15</v>
      </c>
      <c r="AI26" s="11">
        <f t="shared" si="9"/>
        <v>11.9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25">
      <c r="A27" s="89" t="s">
        <v>240</v>
      </c>
      <c r="B27" s="102">
        <v>8</v>
      </c>
      <c r="C27" s="102">
        <v>8</v>
      </c>
      <c r="D27" s="102">
        <v>8</v>
      </c>
      <c r="E27" s="102">
        <v>8</v>
      </c>
      <c r="F27" s="102">
        <v>8</v>
      </c>
      <c r="G27" s="102">
        <v>8</v>
      </c>
      <c r="H27" s="102">
        <v>8</v>
      </c>
      <c r="I27" s="102">
        <v>8</v>
      </c>
      <c r="J27" s="102">
        <v>8</v>
      </c>
      <c r="K27" s="102">
        <v>8</v>
      </c>
      <c r="L27" s="102">
        <v>8</v>
      </c>
      <c r="M27" s="102">
        <v>8</v>
      </c>
      <c r="N27" s="102">
        <v>8</v>
      </c>
      <c r="O27" s="102">
        <v>8</v>
      </c>
      <c r="P27" s="102">
        <v>8</v>
      </c>
      <c r="Q27" s="102">
        <v>8</v>
      </c>
      <c r="R27" s="102">
        <v>8</v>
      </c>
      <c r="S27" s="102">
        <v>8</v>
      </c>
      <c r="T27" s="102">
        <v>8</v>
      </c>
      <c r="U27" s="102">
        <v>8</v>
      </c>
      <c r="V27" s="102">
        <v>8</v>
      </c>
      <c r="W27" s="102">
        <v>8</v>
      </c>
      <c r="X27" s="102">
        <v>8</v>
      </c>
      <c r="Y27" s="102">
        <v>8</v>
      </c>
      <c r="Z27" s="102">
        <v>8</v>
      </c>
      <c r="AA27" s="102">
        <v>8</v>
      </c>
      <c r="AB27" s="102">
        <v>8</v>
      </c>
      <c r="AC27" s="102">
        <v>8</v>
      </c>
      <c r="AD27" s="102">
        <v>8</v>
      </c>
      <c r="AE27" s="102">
        <v>8</v>
      </c>
      <c r="AF27" s="102">
        <v>8</v>
      </c>
      <c r="AG27" s="130">
        <v>25</v>
      </c>
      <c r="AH27" s="12">
        <f t="shared" si="8"/>
        <v>8</v>
      </c>
      <c r="AI27" s="11">
        <f t="shared" si="9"/>
        <v>8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25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25">
      <c r="A29" s="89" t="s">
        <v>238</v>
      </c>
      <c r="B29" s="102">
        <v>13.4</v>
      </c>
      <c r="C29" s="102">
        <v>13.4</v>
      </c>
      <c r="D29" s="102">
        <v>13.4</v>
      </c>
      <c r="E29" s="102">
        <v>13.4</v>
      </c>
      <c r="F29" s="102">
        <v>13.4</v>
      </c>
      <c r="G29" s="102">
        <v>13.4</v>
      </c>
      <c r="H29" s="102">
        <v>10.1</v>
      </c>
      <c r="I29" s="102">
        <v>10.1</v>
      </c>
      <c r="J29" s="102">
        <v>10.1</v>
      </c>
      <c r="K29" s="102">
        <v>10.1</v>
      </c>
      <c r="L29" s="102">
        <v>10.1</v>
      </c>
      <c r="M29" s="102">
        <v>12.1</v>
      </c>
      <c r="N29" s="102">
        <v>12.1</v>
      </c>
      <c r="O29" s="102">
        <v>12.1</v>
      </c>
      <c r="P29" s="102">
        <v>12.1</v>
      </c>
      <c r="Q29" s="102">
        <v>12.1</v>
      </c>
      <c r="R29" s="102">
        <v>12.1</v>
      </c>
      <c r="S29" s="102">
        <v>12.1</v>
      </c>
      <c r="T29" s="102">
        <v>12.1</v>
      </c>
      <c r="U29" s="102">
        <v>12.1</v>
      </c>
      <c r="V29" s="102">
        <v>12.1</v>
      </c>
      <c r="W29" s="102">
        <v>12.1</v>
      </c>
      <c r="X29" s="102">
        <v>12.1</v>
      </c>
      <c r="Y29" s="102">
        <v>12.1</v>
      </c>
      <c r="Z29" s="102">
        <v>12.1</v>
      </c>
      <c r="AA29" s="102">
        <v>12.1</v>
      </c>
      <c r="AB29" s="102">
        <v>12.1</v>
      </c>
      <c r="AC29" s="102">
        <v>12.1</v>
      </c>
      <c r="AD29" s="102">
        <v>12.1</v>
      </c>
      <c r="AE29" s="102">
        <v>12.1</v>
      </c>
      <c r="AF29" s="102">
        <v>12.1</v>
      </c>
      <c r="AG29" s="130">
        <v>25</v>
      </c>
      <c r="AH29" s="12">
        <f t="shared" si="8"/>
        <v>13.4</v>
      </c>
      <c r="AI29" s="11">
        <f t="shared" si="9"/>
        <v>10.1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25">
      <c r="A30" s="89" t="s">
        <v>237</v>
      </c>
      <c r="B30" s="102">
        <v>5.8</v>
      </c>
      <c r="C30" s="102">
        <v>5.8</v>
      </c>
      <c r="D30" s="102">
        <v>5.8</v>
      </c>
      <c r="E30" s="102">
        <v>5.8</v>
      </c>
      <c r="F30" s="102">
        <v>5.8</v>
      </c>
      <c r="G30" s="102">
        <v>5.8</v>
      </c>
      <c r="H30" s="102">
        <v>5.0999999999999996</v>
      </c>
      <c r="I30" s="102">
        <v>5.0999999999999996</v>
      </c>
      <c r="J30" s="102">
        <v>5.0999999999999996</v>
      </c>
      <c r="K30" s="102">
        <v>5.0999999999999996</v>
      </c>
      <c r="L30" s="102">
        <v>5.0999999999999996</v>
      </c>
      <c r="M30" s="102">
        <v>5.0999999999999996</v>
      </c>
      <c r="N30" s="102">
        <v>5.0999999999999996</v>
      </c>
      <c r="O30" s="102">
        <v>5.0999999999999996</v>
      </c>
      <c r="P30" s="102">
        <v>5.0999999999999996</v>
      </c>
      <c r="Q30" s="102">
        <v>5.0999999999999996</v>
      </c>
      <c r="R30" s="102">
        <v>5.0999999999999996</v>
      </c>
      <c r="S30" s="102">
        <v>5.0999999999999996</v>
      </c>
      <c r="T30" s="102">
        <v>5.0999999999999996</v>
      </c>
      <c r="U30" s="102">
        <v>5.0999999999999996</v>
      </c>
      <c r="V30" s="102">
        <v>5.0999999999999996</v>
      </c>
      <c r="W30" s="102">
        <v>5.0999999999999996</v>
      </c>
      <c r="X30" s="102">
        <v>5.0999999999999996</v>
      </c>
      <c r="Y30" s="102">
        <v>5.0999999999999996</v>
      </c>
      <c r="Z30" s="102">
        <v>5.0999999999999996</v>
      </c>
      <c r="AA30" s="102">
        <v>5.0999999999999996</v>
      </c>
      <c r="AB30" s="102">
        <v>5.0999999999999996</v>
      </c>
      <c r="AC30" s="102">
        <v>5.0999999999999996</v>
      </c>
      <c r="AD30" s="102">
        <v>5.0999999999999996</v>
      </c>
      <c r="AE30" s="102">
        <v>5.0999999999999996</v>
      </c>
      <c r="AF30" s="102">
        <v>5.0999999999999996</v>
      </c>
      <c r="AG30" s="130">
        <v>23.5</v>
      </c>
      <c r="AH30" s="12">
        <f t="shared" si="8"/>
        <v>5.8</v>
      </c>
      <c r="AI30" s="11">
        <f t="shared" si="9"/>
        <v>5.0999999999999996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25">
      <c r="A31" s="89" t="s">
        <v>236</v>
      </c>
      <c r="B31" s="102">
        <v>7</v>
      </c>
      <c r="C31" s="102">
        <v>7</v>
      </c>
      <c r="D31" s="102">
        <v>7</v>
      </c>
      <c r="E31" s="102">
        <v>7</v>
      </c>
      <c r="F31" s="102">
        <v>7</v>
      </c>
      <c r="G31" s="102">
        <v>7</v>
      </c>
      <c r="H31" s="102">
        <v>7</v>
      </c>
      <c r="I31" s="102">
        <v>7</v>
      </c>
      <c r="J31" s="102">
        <v>7</v>
      </c>
      <c r="K31" s="102">
        <v>7</v>
      </c>
      <c r="L31" s="102">
        <v>7</v>
      </c>
      <c r="M31" s="102">
        <v>7</v>
      </c>
      <c r="N31" s="102">
        <v>7</v>
      </c>
      <c r="O31" s="102">
        <v>7</v>
      </c>
      <c r="P31" s="102">
        <v>7</v>
      </c>
      <c r="Q31" s="102">
        <v>7</v>
      </c>
      <c r="R31" s="102">
        <v>7</v>
      </c>
      <c r="S31" s="102">
        <v>7</v>
      </c>
      <c r="T31" s="102">
        <v>7</v>
      </c>
      <c r="U31" s="102">
        <v>7</v>
      </c>
      <c r="V31" s="102">
        <v>7</v>
      </c>
      <c r="W31" s="102">
        <v>7</v>
      </c>
      <c r="X31" s="102">
        <v>7</v>
      </c>
      <c r="Y31" s="102">
        <v>7</v>
      </c>
      <c r="Z31" s="102">
        <v>7</v>
      </c>
      <c r="AA31" s="102">
        <v>7</v>
      </c>
      <c r="AB31" s="102">
        <v>7</v>
      </c>
      <c r="AC31" s="102">
        <v>7</v>
      </c>
      <c r="AD31" s="102">
        <v>7</v>
      </c>
      <c r="AE31" s="102">
        <v>7</v>
      </c>
      <c r="AF31" s="102">
        <v>7</v>
      </c>
      <c r="AG31" s="130">
        <v>22.2</v>
      </c>
      <c r="AH31" s="12">
        <f t="shared" si="8"/>
        <v>7</v>
      </c>
      <c r="AI31" s="11">
        <f t="shared" si="9"/>
        <v>7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25">
      <c r="A32" s="89" t="s">
        <v>235</v>
      </c>
      <c r="B32" s="102">
        <v>3</v>
      </c>
      <c r="C32" s="102">
        <v>3</v>
      </c>
      <c r="D32" s="102">
        <v>3</v>
      </c>
      <c r="E32" s="102">
        <v>3</v>
      </c>
      <c r="F32" s="102">
        <v>3</v>
      </c>
      <c r="G32" s="102">
        <v>3</v>
      </c>
      <c r="H32" s="102">
        <v>3</v>
      </c>
      <c r="I32" s="102">
        <v>3</v>
      </c>
      <c r="J32" s="102">
        <v>3</v>
      </c>
      <c r="K32" s="102">
        <v>3</v>
      </c>
      <c r="L32" s="102">
        <v>3</v>
      </c>
      <c r="M32" s="102">
        <v>3</v>
      </c>
      <c r="N32" s="102">
        <v>3</v>
      </c>
      <c r="O32" s="102">
        <v>3</v>
      </c>
      <c r="P32" s="102">
        <v>3</v>
      </c>
      <c r="Q32" s="102">
        <v>3</v>
      </c>
      <c r="R32" s="102">
        <v>3</v>
      </c>
      <c r="S32" s="102">
        <v>3</v>
      </c>
      <c r="T32" s="102">
        <v>3</v>
      </c>
      <c r="U32" s="102">
        <v>3</v>
      </c>
      <c r="V32" s="102">
        <v>3</v>
      </c>
      <c r="W32" s="102">
        <v>3</v>
      </c>
      <c r="X32" s="102">
        <v>3</v>
      </c>
      <c r="Y32" s="102">
        <v>3</v>
      </c>
      <c r="Z32" s="102">
        <v>3</v>
      </c>
      <c r="AA32" s="102">
        <v>3</v>
      </c>
      <c r="AB32" s="102">
        <v>3</v>
      </c>
      <c r="AC32" s="102">
        <v>3</v>
      </c>
      <c r="AD32" s="102">
        <v>3</v>
      </c>
      <c r="AE32" s="102">
        <v>3</v>
      </c>
      <c r="AF32" s="102">
        <v>3</v>
      </c>
      <c r="AG32" s="130">
        <v>22.1</v>
      </c>
      <c r="AH32" s="12">
        <f t="shared" si="8"/>
        <v>3</v>
      </c>
      <c r="AI32" s="11">
        <f t="shared" si="9"/>
        <v>3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25">
      <c r="A33" s="89" t="s">
        <v>234</v>
      </c>
      <c r="B33" s="102">
        <v>3.9</v>
      </c>
      <c r="C33" s="102">
        <v>3.9</v>
      </c>
      <c r="D33" s="102">
        <v>3.9</v>
      </c>
      <c r="E33" s="102">
        <v>3.9</v>
      </c>
      <c r="F33" s="102">
        <v>3.9</v>
      </c>
      <c r="G33" s="102">
        <v>3.9</v>
      </c>
      <c r="H33" s="102">
        <v>3.9</v>
      </c>
      <c r="I33" s="102">
        <v>3.9</v>
      </c>
      <c r="J33" s="102">
        <v>3.9</v>
      </c>
      <c r="K33" s="102">
        <v>3.9</v>
      </c>
      <c r="L33" s="102">
        <v>3.9</v>
      </c>
      <c r="M33" s="102">
        <v>3.9</v>
      </c>
      <c r="N33" s="102">
        <v>3.9</v>
      </c>
      <c r="O33" s="102">
        <v>3.9</v>
      </c>
      <c r="P33" s="102">
        <v>3.9</v>
      </c>
      <c r="Q33" s="102">
        <v>3.9</v>
      </c>
      <c r="R33" s="102">
        <v>3.9</v>
      </c>
      <c r="S33" s="102">
        <v>3.9</v>
      </c>
      <c r="T33" s="102">
        <v>3.9</v>
      </c>
      <c r="U33" s="102">
        <v>3.9</v>
      </c>
      <c r="V33" s="102">
        <v>3.9</v>
      </c>
      <c r="W33" s="102">
        <v>3.9</v>
      </c>
      <c r="X33" s="102">
        <v>3.9</v>
      </c>
      <c r="Y33" s="102">
        <v>3.9</v>
      </c>
      <c r="Z33" s="102">
        <v>3.9</v>
      </c>
      <c r="AA33" s="102">
        <v>3.9</v>
      </c>
      <c r="AB33" s="102">
        <v>3.9</v>
      </c>
      <c r="AC33" s="102">
        <v>3.9</v>
      </c>
      <c r="AD33" s="102">
        <v>3.9</v>
      </c>
      <c r="AE33" s="102">
        <v>3.9</v>
      </c>
      <c r="AF33" s="102">
        <v>3.9</v>
      </c>
      <c r="AG33" s="130">
        <v>22</v>
      </c>
      <c r="AH33" s="12">
        <f t="shared" si="8"/>
        <v>3.9</v>
      </c>
      <c r="AI33" s="11">
        <f t="shared" si="9"/>
        <v>3.9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25">
      <c r="A34" s="89" t="s">
        <v>233</v>
      </c>
      <c r="B34" s="102">
        <v>12.6</v>
      </c>
      <c r="C34" s="102">
        <v>12.6</v>
      </c>
      <c r="D34" s="102">
        <v>12.6</v>
      </c>
      <c r="E34" s="102">
        <v>12.6</v>
      </c>
      <c r="F34" s="102">
        <v>12.6</v>
      </c>
      <c r="G34" s="102">
        <v>12.6</v>
      </c>
      <c r="H34" s="102">
        <v>10.7</v>
      </c>
      <c r="I34" s="102">
        <v>10.7</v>
      </c>
      <c r="J34" s="102">
        <v>10.7</v>
      </c>
      <c r="K34" s="102">
        <v>10.7</v>
      </c>
      <c r="L34" s="102">
        <v>10.7</v>
      </c>
      <c r="M34" s="102">
        <v>10.8</v>
      </c>
      <c r="N34" s="102">
        <v>10.8</v>
      </c>
      <c r="O34" s="102">
        <v>10.8</v>
      </c>
      <c r="P34" s="102">
        <v>10.8</v>
      </c>
      <c r="Q34" s="102">
        <v>10.8</v>
      </c>
      <c r="R34" s="102">
        <v>10.8</v>
      </c>
      <c r="S34" s="102">
        <v>10.8</v>
      </c>
      <c r="T34" s="102">
        <v>10.8</v>
      </c>
      <c r="U34" s="102">
        <v>10.8</v>
      </c>
      <c r="V34" s="102">
        <v>10.8</v>
      </c>
      <c r="W34" s="102">
        <v>10.8</v>
      </c>
      <c r="X34" s="102">
        <v>10.8</v>
      </c>
      <c r="Y34" s="102">
        <v>10.8</v>
      </c>
      <c r="Z34" s="102">
        <v>10.8</v>
      </c>
      <c r="AA34" s="102">
        <v>10.8</v>
      </c>
      <c r="AB34" s="102">
        <v>10.8</v>
      </c>
      <c r="AC34" s="102">
        <v>10.8</v>
      </c>
      <c r="AD34" s="102">
        <v>10.8</v>
      </c>
      <c r="AE34" s="102">
        <v>10.8</v>
      </c>
      <c r="AF34" s="102">
        <v>10.8</v>
      </c>
      <c r="AG34" s="130">
        <v>22</v>
      </c>
      <c r="AH34" s="12">
        <f t="shared" si="8"/>
        <v>12.6</v>
      </c>
      <c r="AI34" s="11">
        <f t="shared" si="9"/>
        <v>10.7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25">
      <c r="A35" s="89" t="s">
        <v>232</v>
      </c>
      <c r="B35" s="102">
        <v>11.1</v>
      </c>
      <c r="C35" s="102">
        <v>11.1</v>
      </c>
      <c r="D35" s="102">
        <v>11.1</v>
      </c>
      <c r="E35" s="102">
        <v>11.1</v>
      </c>
      <c r="F35" s="102">
        <v>11.1</v>
      </c>
      <c r="G35" s="102">
        <v>11.1</v>
      </c>
      <c r="H35" s="102">
        <v>9.6</v>
      </c>
      <c r="I35" s="102">
        <v>9.6</v>
      </c>
      <c r="J35" s="102">
        <v>9.6</v>
      </c>
      <c r="K35" s="102">
        <v>9.6</v>
      </c>
      <c r="L35" s="102">
        <v>9.6</v>
      </c>
      <c r="M35" s="102">
        <v>9.6</v>
      </c>
      <c r="N35" s="102">
        <v>9.6</v>
      </c>
      <c r="O35" s="102">
        <v>9.6</v>
      </c>
      <c r="P35" s="102">
        <v>9.6</v>
      </c>
      <c r="Q35" s="102">
        <v>9.6</v>
      </c>
      <c r="R35" s="102">
        <v>9.6</v>
      </c>
      <c r="S35" s="102">
        <v>9.6</v>
      </c>
      <c r="T35" s="102">
        <v>9.6</v>
      </c>
      <c r="U35" s="102">
        <v>9.6</v>
      </c>
      <c r="V35" s="102">
        <v>9.6</v>
      </c>
      <c r="W35" s="102">
        <v>9.6</v>
      </c>
      <c r="X35" s="102">
        <v>9.6</v>
      </c>
      <c r="Y35" s="102">
        <v>9.6</v>
      </c>
      <c r="Z35" s="102">
        <v>9.6</v>
      </c>
      <c r="AA35" s="102">
        <v>9.6</v>
      </c>
      <c r="AB35" s="102">
        <v>9.6</v>
      </c>
      <c r="AC35" s="102">
        <v>9.6</v>
      </c>
      <c r="AD35" s="102">
        <v>9.6</v>
      </c>
      <c r="AE35" s="102">
        <v>9.6</v>
      </c>
      <c r="AF35" s="102">
        <v>9.6</v>
      </c>
      <c r="AG35" s="130">
        <v>20</v>
      </c>
      <c r="AH35" s="12">
        <f t="shared" si="8"/>
        <v>11.1</v>
      </c>
      <c r="AI35" s="11">
        <f t="shared" si="9"/>
        <v>9.6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25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25">
      <c r="A37" s="89" t="s">
        <v>230</v>
      </c>
      <c r="B37" s="102">
        <v>5.8</v>
      </c>
      <c r="C37" s="102">
        <v>5.8</v>
      </c>
      <c r="D37" s="102">
        <v>5.8</v>
      </c>
      <c r="E37" s="102">
        <v>5.8</v>
      </c>
      <c r="F37" s="102">
        <v>5.8</v>
      </c>
      <c r="G37" s="102">
        <v>5.8</v>
      </c>
      <c r="H37" s="102">
        <v>5.8</v>
      </c>
      <c r="I37" s="102">
        <v>5.8</v>
      </c>
      <c r="J37" s="102">
        <v>5.8</v>
      </c>
      <c r="K37" s="102">
        <v>5.8</v>
      </c>
      <c r="L37" s="102">
        <v>5.8</v>
      </c>
      <c r="M37" s="102">
        <v>5.8</v>
      </c>
      <c r="N37" s="102">
        <v>5.8</v>
      </c>
      <c r="O37" s="102">
        <v>5.8</v>
      </c>
      <c r="P37" s="102">
        <v>5.8</v>
      </c>
      <c r="Q37" s="102">
        <v>5.8</v>
      </c>
      <c r="R37" s="102">
        <v>5.8</v>
      </c>
      <c r="S37" s="102">
        <v>5.8</v>
      </c>
      <c r="T37" s="102">
        <v>5.8</v>
      </c>
      <c r="U37" s="102">
        <v>5.8</v>
      </c>
      <c r="V37" s="102">
        <v>5.8</v>
      </c>
      <c r="W37" s="102">
        <v>5.8</v>
      </c>
      <c r="X37" s="102">
        <v>5.8</v>
      </c>
      <c r="Y37" s="102">
        <v>5.8</v>
      </c>
      <c r="Z37" s="102">
        <v>5.8</v>
      </c>
      <c r="AA37" s="102">
        <v>5.8</v>
      </c>
      <c r="AB37" s="102">
        <v>5.8</v>
      </c>
      <c r="AC37" s="102">
        <v>5.8</v>
      </c>
      <c r="AD37" s="102">
        <v>5.8</v>
      </c>
      <c r="AE37" s="102">
        <v>5.8</v>
      </c>
      <c r="AF37" s="102">
        <v>5.8</v>
      </c>
      <c r="AG37" s="130">
        <v>18</v>
      </c>
      <c r="AH37" s="12">
        <f t="shared" si="8"/>
        <v>5.8</v>
      </c>
      <c r="AI37" s="11">
        <f t="shared" si="9"/>
        <v>5.8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25">
      <c r="A38" s="89" t="s">
        <v>229</v>
      </c>
      <c r="B38" s="102">
        <v>5.0999999999999996</v>
      </c>
      <c r="C38" s="102">
        <v>5.0999999999999996</v>
      </c>
      <c r="D38" s="102">
        <v>5.0999999999999996</v>
      </c>
      <c r="E38" s="102">
        <v>5.0999999999999996</v>
      </c>
      <c r="F38" s="102">
        <v>5.0999999999999996</v>
      </c>
      <c r="G38" s="102">
        <v>5.0999999999999996</v>
      </c>
      <c r="H38" s="102">
        <v>5.0999999999999996</v>
      </c>
      <c r="I38" s="102">
        <v>5.0999999999999996</v>
      </c>
      <c r="J38" s="102">
        <v>5.0999999999999996</v>
      </c>
      <c r="K38" s="102">
        <v>5.0999999999999996</v>
      </c>
      <c r="L38" s="102">
        <v>5.0999999999999996</v>
      </c>
      <c r="M38" s="102">
        <v>5.0999999999999996</v>
      </c>
      <c r="N38" s="102">
        <v>5.0999999999999996</v>
      </c>
      <c r="O38" s="102">
        <v>5.0999999999999996</v>
      </c>
      <c r="P38" s="102">
        <v>5.0999999999999996</v>
      </c>
      <c r="Q38" s="102">
        <v>5.0999999999999996</v>
      </c>
      <c r="R38" s="102">
        <v>5.0999999999999996</v>
      </c>
      <c r="S38" s="102">
        <v>5.0999999999999996</v>
      </c>
      <c r="T38" s="102">
        <v>5.0999999999999996</v>
      </c>
      <c r="U38" s="102">
        <v>5.0999999999999996</v>
      </c>
      <c r="V38" s="102">
        <v>5.0999999999999996</v>
      </c>
      <c r="W38" s="102">
        <v>5.0999999999999996</v>
      </c>
      <c r="X38" s="102">
        <v>5.0999999999999996</v>
      </c>
      <c r="Y38" s="102">
        <v>5.0999999999999996</v>
      </c>
      <c r="Z38" s="102">
        <v>5.0999999999999996</v>
      </c>
      <c r="AA38" s="102">
        <v>5.0999999999999996</v>
      </c>
      <c r="AB38" s="102">
        <v>5.0999999999999996</v>
      </c>
      <c r="AC38" s="102">
        <v>5.0999999999999996</v>
      </c>
      <c r="AD38" s="102">
        <v>5.0999999999999996</v>
      </c>
      <c r="AE38" s="102">
        <v>5.0999999999999996</v>
      </c>
      <c r="AF38" s="102">
        <v>5.0999999999999996</v>
      </c>
      <c r="AG38" s="130">
        <v>14.9</v>
      </c>
      <c r="AH38" s="12">
        <f t="shared" si="8"/>
        <v>5.0999999999999996</v>
      </c>
      <c r="AI38" s="11">
        <f t="shared" si="9"/>
        <v>5.0999999999999996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25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25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25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25">
      <c r="A42" s="89" t="s">
        <v>225</v>
      </c>
      <c r="B42" s="102">
        <v>5.2</v>
      </c>
      <c r="C42" s="102">
        <v>5.2</v>
      </c>
      <c r="D42" s="102">
        <v>5.2</v>
      </c>
      <c r="E42" s="102">
        <v>5.2</v>
      </c>
      <c r="F42" s="102">
        <v>5.2</v>
      </c>
      <c r="G42" s="102">
        <v>5.2</v>
      </c>
      <c r="H42" s="102">
        <v>5.2</v>
      </c>
      <c r="I42" s="102">
        <v>5.2</v>
      </c>
      <c r="J42" s="102">
        <v>5.2</v>
      </c>
      <c r="K42" s="102">
        <v>5.2</v>
      </c>
      <c r="L42" s="102">
        <v>5.2</v>
      </c>
      <c r="M42" s="102">
        <v>5.2</v>
      </c>
      <c r="N42" s="102">
        <v>5.2</v>
      </c>
      <c r="O42" s="102">
        <v>5.2</v>
      </c>
      <c r="P42" s="102">
        <v>5.2</v>
      </c>
      <c r="Q42" s="102">
        <v>5.2</v>
      </c>
      <c r="R42" s="102">
        <v>5.2</v>
      </c>
      <c r="S42" s="102">
        <v>5.2</v>
      </c>
      <c r="T42" s="102">
        <v>5.2</v>
      </c>
      <c r="U42" s="102">
        <v>5.2</v>
      </c>
      <c r="V42" s="102">
        <v>5.2</v>
      </c>
      <c r="W42" s="102">
        <v>5.2</v>
      </c>
      <c r="X42" s="102">
        <v>5.2</v>
      </c>
      <c r="Y42" s="102">
        <v>5.2</v>
      </c>
      <c r="Z42" s="102">
        <v>5.2</v>
      </c>
      <c r="AA42" s="102">
        <v>5.2</v>
      </c>
      <c r="AB42" s="102">
        <v>5.2</v>
      </c>
      <c r="AC42" s="102">
        <v>5.2</v>
      </c>
      <c r="AD42" s="102">
        <v>5.2</v>
      </c>
      <c r="AE42" s="102">
        <v>5.2</v>
      </c>
      <c r="AF42" s="102">
        <v>5.2</v>
      </c>
      <c r="AG42" s="130">
        <v>13.6</v>
      </c>
      <c r="AH42" s="12">
        <f t="shared" si="8"/>
        <v>5.2</v>
      </c>
      <c r="AI42" s="11">
        <f t="shared" si="9"/>
        <v>5.2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25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25">
      <c r="A44" s="89" t="s">
        <v>223</v>
      </c>
      <c r="B44" s="102">
        <v>0</v>
      </c>
      <c r="C44" s="102">
        <v>0</v>
      </c>
      <c r="D44" s="102">
        <v>0</v>
      </c>
      <c r="E44" s="102">
        <v>0</v>
      </c>
      <c r="F44" s="102">
        <v>0</v>
      </c>
      <c r="G44" s="102">
        <v>0</v>
      </c>
      <c r="H44" s="102">
        <v>0</v>
      </c>
      <c r="I44" s="102">
        <v>0</v>
      </c>
      <c r="J44" s="102">
        <v>0</v>
      </c>
      <c r="K44" s="102">
        <v>0</v>
      </c>
      <c r="L44" s="102">
        <v>0</v>
      </c>
      <c r="M44" s="102">
        <v>0</v>
      </c>
      <c r="N44" s="102">
        <v>0</v>
      </c>
      <c r="O44" s="102">
        <v>0</v>
      </c>
      <c r="P44" s="102">
        <v>0</v>
      </c>
      <c r="Q44" s="102">
        <v>0</v>
      </c>
      <c r="R44" s="102">
        <v>0</v>
      </c>
      <c r="S44" s="102">
        <v>0</v>
      </c>
      <c r="T44" s="102">
        <v>0</v>
      </c>
      <c r="U44" s="102">
        <v>0</v>
      </c>
      <c r="V44" s="102">
        <v>0</v>
      </c>
      <c r="W44" s="102">
        <v>0</v>
      </c>
      <c r="X44" s="102">
        <v>0</v>
      </c>
      <c r="Y44" s="102">
        <v>0</v>
      </c>
      <c r="Z44" s="102">
        <v>0</v>
      </c>
      <c r="AA44" s="102">
        <v>0</v>
      </c>
      <c r="AB44" s="102">
        <v>0</v>
      </c>
      <c r="AC44" s="102">
        <v>0</v>
      </c>
      <c r="AD44" s="102">
        <v>0</v>
      </c>
      <c r="AE44" s="102">
        <v>0</v>
      </c>
      <c r="AF44" s="102">
        <v>0</v>
      </c>
      <c r="AG44" s="130">
        <v>12</v>
      </c>
      <c r="AH44" s="12">
        <f t="shared" si="8"/>
        <v>0</v>
      </c>
      <c r="AI44" s="11">
        <f t="shared" si="9"/>
        <v>0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25">
      <c r="A45" s="89" t="s">
        <v>222</v>
      </c>
      <c r="B45" s="102">
        <v>3.5</v>
      </c>
      <c r="C45" s="102">
        <v>3.5</v>
      </c>
      <c r="D45" s="102">
        <v>3.5</v>
      </c>
      <c r="E45" s="102">
        <v>3.5</v>
      </c>
      <c r="F45" s="102">
        <v>3.5</v>
      </c>
      <c r="G45" s="102">
        <v>3.5</v>
      </c>
      <c r="H45" s="102">
        <v>3.5</v>
      </c>
      <c r="I45" s="102">
        <v>3.5</v>
      </c>
      <c r="J45" s="102">
        <v>3.5</v>
      </c>
      <c r="K45" s="102">
        <v>3.5</v>
      </c>
      <c r="L45" s="102">
        <v>3.5</v>
      </c>
      <c r="M45" s="102">
        <v>3.5</v>
      </c>
      <c r="N45" s="102">
        <v>3.5</v>
      </c>
      <c r="O45" s="102">
        <v>3.5</v>
      </c>
      <c r="P45" s="102">
        <v>3.5</v>
      </c>
      <c r="Q45" s="102">
        <v>3.5</v>
      </c>
      <c r="R45" s="102">
        <v>3.5</v>
      </c>
      <c r="S45" s="102">
        <v>3.5</v>
      </c>
      <c r="T45" s="102">
        <v>3.5</v>
      </c>
      <c r="U45" s="102">
        <v>3.5</v>
      </c>
      <c r="V45" s="102">
        <v>3.5</v>
      </c>
      <c r="W45" s="102">
        <v>3.5</v>
      </c>
      <c r="X45" s="102">
        <v>3.5</v>
      </c>
      <c r="Y45" s="102">
        <v>3.5</v>
      </c>
      <c r="Z45" s="102">
        <v>3.5</v>
      </c>
      <c r="AA45" s="102">
        <v>3.5</v>
      </c>
      <c r="AB45" s="102">
        <v>3.5</v>
      </c>
      <c r="AC45" s="102">
        <v>3.5</v>
      </c>
      <c r="AD45" s="102">
        <v>3.5</v>
      </c>
      <c r="AE45" s="102">
        <v>3.5</v>
      </c>
      <c r="AF45" s="102">
        <v>3.5</v>
      </c>
      <c r="AG45" s="130">
        <v>12</v>
      </c>
      <c r="AH45" s="12">
        <f t="shared" si="8"/>
        <v>3.5</v>
      </c>
      <c r="AI45" s="11">
        <f t="shared" si="9"/>
        <v>3.5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25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25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25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25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25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25">
      <c r="A51" s="87" t="s">
        <v>216</v>
      </c>
      <c r="B51" s="102">
        <v>3</v>
      </c>
      <c r="C51" s="102">
        <v>3</v>
      </c>
      <c r="D51" s="102">
        <v>3</v>
      </c>
      <c r="E51" s="102">
        <v>3</v>
      </c>
      <c r="F51" s="102">
        <v>3</v>
      </c>
      <c r="G51" s="102">
        <v>3</v>
      </c>
      <c r="H51" s="102">
        <v>3</v>
      </c>
      <c r="I51" s="102">
        <v>3</v>
      </c>
      <c r="J51" s="102">
        <v>3</v>
      </c>
      <c r="K51" s="102">
        <v>3</v>
      </c>
      <c r="L51" s="102">
        <v>3</v>
      </c>
      <c r="M51" s="102">
        <v>3</v>
      </c>
      <c r="N51" s="102">
        <v>3</v>
      </c>
      <c r="O51" s="102">
        <v>3</v>
      </c>
      <c r="P51" s="102">
        <v>3</v>
      </c>
      <c r="Q51" s="102">
        <v>3</v>
      </c>
      <c r="R51" s="102">
        <v>3</v>
      </c>
      <c r="S51" s="102">
        <v>3</v>
      </c>
      <c r="T51" s="102">
        <v>3</v>
      </c>
      <c r="U51" s="102">
        <v>3</v>
      </c>
      <c r="V51" s="102">
        <v>3</v>
      </c>
      <c r="W51" s="102">
        <v>3</v>
      </c>
      <c r="X51" s="102">
        <v>3</v>
      </c>
      <c r="Y51" s="102">
        <v>3</v>
      </c>
      <c r="Z51" s="102">
        <v>3</v>
      </c>
      <c r="AA51" s="102">
        <v>3</v>
      </c>
      <c r="AB51" s="102">
        <v>3</v>
      </c>
      <c r="AC51" s="102">
        <v>3</v>
      </c>
      <c r="AD51" s="102">
        <v>3</v>
      </c>
      <c r="AE51" s="102">
        <v>3</v>
      </c>
      <c r="AF51" s="102">
        <v>3</v>
      </c>
      <c r="AG51" s="86">
        <v>11</v>
      </c>
      <c r="AH51" s="12">
        <f t="shared" si="8"/>
        <v>3</v>
      </c>
      <c r="AI51" s="11">
        <f t="shared" si="9"/>
        <v>3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25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25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8.6999999999999993</v>
      </c>
      <c r="AA53" s="102">
        <v>8.6999999999999993</v>
      </c>
      <c r="AB53" s="102">
        <v>8.6999999999999993</v>
      </c>
      <c r="AC53" s="102">
        <v>8.6999999999999993</v>
      </c>
      <c r="AD53" s="102">
        <v>8.6999999999999993</v>
      </c>
      <c r="AE53" s="102">
        <v>8.6999999999999993</v>
      </c>
      <c r="AF53" s="102">
        <v>8.6999999999999993</v>
      </c>
      <c r="AG53" s="86">
        <v>10</v>
      </c>
      <c r="AH53" s="12">
        <f t="shared" si="8"/>
        <v>8.6999999999999993</v>
      </c>
      <c r="AI53" s="11">
        <f t="shared" si="9"/>
        <v>8.6999999999999993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25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25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25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.75" thickBot="1" x14ac:dyDescent="0.3">
      <c r="A57" s="124" t="s">
        <v>210</v>
      </c>
      <c r="B57" s="122">
        <v>50.2</v>
      </c>
      <c r="C57" s="122">
        <v>50.2</v>
      </c>
      <c r="D57" s="122">
        <v>50.2</v>
      </c>
      <c r="E57" s="122">
        <v>50.2</v>
      </c>
      <c r="F57" s="122">
        <v>44.6</v>
      </c>
      <c r="G57" s="122">
        <v>44.6</v>
      </c>
      <c r="H57" s="122">
        <v>36.299999999999997</v>
      </c>
      <c r="I57" s="122">
        <v>36.299999999999997</v>
      </c>
      <c r="J57" s="122">
        <v>36.299999999999997</v>
      </c>
      <c r="K57" s="122">
        <v>35.700000000000003</v>
      </c>
      <c r="L57" s="122">
        <v>34.9</v>
      </c>
      <c r="M57" s="122">
        <v>34.9</v>
      </c>
      <c r="N57" s="122">
        <f>20.5+11.8</f>
        <v>32.299999999999997</v>
      </c>
      <c r="O57" s="122">
        <f>20.5+11.8</f>
        <v>32.299999999999997</v>
      </c>
      <c r="P57" s="122">
        <f>20.5+11.8</f>
        <v>32.299999999999997</v>
      </c>
      <c r="Q57" s="123">
        <f>21.4+12.7</f>
        <v>34.099999999999994</v>
      </c>
      <c r="R57" s="123">
        <f>21.4+12.7</f>
        <v>34.099999999999994</v>
      </c>
      <c r="S57" s="123">
        <v>31.1</v>
      </c>
      <c r="T57" s="123">
        <v>31.1</v>
      </c>
      <c r="U57" s="123">
        <v>18.7</v>
      </c>
      <c r="V57" s="123">
        <v>32.200000000000003</v>
      </c>
      <c r="W57" s="123">
        <v>32.1</v>
      </c>
      <c r="X57" s="123">
        <v>32.1</v>
      </c>
      <c r="Y57" s="123">
        <v>9.3000000000000007</v>
      </c>
      <c r="Z57" s="122">
        <v>9.3000000000000007</v>
      </c>
      <c r="AA57" s="122">
        <v>33.6</v>
      </c>
      <c r="AB57" s="122">
        <v>33.6</v>
      </c>
      <c r="AC57" s="122">
        <v>33.6</v>
      </c>
      <c r="AD57" s="122">
        <v>33.6</v>
      </c>
      <c r="AE57" s="122">
        <v>33.6</v>
      </c>
      <c r="AF57" s="122">
        <v>33.6</v>
      </c>
      <c r="AG57" s="86">
        <v>240</v>
      </c>
      <c r="AH57" s="12">
        <f t="shared" si="8"/>
        <v>50.2</v>
      </c>
      <c r="AI57" s="11">
        <f t="shared" si="9"/>
        <v>9.3000000000000007</v>
      </c>
      <c r="AK57" s="19"/>
    </row>
    <row r="58" spans="1:88" ht="15.75" thickBot="1" x14ac:dyDescent="0.3">
      <c r="A58" s="121" t="s">
        <v>209</v>
      </c>
      <c r="B58" s="76">
        <f t="shared" ref="B58:AA58" si="22">SUM(B11:B56)</f>
        <v>515.20000000000005</v>
      </c>
      <c r="C58" s="76">
        <f t="shared" si="22"/>
        <v>515.20000000000005</v>
      </c>
      <c r="D58" s="76">
        <f t="shared" ref="D58" si="23">SUM(D11:D56)</f>
        <v>515.20000000000005</v>
      </c>
      <c r="E58" s="76">
        <f t="shared" si="22"/>
        <v>508.40000000000003</v>
      </c>
      <c r="F58" s="76">
        <f t="shared" si="22"/>
        <v>508.40000000000003</v>
      </c>
      <c r="G58" s="76">
        <f t="shared" si="22"/>
        <v>508.40000000000003</v>
      </c>
      <c r="H58" s="76">
        <f t="shared" si="22"/>
        <v>514.79999999999995</v>
      </c>
      <c r="I58" s="76">
        <f t="shared" ref="I58" si="24">SUM(I11:I56)</f>
        <v>516.79999999999995</v>
      </c>
      <c r="J58" s="76">
        <f t="shared" si="22"/>
        <v>516.79999999999995</v>
      </c>
      <c r="K58" s="76">
        <f t="shared" si="22"/>
        <v>516.79999999999995</v>
      </c>
      <c r="L58" s="76">
        <f t="shared" si="22"/>
        <v>513.70000000000005</v>
      </c>
      <c r="M58" s="76">
        <f t="shared" si="22"/>
        <v>507.80000000000007</v>
      </c>
      <c r="N58" s="76">
        <f t="shared" si="22"/>
        <v>507.80000000000007</v>
      </c>
      <c r="O58" s="76">
        <f t="shared" si="22"/>
        <v>507.80000000000007</v>
      </c>
      <c r="P58" s="76">
        <f t="shared" si="22"/>
        <v>507.80000000000007</v>
      </c>
      <c r="Q58" s="76">
        <f t="shared" si="22"/>
        <v>506.80000000000007</v>
      </c>
      <c r="R58" s="76">
        <f t="shared" si="22"/>
        <v>506.80000000000007</v>
      </c>
      <c r="S58" s="76">
        <f t="shared" si="22"/>
        <v>506.80000000000007</v>
      </c>
      <c r="T58" s="76">
        <f t="shared" si="22"/>
        <v>506.80000000000007</v>
      </c>
      <c r="U58" s="76">
        <f t="shared" si="22"/>
        <v>506.80000000000007</v>
      </c>
      <c r="V58" s="76">
        <f t="shared" si="22"/>
        <v>506.80000000000007</v>
      </c>
      <c r="W58" s="76">
        <f t="shared" si="22"/>
        <v>506.80000000000007</v>
      </c>
      <c r="X58" s="76">
        <f t="shared" si="22"/>
        <v>506.80000000000007</v>
      </c>
      <c r="Y58" s="76">
        <f t="shared" si="22"/>
        <v>506.80000000000007</v>
      </c>
      <c r="Z58" s="76">
        <v>506.80000000000007</v>
      </c>
      <c r="AA58" s="76">
        <f t="shared" si="22"/>
        <v>506.80000000000007</v>
      </c>
      <c r="AB58" s="76">
        <f t="shared" ref="AB58:AC58" si="25">SUM(AB11:AB56)</f>
        <v>506.80000000000007</v>
      </c>
      <c r="AC58" s="76">
        <f t="shared" si="25"/>
        <v>506.80000000000007</v>
      </c>
      <c r="AD58" s="76">
        <f t="shared" ref="AD58:AE58" si="26">SUM(AD11:AD56)</f>
        <v>506.80000000000007</v>
      </c>
      <c r="AE58" s="76">
        <f t="shared" si="26"/>
        <v>506.80000000000007</v>
      </c>
      <c r="AF58" s="76">
        <f t="shared" ref="AF58" si="27">SUM(AF11:AF56)</f>
        <v>506.80000000000007</v>
      </c>
      <c r="AG58" s="93">
        <f>SUM(AG14:AG56)</f>
        <v>1042.4000000000001</v>
      </c>
      <c r="AH58" s="12">
        <f t="shared" si="8"/>
        <v>516.79999999999995</v>
      </c>
      <c r="AI58" s="11">
        <f t="shared" si="9"/>
        <v>506.80000000000007</v>
      </c>
      <c r="AK58" s="19"/>
    </row>
    <row r="59" spans="1:88" x14ac:dyDescent="0.25">
      <c r="A59" s="120" t="s">
        <v>208</v>
      </c>
      <c r="B59" s="102">
        <v>181</v>
      </c>
      <c r="C59" s="102">
        <v>100</v>
      </c>
      <c r="D59" s="102">
        <v>100</v>
      </c>
      <c r="E59" s="102">
        <v>150</v>
      </c>
      <c r="F59" s="102">
        <v>150</v>
      </c>
      <c r="G59" s="102">
        <v>152.6</v>
      </c>
      <c r="H59" s="102">
        <v>220</v>
      </c>
      <c r="I59" s="102">
        <v>220</v>
      </c>
      <c r="J59" s="102">
        <v>0</v>
      </c>
      <c r="K59" s="102">
        <v>0</v>
      </c>
      <c r="L59" s="102">
        <v>15</v>
      </c>
      <c r="M59" s="102">
        <v>15</v>
      </c>
      <c r="N59" s="119">
        <v>15.1</v>
      </c>
      <c r="O59" s="119">
        <v>50.1</v>
      </c>
      <c r="P59" s="119">
        <v>15.1</v>
      </c>
      <c r="Q59" s="119">
        <v>15</v>
      </c>
      <c r="R59" s="119">
        <v>40</v>
      </c>
      <c r="S59" s="119">
        <v>40</v>
      </c>
      <c r="T59" s="119">
        <v>40</v>
      </c>
      <c r="U59" s="119">
        <v>15</v>
      </c>
      <c r="V59" s="119">
        <v>0</v>
      </c>
      <c r="W59" s="119">
        <v>0</v>
      </c>
      <c r="X59" s="119">
        <v>0</v>
      </c>
      <c r="Y59" s="119">
        <v>304</v>
      </c>
      <c r="Z59" s="102">
        <v>400</v>
      </c>
      <c r="AA59" s="102">
        <v>400</v>
      </c>
      <c r="AB59" s="102">
        <v>300</v>
      </c>
      <c r="AC59" s="102">
        <v>300</v>
      </c>
      <c r="AD59" s="102">
        <v>260</v>
      </c>
      <c r="AE59" s="102">
        <v>260</v>
      </c>
      <c r="AF59" s="102">
        <v>180</v>
      </c>
      <c r="AG59" s="88">
        <v>456</v>
      </c>
      <c r="AH59" s="12">
        <f t="shared" si="8"/>
        <v>400</v>
      </c>
      <c r="AI59" s="11">
        <f t="shared" si="9"/>
        <v>0</v>
      </c>
      <c r="AK59" s="19"/>
    </row>
    <row r="60" spans="1:88" x14ac:dyDescent="0.25">
      <c r="A60" s="118" t="s">
        <v>207</v>
      </c>
      <c r="B60" s="70">
        <v>29</v>
      </c>
      <c r="C60" s="70">
        <v>29</v>
      </c>
      <c r="D60" s="70">
        <v>29</v>
      </c>
      <c r="E60" s="70">
        <v>26.1</v>
      </c>
      <c r="F60" s="70">
        <v>26.1</v>
      </c>
      <c r="G60" s="70">
        <v>25.6</v>
      </c>
      <c r="H60" s="70">
        <v>24.6</v>
      </c>
      <c r="I60" s="70">
        <v>25</v>
      </c>
      <c r="J60" s="70">
        <v>24</v>
      </c>
      <c r="K60" s="70">
        <v>22.2</v>
      </c>
      <c r="L60" s="70">
        <v>22.8</v>
      </c>
      <c r="M60" s="70">
        <v>22.8</v>
      </c>
      <c r="N60" s="70">
        <v>22.5</v>
      </c>
      <c r="O60" s="70">
        <v>21.6</v>
      </c>
      <c r="P60" s="70">
        <v>21.7</v>
      </c>
      <c r="Q60" s="70">
        <v>21.7</v>
      </c>
      <c r="R60" s="70">
        <v>21</v>
      </c>
      <c r="S60" s="70">
        <v>21</v>
      </c>
      <c r="T60" s="70">
        <v>22.3</v>
      </c>
      <c r="U60" s="70">
        <v>22.3</v>
      </c>
      <c r="V60" s="70">
        <v>22.3</v>
      </c>
      <c r="W60" s="70">
        <v>22.3</v>
      </c>
      <c r="X60" s="70">
        <v>22.3</v>
      </c>
      <c r="Y60" s="70">
        <v>22.3</v>
      </c>
      <c r="Z60" s="70">
        <v>22.3</v>
      </c>
      <c r="AA60" s="70">
        <v>22.3</v>
      </c>
      <c r="AB60" s="70">
        <v>22.3</v>
      </c>
      <c r="AC60" s="70">
        <v>22.3</v>
      </c>
      <c r="AD60" s="70">
        <v>22.3</v>
      </c>
      <c r="AE60" s="70">
        <v>22.3</v>
      </c>
      <c r="AF60" s="70">
        <v>22.3</v>
      </c>
      <c r="AG60" s="86">
        <v>60</v>
      </c>
      <c r="AH60" s="12">
        <f t="shared" si="8"/>
        <v>29</v>
      </c>
      <c r="AI60" s="11">
        <f t="shared" si="9"/>
        <v>21</v>
      </c>
      <c r="AK60" s="19"/>
    </row>
    <row r="61" spans="1:88" ht="15.75" thickBot="1" x14ac:dyDescent="0.3">
      <c r="A61" s="117" t="s">
        <v>206</v>
      </c>
      <c r="B61" s="110">
        <v>16.2</v>
      </c>
      <c r="C61" s="110">
        <v>16.2</v>
      </c>
      <c r="D61" s="110">
        <v>16.2</v>
      </c>
      <c r="E61" s="110">
        <v>14.2</v>
      </c>
      <c r="F61" s="110">
        <v>14.2</v>
      </c>
      <c r="G61" s="110">
        <v>14.3</v>
      </c>
      <c r="H61" s="110">
        <v>14.3</v>
      </c>
      <c r="I61" s="110">
        <v>14.3</v>
      </c>
      <c r="J61" s="110">
        <v>16.7</v>
      </c>
      <c r="K61" s="110">
        <v>16.8</v>
      </c>
      <c r="L61" s="110">
        <v>16.8</v>
      </c>
      <c r="M61" s="110">
        <v>16.8</v>
      </c>
      <c r="N61" s="110">
        <v>16.8</v>
      </c>
      <c r="O61" s="110">
        <v>16.7</v>
      </c>
      <c r="P61" s="110">
        <v>16.7</v>
      </c>
      <c r="Q61" s="110">
        <v>16.7</v>
      </c>
      <c r="R61" s="110">
        <v>14.2</v>
      </c>
      <c r="S61" s="110">
        <v>14.2</v>
      </c>
      <c r="T61" s="110">
        <v>14.2</v>
      </c>
      <c r="U61" s="110">
        <v>14.2</v>
      </c>
      <c r="V61" s="110">
        <v>0</v>
      </c>
      <c r="W61" s="110">
        <v>0</v>
      </c>
      <c r="X61" s="110">
        <v>0</v>
      </c>
      <c r="Y61" s="110">
        <v>0</v>
      </c>
      <c r="Z61" s="110">
        <v>0</v>
      </c>
      <c r="AA61" s="110">
        <v>0</v>
      </c>
      <c r="AB61" s="110">
        <v>0</v>
      </c>
      <c r="AC61" s="110">
        <v>0</v>
      </c>
      <c r="AD61" s="110">
        <v>0</v>
      </c>
      <c r="AE61" s="110">
        <v>0</v>
      </c>
      <c r="AF61" s="110">
        <v>0</v>
      </c>
      <c r="AG61" s="109">
        <v>22.1</v>
      </c>
      <c r="AH61" s="12">
        <f t="shared" si="8"/>
        <v>16.8</v>
      </c>
      <c r="AI61" s="11">
        <f t="shared" si="9"/>
        <v>0</v>
      </c>
      <c r="AK61" s="19"/>
    </row>
    <row r="62" spans="1:88" ht="15.75" thickBot="1" x14ac:dyDescent="0.3">
      <c r="A62" s="116" t="s">
        <v>205</v>
      </c>
      <c r="B62" s="76">
        <f t="shared" ref="B62:AG62" si="28">SUM(B59:B61)</f>
        <v>226.2</v>
      </c>
      <c r="C62" s="76">
        <f t="shared" si="28"/>
        <v>145.19999999999999</v>
      </c>
      <c r="D62" s="76">
        <f t="shared" ref="D62" si="29">SUM(D59:D61)</f>
        <v>145.19999999999999</v>
      </c>
      <c r="E62" s="76">
        <f t="shared" si="28"/>
        <v>190.29999999999998</v>
      </c>
      <c r="F62" s="76">
        <f t="shared" si="28"/>
        <v>190.29999999999998</v>
      </c>
      <c r="G62" s="76">
        <f t="shared" si="28"/>
        <v>192.5</v>
      </c>
      <c r="H62" s="76">
        <f t="shared" si="28"/>
        <v>258.89999999999998</v>
      </c>
      <c r="I62" s="76">
        <f t="shared" si="28"/>
        <v>259.3</v>
      </c>
      <c r="J62" s="76">
        <f t="shared" si="28"/>
        <v>40.700000000000003</v>
      </c>
      <c r="K62" s="76">
        <f t="shared" si="28"/>
        <v>39</v>
      </c>
      <c r="L62" s="76">
        <f t="shared" si="28"/>
        <v>54.599999999999994</v>
      </c>
      <c r="M62" s="76">
        <f t="shared" si="28"/>
        <v>54.599999999999994</v>
      </c>
      <c r="N62" s="76">
        <f t="shared" si="28"/>
        <v>54.400000000000006</v>
      </c>
      <c r="O62" s="76">
        <f t="shared" si="28"/>
        <v>88.4</v>
      </c>
      <c r="P62" s="76">
        <f t="shared" si="28"/>
        <v>53.5</v>
      </c>
      <c r="Q62" s="76">
        <f t="shared" si="28"/>
        <v>53.400000000000006</v>
      </c>
      <c r="R62" s="76">
        <f t="shared" si="28"/>
        <v>75.2</v>
      </c>
      <c r="S62" s="76">
        <f t="shared" si="28"/>
        <v>75.2</v>
      </c>
      <c r="T62" s="76">
        <f t="shared" si="28"/>
        <v>76.5</v>
      </c>
      <c r="U62" s="76">
        <f t="shared" si="28"/>
        <v>51.5</v>
      </c>
      <c r="V62" s="76">
        <f t="shared" si="28"/>
        <v>22.3</v>
      </c>
      <c r="W62" s="76">
        <f t="shared" si="28"/>
        <v>22.3</v>
      </c>
      <c r="X62" s="76">
        <f t="shared" si="28"/>
        <v>22.3</v>
      </c>
      <c r="Y62" s="76">
        <f t="shared" si="28"/>
        <v>326.3</v>
      </c>
      <c r="Z62" s="76">
        <v>422.3</v>
      </c>
      <c r="AA62" s="76">
        <f t="shared" si="28"/>
        <v>422.3</v>
      </c>
      <c r="AB62" s="76">
        <f t="shared" ref="AB62:AC62" si="30">SUM(AB59:AB61)</f>
        <v>322.3</v>
      </c>
      <c r="AC62" s="76">
        <f t="shared" si="30"/>
        <v>322.3</v>
      </c>
      <c r="AD62" s="76">
        <f t="shared" ref="AD62:AE62" si="31">SUM(AD59:AD61)</f>
        <v>282.3</v>
      </c>
      <c r="AE62" s="76">
        <f t="shared" si="31"/>
        <v>282.3</v>
      </c>
      <c r="AF62" s="76">
        <f t="shared" ref="AF62" si="32">SUM(AF59:AF61)</f>
        <v>202.3</v>
      </c>
      <c r="AG62" s="93">
        <f t="shared" si="28"/>
        <v>538.1</v>
      </c>
      <c r="AH62" s="12">
        <f t="shared" si="8"/>
        <v>422.3</v>
      </c>
      <c r="AI62" s="11">
        <f t="shared" si="9"/>
        <v>22.3</v>
      </c>
      <c r="AK62" s="19"/>
    </row>
    <row r="63" spans="1:88" x14ac:dyDescent="0.25">
      <c r="A63" s="89" t="s">
        <v>204</v>
      </c>
      <c r="B63" s="102">
        <v>60</v>
      </c>
      <c r="C63" s="102">
        <v>48</v>
      </c>
      <c r="D63" s="102">
        <v>48</v>
      </c>
      <c r="E63" s="102">
        <v>30.5</v>
      </c>
      <c r="F63" s="102">
        <v>30.5</v>
      </c>
      <c r="G63" s="102">
        <v>48.4</v>
      </c>
      <c r="H63" s="102">
        <v>96.998999999999995</v>
      </c>
      <c r="I63" s="102">
        <v>96.998999999999995</v>
      </c>
      <c r="J63" s="102">
        <v>96.998999999999995</v>
      </c>
      <c r="K63" s="102">
        <v>96.998999999999995</v>
      </c>
      <c r="L63" s="102">
        <v>97.1</v>
      </c>
      <c r="M63" s="102">
        <v>97.1</v>
      </c>
      <c r="N63" s="102">
        <v>97</v>
      </c>
      <c r="O63" s="102">
        <v>97.1</v>
      </c>
      <c r="P63" s="102">
        <v>88</v>
      </c>
      <c r="Q63" s="102">
        <v>80.900000000000006</v>
      </c>
      <c r="R63" s="102">
        <v>80.900000000000006</v>
      </c>
      <c r="S63" s="102">
        <v>80.900000000000006</v>
      </c>
      <c r="T63" s="102">
        <v>80.900000000000006</v>
      </c>
      <c r="U63" s="102">
        <v>80.900000000000006</v>
      </c>
      <c r="V63" s="102">
        <v>60</v>
      </c>
      <c r="W63" s="102">
        <v>60</v>
      </c>
      <c r="X63" s="102">
        <v>60</v>
      </c>
      <c r="Y63" s="102">
        <v>120</v>
      </c>
      <c r="Z63" s="102">
        <v>120</v>
      </c>
      <c r="AA63" s="102">
        <v>120</v>
      </c>
      <c r="AB63" s="102">
        <v>120</v>
      </c>
      <c r="AC63" s="102">
        <v>120</v>
      </c>
      <c r="AD63" s="102">
        <v>110</v>
      </c>
      <c r="AE63" s="102">
        <v>80</v>
      </c>
      <c r="AF63" s="102">
        <v>80</v>
      </c>
      <c r="AG63" s="88">
        <v>144</v>
      </c>
      <c r="AH63" s="12">
        <f t="shared" si="8"/>
        <v>120</v>
      </c>
      <c r="AI63" s="11">
        <f t="shared" si="9"/>
        <v>30.5</v>
      </c>
      <c r="AK63" s="19"/>
    </row>
    <row r="64" spans="1:88" x14ac:dyDescent="0.25">
      <c r="A64" s="87" t="s">
        <v>203</v>
      </c>
      <c r="B64" s="70">
        <v>34</v>
      </c>
      <c r="C64" s="70">
        <v>34</v>
      </c>
      <c r="D64" s="70">
        <v>34</v>
      </c>
      <c r="E64" s="70">
        <v>25.4</v>
      </c>
      <c r="F64" s="70">
        <v>35</v>
      </c>
      <c r="G64" s="70">
        <v>35</v>
      </c>
      <c r="H64" s="70">
        <v>69.3</v>
      </c>
      <c r="I64" s="70">
        <v>69.3</v>
      </c>
      <c r="J64" s="70">
        <v>69.3</v>
      </c>
      <c r="K64" s="70">
        <v>35</v>
      </c>
      <c r="L64" s="70">
        <v>48.9</v>
      </c>
      <c r="M64" s="70">
        <v>48.9</v>
      </c>
      <c r="N64" s="70">
        <v>49.9</v>
      </c>
      <c r="O64" s="70">
        <v>60</v>
      </c>
      <c r="P64" s="70">
        <v>61</v>
      </c>
      <c r="Q64" s="70">
        <v>51.9</v>
      </c>
      <c r="R64" s="70">
        <v>45.7</v>
      </c>
      <c r="S64" s="70">
        <v>38.6</v>
      </c>
      <c r="T64" s="70">
        <v>38.6</v>
      </c>
      <c r="U64" s="70">
        <v>38.6</v>
      </c>
      <c r="V64" s="70">
        <v>38.6</v>
      </c>
      <c r="W64" s="70">
        <v>24.1</v>
      </c>
      <c r="X64" s="70">
        <v>24.1</v>
      </c>
      <c r="Y64" s="70">
        <v>55</v>
      </c>
      <c r="Z64" s="102">
        <v>55</v>
      </c>
      <c r="AA64" s="102">
        <v>55</v>
      </c>
      <c r="AB64" s="102">
        <v>68.900000000000006</v>
      </c>
      <c r="AC64" s="102">
        <v>68.900000000000006</v>
      </c>
      <c r="AD64" s="102">
        <v>68.900000000000006</v>
      </c>
      <c r="AE64" s="102">
        <v>60</v>
      </c>
      <c r="AF64" s="102">
        <v>69.900000000000006</v>
      </c>
      <c r="AG64" s="86">
        <v>70</v>
      </c>
      <c r="AH64" s="12">
        <f t="shared" si="8"/>
        <v>69.900000000000006</v>
      </c>
      <c r="AI64" s="11">
        <f t="shared" si="9"/>
        <v>24.1</v>
      </c>
      <c r="AK64" s="19"/>
    </row>
    <row r="65" spans="1:75" x14ac:dyDescent="0.25">
      <c r="A65" s="87" t="s">
        <v>202</v>
      </c>
      <c r="B65" s="70">
        <v>54</v>
      </c>
      <c r="C65" s="70">
        <v>46</v>
      </c>
      <c r="D65" s="70">
        <v>46</v>
      </c>
      <c r="E65" s="70">
        <v>46.2</v>
      </c>
      <c r="F65" s="70">
        <v>46.2</v>
      </c>
      <c r="G65" s="70">
        <v>69</v>
      </c>
      <c r="H65" s="70">
        <v>69</v>
      </c>
      <c r="I65" s="70">
        <v>69</v>
      </c>
      <c r="J65" s="70">
        <v>69</v>
      </c>
      <c r="K65" s="70">
        <v>45.2</v>
      </c>
      <c r="L65" s="70">
        <v>44.4</v>
      </c>
      <c r="M65" s="70">
        <v>44.4</v>
      </c>
      <c r="N65" s="70">
        <v>45.8</v>
      </c>
      <c r="O65" s="70">
        <v>45.7</v>
      </c>
      <c r="P65" s="70">
        <v>45.9</v>
      </c>
      <c r="Q65" s="70">
        <v>32.799999999999997</v>
      </c>
      <c r="R65" s="70">
        <v>17.100000000000001</v>
      </c>
      <c r="S65" s="70">
        <v>17.100000000000001</v>
      </c>
      <c r="T65" s="70">
        <v>17.100000000000001</v>
      </c>
      <c r="U65" s="70">
        <v>17.100000000000001</v>
      </c>
      <c r="V65" s="70">
        <v>23</v>
      </c>
      <c r="W65" s="70">
        <v>23</v>
      </c>
      <c r="X65" s="70">
        <v>59</v>
      </c>
      <c r="Y65" s="70">
        <v>69.599999999999994</v>
      </c>
      <c r="Z65" s="102">
        <v>69.599999999999994</v>
      </c>
      <c r="AA65" s="102">
        <v>69.599999999999994</v>
      </c>
      <c r="AB65" s="102">
        <v>69.599999999999994</v>
      </c>
      <c r="AC65" s="102">
        <v>69.599999999999994</v>
      </c>
      <c r="AD65" s="102">
        <v>69.599999999999994</v>
      </c>
      <c r="AE65" s="102">
        <v>60</v>
      </c>
      <c r="AF65" s="102">
        <v>67.7</v>
      </c>
      <c r="AG65" s="86">
        <v>69</v>
      </c>
      <c r="AH65" s="12">
        <f t="shared" si="8"/>
        <v>69.599999999999994</v>
      </c>
      <c r="AI65" s="11">
        <f t="shared" si="9"/>
        <v>17.100000000000001</v>
      </c>
      <c r="AK65" s="19"/>
    </row>
    <row r="66" spans="1:75" x14ac:dyDescent="0.25">
      <c r="A66" s="87" t="s">
        <v>201</v>
      </c>
      <c r="B66" s="70">
        <v>57.7</v>
      </c>
      <c r="C66" s="70">
        <v>57.7</v>
      </c>
      <c r="D66" s="70">
        <v>57.7</v>
      </c>
      <c r="E66" s="70">
        <v>50.4</v>
      </c>
      <c r="F66" s="70">
        <v>54.2</v>
      </c>
      <c r="G66" s="70">
        <v>53.9</v>
      </c>
      <c r="H66" s="70">
        <v>50.4</v>
      </c>
      <c r="I66" s="70">
        <v>50.4</v>
      </c>
      <c r="J66" s="70">
        <v>50.4</v>
      </c>
      <c r="K66" s="70">
        <v>50.4</v>
      </c>
      <c r="L66" s="122">
        <v>50.6</v>
      </c>
      <c r="M66" s="122">
        <v>50.6</v>
      </c>
      <c r="N66" s="70">
        <v>54.4</v>
      </c>
      <c r="O66" s="70">
        <v>50.2</v>
      </c>
      <c r="P66" s="70">
        <v>52.9</v>
      </c>
      <c r="Q66" s="70">
        <v>54</v>
      </c>
      <c r="R66" s="70">
        <v>54</v>
      </c>
      <c r="S66" s="70">
        <v>52.4</v>
      </c>
      <c r="T66" s="70">
        <v>52.4</v>
      </c>
      <c r="U66" s="70">
        <v>52.4</v>
      </c>
      <c r="V66" s="70">
        <v>52.4</v>
      </c>
      <c r="W66" s="70">
        <v>52.4</v>
      </c>
      <c r="X66" s="70">
        <v>52.4</v>
      </c>
      <c r="Y66" s="70">
        <v>52.4</v>
      </c>
      <c r="Z66" s="102">
        <v>52.4</v>
      </c>
      <c r="AA66" s="102">
        <v>52.4</v>
      </c>
      <c r="AB66" s="102">
        <v>47.4</v>
      </c>
      <c r="AC66" s="102">
        <v>47.4</v>
      </c>
      <c r="AD66" s="102">
        <v>47.4</v>
      </c>
      <c r="AE66" s="102">
        <v>49.1</v>
      </c>
      <c r="AF66" s="102">
        <v>49.1</v>
      </c>
      <c r="AG66" s="86">
        <v>60</v>
      </c>
      <c r="AH66" s="12">
        <f t="shared" si="8"/>
        <v>57.7</v>
      </c>
      <c r="AI66" s="11">
        <f t="shared" si="9"/>
        <v>47.4</v>
      </c>
      <c r="AK66" s="19"/>
    </row>
    <row r="67" spans="1:75" x14ac:dyDescent="0.25">
      <c r="A67" s="87" t="s">
        <v>200</v>
      </c>
      <c r="B67" s="102">
        <v>10</v>
      </c>
      <c r="C67" s="102">
        <v>10</v>
      </c>
      <c r="D67" s="102">
        <v>10</v>
      </c>
      <c r="E67" s="70">
        <v>0</v>
      </c>
      <c r="F67" s="70">
        <v>0</v>
      </c>
      <c r="G67" s="70">
        <v>0</v>
      </c>
      <c r="H67" s="70">
        <v>0</v>
      </c>
      <c r="I67" s="70">
        <v>28.4</v>
      </c>
      <c r="J67" s="70">
        <v>28.4</v>
      </c>
      <c r="K67" s="70">
        <v>10</v>
      </c>
      <c r="L67" s="122">
        <v>10.8</v>
      </c>
      <c r="M67" s="122">
        <v>10.8</v>
      </c>
      <c r="N67" s="70">
        <v>10</v>
      </c>
      <c r="O67" s="70">
        <v>10.7</v>
      </c>
      <c r="P67" s="70">
        <v>10.5</v>
      </c>
      <c r="Q67" s="70">
        <v>10.3</v>
      </c>
      <c r="R67" s="70">
        <v>0</v>
      </c>
      <c r="S67" s="70">
        <v>10</v>
      </c>
      <c r="T67" s="70">
        <v>14.6</v>
      </c>
      <c r="U67" s="70">
        <v>10.199999999999999</v>
      </c>
      <c r="V67" s="70">
        <v>10.199999999999999</v>
      </c>
      <c r="W67" s="70">
        <v>10.199999999999999</v>
      </c>
      <c r="X67" s="70">
        <v>10.199999999999999</v>
      </c>
      <c r="Y67" s="70">
        <v>14.6</v>
      </c>
      <c r="Z67" s="102">
        <v>29</v>
      </c>
      <c r="AA67" s="102">
        <v>29</v>
      </c>
      <c r="AB67" s="102">
        <v>29</v>
      </c>
      <c r="AC67" s="102">
        <v>0</v>
      </c>
      <c r="AD67" s="102">
        <v>23.4</v>
      </c>
      <c r="AE67" s="102">
        <v>23.1</v>
      </c>
      <c r="AF67" s="102">
        <v>23.1</v>
      </c>
      <c r="AG67" s="86">
        <v>30</v>
      </c>
      <c r="AH67" s="12">
        <f t="shared" si="8"/>
        <v>29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25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0.8</v>
      </c>
      <c r="J68" s="102">
        <v>1.5</v>
      </c>
      <c r="K68" s="102">
        <v>2.6</v>
      </c>
      <c r="L68" s="70">
        <v>2.8</v>
      </c>
      <c r="M68" s="70">
        <v>6.9</v>
      </c>
      <c r="N68" s="70">
        <v>5.5</v>
      </c>
      <c r="O68" s="70">
        <v>5.0999999999999996</v>
      </c>
      <c r="P68" s="70">
        <v>14.6</v>
      </c>
      <c r="Q68" s="70">
        <v>8.3000000000000007</v>
      </c>
      <c r="R68" s="70">
        <v>1.4</v>
      </c>
      <c r="S68" s="70">
        <v>1.4</v>
      </c>
      <c r="T68" s="70">
        <v>1.1000000000000001</v>
      </c>
      <c r="U68" s="70">
        <v>1.6</v>
      </c>
      <c r="V68" s="70">
        <v>1.4</v>
      </c>
      <c r="W68" s="70">
        <v>1.4</v>
      </c>
      <c r="X68" s="70">
        <v>0.2</v>
      </c>
      <c r="Y68" s="70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14.6</v>
      </c>
      <c r="AI68" s="11">
        <f t="shared" si="9"/>
        <v>0</v>
      </c>
      <c r="AK68" s="19"/>
      <c r="AY68" s="1" t="s">
        <v>198</v>
      </c>
      <c r="AZ68" s="78">
        <f>ROUND(C81,0)</f>
        <v>16</v>
      </c>
      <c r="BA68" s="83">
        <f t="shared" ref="BA68:BD72" si="33">D81</f>
        <v>12.6</v>
      </c>
      <c r="BB68" s="83">
        <f t="shared" si="33"/>
        <v>18.899999999999999</v>
      </c>
      <c r="BC68" s="83">
        <f t="shared" si="33"/>
        <v>16.3</v>
      </c>
      <c r="BD68" s="83">
        <f t="shared" si="33"/>
        <v>16.899999999999999</v>
      </c>
      <c r="BE68" s="78">
        <f>I81</f>
        <v>19.100000000000001</v>
      </c>
      <c r="BF68" s="78">
        <f>K81</f>
        <v>62</v>
      </c>
      <c r="BG68" s="78">
        <f t="shared" ref="BG68:BP72" si="34">M81</f>
        <v>71.599999999999994</v>
      </c>
      <c r="BH68" s="78">
        <f t="shared" si="34"/>
        <v>67</v>
      </c>
      <c r="BI68" s="78">
        <f t="shared" si="34"/>
        <v>69</v>
      </c>
      <c r="BJ68" s="78">
        <f t="shared" si="34"/>
        <v>63.9</v>
      </c>
      <c r="BK68" s="78">
        <f t="shared" si="34"/>
        <v>51.3</v>
      </c>
      <c r="BL68" s="78">
        <f t="shared" si="34"/>
        <v>73</v>
      </c>
      <c r="BM68" s="78">
        <f t="shared" si="34"/>
        <v>65.8</v>
      </c>
      <c r="BN68" s="78">
        <f t="shared" si="34"/>
        <v>73</v>
      </c>
      <c r="BO68" s="78">
        <f t="shared" si="34"/>
        <v>64</v>
      </c>
      <c r="BP68" s="78">
        <f t="shared" si="34"/>
        <v>55.7</v>
      </c>
      <c r="BQ68" s="78">
        <f>X81</f>
        <v>35.299999999999997</v>
      </c>
      <c r="BR68" s="78">
        <f>Z81</f>
        <v>8</v>
      </c>
      <c r="BS68" s="83">
        <f>AB81</f>
        <v>20.5</v>
      </c>
      <c r="BT68" s="83">
        <f t="shared" ref="BT68:BV72" si="35">AD81</f>
        <v>16.899999999999999</v>
      </c>
      <c r="BU68" s="83">
        <f t="shared" si="35"/>
        <v>17.7</v>
      </c>
      <c r="BV68" s="83">
        <f t="shared" si="35"/>
        <v>14.2</v>
      </c>
      <c r="BW68" s="83">
        <f>B81</f>
        <v>19</v>
      </c>
    </row>
    <row r="69" spans="1:75" x14ac:dyDescent="0.25">
      <c r="A69" s="87" t="s">
        <v>197</v>
      </c>
      <c r="B69" s="70">
        <v>14.3</v>
      </c>
      <c r="C69" s="70">
        <v>14.3</v>
      </c>
      <c r="D69" s="70">
        <v>14.3</v>
      </c>
      <c r="E69" s="70">
        <v>14.4</v>
      </c>
      <c r="F69" s="70">
        <v>14.4</v>
      </c>
      <c r="G69" s="70">
        <v>14.3</v>
      </c>
      <c r="H69" s="70">
        <v>14.3</v>
      </c>
      <c r="I69" s="70">
        <v>14.1</v>
      </c>
      <c r="J69" s="70">
        <v>14.1</v>
      </c>
      <c r="K69" s="70">
        <v>14.1</v>
      </c>
      <c r="L69" s="70">
        <v>13.8</v>
      </c>
      <c r="M69" s="70">
        <v>10.5</v>
      </c>
      <c r="N69" s="70">
        <v>14.7</v>
      </c>
      <c r="O69" s="70">
        <v>14.6</v>
      </c>
      <c r="P69" s="70">
        <v>14.7</v>
      </c>
      <c r="Q69" s="70">
        <v>14.7</v>
      </c>
      <c r="R69" s="70">
        <v>14.7</v>
      </c>
      <c r="S69" s="70">
        <v>14.7</v>
      </c>
      <c r="T69" s="70">
        <v>14.7</v>
      </c>
      <c r="U69" s="70">
        <v>14.7</v>
      </c>
      <c r="V69" s="70">
        <v>14.7</v>
      </c>
      <c r="W69" s="70">
        <v>14.7</v>
      </c>
      <c r="X69" s="70">
        <v>14.7</v>
      </c>
      <c r="Y69" s="70">
        <v>15</v>
      </c>
      <c r="Z69" s="70">
        <v>15</v>
      </c>
      <c r="AA69" s="70">
        <v>15</v>
      </c>
      <c r="AB69" s="70">
        <v>15</v>
      </c>
      <c r="AC69" s="70">
        <v>15</v>
      </c>
      <c r="AD69" s="70">
        <v>15</v>
      </c>
      <c r="AE69" s="70">
        <v>15</v>
      </c>
      <c r="AF69" s="70">
        <v>15</v>
      </c>
      <c r="AG69" s="86">
        <v>24</v>
      </c>
      <c r="AH69" s="12">
        <f t="shared" si="8"/>
        <v>15</v>
      </c>
      <c r="AI69" s="11">
        <f t="shared" si="9"/>
        <v>10.5</v>
      </c>
      <c r="AK69" s="19"/>
      <c r="AY69" s="1" t="s">
        <v>196</v>
      </c>
      <c r="AZ69" s="78">
        <f>ROUND(C82,0)</f>
        <v>0</v>
      </c>
      <c r="BA69" s="83">
        <f t="shared" si="33"/>
        <v>0</v>
      </c>
      <c r="BB69" s="83">
        <f t="shared" si="33"/>
        <v>0</v>
      </c>
      <c r="BC69" s="83">
        <f t="shared" si="33"/>
        <v>0</v>
      </c>
      <c r="BD69" s="83">
        <f t="shared" si="33"/>
        <v>0</v>
      </c>
      <c r="BE69" s="78">
        <f>I82</f>
        <v>0</v>
      </c>
      <c r="BF69" s="78">
        <f>K82</f>
        <v>76</v>
      </c>
      <c r="BG69" s="78">
        <f t="shared" si="34"/>
        <v>78.900000000000006</v>
      </c>
      <c r="BH69" s="78">
        <f t="shared" si="34"/>
        <v>80.3</v>
      </c>
      <c r="BI69" s="78">
        <f t="shared" si="34"/>
        <v>80.7</v>
      </c>
      <c r="BJ69" s="78">
        <f t="shared" si="34"/>
        <v>73.099999999999994</v>
      </c>
      <c r="BK69" s="78">
        <f t="shared" si="34"/>
        <v>75.400000000000006</v>
      </c>
      <c r="BL69" s="78">
        <f t="shared" si="34"/>
        <v>78.7</v>
      </c>
      <c r="BM69" s="78">
        <f t="shared" si="34"/>
        <v>83</v>
      </c>
      <c r="BN69" s="78">
        <f t="shared" si="34"/>
        <v>80</v>
      </c>
      <c r="BO69" s="78">
        <f t="shared" si="34"/>
        <v>79.7</v>
      </c>
      <c r="BP69" s="78">
        <f t="shared" si="34"/>
        <v>86.2</v>
      </c>
      <c r="BQ69" s="78">
        <f>X82</f>
        <v>86</v>
      </c>
      <c r="BR69" s="78">
        <f>Z82</f>
        <v>0</v>
      </c>
      <c r="BS69" s="83">
        <f>AB82</f>
        <v>0</v>
      </c>
      <c r="BT69" s="83">
        <f t="shared" si="35"/>
        <v>0</v>
      </c>
      <c r="BU69" s="83">
        <f t="shared" si="35"/>
        <v>0</v>
      </c>
      <c r="BV69" s="83">
        <f t="shared" si="35"/>
        <v>0</v>
      </c>
      <c r="BW69" s="83">
        <f>B82</f>
        <v>0</v>
      </c>
    </row>
    <row r="70" spans="1:75" x14ac:dyDescent="0.25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33</v>
      </c>
      <c r="BA70" s="83">
        <f t="shared" si="33"/>
        <v>46</v>
      </c>
      <c r="BB70" s="83">
        <f t="shared" si="33"/>
        <v>7.2</v>
      </c>
      <c r="BC70" s="83">
        <f t="shared" si="33"/>
        <v>6.9</v>
      </c>
      <c r="BD70" s="83">
        <f t="shared" si="33"/>
        <v>42</v>
      </c>
      <c r="BE70" s="78">
        <f>I83</f>
        <v>46</v>
      </c>
      <c r="BF70" s="78">
        <f>K83</f>
        <v>400</v>
      </c>
      <c r="BG70" s="78">
        <f t="shared" si="34"/>
        <v>380</v>
      </c>
      <c r="BH70" s="78">
        <f t="shared" si="34"/>
        <v>400.4</v>
      </c>
      <c r="BI70" s="78">
        <f t="shared" si="34"/>
        <v>420.5</v>
      </c>
      <c r="BJ70" s="78">
        <f t="shared" si="34"/>
        <v>381.6</v>
      </c>
      <c r="BK70" s="78">
        <f t="shared" si="34"/>
        <v>379.1</v>
      </c>
      <c r="BL70" s="78">
        <f t="shared" si="34"/>
        <v>375</v>
      </c>
      <c r="BM70" s="78">
        <f t="shared" si="34"/>
        <v>404</v>
      </c>
      <c r="BN70" s="78">
        <f t="shared" si="34"/>
        <v>393</v>
      </c>
      <c r="BO70" s="78">
        <f t="shared" si="34"/>
        <v>402</v>
      </c>
      <c r="BP70" s="78">
        <f t="shared" si="34"/>
        <v>375</v>
      </c>
      <c r="BQ70" s="78">
        <f>X83</f>
        <v>250</v>
      </c>
      <c r="BR70" s="78">
        <f>Z83</f>
        <v>100</v>
      </c>
      <c r="BS70" s="83">
        <f>AB83</f>
        <v>22.5</v>
      </c>
      <c r="BT70" s="83">
        <f t="shared" si="35"/>
        <v>22.3</v>
      </c>
      <c r="BU70" s="83">
        <f t="shared" si="35"/>
        <v>0</v>
      </c>
      <c r="BV70" s="83">
        <f t="shared" si="35"/>
        <v>9.9</v>
      </c>
      <c r="BW70" s="83">
        <f>B83</f>
        <v>30.9</v>
      </c>
    </row>
    <row r="71" spans="1:75" s="115" customFormat="1" x14ac:dyDescent="0.25">
      <c r="A71" s="87" t="s">
        <v>193</v>
      </c>
      <c r="B71" s="70">
        <v>11.9</v>
      </c>
      <c r="C71" s="70">
        <v>11.9</v>
      </c>
      <c r="D71" s="70">
        <v>11.9</v>
      </c>
      <c r="E71" s="70">
        <v>13.2</v>
      </c>
      <c r="F71" s="70">
        <v>13.2</v>
      </c>
      <c r="G71" s="70">
        <v>13.2</v>
      </c>
      <c r="H71" s="70">
        <v>13.2</v>
      </c>
      <c r="I71" s="70">
        <v>13.2</v>
      </c>
      <c r="J71" s="70">
        <v>13.2</v>
      </c>
      <c r="K71" s="70">
        <v>13.2</v>
      </c>
      <c r="L71" s="70">
        <v>12.1</v>
      </c>
      <c r="M71" s="70">
        <v>12.1</v>
      </c>
      <c r="N71" s="70">
        <v>9.9</v>
      </c>
      <c r="O71" s="70">
        <v>10.199999999999999</v>
      </c>
      <c r="P71" s="70">
        <v>11</v>
      </c>
      <c r="Q71" s="70">
        <v>11</v>
      </c>
      <c r="R71" s="70">
        <v>11</v>
      </c>
      <c r="S71" s="70">
        <v>11</v>
      </c>
      <c r="T71" s="70">
        <v>11</v>
      </c>
      <c r="U71" s="70">
        <v>12.2</v>
      </c>
      <c r="V71" s="70">
        <v>12.2</v>
      </c>
      <c r="W71" s="70">
        <v>12.2</v>
      </c>
      <c r="X71" s="70">
        <v>12.2</v>
      </c>
      <c r="Y71" s="70">
        <v>12.2</v>
      </c>
      <c r="Z71" s="70">
        <v>12.2</v>
      </c>
      <c r="AA71" s="70">
        <v>12.2</v>
      </c>
      <c r="AB71" s="70">
        <v>12.2</v>
      </c>
      <c r="AC71" s="70">
        <v>12.2</v>
      </c>
      <c r="AD71" s="70">
        <v>12.2</v>
      </c>
      <c r="AE71" s="70">
        <v>12.2</v>
      </c>
      <c r="AF71" s="70">
        <v>12.2</v>
      </c>
      <c r="AG71" s="86">
        <v>14.1</v>
      </c>
      <c r="AH71" s="12">
        <f t="shared" si="8"/>
        <v>13.2</v>
      </c>
      <c r="AI71" s="11">
        <f t="shared" si="9"/>
        <v>9.9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33"/>
        <v>0</v>
      </c>
      <c r="BB71" s="83">
        <f t="shared" si="33"/>
        <v>0</v>
      </c>
      <c r="BC71" s="83">
        <f t="shared" si="33"/>
        <v>0</v>
      </c>
      <c r="BD71" s="83">
        <f t="shared" si="33"/>
        <v>0</v>
      </c>
      <c r="BE71" s="78">
        <f>I84</f>
        <v>0</v>
      </c>
      <c r="BF71" s="78">
        <f>K84</f>
        <v>9</v>
      </c>
      <c r="BG71" s="78">
        <f t="shared" si="34"/>
        <v>9.6</v>
      </c>
      <c r="BH71" s="78">
        <f t="shared" si="34"/>
        <v>9.4</v>
      </c>
      <c r="BI71" s="78">
        <f t="shared" si="34"/>
        <v>9.1999999999999993</v>
      </c>
      <c r="BJ71" s="78">
        <f t="shared" si="34"/>
        <v>18.899999999999999</v>
      </c>
      <c r="BK71" s="78">
        <f t="shared" si="34"/>
        <v>19.7</v>
      </c>
      <c r="BL71" s="78">
        <f t="shared" si="34"/>
        <v>23.9</v>
      </c>
      <c r="BM71" s="78">
        <f t="shared" si="34"/>
        <v>23</v>
      </c>
      <c r="BN71" s="78">
        <f t="shared" si="34"/>
        <v>20.3</v>
      </c>
      <c r="BO71" s="78">
        <f t="shared" si="34"/>
        <v>23.2</v>
      </c>
      <c r="BP71" s="78">
        <f t="shared" si="34"/>
        <v>24.7</v>
      </c>
      <c r="BQ71" s="78">
        <f>X84</f>
        <v>22.8</v>
      </c>
      <c r="BR71" s="78">
        <f>Z84</f>
        <v>0</v>
      </c>
      <c r="BS71" s="83">
        <f>AB84</f>
        <v>0</v>
      </c>
      <c r="BT71" s="83">
        <f t="shared" si="35"/>
        <v>0</v>
      </c>
      <c r="BU71" s="83">
        <f t="shared" si="35"/>
        <v>0</v>
      </c>
      <c r="BV71" s="83">
        <f t="shared" si="35"/>
        <v>0</v>
      </c>
      <c r="BW71" s="83">
        <f>B84</f>
        <v>0</v>
      </c>
    </row>
    <row r="72" spans="1:75" x14ac:dyDescent="0.25">
      <c r="A72" s="111" t="s">
        <v>191</v>
      </c>
      <c r="B72" s="70">
        <v>6.5</v>
      </c>
      <c r="C72" s="70">
        <v>6.5</v>
      </c>
      <c r="D72" s="70">
        <v>6.5</v>
      </c>
      <c r="E72" s="70">
        <v>7.5</v>
      </c>
      <c r="F72" s="70">
        <v>7.5</v>
      </c>
      <c r="G72" s="70">
        <v>7.5</v>
      </c>
      <c r="H72" s="70">
        <v>7.5</v>
      </c>
      <c r="I72" s="70">
        <v>7.5</v>
      </c>
      <c r="J72" s="70">
        <v>7.5</v>
      </c>
      <c r="K72" s="70">
        <v>7.5</v>
      </c>
      <c r="L72" s="70">
        <v>6.9</v>
      </c>
      <c r="M72" s="70">
        <v>6.9</v>
      </c>
      <c r="N72" s="70">
        <v>6.9</v>
      </c>
      <c r="O72" s="70">
        <v>6.6</v>
      </c>
      <c r="P72" s="70">
        <v>6.5</v>
      </c>
      <c r="Q72" s="70">
        <v>6.5</v>
      </c>
      <c r="R72" s="70">
        <v>6.5</v>
      </c>
      <c r="S72" s="70">
        <v>6.5</v>
      </c>
      <c r="T72" s="70">
        <v>6.5</v>
      </c>
      <c r="U72" s="70">
        <v>6.5</v>
      </c>
      <c r="V72" s="70">
        <v>6.5</v>
      </c>
      <c r="W72" s="70">
        <v>6.5</v>
      </c>
      <c r="X72" s="70">
        <v>6.5</v>
      </c>
      <c r="Y72" s="70">
        <v>6.5</v>
      </c>
      <c r="Z72" s="70">
        <v>6.5</v>
      </c>
      <c r="AA72" s="70">
        <v>6.5</v>
      </c>
      <c r="AB72" s="70">
        <v>6.5</v>
      </c>
      <c r="AC72" s="70">
        <v>6.5</v>
      </c>
      <c r="AD72" s="70">
        <v>6.5</v>
      </c>
      <c r="AE72" s="70">
        <v>6.5</v>
      </c>
      <c r="AF72" s="70">
        <v>6.5</v>
      </c>
      <c r="AG72" s="86">
        <v>14</v>
      </c>
      <c r="AH72" s="12">
        <f t="shared" si="8"/>
        <v>7.5</v>
      </c>
      <c r="AI72" s="11">
        <f t="shared" si="9"/>
        <v>6.5</v>
      </c>
      <c r="AK72" s="19"/>
      <c r="AY72" s="1" t="s">
        <v>190</v>
      </c>
      <c r="AZ72" s="78">
        <f>ROUND(C85,0)</f>
        <v>0</v>
      </c>
      <c r="BA72" s="83">
        <f t="shared" si="33"/>
        <v>0</v>
      </c>
      <c r="BB72" s="83">
        <f t="shared" si="33"/>
        <v>0</v>
      </c>
      <c r="BC72" s="83">
        <f t="shared" si="33"/>
        <v>0</v>
      </c>
      <c r="BD72" s="83">
        <f t="shared" si="33"/>
        <v>0</v>
      </c>
      <c r="BE72" s="78">
        <f>I85</f>
        <v>0</v>
      </c>
      <c r="BF72" s="78">
        <f>K85</f>
        <v>80</v>
      </c>
      <c r="BG72" s="78">
        <f t="shared" si="34"/>
        <v>100</v>
      </c>
      <c r="BH72" s="78">
        <f t="shared" si="34"/>
        <v>101.4</v>
      </c>
      <c r="BI72" s="78">
        <f t="shared" si="34"/>
        <v>92.8</v>
      </c>
      <c r="BJ72" s="78">
        <f t="shared" si="34"/>
        <v>114.4</v>
      </c>
      <c r="BK72" s="78">
        <f t="shared" si="34"/>
        <v>120.3</v>
      </c>
      <c r="BL72" s="78">
        <f t="shared" si="34"/>
        <v>115.5</v>
      </c>
      <c r="BM72" s="78">
        <f t="shared" si="34"/>
        <v>119.4</v>
      </c>
      <c r="BN72" s="78">
        <f t="shared" si="34"/>
        <v>125</v>
      </c>
      <c r="BO72" s="78">
        <f t="shared" si="34"/>
        <v>132.80000000000001</v>
      </c>
      <c r="BP72" s="78">
        <f t="shared" si="34"/>
        <v>90</v>
      </c>
      <c r="BQ72" s="78">
        <f>X85</f>
        <v>80.599999999999994</v>
      </c>
      <c r="BR72" s="78">
        <f>Z85</f>
        <v>0</v>
      </c>
      <c r="BS72" s="83">
        <f>AB85</f>
        <v>0</v>
      </c>
      <c r="BT72" s="83">
        <f t="shared" si="35"/>
        <v>0</v>
      </c>
      <c r="BU72" s="83">
        <f t="shared" si="35"/>
        <v>0</v>
      </c>
      <c r="BV72" s="83">
        <f t="shared" si="35"/>
        <v>0</v>
      </c>
      <c r="BW72" s="83">
        <f>B85</f>
        <v>0</v>
      </c>
    </row>
    <row r="73" spans="1:75" x14ac:dyDescent="0.25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8"/>
        <v>4</v>
      </c>
      <c r="AI73" s="11">
        <f t="shared" si="9"/>
        <v>4</v>
      </c>
      <c r="AK73" s="19"/>
      <c r="AY73" s="1" t="s">
        <v>188</v>
      </c>
      <c r="AZ73" s="78">
        <f>ROUND(C91,0)</f>
        <v>45</v>
      </c>
      <c r="BA73" s="78">
        <f>D91</f>
        <v>43</v>
      </c>
      <c r="BB73" s="78">
        <f>E91</f>
        <v>43.2</v>
      </c>
      <c r="BC73" s="78">
        <f>F91</f>
        <v>43.5</v>
      </c>
      <c r="BD73" s="78">
        <f>G91</f>
        <v>40.799999999999997</v>
      </c>
      <c r="BE73" s="78">
        <f>I91</f>
        <v>47</v>
      </c>
      <c r="BF73" s="78">
        <f>K91</f>
        <v>0</v>
      </c>
      <c r="BG73" s="78">
        <f t="shared" ref="BG73:BP73" si="36">M91</f>
        <v>0</v>
      </c>
      <c r="BH73" s="78">
        <f t="shared" si="36"/>
        <v>0</v>
      </c>
      <c r="BI73" s="78">
        <f t="shared" si="36"/>
        <v>0</v>
      </c>
      <c r="BJ73" s="78">
        <f t="shared" si="36"/>
        <v>46</v>
      </c>
      <c r="BK73" s="78">
        <f t="shared" si="36"/>
        <v>39.1</v>
      </c>
      <c r="BL73" s="78">
        <f t="shared" si="36"/>
        <v>46.8</v>
      </c>
      <c r="BM73" s="78">
        <f t="shared" si="36"/>
        <v>36.4</v>
      </c>
      <c r="BN73" s="78">
        <f t="shared" si="36"/>
        <v>42.9</v>
      </c>
      <c r="BO73" s="78">
        <f t="shared" si="36"/>
        <v>43.2</v>
      </c>
      <c r="BP73" s="78">
        <f t="shared" si="36"/>
        <v>32.299999999999997</v>
      </c>
      <c r="BQ73" s="78">
        <f>X91</f>
        <v>36.299999999999997</v>
      </c>
      <c r="BR73" s="78">
        <f>Z91</f>
        <v>41.3</v>
      </c>
      <c r="BS73" s="78">
        <f>AB91</f>
        <v>40.799999999999997</v>
      </c>
      <c r="BT73" s="78">
        <f>AD91</f>
        <v>37.9</v>
      </c>
      <c r="BU73" s="78">
        <f>AE91</f>
        <v>37.700000000000003</v>
      </c>
      <c r="BV73" s="78">
        <f>AF91</f>
        <v>39.200000000000003</v>
      </c>
      <c r="BW73" s="78">
        <f>B91</f>
        <v>47</v>
      </c>
    </row>
    <row r="74" spans="1:75" x14ac:dyDescent="0.25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.75" thickBot="1" x14ac:dyDescent="0.3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3.5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</v>
      </c>
      <c r="AK75" s="19"/>
      <c r="AZ75" s="78">
        <f t="shared" ref="AZ75:BW80" si="37">VALUE(AZ68)</f>
        <v>16</v>
      </c>
      <c r="BA75" s="78">
        <f t="shared" si="37"/>
        <v>12.6</v>
      </c>
      <c r="BB75" s="78">
        <f t="shared" si="37"/>
        <v>18.899999999999999</v>
      </c>
      <c r="BC75" s="78">
        <f t="shared" si="37"/>
        <v>16.3</v>
      </c>
      <c r="BD75" s="78">
        <f t="shared" si="37"/>
        <v>16.899999999999999</v>
      </c>
      <c r="BE75" s="78">
        <f t="shared" si="37"/>
        <v>19.100000000000001</v>
      </c>
      <c r="BF75" s="78">
        <f t="shared" si="37"/>
        <v>62</v>
      </c>
      <c r="BG75" s="78">
        <f t="shared" si="37"/>
        <v>71.599999999999994</v>
      </c>
      <c r="BH75" s="78">
        <f t="shared" si="37"/>
        <v>67</v>
      </c>
      <c r="BI75" s="78">
        <f t="shared" si="37"/>
        <v>69</v>
      </c>
      <c r="BJ75" s="78">
        <f t="shared" si="37"/>
        <v>63.9</v>
      </c>
      <c r="BK75" s="78">
        <f t="shared" si="37"/>
        <v>51.3</v>
      </c>
      <c r="BL75" s="78">
        <f t="shared" si="37"/>
        <v>73</v>
      </c>
      <c r="BM75" s="78">
        <f t="shared" si="37"/>
        <v>65.8</v>
      </c>
      <c r="BN75" s="78">
        <f t="shared" si="37"/>
        <v>73</v>
      </c>
      <c r="BO75" s="78">
        <f t="shared" si="37"/>
        <v>64</v>
      </c>
      <c r="BP75" s="78">
        <f t="shared" si="37"/>
        <v>55.7</v>
      </c>
      <c r="BQ75" s="78">
        <f t="shared" si="37"/>
        <v>35.299999999999997</v>
      </c>
      <c r="BR75" s="78">
        <f t="shared" si="37"/>
        <v>8</v>
      </c>
      <c r="BS75" s="78">
        <f t="shared" si="37"/>
        <v>20.5</v>
      </c>
      <c r="BT75" s="78">
        <f t="shared" si="37"/>
        <v>16.899999999999999</v>
      </c>
      <c r="BU75" s="78">
        <f t="shared" si="37"/>
        <v>17.7</v>
      </c>
      <c r="BV75" s="78">
        <f t="shared" si="37"/>
        <v>14.2</v>
      </c>
      <c r="BW75" s="78">
        <f t="shared" si="37"/>
        <v>19</v>
      </c>
    </row>
    <row r="76" spans="1:75" ht="15.75" thickBot="1" x14ac:dyDescent="0.3">
      <c r="A76" s="77" t="s">
        <v>186</v>
      </c>
      <c r="B76" s="76">
        <f t="shared" ref="B76:AG76" si="38">SUM(B63:B75)</f>
        <v>257.94</v>
      </c>
      <c r="C76" s="76">
        <f t="shared" si="38"/>
        <v>237.94</v>
      </c>
      <c r="D76" s="76">
        <f t="shared" si="38"/>
        <v>237.94</v>
      </c>
      <c r="E76" s="76">
        <f t="shared" si="38"/>
        <v>197.14</v>
      </c>
      <c r="F76" s="76">
        <f t="shared" si="38"/>
        <v>210.54</v>
      </c>
      <c r="G76" s="76">
        <f t="shared" si="38"/>
        <v>250.84</v>
      </c>
      <c r="H76" s="76">
        <f t="shared" si="38"/>
        <v>330.23899999999998</v>
      </c>
      <c r="I76" s="76">
        <f t="shared" si="38"/>
        <v>359.23899999999998</v>
      </c>
      <c r="J76" s="76">
        <f t="shared" si="38"/>
        <v>359.93899999999996</v>
      </c>
      <c r="K76" s="76">
        <f t="shared" si="38"/>
        <v>284.53900000000004</v>
      </c>
      <c r="L76" s="76">
        <f t="shared" si="38"/>
        <v>296.94000000000005</v>
      </c>
      <c r="M76" s="76">
        <f t="shared" si="38"/>
        <v>297.74</v>
      </c>
      <c r="N76" s="76">
        <f t="shared" si="38"/>
        <v>303.64</v>
      </c>
      <c r="O76" s="76">
        <f t="shared" si="38"/>
        <v>309.74000000000007</v>
      </c>
      <c r="P76" s="76">
        <f t="shared" si="38"/>
        <v>314.64000000000004</v>
      </c>
      <c r="Q76" s="76">
        <f t="shared" si="38"/>
        <v>279.94000000000005</v>
      </c>
      <c r="R76" s="76">
        <f t="shared" si="38"/>
        <v>240.84</v>
      </c>
      <c r="S76" s="76">
        <f t="shared" si="38"/>
        <v>242.14</v>
      </c>
      <c r="T76" s="76">
        <f t="shared" si="38"/>
        <v>246.43999999999997</v>
      </c>
      <c r="U76" s="76">
        <f t="shared" si="38"/>
        <v>243.73999999999995</v>
      </c>
      <c r="V76" s="76">
        <f t="shared" si="38"/>
        <v>228.53999999999996</v>
      </c>
      <c r="W76" s="76">
        <f t="shared" si="38"/>
        <v>214.03999999999996</v>
      </c>
      <c r="X76" s="76">
        <f t="shared" si="38"/>
        <v>248.83999999999995</v>
      </c>
      <c r="Y76" s="76">
        <f t="shared" si="38"/>
        <v>354.8</v>
      </c>
      <c r="Z76" s="76">
        <v>369.2</v>
      </c>
      <c r="AA76" s="76">
        <f t="shared" si="38"/>
        <v>369.24</v>
      </c>
      <c r="AB76" s="76">
        <f t="shared" ref="AB76:AC76" si="39">SUM(AB63:AB75)</f>
        <v>378.14</v>
      </c>
      <c r="AC76" s="76">
        <f t="shared" si="39"/>
        <v>349.14</v>
      </c>
      <c r="AD76" s="76">
        <f t="shared" ref="AD76:AE76" si="40">SUM(AD63:AD75)</f>
        <v>362.53999999999996</v>
      </c>
      <c r="AE76" s="76">
        <f t="shared" si="40"/>
        <v>315.44</v>
      </c>
      <c r="AF76" s="76">
        <f t="shared" ref="AF76" si="41">SUM(AF63:AF75)</f>
        <v>333.04000000000008</v>
      </c>
      <c r="AG76" s="93">
        <f t="shared" si="38"/>
        <v>489.91</v>
      </c>
      <c r="AH76" s="12">
        <f t="shared" si="8"/>
        <v>378.14</v>
      </c>
      <c r="AI76" s="11">
        <f t="shared" si="9"/>
        <v>197.14</v>
      </c>
      <c r="AK76" s="19"/>
      <c r="AZ76" s="78">
        <f t="shared" si="37"/>
        <v>0</v>
      </c>
      <c r="BA76" s="78">
        <f t="shared" si="37"/>
        <v>0</v>
      </c>
      <c r="BB76" s="78">
        <f t="shared" si="37"/>
        <v>0</v>
      </c>
      <c r="BC76" s="78">
        <f t="shared" si="37"/>
        <v>0</v>
      </c>
      <c r="BD76" s="78">
        <f t="shared" si="37"/>
        <v>0</v>
      </c>
      <c r="BE76" s="78">
        <f t="shared" si="37"/>
        <v>0</v>
      </c>
      <c r="BF76" s="78">
        <f t="shared" si="37"/>
        <v>76</v>
      </c>
      <c r="BG76" s="78">
        <f t="shared" si="37"/>
        <v>78.900000000000006</v>
      </c>
      <c r="BH76" s="78">
        <f t="shared" si="37"/>
        <v>80.3</v>
      </c>
      <c r="BI76" s="78">
        <f t="shared" si="37"/>
        <v>80.7</v>
      </c>
      <c r="BJ76" s="78">
        <f t="shared" si="37"/>
        <v>73.099999999999994</v>
      </c>
      <c r="BK76" s="78">
        <f t="shared" si="37"/>
        <v>75.400000000000006</v>
      </c>
      <c r="BL76" s="78">
        <f t="shared" si="37"/>
        <v>78.7</v>
      </c>
      <c r="BM76" s="78">
        <f t="shared" si="37"/>
        <v>83</v>
      </c>
      <c r="BN76" s="78">
        <f t="shared" si="37"/>
        <v>80</v>
      </c>
      <c r="BO76" s="78">
        <f t="shared" si="37"/>
        <v>79.7</v>
      </c>
      <c r="BP76" s="78">
        <f t="shared" si="37"/>
        <v>86.2</v>
      </c>
      <c r="BQ76" s="78">
        <f t="shared" si="37"/>
        <v>86</v>
      </c>
      <c r="BR76" s="78">
        <f t="shared" si="37"/>
        <v>0</v>
      </c>
      <c r="BS76" s="78">
        <f t="shared" si="37"/>
        <v>0</v>
      </c>
      <c r="BT76" s="78">
        <f t="shared" si="37"/>
        <v>0</v>
      </c>
      <c r="BU76" s="78">
        <f t="shared" si="37"/>
        <v>0</v>
      </c>
      <c r="BV76" s="78">
        <f t="shared" si="37"/>
        <v>0</v>
      </c>
      <c r="BW76" s="78">
        <f t="shared" si="37"/>
        <v>0</v>
      </c>
    </row>
    <row r="77" spans="1:75" x14ac:dyDescent="0.25">
      <c r="A77" s="89" t="s">
        <v>185</v>
      </c>
      <c r="B77" s="102">
        <v>0</v>
      </c>
      <c r="C77" s="102"/>
      <c r="D77" s="102"/>
      <c r="E77" s="102">
        <v>0</v>
      </c>
      <c r="F77" s="102"/>
      <c r="G77" s="102"/>
      <c r="H77" s="102"/>
      <c r="I77" s="102"/>
      <c r="J77" s="102"/>
      <c r="K77" s="102"/>
      <c r="L77" s="102"/>
      <c r="M77" s="102">
        <v>0</v>
      </c>
      <c r="N77" s="102">
        <v>0</v>
      </c>
      <c r="O77" s="102">
        <v>0</v>
      </c>
      <c r="P77" s="102">
        <v>0</v>
      </c>
      <c r="Q77" s="102">
        <v>0</v>
      </c>
      <c r="R77" s="102">
        <v>0</v>
      </c>
      <c r="S77" s="102">
        <v>0</v>
      </c>
      <c r="T77" s="102">
        <v>0</v>
      </c>
      <c r="U77" s="102">
        <v>0</v>
      </c>
      <c r="V77" s="102">
        <v>0</v>
      </c>
      <c r="W77" s="102">
        <v>0</v>
      </c>
      <c r="X77" s="102">
        <v>0</v>
      </c>
      <c r="Y77" s="102">
        <v>0</v>
      </c>
      <c r="Z77" s="102">
        <v>0</v>
      </c>
      <c r="AA77" s="102">
        <v>14.8</v>
      </c>
      <c r="AB77" s="102">
        <v>28.7</v>
      </c>
      <c r="AC77" s="102">
        <v>28.7</v>
      </c>
      <c r="AD77" s="102">
        <v>28.7</v>
      </c>
      <c r="AE77" s="102">
        <v>28.7</v>
      </c>
      <c r="AF77" s="102">
        <v>28.7</v>
      </c>
      <c r="AG77" s="88">
        <v>60</v>
      </c>
      <c r="AH77" s="12">
        <f t="shared" si="8"/>
        <v>28.7</v>
      </c>
      <c r="AI77" s="11">
        <f t="shared" si="9"/>
        <v>0</v>
      </c>
      <c r="AK77" s="19"/>
      <c r="AZ77" s="78">
        <f t="shared" si="37"/>
        <v>33</v>
      </c>
      <c r="BA77" s="78">
        <f t="shared" si="37"/>
        <v>46</v>
      </c>
      <c r="BB77" s="78">
        <f t="shared" si="37"/>
        <v>7.2</v>
      </c>
      <c r="BC77" s="78">
        <f t="shared" si="37"/>
        <v>6.9</v>
      </c>
      <c r="BD77" s="78">
        <f t="shared" si="37"/>
        <v>42</v>
      </c>
      <c r="BE77" s="78">
        <f t="shared" si="37"/>
        <v>46</v>
      </c>
      <c r="BF77" s="78">
        <f t="shared" si="37"/>
        <v>400</v>
      </c>
      <c r="BG77" s="78">
        <f t="shared" si="37"/>
        <v>380</v>
      </c>
      <c r="BH77" s="78">
        <f t="shared" si="37"/>
        <v>400.4</v>
      </c>
      <c r="BI77" s="78">
        <f t="shared" si="37"/>
        <v>420.5</v>
      </c>
      <c r="BJ77" s="78">
        <f t="shared" si="37"/>
        <v>381.6</v>
      </c>
      <c r="BK77" s="78">
        <f t="shared" si="37"/>
        <v>379.1</v>
      </c>
      <c r="BL77" s="78">
        <f t="shared" si="37"/>
        <v>375</v>
      </c>
      <c r="BM77" s="78">
        <f t="shared" si="37"/>
        <v>404</v>
      </c>
      <c r="BN77" s="78">
        <f t="shared" si="37"/>
        <v>393</v>
      </c>
      <c r="BO77" s="78">
        <f t="shared" si="37"/>
        <v>402</v>
      </c>
      <c r="BP77" s="78">
        <f t="shared" si="37"/>
        <v>375</v>
      </c>
      <c r="BQ77" s="78">
        <f t="shared" si="37"/>
        <v>250</v>
      </c>
      <c r="BR77" s="78">
        <f t="shared" si="37"/>
        <v>100</v>
      </c>
      <c r="BS77" s="78">
        <f t="shared" si="37"/>
        <v>22.5</v>
      </c>
      <c r="BT77" s="78">
        <f t="shared" si="37"/>
        <v>22.3</v>
      </c>
      <c r="BU77" s="78">
        <f t="shared" si="37"/>
        <v>0</v>
      </c>
      <c r="BV77" s="78">
        <f t="shared" si="37"/>
        <v>9.9</v>
      </c>
      <c r="BW77" s="78">
        <f t="shared" si="37"/>
        <v>30.9</v>
      </c>
    </row>
    <row r="78" spans="1:75" x14ac:dyDescent="0.25">
      <c r="A78" s="87" t="s">
        <v>184</v>
      </c>
      <c r="B78" s="70">
        <v>0</v>
      </c>
      <c r="C78" s="70"/>
      <c r="D78" s="70"/>
      <c r="E78" s="70">
        <v>0</v>
      </c>
      <c r="F78" s="70"/>
      <c r="G78" s="70"/>
      <c r="H78" s="70"/>
      <c r="I78" s="70"/>
      <c r="J78" s="70"/>
      <c r="K78" s="70"/>
      <c r="L78" s="70"/>
      <c r="M78" s="70">
        <v>0</v>
      </c>
      <c r="N78" s="70">
        <v>0</v>
      </c>
      <c r="O78" s="70">
        <v>0</v>
      </c>
      <c r="P78" s="70">
        <v>0</v>
      </c>
      <c r="Q78" s="70">
        <v>0</v>
      </c>
      <c r="R78" s="70">
        <v>0</v>
      </c>
      <c r="S78" s="70">
        <v>0</v>
      </c>
      <c r="T78" s="70">
        <v>0</v>
      </c>
      <c r="U78" s="70">
        <v>0</v>
      </c>
      <c r="V78" s="70">
        <v>0</v>
      </c>
      <c r="W78" s="70">
        <v>0</v>
      </c>
      <c r="X78" s="70">
        <v>0</v>
      </c>
      <c r="Y78" s="70">
        <v>0</v>
      </c>
      <c r="Z78" s="70">
        <v>0</v>
      </c>
      <c r="AA78" s="70">
        <v>3.7</v>
      </c>
      <c r="AB78" s="70">
        <v>11.1</v>
      </c>
      <c r="AC78" s="70">
        <v>14.6</v>
      </c>
      <c r="AD78" s="70">
        <v>14.6</v>
      </c>
      <c r="AE78" s="70">
        <v>14.6</v>
      </c>
      <c r="AF78" s="70">
        <v>14.6</v>
      </c>
      <c r="AG78" s="86">
        <v>32</v>
      </c>
      <c r="AH78" s="12">
        <f t="shared" si="8"/>
        <v>14.6</v>
      </c>
      <c r="AI78" s="11">
        <f t="shared" si="9"/>
        <v>0</v>
      </c>
      <c r="AK78" s="19"/>
      <c r="AZ78" s="78">
        <f t="shared" si="37"/>
        <v>0</v>
      </c>
      <c r="BA78" s="78">
        <f t="shared" si="37"/>
        <v>0</v>
      </c>
      <c r="BB78" s="78">
        <f t="shared" si="37"/>
        <v>0</v>
      </c>
      <c r="BC78" s="78">
        <f t="shared" si="37"/>
        <v>0</v>
      </c>
      <c r="BD78" s="78">
        <f t="shared" si="37"/>
        <v>0</v>
      </c>
      <c r="BE78" s="78">
        <f t="shared" si="37"/>
        <v>0</v>
      </c>
      <c r="BF78" s="78">
        <f t="shared" si="37"/>
        <v>9</v>
      </c>
      <c r="BG78" s="78">
        <f t="shared" si="37"/>
        <v>9.6</v>
      </c>
      <c r="BH78" s="78">
        <f t="shared" si="37"/>
        <v>9.4</v>
      </c>
      <c r="BI78" s="78">
        <f t="shared" si="37"/>
        <v>9.1999999999999993</v>
      </c>
      <c r="BJ78" s="78">
        <f t="shared" si="37"/>
        <v>18.899999999999999</v>
      </c>
      <c r="BK78" s="78">
        <f t="shared" si="37"/>
        <v>19.7</v>
      </c>
      <c r="BL78" s="78">
        <f t="shared" si="37"/>
        <v>23.9</v>
      </c>
      <c r="BM78" s="78">
        <f t="shared" si="37"/>
        <v>23</v>
      </c>
      <c r="BN78" s="78">
        <f t="shared" si="37"/>
        <v>20.3</v>
      </c>
      <c r="BO78" s="78">
        <f t="shared" si="37"/>
        <v>23.2</v>
      </c>
      <c r="BP78" s="78">
        <f t="shared" si="37"/>
        <v>24.7</v>
      </c>
      <c r="BQ78" s="78">
        <f t="shared" si="37"/>
        <v>22.8</v>
      </c>
      <c r="BR78" s="78">
        <f t="shared" si="37"/>
        <v>0</v>
      </c>
      <c r="BS78" s="78">
        <f t="shared" si="37"/>
        <v>0</v>
      </c>
      <c r="BT78" s="78">
        <f t="shared" si="37"/>
        <v>0</v>
      </c>
      <c r="BU78" s="78">
        <f t="shared" si="37"/>
        <v>0</v>
      </c>
      <c r="BV78" s="78">
        <f t="shared" si="37"/>
        <v>0</v>
      </c>
      <c r="BW78" s="78">
        <f t="shared" si="37"/>
        <v>0</v>
      </c>
    </row>
    <row r="79" spans="1:75" ht="15.75" thickBot="1" x14ac:dyDescent="0.3">
      <c r="A79" s="111" t="s">
        <v>183</v>
      </c>
      <c r="B79" s="110">
        <v>0</v>
      </c>
      <c r="C79" s="110"/>
      <c r="D79" s="110"/>
      <c r="E79" s="110">
        <v>0</v>
      </c>
      <c r="F79" s="110"/>
      <c r="G79" s="110"/>
      <c r="H79" s="110"/>
      <c r="I79" s="110"/>
      <c r="J79" s="110"/>
      <c r="K79" s="110"/>
      <c r="L79" s="110"/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Z79" s="110">
        <v>0</v>
      </c>
      <c r="AA79" s="110">
        <v>1.3</v>
      </c>
      <c r="AB79" s="110">
        <v>4.0999999999999996</v>
      </c>
      <c r="AC79" s="110">
        <v>5.3</v>
      </c>
      <c r="AD79" s="110">
        <v>5.3</v>
      </c>
      <c r="AE79" s="110">
        <v>5.3</v>
      </c>
      <c r="AF79" s="110">
        <v>5.3</v>
      </c>
      <c r="AG79" s="109">
        <v>14</v>
      </c>
      <c r="AH79" s="12">
        <f t="shared" si="8"/>
        <v>5.3</v>
      </c>
      <c r="AI79" s="11">
        <f t="shared" si="9"/>
        <v>0</v>
      </c>
      <c r="AK79" s="19"/>
      <c r="AZ79" s="78">
        <f t="shared" si="37"/>
        <v>0</v>
      </c>
      <c r="BA79" s="78">
        <f t="shared" si="37"/>
        <v>0</v>
      </c>
      <c r="BB79" s="78">
        <f t="shared" si="37"/>
        <v>0</v>
      </c>
      <c r="BC79" s="78">
        <f t="shared" si="37"/>
        <v>0</v>
      </c>
      <c r="BD79" s="78">
        <f t="shared" si="37"/>
        <v>0</v>
      </c>
      <c r="BE79" s="78">
        <f t="shared" si="37"/>
        <v>0</v>
      </c>
      <c r="BF79" s="78">
        <f t="shared" si="37"/>
        <v>80</v>
      </c>
      <c r="BG79" s="78">
        <f t="shared" si="37"/>
        <v>100</v>
      </c>
      <c r="BH79" s="78">
        <f t="shared" si="37"/>
        <v>101.4</v>
      </c>
      <c r="BI79" s="78">
        <f t="shared" si="37"/>
        <v>92.8</v>
      </c>
      <c r="BJ79" s="78">
        <f t="shared" si="37"/>
        <v>114.4</v>
      </c>
      <c r="BK79" s="78">
        <f t="shared" si="37"/>
        <v>120.3</v>
      </c>
      <c r="BL79" s="78">
        <f t="shared" si="37"/>
        <v>115.5</v>
      </c>
      <c r="BM79" s="78">
        <f t="shared" si="37"/>
        <v>119.4</v>
      </c>
      <c r="BN79" s="78">
        <f t="shared" si="37"/>
        <v>125</v>
      </c>
      <c r="BO79" s="78">
        <f t="shared" si="37"/>
        <v>132.80000000000001</v>
      </c>
      <c r="BP79" s="78">
        <f t="shared" si="37"/>
        <v>90</v>
      </c>
      <c r="BQ79" s="78">
        <f t="shared" si="37"/>
        <v>80.599999999999994</v>
      </c>
      <c r="BR79" s="78">
        <f t="shared" si="37"/>
        <v>0</v>
      </c>
      <c r="BS79" s="78">
        <f t="shared" si="37"/>
        <v>0</v>
      </c>
      <c r="BT79" s="78">
        <f t="shared" si="37"/>
        <v>0</v>
      </c>
      <c r="BU79" s="78">
        <f t="shared" si="37"/>
        <v>0</v>
      </c>
      <c r="BV79" s="78">
        <f t="shared" si="37"/>
        <v>0</v>
      </c>
      <c r="BW79" s="78">
        <f t="shared" si="37"/>
        <v>0</v>
      </c>
    </row>
    <row r="80" spans="1:75" ht="15.75" thickBot="1" x14ac:dyDescent="0.3">
      <c r="A80" s="77" t="s">
        <v>182</v>
      </c>
      <c r="B80" s="76">
        <f t="shared" ref="B80:AA80" si="42">B77+B78+B79</f>
        <v>0</v>
      </c>
      <c r="C80" s="76">
        <f t="shared" si="42"/>
        <v>0</v>
      </c>
      <c r="D80" s="76">
        <f t="shared" si="42"/>
        <v>0</v>
      </c>
      <c r="E80" s="76">
        <f t="shared" si="42"/>
        <v>0</v>
      </c>
      <c r="F80" s="76">
        <f t="shared" si="42"/>
        <v>0</v>
      </c>
      <c r="G80" s="76">
        <f t="shared" si="42"/>
        <v>0</v>
      </c>
      <c r="H80" s="76">
        <f t="shared" si="42"/>
        <v>0</v>
      </c>
      <c r="I80" s="76">
        <f t="shared" si="42"/>
        <v>0</v>
      </c>
      <c r="J80" s="76">
        <f t="shared" si="42"/>
        <v>0</v>
      </c>
      <c r="K80" s="76">
        <f t="shared" si="42"/>
        <v>0</v>
      </c>
      <c r="L80" s="76">
        <f t="shared" si="42"/>
        <v>0</v>
      </c>
      <c r="M80" s="76">
        <f t="shared" si="42"/>
        <v>0</v>
      </c>
      <c r="N80" s="76">
        <f t="shared" si="42"/>
        <v>0</v>
      </c>
      <c r="O80" s="76">
        <f t="shared" si="42"/>
        <v>0</v>
      </c>
      <c r="P80" s="76">
        <f t="shared" si="42"/>
        <v>0</v>
      </c>
      <c r="Q80" s="76">
        <f t="shared" si="42"/>
        <v>0</v>
      </c>
      <c r="R80" s="76">
        <f t="shared" si="42"/>
        <v>0</v>
      </c>
      <c r="S80" s="76">
        <f t="shared" si="42"/>
        <v>0</v>
      </c>
      <c r="T80" s="76">
        <f t="shared" si="42"/>
        <v>0</v>
      </c>
      <c r="U80" s="76">
        <f t="shared" si="42"/>
        <v>0</v>
      </c>
      <c r="V80" s="76">
        <f t="shared" si="42"/>
        <v>0</v>
      </c>
      <c r="W80" s="76">
        <f t="shared" si="42"/>
        <v>0</v>
      </c>
      <c r="X80" s="76">
        <f t="shared" si="42"/>
        <v>0</v>
      </c>
      <c r="Y80" s="76">
        <f t="shared" si="42"/>
        <v>0</v>
      </c>
      <c r="Z80" s="76">
        <v>0</v>
      </c>
      <c r="AA80" s="76">
        <f t="shared" si="42"/>
        <v>19.8</v>
      </c>
      <c r="AB80" s="76">
        <f t="shared" ref="AB80:AC80" si="43">AB77+AB78+AB79</f>
        <v>43.9</v>
      </c>
      <c r="AC80" s="76">
        <f t="shared" si="43"/>
        <v>48.599999999999994</v>
      </c>
      <c r="AD80" s="76">
        <f t="shared" ref="AD80:AE80" si="44">AD77+AD78+AD79</f>
        <v>48.599999999999994</v>
      </c>
      <c r="AE80" s="76">
        <f t="shared" si="44"/>
        <v>48.599999999999994</v>
      </c>
      <c r="AF80" s="76">
        <f t="shared" ref="AF80" si="45">AF77+AF78+AF79</f>
        <v>48.599999999999994</v>
      </c>
      <c r="AG80" s="93">
        <f>SUM(AG77:AG79)</f>
        <v>106</v>
      </c>
      <c r="AH80" s="12">
        <f t="shared" si="8"/>
        <v>48.599999999999994</v>
      </c>
      <c r="AI80" s="11">
        <f t="shared" si="9"/>
        <v>0</v>
      </c>
      <c r="AK80" s="19"/>
      <c r="AZ80" s="78">
        <f t="shared" si="37"/>
        <v>45</v>
      </c>
      <c r="BA80" s="78">
        <f t="shared" si="37"/>
        <v>43</v>
      </c>
      <c r="BB80" s="78">
        <f t="shared" si="37"/>
        <v>43.2</v>
      </c>
      <c r="BC80" s="78">
        <f t="shared" si="37"/>
        <v>43.5</v>
      </c>
      <c r="BD80" s="78">
        <f t="shared" si="37"/>
        <v>40.799999999999997</v>
      </c>
      <c r="BE80" s="78">
        <f t="shared" si="37"/>
        <v>47</v>
      </c>
      <c r="BF80" s="78">
        <f t="shared" si="37"/>
        <v>0</v>
      </c>
      <c r="BG80" s="78">
        <f t="shared" si="37"/>
        <v>0</v>
      </c>
      <c r="BH80" s="78">
        <f t="shared" si="37"/>
        <v>0</v>
      </c>
      <c r="BI80" s="78">
        <f t="shared" si="37"/>
        <v>0</v>
      </c>
      <c r="BJ80" s="78">
        <f t="shared" si="37"/>
        <v>46</v>
      </c>
      <c r="BK80" s="78">
        <f t="shared" si="37"/>
        <v>39.1</v>
      </c>
      <c r="BL80" s="78">
        <f t="shared" si="37"/>
        <v>46.8</v>
      </c>
      <c r="BM80" s="78">
        <f t="shared" si="37"/>
        <v>36.4</v>
      </c>
      <c r="BN80" s="78">
        <f t="shared" si="37"/>
        <v>42.9</v>
      </c>
      <c r="BO80" s="78">
        <f t="shared" si="37"/>
        <v>43.2</v>
      </c>
      <c r="BP80" s="78">
        <f t="shared" si="37"/>
        <v>32.299999999999997</v>
      </c>
      <c r="BQ80" s="78">
        <f t="shared" si="37"/>
        <v>36.299999999999997</v>
      </c>
      <c r="BR80" s="78">
        <f t="shared" si="37"/>
        <v>41.3</v>
      </c>
      <c r="BS80" s="78">
        <f t="shared" si="37"/>
        <v>40.799999999999997</v>
      </c>
      <c r="BT80" s="78">
        <f t="shared" si="37"/>
        <v>37.9</v>
      </c>
      <c r="BU80" s="78">
        <f t="shared" si="37"/>
        <v>37.700000000000003</v>
      </c>
      <c r="BV80" s="78">
        <f t="shared" si="37"/>
        <v>39.200000000000003</v>
      </c>
      <c r="BW80" s="78">
        <f t="shared" si="37"/>
        <v>47</v>
      </c>
    </row>
    <row r="81" spans="1:64" x14ac:dyDescent="0.25">
      <c r="A81" s="89" t="s">
        <v>157</v>
      </c>
      <c r="B81" s="102">
        <v>19</v>
      </c>
      <c r="C81" s="102">
        <v>16</v>
      </c>
      <c r="D81" s="102">
        <v>12.6</v>
      </c>
      <c r="E81" s="102">
        <v>18.899999999999999</v>
      </c>
      <c r="F81" s="102">
        <v>16.3</v>
      </c>
      <c r="G81" s="102">
        <v>16.899999999999999</v>
      </c>
      <c r="H81" s="102">
        <v>29</v>
      </c>
      <c r="I81" s="102">
        <v>19.100000000000001</v>
      </c>
      <c r="J81" s="102">
        <v>65</v>
      </c>
      <c r="K81" s="102">
        <v>62</v>
      </c>
      <c r="L81" s="102">
        <v>61</v>
      </c>
      <c r="M81" s="102">
        <v>71.599999999999994</v>
      </c>
      <c r="N81" s="102">
        <v>67</v>
      </c>
      <c r="O81" s="102">
        <v>69</v>
      </c>
      <c r="P81" s="102">
        <v>63.9</v>
      </c>
      <c r="Q81" s="102">
        <v>51.3</v>
      </c>
      <c r="R81" s="102">
        <v>73</v>
      </c>
      <c r="S81" s="102">
        <v>65.8</v>
      </c>
      <c r="T81" s="102">
        <v>73</v>
      </c>
      <c r="U81" s="102">
        <v>64</v>
      </c>
      <c r="V81" s="102">
        <v>55.7</v>
      </c>
      <c r="W81" s="102">
        <v>40</v>
      </c>
      <c r="X81" s="102">
        <v>35.299999999999997</v>
      </c>
      <c r="Y81" s="102">
        <v>38</v>
      </c>
      <c r="Z81" s="102">
        <v>8</v>
      </c>
      <c r="AA81" s="102">
        <v>15.2</v>
      </c>
      <c r="AB81" s="102">
        <v>20.5</v>
      </c>
      <c r="AC81" s="102">
        <v>33.9</v>
      </c>
      <c r="AD81" s="102">
        <v>16.899999999999999</v>
      </c>
      <c r="AE81" s="102">
        <v>17.7</v>
      </c>
      <c r="AF81" s="102">
        <v>14.2</v>
      </c>
      <c r="AG81" s="88"/>
      <c r="AH81" s="12">
        <f t="shared" si="8"/>
        <v>73</v>
      </c>
      <c r="AI81" s="11">
        <f t="shared" si="9"/>
        <v>8</v>
      </c>
      <c r="AK81" s="19"/>
      <c r="AY81" s="78"/>
    </row>
    <row r="82" spans="1:64" x14ac:dyDescent="0.25">
      <c r="A82" s="87" t="s">
        <v>160</v>
      </c>
      <c r="B82" s="70"/>
      <c r="C82" s="70"/>
      <c r="D82" s="70"/>
      <c r="E82" s="70"/>
      <c r="F82" s="70"/>
      <c r="G82" s="70"/>
      <c r="H82" s="70"/>
      <c r="I82" s="70"/>
      <c r="J82" s="70">
        <v>81</v>
      </c>
      <c r="K82" s="70">
        <v>76</v>
      </c>
      <c r="L82" s="70">
        <v>74.5</v>
      </c>
      <c r="M82" s="70">
        <v>78.900000000000006</v>
      </c>
      <c r="N82" s="70">
        <v>80.3</v>
      </c>
      <c r="O82" s="70">
        <v>80.7</v>
      </c>
      <c r="P82" s="70">
        <v>73.099999999999994</v>
      </c>
      <c r="Q82" s="70">
        <v>75.400000000000006</v>
      </c>
      <c r="R82" s="70">
        <v>78.7</v>
      </c>
      <c r="S82" s="70">
        <v>83</v>
      </c>
      <c r="T82" s="70">
        <v>80</v>
      </c>
      <c r="U82" s="70">
        <v>79.7</v>
      </c>
      <c r="V82" s="70">
        <v>86.2</v>
      </c>
      <c r="W82" s="70">
        <v>88</v>
      </c>
      <c r="X82" s="70">
        <v>86</v>
      </c>
      <c r="Y82" s="70">
        <v>0</v>
      </c>
      <c r="Z82" s="70"/>
      <c r="AA82" s="70"/>
      <c r="AB82" s="70"/>
      <c r="AC82" s="70"/>
      <c r="AD82" s="70"/>
      <c r="AE82" s="70"/>
      <c r="AF82" s="70"/>
      <c r="AG82" s="86"/>
      <c r="AH82" s="12">
        <f t="shared" ref="AH82:AH125" si="46">MAX(B82:AF82)</f>
        <v>88</v>
      </c>
      <c r="AI82" s="11">
        <f t="shared" ref="AI82:AI125" si="47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25">
      <c r="A83" s="87" t="s">
        <v>181</v>
      </c>
      <c r="B83" s="70">
        <v>30.9</v>
      </c>
      <c r="C83" s="70">
        <v>33</v>
      </c>
      <c r="D83" s="70">
        <v>46</v>
      </c>
      <c r="E83" s="70">
        <v>7.2</v>
      </c>
      <c r="F83" s="70">
        <v>6.9</v>
      </c>
      <c r="G83" s="70">
        <v>42</v>
      </c>
      <c r="H83" s="70">
        <v>-2</v>
      </c>
      <c r="I83" s="70">
        <v>46</v>
      </c>
      <c r="J83" s="70">
        <v>350</v>
      </c>
      <c r="K83" s="70">
        <v>400</v>
      </c>
      <c r="L83" s="70">
        <v>385</v>
      </c>
      <c r="M83" s="70">
        <v>380</v>
      </c>
      <c r="N83" s="70">
        <v>400.4</v>
      </c>
      <c r="O83" s="70">
        <v>420.5</v>
      </c>
      <c r="P83" s="70">
        <v>381.6</v>
      </c>
      <c r="Q83" s="70">
        <v>379.1</v>
      </c>
      <c r="R83" s="70">
        <v>375</v>
      </c>
      <c r="S83" s="70">
        <v>404</v>
      </c>
      <c r="T83" s="70">
        <v>393</v>
      </c>
      <c r="U83" s="70">
        <v>402</v>
      </c>
      <c r="V83" s="70">
        <v>375</v>
      </c>
      <c r="W83" s="70">
        <v>374</v>
      </c>
      <c r="X83" s="70">
        <v>250</v>
      </c>
      <c r="Y83" s="70">
        <v>100</v>
      </c>
      <c r="Z83" s="70">
        <v>100</v>
      </c>
      <c r="AA83" s="70">
        <v>12</v>
      </c>
      <c r="AB83" s="70">
        <v>22.5</v>
      </c>
      <c r="AC83" s="70">
        <v>50.6</v>
      </c>
      <c r="AD83" s="70">
        <v>22.3</v>
      </c>
      <c r="AE83" s="70">
        <v>0</v>
      </c>
      <c r="AF83" s="70">
        <v>9.9</v>
      </c>
      <c r="AG83" s="96"/>
      <c r="AH83" s="12">
        <f t="shared" si="46"/>
        <v>420.5</v>
      </c>
      <c r="AI83" s="11">
        <f t="shared" si="47"/>
        <v>-2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25">
      <c r="A84" s="87" t="s">
        <v>161</v>
      </c>
      <c r="B84" s="70"/>
      <c r="C84" s="70"/>
      <c r="D84" s="70"/>
      <c r="E84" s="85"/>
      <c r="F84" s="85"/>
      <c r="G84" s="85"/>
      <c r="H84" s="85"/>
      <c r="I84" s="85"/>
      <c r="J84" s="85">
        <v>6.5</v>
      </c>
      <c r="K84" s="85">
        <v>9</v>
      </c>
      <c r="L84" s="85">
        <v>8.4</v>
      </c>
      <c r="M84" s="85">
        <v>9.6</v>
      </c>
      <c r="N84" s="85">
        <v>9.4</v>
      </c>
      <c r="O84" s="85">
        <v>9.1999999999999993</v>
      </c>
      <c r="P84" s="85">
        <v>18.899999999999999</v>
      </c>
      <c r="Q84" s="85">
        <v>19.7</v>
      </c>
      <c r="R84" s="85">
        <v>23.9</v>
      </c>
      <c r="S84" s="85">
        <v>23</v>
      </c>
      <c r="T84" s="85">
        <v>20.3</v>
      </c>
      <c r="U84" s="85">
        <v>23.2</v>
      </c>
      <c r="V84" s="85">
        <v>24.7</v>
      </c>
      <c r="W84" s="85">
        <v>20</v>
      </c>
      <c r="X84" s="85">
        <v>22.8</v>
      </c>
      <c r="Y84" s="85">
        <v>25.3</v>
      </c>
      <c r="Z84" s="85"/>
      <c r="AA84" s="85"/>
      <c r="AB84" s="85"/>
      <c r="AC84" s="85"/>
      <c r="AD84" s="85"/>
      <c r="AE84" s="85"/>
      <c r="AF84" s="85"/>
      <c r="AG84" s="96"/>
      <c r="AH84" s="12">
        <f t="shared" si="46"/>
        <v>25.3</v>
      </c>
      <c r="AI84" s="11">
        <f t="shared" si="47"/>
        <v>6.5</v>
      </c>
      <c r="AK84" s="19"/>
      <c r="AY84" s="78"/>
      <c r="BF84" s="83"/>
      <c r="BG84" s="78">
        <f t="array" ref="BG84:BL107">TRANSPOSE(AZ68:BW73)</f>
        <v>16</v>
      </c>
      <c r="BH84" s="78">
        <v>0</v>
      </c>
      <c r="BI84" s="78">
        <v>33</v>
      </c>
      <c r="BJ84" s="78">
        <v>0</v>
      </c>
      <c r="BK84" s="78">
        <v>0</v>
      </c>
      <c r="BL84" s="78">
        <v>45</v>
      </c>
    </row>
    <row r="85" spans="1:64" x14ac:dyDescent="0.25">
      <c r="A85" s="87" t="s">
        <v>180</v>
      </c>
      <c r="B85" s="102"/>
      <c r="C85" s="102"/>
      <c r="D85" s="102"/>
      <c r="E85" s="102"/>
      <c r="F85" s="102"/>
      <c r="G85" s="102"/>
      <c r="H85" s="102"/>
      <c r="I85" s="102"/>
      <c r="J85" s="102">
        <v>80</v>
      </c>
      <c r="K85" s="102">
        <v>80</v>
      </c>
      <c r="L85" s="102">
        <v>80</v>
      </c>
      <c r="M85" s="102">
        <v>100</v>
      </c>
      <c r="N85" s="102">
        <v>101.4</v>
      </c>
      <c r="O85" s="102">
        <v>92.8</v>
      </c>
      <c r="P85" s="102">
        <v>114.4</v>
      </c>
      <c r="Q85" s="102">
        <v>120.3</v>
      </c>
      <c r="R85" s="102">
        <v>115.5</v>
      </c>
      <c r="S85" s="102">
        <v>119.4</v>
      </c>
      <c r="T85" s="102">
        <v>125</v>
      </c>
      <c r="U85" s="102">
        <v>132.80000000000001</v>
      </c>
      <c r="V85" s="102">
        <v>90</v>
      </c>
      <c r="W85" s="102">
        <v>100</v>
      </c>
      <c r="X85" s="102">
        <v>80.599999999999994</v>
      </c>
      <c r="Y85" s="102">
        <v>0</v>
      </c>
      <c r="Z85" s="102"/>
      <c r="AA85" s="102"/>
      <c r="AB85" s="102"/>
      <c r="AC85" s="102"/>
      <c r="AD85" s="102"/>
      <c r="AE85" s="102"/>
      <c r="AF85" s="102"/>
      <c r="AG85" s="96"/>
      <c r="AH85" s="12">
        <f t="shared" si="46"/>
        <v>132.80000000000001</v>
      </c>
      <c r="AI85" s="11">
        <f t="shared" si="47"/>
        <v>0</v>
      </c>
      <c r="AK85" s="19"/>
      <c r="AY85" s="78"/>
      <c r="BF85" s="83"/>
      <c r="BG85" s="78">
        <v>12.6</v>
      </c>
      <c r="BH85" s="78">
        <v>0</v>
      </c>
      <c r="BI85" s="78">
        <v>46</v>
      </c>
      <c r="BJ85" s="78">
        <v>0</v>
      </c>
      <c r="BK85" s="78">
        <v>0</v>
      </c>
      <c r="BL85" s="78">
        <v>43</v>
      </c>
    </row>
    <row r="86" spans="1:64" x14ac:dyDescent="0.25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46"/>
        <v>0</v>
      </c>
      <c r="AI86" s="11">
        <f t="shared" si="47"/>
        <v>0</v>
      </c>
      <c r="AK86" s="19"/>
      <c r="AY86" s="78"/>
      <c r="BF86" s="83"/>
      <c r="BG86" s="78">
        <v>18.899999999999999</v>
      </c>
      <c r="BH86" s="78">
        <v>0</v>
      </c>
      <c r="BI86" s="78">
        <v>7.2</v>
      </c>
      <c r="BJ86" s="78">
        <v>0</v>
      </c>
      <c r="BK86" s="78">
        <v>0</v>
      </c>
      <c r="BL86" s="78">
        <v>43.2</v>
      </c>
    </row>
    <row r="87" spans="1:64" ht="15.75" thickBot="1" x14ac:dyDescent="0.3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46"/>
        <v>0</v>
      </c>
      <c r="AI87" s="11">
        <f t="shared" si="47"/>
        <v>0</v>
      </c>
      <c r="AK87" s="19"/>
      <c r="AL87" s="108" t="s">
        <v>177</v>
      </c>
      <c r="AM87" s="108"/>
      <c r="AY87" s="78"/>
      <c r="BF87" s="78"/>
      <c r="BG87" s="78">
        <v>16.3</v>
      </c>
      <c r="BH87" s="78">
        <v>0</v>
      </c>
      <c r="BI87" s="78">
        <v>6.9</v>
      </c>
      <c r="BJ87" s="78">
        <v>0</v>
      </c>
      <c r="BK87" s="78">
        <v>0</v>
      </c>
      <c r="BL87" s="78">
        <v>43.5</v>
      </c>
    </row>
    <row r="88" spans="1:64" x14ac:dyDescent="0.25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46"/>
        <v>0</v>
      </c>
      <c r="AI88" s="11">
        <f t="shared" si="47"/>
        <v>0</v>
      </c>
      <c r="AK88" s="107"/>
      <c r="AL88" s="106"/>
      <c r="AM88" s="106"/>
      <c r="AN88" s="105"/>
      <c r="AY88" s="78"/>
      <c r="BF88" s="78"/>
      <c r="BG88" s="78">
        <v>16.899999999999999</v>
      </c>
      <c r="BH88" s="78">
        <v>0</v>
      </c>
      <c r="BI88" s="78">
        <v>42</v>
      </c>
      <c r="BJ88" s="78">
        <v>0</v>
      </c>
      <c r="BK88" s="78">
        <v>0</v>
      </c>
      <c r="BL88" s="78">
        <v>40.799999999999997</v>
      </c>
    </row>
    <row r="89" spans="1:64" x14ac:dyDescent="0.25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46"/>
        <v>0</v>
      </c>
      <c r="AI89" s="11">
        <f t="shared" si="47"/>
        <v>0</v>
      </c>
      <c r="AK89" s="104" t="s">
        <v>174</v>
      </c>
      <c r="AL89" s="70"/>
      <c r="AM89" s="85"/>
      <c r="AN89" s="103"/>
      <c r="AY89" s="78"/>
      <c r="BF89" s="78"/>
      <c r="BG89" s="78">
        <v>19.100000000000001</v>
      </c>
      <c r="BH89" s="78">
        <v>0</v>
      </c>
      <c r="BI89" s="78">
        <v>46</v>
      </c>
      <c r="BJ89" s="78">
        <v>0</v>
      </c>
      <c r="BK89" s="78">
        <v>0</v>
      </c>
      <c r="BL89" s="78">
        <v>47</v>
      </c>
    </row>
    <row r="90" spans="1:64" x14ac:dyDescent="0.25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46"/>
        <v>0</v>
      </c>
      <c r="AI90" s="11">
        <f t="shared" si="47"/>
        <v>0</v>
      </c>
      <c r="AK90" s="104" t="s">
        <v>172</v>
      </c>
      <c r="AL90" s="85"/>
      <c r="AM90" s="85"/>
      <c r="AN90" s="103"/>
      <c r="AY90" s="78"/>
      <c r="BF90" s="78"/>
      <c r="BG90" s="78">
        <v>62</v>
      </c>
      <c r="BH90" s="78">
        <v>76</v>
      </c>
      <c r="BI90" s="78">
        <v>400</v>
      </c>
      <c r="BJ90" s="78">
        <v>9</v>
      </c>
      <c r="BK90" s="78">
        <v>80</v>
      </c>
      <c r="BL90" s="78">
        <v>0</v>
      </c>
    </row>
    <row r="91" spans="1:64" ht="15.75" thickBot="1" x14ac:dyDescent="0.3">
      <c r="A91" s="82" t="s">
        <v>171</v>
      </c>
      <c r="B91" s="97">
        <v>47</v>
      </c>
      <c r="C91" s="97">
        <v>45</v>
      </c>
      <c r="D91" s="97">
        <v>43</v>
      </c>
      <c r="E91" s="97">
        <v>43.2</v>
      </c>
      <c r="F91" s="97">
        <v>43.5</v>
      </c>
      <c r="G91" s="97">
        <v>40.799999999999997</v>
      </c>
      <c r="H91" s="97">
        <v>42</v>
      </c>
      <c r="I91" s="97">
        <v>47</v>
      </c>
      <c r="J91" s="97">
        <v>49.4</v>
      </c>
      <c r="K91" s="97">
        <v>0</v>
      </c>
      <c r="L91" s="97">
        <v>0</v>
      </c>
      <c r="M91" s="97">
        <v>0</v>
      </c>
      <c r="N91" s="97">
        <v>0</v>
      </c>
      <c r="O91" s="97">
        <v>0</v>
      </c>
      <c r="P91" s="97">
        <v>46</v>
      </c>
      <c r="Q91" s="97">
        <v>39.1</v>
      </c>
      <c r="R91" s="97">
        <v>46.8</v>
      </c>
      <c r="S91" s="97">
        <v>36.4</v>
      </c>
      <c r="T91" s="97">
        <v>42.9</v>
      </c>
      <c r="U91" s="97">
        <v>43.2</v>
      </c>
      <c r="V91" s="97">
        <v>32.299999999999997</v>
      </c>
      <c r="W91" s="97">
        <v>34</v>
      </c>
      <c r="X91" s="97">
        <v>36.299999999999997</v>
      </c>
      <c r="Y91" s="97">
        <v>38</v>
      </c>
      <c r="Z91" s="97">
        <v>41.3</v>
      </c>
      <c r="AA91" s="97">
        <v>39.4</v>
      </c>
      <c r="AB91" s="97">
        <v>40.799999999999997</v>
      </c>
      <c r="AC91" s="97">
        <v>37.6</v>
      </c>
      <c r="AD91" s="97">
        <v>37.9</v>
      </c>
      <c r="AE91" s="97">
        <v>37.700000000000003</v>
      </c>
      <c r="AF91" s="97">
        <v>39.200000000000003</v>
      </c>
      <c r="AG91" s="80"/>
      <c r="AH91" s="12">
        <f t="shared" si="46"/>
        <v>49.4</v>
      </c>
      <c r="AI91" s="11">
        <f t="shared" si="47"/>
        <v>0</v>
      </c>
      <c r="AK91" s="98"/>
      <c r="AL91" s="102"/>
      <c r="AM91" s="102"/>
      <c r="AN91" s="101"/>
      <c r="AY91" s="78"/>
      <c r="BF91" s="78"/>
      <c r="BG91" s="78">
        <v>71.599999999999994</v>
      </c>
      <c r="BH91" s="78">
        <v>78.900000000000006</v>
      </c>
      <c r="BI91" s="78">
        <v>380</v>
      </c>
      <c r="BJ91" s="78">
        <v>9.6</v>
      </c>
      <c r="BK91" s="78">
        <v>100</v>
      </c>
      <c r="BL91" s="78">
        <v>0</v>
      </c>
    </row>
    <row r="92" spans="1:64" ht="15.75" thickBot="1" x14ac:dyDescent="0.3">
      <c r="A92" s="77" t="s">
        <v>170</v>
      </c>
      <c r="B92" s="76">
        <f t="shared" ref="B92:AA92" si="48">SUMIF(B81:B91,"&gt;0")</f>
        <v>96.9</v>
      </c>
      <c r="C92" s="76">
        <f t="shared" si="48"/>
        <v>94</v>
      </c>
      <c r="D92" s="76">
        <f t="shared" si="48"/>
        <v>101.6</v>
      </c>
      <c r="E92" s="76">
        <f t="shared" si="48"/>
        <v>69.3</v>
      </c>
      <c r="F92" s="76">
        <f t="shared" si="48"/>
        <v>66.7</v>
      </c>
      <c r="G92" s="76">
        <f t="shared" si="48"/>
        <v>99.699999999999989</v>
      </c>
      <c r="H92" s="76">
        <f t="shared" si="48"/>
        <v>71</v>
      </c>
      <c r="I92" s="76">
        <f t="shared" si="48"/>
        <v>112.1</v>
      </c>
      <c r="J92" s="76">
        <f t="shared" si="48"/>
        <v>631.9</v>
      </c>
      <c r="K92" s="76">
        <f t="shared" si="48"/>
        <v>627</v>
      </c>
      <c r="L92" s="76">
        <f t="shared" si="48"/>
        <v>608.9</v>
      </c>
      <c r="M92" s="76">
        <f t="shared" si="48"/>
        <v>640.1</v>
      </c>
      <c r="N92" s="76">
        <f t="shared" si="48"/>
        <v>658.5</v>
      </c>
      <c r="O92" s="76">
        <f t="shared" si="48"/>
        <v>672.2</v>
      </c>
      <c r="P92" s="76">
        <f t="shared" si="48"/>
        <v>697.9</v>
      </c>
      <c r="Q92" s="76">
        <f t="shared" si="48"/>
        <v>684.9</v>
      </c>
      <c r="R92" s="76">
        <f t="shared" si="48"/>
        <v>712.9</v>
      </c>
      <c r="S92" s="76">
        <f t="shared" si="48"/>
        <v>731.59999999999991</v>
      </c>
      <c r="T92" s="76">
        <f t="shared" si="48"/>
        <v>734.19999999999993</v>
      </c>
      <c r="U92" s="76">
        <f t="shared" si="48"/>
        <v>744.90000000000009</v>
      </c>
      <c r="V92" s="76">
        <f t="shared" si="48"/>
        <v>663.9</v>
      </c>
      <c r="W92" s="76">
        <f t="shared" si="48"/>
        <v>656</v>
      </c>
      <c r="X92" s="76">
        <f t="shared" si="48"/>
        <v>511.00000000000006</v>
      </c>
      <c r="Y92" s="76">
        <f t="shared" si="48"/>
        <v>201.3</v>
      </c>
      <c r="Z92" s="76">
        <f t="shared" si="48"/>
        <v>149.30000000000001</v>
      </c>
      <c r="AA92" s="76">
        <f t="shared" si="48"/>
        <v>66.599999999999994</v>
      </c>
      <c r="AB92" s="76">
        <f t="shared" ref="AB92:AC92" si="49">SUMIF(AB81:AB91,"&gt;0")</f>
        <v>83.8</v>
      </c>
      <c r="AC92" s="76">
        <f t="shared" si="49"/>
        <v>122.1</v>
      </c>
      <c r="AD92" s="76">
        <f t="shared" ref="AD92:AE92" si="50">SUMIF(AD81:AD91,"&gt;0")</f>
        <v>77.099999999999994</v>
      </c>
      <c r="AE92" s="76">
        <f t="shared" si="50"/>
        <v>55.400000000000006</v>
      </c>
      <c r="AF92" s="76">
        <f t="shared" ref="AF92" si="51">SUMIF(AF81:AF91,"&gt;0")</f>
        <v>63.300000000000004</v>
      </c>
      <c r="AG92" s="75">
        <f>SUM(AG81:AG91)</f>
        <v>0</v>
      </c>
      <c r="AH92" s="12">
        <f t="shared" si="46"/>
        <v>744.90000000000009</v>
      </c>
      <c r="AI92" s="11">
        <f t="shared" si="47"/>
        <v>55.400000000000006</v>
      </c>
      <c r="AK92" s="98"/>
      <c r="AL92" s="97"/>
      <c r="AM92" s="100"/>
      <c r="AN92" s="220"/>
      <c r="AY92" s="78"/>
      <c r="BF92" s="78"/>
      <c r="BG92" s="78">
        <v>67</v>
      </c>
      <c r="BH92" s="78">
        <v>80.3</v>
      </c>
      <c r="BI92" s="78">
        <v>400.4</v>
      </c>
      <c r="BJ92" s="78">
        <v>9.4</v>
      </c>
      <c r="BK92" s="78">
        <v>101.4</v>
      </c>
      <c r="BL92" s="78">
        <v>0</v>
      </c>
    </row>
    <row r="93" spans="1:64" x14ac:dyDescent="0.25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46"/>
        <v>0</v>
      </c>
      <c r="AI93" s="11">
        <f t="shared" si="47"/>
        <v>0</v>
      </c>
      <c r="AK93" s="98"/>
      <c r="AL93" s="97"/>
      <c r="AM93" s="97"/>
      <c r="AN93" s="221"/>
      <c r="BF93" s="78"/>
      <c r="BG93" s="78">
        <v>69</v>
      </c>
      <c r="BH93" s="78">
        <v>80.7</v>
      </c>
      <c r="BI93" s="78">
        <v>420.5</v>
      </c>
      <c r="BJ93" s="78">
        <v>9.1999999999999993</v>
      </c>
      <c r="BK93" s="78">
        <v>92.8</v>
      </c>
      <c r="BL93" s="78">
        <v>0</v>
      </c>
    </row>
    <row r="94" spans="1:64" ht="15.75" thickBot="1" x14ac:dyDescent="0.3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46"/>
        <v>0</v>
      </c>
      <c r="AI94" s="11">
        <f t="shared" si="47"/>
        <v>0</v>
      </c>
      <c r="AK94" s="95"/>
      <c r="AL94" s="67"/>
      <c r="AM94" s="67"/>
      <c r="AN94" s="94"/>
      <c r="BF94" s="78"/>
      <c r="BG94" s="78">
        <v>63.9</v>
      </c>
      <c r="BH94" s="78">
        <v>73.099999999999994</v>
      </c>
      <c r="BI94" s="78">
        <v>381.6</v>
      </c>
      <c r="BJ94" s="78">
        <v>18.899999999999999</v>
      </c>
      <c r="BK94" s="78">
        <v>114.4</v>
      </c>
      <c r="BL94" s="78">
        <v>46</v>
      </c>
    </row>
    <row r="95" spans="1:64" ht="15.75" thickBot="1" x14ac:dyDescent="0.3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46"/>
        <v>0</v>
      </c>
      <c r="AI95" s="11">
        <f t="shared" si="47"/>
        <v>0</v>
      </c>
      <c r="BF95" s="78"/>
      <c r="BG95" s="78">
        <v>51.3</v>
      </c>
      <c r="BH95" s="78">
        <v>75.400000000000006</v>
      </c>
      <c r="BI95" s="78">
        <v>379.1</v>
      </c>
      <c r="BJ95" s="78">
        <v>19.7</v>
      </c>
      <c r="BK95" s="78">
        <v>120.3</v>
      </c>
      <c r="BL95" s="78">
        <v>39.1</v>
      </c>
    </row>
    <row r="96" spans="1:64" ht="15.75" thickBot="1" x14ac:dyDescent="0.3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46"/>
        <v>0</v>
      </c>
      <c r="AI96" s="11">
        <f t="shared" si="47"/>
        <v>0</v>
      </c>
      <c r="BF96" s="78"/>
      <c r="BG96" s="78">
        <v>73</v>
      </c>
      <c r="BH96" s="78">
        <v>78.7</v>
      </c>
      <c r="BI96" s="78">
        <v>375</v>
      </c>
      <c r="BJ96" s="78">
        <v>23.9</v>
      </c>
      <c r="BK96" s="78">
        <v>115.5</v>
      </c>
      <c r="BL96" s="78">
        <v>46.8</v>
      </c>
    </row>
    <row r="97" spans="1:64" ht="15.75" thickBot="1" x14ac:dyDescent="0.3">
      <c r="A97" s="77" t="s">
        <v>165</v>
      </c>
      <c r="B97" s="90">
        <f t="shared" ref="B97:AG97" si="52">B58+B62+B80+B76+B92+B96</f>
        <v>1096.2400000000002</v>
      </c>
      <c r="C97" s="90">
        <f t="shared" si="52"/>
        <v>992.34000000000015</v>
      </c>
      <c r="D97" s="90">
        <f t="shared" si="52"/>
        <v>999.94000000000017</v>
      </c>
      <c r="E97" s="90">
        <f t="shared" si="52"/>
        <v>965.14</v>
      </c>
      <c r="F97" s="90">
        <f t="shared" si="52"/>
        <v>975.94</v>
      </c>
      <c r="G97" s="90">
        <f t="shared" si="52"/>
        <v>1051.44</v>
      </c>
      <c r="H97" s="90">
        <f t="shared" si="52"/>
        <v>1174.9389999999999</v>
      </c>
      <c r="I97" s="90">
        <f t="shared" si="52"/>
        <v>1247.4389999999999</v>
      </c>
      <c r="J97" s="90">
        <f t="shared" si="52"/>
        <v>1549.3389999999999</v>
      </c>
      <c r="K97" s="90">
        <f t="shared" si="52"/>
        <v>1467.3389999999999</v>
      </c>
      <c r="L97" s="90">
        <f t="shared" si="52"/>
        <v>1474.14</v>
      </c>
      <c r="M97" s="90">
        <f t="shared" si="52"/>
        <v>1500.2400000000002</v>
      </c>
      <c r="N97" s="90">
        <f t="shared" si="52"/>
        <v>1524.3400000000001</v>
      </c>
      <c r="O97" s="90">
        <f t="shared" si="52"/>
        <v>1578.14</v>
      </c>
      <c r="P97" s="90">
        <f t="shared" si="52"/>
        <v>1573.8400000000001</v>
      </c>
      <c r="Q97" s="90">
        <f t="shared" si="52"/>
        <v>1525.04</v>
      </c>
      <c r="R97" s="90">
        <f t="shared" si="52"/>
        <v>1535.7400000000002</v>
      </c>
      <c r="S97" s="90">
        <f t="shared" si="52"/>
        <v>1555.74</v>
      </c>
      <c r="T97" s="90">
        <f t="shared" si="52"/>
        <v>1563.94</v>
      </c>
      <c r="U97" s="90">
        <f t="shared" si="52"/>
        <v>1546.94</v>
      </c>
      <c r="V97" s="90">
        <f t="shared" si="52"/>
        <v>1421.54</v>
      </c>
      <c r="W97" s="90">
        <f t="shared" si="52"/>
        <v>1399.1399999999999</v>
      </c>
      <c r="X97" s="90">
        <f t="shared" si="52"/>
        <v>1288.94</v>
      </c>
      <c r="Y97" s="90">
        <f t="shared" si="52"/>
        <v>1389.2</v>
      </c>
      <c r="Z97" s="90">
        <f t="shared" si="52"/>
        <v>1447.6000000000001</v>
      </c>
      <c r="AA97" s="90">
        <f t="shared" si="52"/>
        <v>1384.74</v>
      </c>
      <c r="AB97" s="90">
        <f t="shared" ref="AB97:AC97" si="53">AB58+AB62+AB80+AB76+AB92+AB96</f>
        <v>1334.94</v>
      </c>
      <c r="AC97" s="90">
        <f t="shared" si="53"/>
        <v>1348.94</v>
      </c>
      <c r="AD97" s="90">
        <f t="shared" ref="AD97:AE97" si="54">AD58+AD62+AD80+AD76+AD92+AD96</f>
        <v>1277.3400000000001</v>
      </c>
      <c r="AE97" s="90">
        <f t="shared" si="54"/>
        <v>1208.5400000000002</v>
      </c>
      <c r="AF97" s="90">
        <f t="shared" ref="AF97" si="55">AF58+AF62+AF80+AF76+AF92+AF96</f>
        <v>1154.0400000000002</v>
      </c>
      <c r="AG97" s="93">
        <f t="shared" si="52"/>
        <v>2231.81</v>
      </c>
      <c r="AH97" s="12">
        <f t="shared" si="46"/>
        <v>1578.14</v>
      </c>
      <c r="AI97" s="11">
        <f t="shared" si="47"/>
        <v>965.14</v>
      </c>
      <c r="BF97" s="78"/>
      <c r="BG97" s="78">
        <v>65.8</v>
      </c>
      <c r="BH97" s="78">
        <v>83</v>
      </c>
      <c r="BI97" s="78">
        <v>404</v>
      </c>
      <c r="BJ97" s="78">
        <v>23</v>
      </c>
      <c r="BK97" s="78">
        <v>119.4</v>
      </c>
      <c r="BL97" s="78">
        <v>36.4</v>
      </c>
    </row>
    <row r="98" spans="1:64" ht="15.75" thickBot="1" x14ac:dyDescent="0.3">
      <c r="A98" s="92" t="s">
        <v>164</v>
      </c>
      <c r="B98" s="91">
        <v>200</v>
      </c>
      <c r="C98" s="91">
        <v>200</v>
      </c>
      <c r="D98" s="91">
        <v>200</v>
      </c>
      <c r="E98" s="91">
        <v>180</v>
      </c>
      <c r="F98" s="91">
        <v>180</v>
      </c>
      <c r="G98" s="91">
        <v>180</v>
      </c>
      <c r="H98" s="91">
        <v>150</v>
      </c>
      <c r="I98" s="91">
        <v>50</v>
      </c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>
        <v>100</v>
      </c>
      <c r="Y98" s="91">
        <v>150</v>
      </c>
      <c r="Z98" s="91">
        <v>150</v>
      </c>
      <c r="AA98" s="91">
        <v>150</v>
      </c>
      <c r="AB98" s="91">
        <v>180</v>
      </c>
      <c r="AC98" s="91">
        <v>180</v>
      </c>
      <c r="AD98" s="91">
        <v>180</v>
      </c>
      <c r="AE98" s="91">
        <v>180</v>
      </c>
      <c r="AF98" s="91">
        <v>180</v>
      </c>
      <c r="AG98" s="75"/>
      <c r="AH98" s="12">
        <f t="shared" si="46"/>
        <v>200</v>
      </c>
      <c r="AI98" s="11">
        <f t="shared" si="47"/>
        <v>50</v>
      </c>
      <c r="BF98" s="78"/>
      <c r="BG98" s="78">
        <v>73</v>
      </c>
      <c r="BH98" s="78">
        <v>80</v>
      </c>
      <c r="BI98" s="78">
        <v>393</v>
      </c>
      <c r="BJ98" s="78">
        <v>20.3</v>
      </c>
      <c r="BK98" s="78">
        <v>125</v>
      </c>
      <c r="BL98" s="78">
        <v>42.9</v>
      </c>
    </row>
    <row r="99" spans="1:64" ht="15.75" thickBot="1" x14ac:dyDescent="0.3">
      <c r="A99" s="77" t="s">
        <v>163</v>
      </c>
      <c r="B99" s="90">
        <f t="shared" ref="B99:AA99" si="56">B97+B98</f>
        <v>1296.2400000000002</v>
      </c>
      <c r="C99" s="90">
        <f t="shared" si="56"/>
        <v>1192.3400000000001</v>
      </c>
      <c r="D99" s="90">
        <f t="shared" si="56"/>
        <v>1199.94</v>
      </c>
      <c r="E99" s="90">
        <f t="shared" si="56"/>
        <v>1145.1399999999999</v>
      </c>
      <c r="F99" s="90">
        <f t="shared" si="56"/>
        <v>1155.94</v>
      </c>
      <c r="G99" s="90">
        <f t="shared" si="56"/>
        <v>1231.44</v>
      </c>
      <c r="H99" s="90">
        <f t="shared" si="56"/>
        <v>1324.9389999999999</v>
      </c>
      <c r="I99" s="90">
        <f t="shared" si="56"/>
        <v>1297.4389999999999</v>
      </c>
      <c r="J99" s="90">
        <f t="shared" si="56"/>
        <v>1549.3389999999999</v>
      </c>
      <c r="K99" s="90">
        <f t="shared" si="56"/>
        <v>1467.3389999999999</v>
      </c>
      <c r="L99" s="90">
        <f t="shared" si="56"/>
        <v>1474.14</v>
      </c>
      <c r="M99" s="90">
        <f t="shared" si="56"/>
        <v>1500.2400000000002</v>
      </c>
      <c r="N99" s="90">
        <f t="shared" si="56"/>
        <v>1524.3400000000001</v>
      </c>
      <c r="O99" s="90">
        <f t="shared" si="56"/>
        <v>1578.14</v>
      </c>
      <c r="P99" s="90">
        <f t="shared" si="56"/>
        <v>1573.8400000000001</v>
      </c>
      <c r="Q99" s="90">
        <f t="shared" si="56"/>
        <v>1525.04</v>
      </c>
      <c r="R99" s="90">
        <f t="shared" si="56"/>
        <v>1535.7400000000002</v>
      </c>
      <c r="S99" s="90">
        <f t="shared" si="56"/>
        <v>1555.74</v>
      </c>
      <c r="T99" s="90">
        <f t="shared" si="56"/>
        <v>1563.94</v>
      </c>
      <c r="U99" s="90">
        <f t="shared" si="56"/>
        <v>1546.94</v>
      </c>
      <c r="V99" s="90">
        <f t="shared" si="56"/>
        <v>1421.54</v>
      </c>
      <c r="W99" s="90">
        <f t="shared" si="56"/>
        <v>1399.1399999999999</v>
      </c>
      <c r="X99" s="90">
        <f t="shared" si="56"/>
        <v>1388.94</v>
      </c>
      <c r="Y99" s="90">
        <f t="shared" si="56"/>
        <v>1539.2</v>
      </c>
      <c r="Z99" s="90">
        <f t="shared" si="56"/>
        <v>1597.6000000000001</v>
      </c>
      <c r="AA99" s="90">
        <f t="shared" si="56"/>
        <v>1534.74</v>
      </c>
      <c r="AB99" s="90">
        <f t="shared" ref="AB99:AC99" si="57">AB97+AB98</f>
        <v>1514.94</v>
      </c>
      <c r="AC99" s="90">
        <f t="shared" si="57"/>
        <v>1528.94</v>
      </c>
      <c r="AD99" s="90">
        <f t="shared" ref="AD99:AE99" si="58">AD97+AD98</f>
        <v>1457.3400000000001</v>
      </c>
      <c r="AE99" s="90">
        <f t="shared" si="58"/>
        <v>1388.5400000000002</v>
      </c>
      <c r="AF99" s="90">
        <f t="shared" ref="AF99" si="59">AF97+AF98</f>
        <v>1334.0400000000002</v>
      </c>
      <c r="AG99" s="75">
        <f>AG96+AG92+AG80+AG76+AG58+AG98</f>
        <v>1693.71</v>
      </c>
      <c r="AH99" s="12">
        <f t="shared" si="46"/>
        <v>1597.6000000000001</v>
      </c>
      <c r="AI99" s="11">
        <f t="shared" si="47"/>
        <v>1145.1399999999999</v>
      </c>
      <c r="BF99" s="78"/>
      <c r="BG99" s="78">
        <v>64</v>
      </c>
      <c r="BH99" s="78">
        <v>79.7</v>
      </c>
      <c r="BI99" s="78">
        <v>402</v>
      </c>
      <c r="BJ99" s="78">
        <v>23.2</v>
      </c>
      <c r="BK99" s="78">
        <v>132.80000000000001</v>
      </c>
      <c r="BL99" s="78">
        <v>43.2</v>
      </c>
    </row>
    <row r="100" spans="1:64" ht="15.75" thickBot="1" x14ac:dyDescent="0.3">
      <c r="A100" s="77" t="s">
        <v>162</v>
      </c>
      <c r="B100" s="90">
        <f t="shared" ref="B100:AA100" si="60">B99-(B107)</f>
        <v>1296.2400000000002</v>
      </c>
      <c r="C100" s="90">
        <f t="shared" si="60"/>
        <v>1192.3400000000001</v>
      </c>
      <c r="D100" s="90">
        <f t="shared" si="60"/>
        <v>1199.94</v>
      </c>
      <c r="E100" s="90">
        <f t="shared" si="60"/>
        <v>1145.1399999999999</v>
      </c>
      <c r="F100" s="90">
        <f t="shared" si="60"/>
        <v>1155.94</v>
      </c>
      <c r="G100" s="90">
        <f t="shared" si="60"/>
        <v>1231.44</v>
      </c>
      <c r="H100" s="90">
        <f t="shared" si="60"/>
        <v>1322.9389999999999</v>
      </c>
      <c r="I100" s="90">
        <f t="shared" si="60"/>
        <v>1297.4389999999999</v>
      </c>
      <c r="J100" s="90">
        <f t="shared" si="60"/>
        <v>1549.3389999999999</v>
      </c>
      <c r="K100" s="90">
        <f t="shared" si="60"/>
        <v>1467.3389999999999</v>
      </c>
      <c r="L100" s="90">
        <f t="shared" si="60"/>
        <v>1474.14</v>
      </c>
      <c r="M100" s="90">
        <f t="shared" si="60"/>
        <v>1500.2400000000002</v>
      </c>
      <c r="N100" s="90">
        <f t="shared" si="60"/>
        <v>1524.3400000000001</v>
      </c>
      <c r="O100" s="90">
        <f t="shared" si="60"/>
        <v>1578.14</v>
      </c>
      <c r="P100" s="90">
        <f t="shared" si="60"/>
        <v>1573.8400000000001</v>
      </c>
      <c r="Q100" s="90">
        <f t="shared" si="60"/>
        <v>1525.04</v>
      </c>
      <c r="R100" s="90">
        <f t="shared" si="60"/>
        <v>1535.7400000000002</v>
      </c>
      <c r="S100" s="90">
        <f t="shared" si="60"/>
        <v>1555.74</v>
      </c>
      <c r="T100" s="90">
        <f t="shared" si="60"/>
        <v>1563.94</v>
      </c>
      <c r="U100" s="90">
        <f t="shared" si="60"/>
        <v>1546.94</v>
      </c>
      <c r="V100" s="90">
        <f t="shared" si="60"/>
        <v>1421.54</v>
      </c>
      <c r="W100" s="90">
        <f t="shared" si="60"/>
        <v>1399.1399999999999</v>
      </c>
      <c r="X100" s="90">
        <f t="shared" si="60"/>
        <v>1388.94</v>
      </c>
      <c r="Y100" s="90">
        <f t="shared" si="60"/>
        <v>1539.2</v>
      </c>
      <c r="Z100" s="90">
        <f t="shared" si="60"/>
        <v>1597.6000000000001</v>
      </c>
      <c r="AA100" s="90">
        <f t="shared" si="60"/>
        <v>1534.74</v>
      </c>
      <c r="AB100" s="90">
        <f t="shared" ref="AB100:AC100" si="61">AB99-(AB107)</f>
        <v>1514.94</v>
      </c>
      <c r="AC100" s="90">
        <f t="shared" si="61"/>
        <v>1528.94</v>
      </c>
      <c r="AD100" s="90">
        <f t="shared" ref="AD100:AE100" si="62">AD99-(AD107)</f>
        <v>1457.3400000000001</v>
      </c>
      <c r="AE100" s="90">
        <f t="shared" si="62"/>
        <v>1388.5400000000002</v>
      </c>
      <c r="AF100" s="90">
        <f t="shared" ref="AF100" si="63">AF99-(AF107)</f>
        <v>1334.0400000000002</v>
      </c>
      <c r="AG100" s="75"/>
      <c r="AH100" s="12">
        <f t="shared" si="46"/>
        <v>1597.6000000000001</v>
      </c>
      <c r="AI100" s="11">
        <f t="shared" si="47"/>
        <v>1145.1399999999999</v>
      </c>
      <c r="BF100" s="78"/>
      <c r="BG100" s="78">
        <v>55.7</v>
      </c>
      <c r="BH100" s="78">
        <v>86.2</v>
      </c>
      <c r="BI100" s="78">
        <v>375</v>
      </c>
      <c r="BJ100" s="78">
        <v>24.7</v>
      </c>
      <c r="BK100" s="78">
        <v>90</v>
      </c>
      <c r="BL100" s="78">
        <v>32.299999999999997</v>
      </c>
    </row>
    <row r="101" spans="1:64" x14ac:dyDescent="0.25">
      <c r="A101" s="89" t="s">
        <v>161</v>
      </c>
      <c r="B101" s="85">
        <f t="shared" ref="B101:AA101" si="64">IF(B84&lt;0,B84*-1,0)</f>
        <v>0</v>
      </c>
      <c r="C101" s="85">
        <f t="shared" si="64"/>
        <v>0</v>
      </c>
      <c r="D101" s="85">
        <f t="shared" si="64"/>
        <v>0</v>
      </c>
      <c r="E101" s="85">
        <f t="shared" si="64"/>
        <v>0</v>
      </c>
      <c r="F101" s="85">
        <f t="shared" si="64"/>
        <v>0</v>
      </c>
      <c r="G101" s="85">
        <f t="shared" si="64"/>
        <v>0</v>
      </c>
      <c r="H101" s="85">
        <f t="shared" si="64"/>
        <v>0</v>
      </c>
      <c r="I101" s="85">
        <f t="shared" si="64"/>
        <v>0</v>
      </c>
      <c r="J101" s="85">
        <f t="shared" si="64"/>
        <v>0</v>
      </c>
      <c r="K101" s="85">
        <f t="shared" si="64"/>
        <v>0</v>
      </c>
      <c r="L101" s="85">
        <f t="shared" si="64"/>
        <v>0</v>
      </c>
      <c r="M101" s="85">
        <f t="shared" si="64"/>
        <v>0</v>
      </c>
      <c r="N101" s="85">
        <f t="shared" si="64"/>
        <v>0</v>
      </c>
      <c r="O101" s="85">
        <f t="shared" si="64"/>
        <v>0</v>
      </c>
      <c r="P101" s="85">
        <f t="shared" si="64"/>
        <v>0</v>
      </c>
      <c r="Q101" s="85">
        <f t="shared" si="64"/>
        <v>0</v>
      </c>
      <c r="R101" s="85">
        <f t="shared" si="64"/>
        <v>0</v>
      </c>
      <c r="S101" s="85">
        <f t="shared" si="64"/>
        <v>0</v>
      </c>
      <c r="T101" s="85">
        <f t="shared" si="64"/>
        <v>0</v>
      </c>
      <c r="U101" s="85">
        <f t="shared" si="64"/>
        <v>0</v>
      </c>
      <c r="V101" s="85">
        <f t="shared" si="64"/>
        <v>0</v>
      </c>
      <c r="W101" s="85">
        <f t="shared" si="64"/>
        <v>0</v>
      </c>
      <c r="X101" s="85">
        <f t="shared" si="64"/>
        <v>0</v>
      </c>
      <c r="Y101" s="85">
        <f t="shared" si="64"/>
        <v>0</v>
      </c>
      <c r="Z101" s="85">
        <f t="shared" si="64"/>
        <v>0</v>
      </c>
      <c r="AA101" s="85">
        <f t="shared" si="64"/>
        <v>0</v>
      </c>
      <c r="AB101" s="85">
        <f t="shared" ref="AB101:AC101" si="65">IF(AB84&lt;0,AB84*-1,0)</f>
        <v>0</v>
      </c>
      <c r="AC101" s="85">
        <f t="shared" si="65"/>
        <v>0</v>
      </c>
      <c r="AD101" s="85">
        <f t="shared" ref="AD101:AE101" si="66">IF(AD84&lt;0,AD84*-1,0)</f>
        <v>0</v>
      </c>
      <c r="AE101" s="85">
        <f t="shared" si="66"/>
        <v>0</v>
      </c>
      <c r="AF101" s="85">
        <f t="shared" ref="AF101" si="67">IF(AF84&lt;0,AF84*-1,0)</f>
        <v>0</v>
      </c>
      <c r="AG101" s="88"/>
      <c r="AH101" s="12">
        <f t="shared" si="46"/>
        <v>0</v>
      </c>
      <c r="AI101" s="11">
        <f t="shared" si="47"/>
        <v>0</v>
      </c>
      <c r="BF101" s="83"/>
      <c r="BG101" s="78">
        <v>35.299999999999997</v>
      </c>
      <c r="BH101" s="78">
        <v>86</v>
      </c>
      <c r="BI101" s="78">
        <v>250</v>
      </c>
      <c r="BJ101" s="78">
        <v>22.8</v>
      </c>
      <c r="BK101" s="78">
        <v>80.599999999999994</v>
      </c>
      <c r="BL101" s="78">
        <v>36.299999999999997</v>
      </c>
    </row>
    <row r="102" spans="1:64" x14ac:dyDescent="0.25">
      <c r="A102" s="87" t="s">
        <v>160</v>
      </c>
      <c r="B102" s="85">
        <f t="shared" ref="B102:AA102" si="68">IF(B82&lt;0,B82*-1,0)</f>
        <v>0</v>
      </c>
      <c r="C102" s="85">
        <f t="shared" si="68"/>
        <v>0</v>
      </c>
      <c r="D102" s="85">
        <f t="shared" si="68"/>
        <v>0</v>
      </c>
      <c r="E102" s="85">
        <f t="shared" si="68"/>
        <v>0</v>
      </c>
      <c r="F102" s="85">
        <f t="shared" si="68"/>
        <v>0</v>
      </c>
      <c r="G102" s="85">
        <f t="shared" si="68"/>
        <v>0</v>
      </c>
      <c r="H102" s="85">
        <f t="shared" si="68"/>
        <v>0</v>
      </c>
      <c r="I102" s="85">
        <f t="shared" si="68"/>
        <v>0</v>
      </c>
      <c r="J102" s="85">
        <f t="shared" si="68"/>
        <v>0</v>
      </c>
      <c r="K102" s="85">
        <f t="shared" si="68"/>
        <v>0</v>
      </c>
      <c r="L102" s="85">
        <f t="shared" si="68"/>
        <v>0</v>
      </c>
      <c r="M102" s="85">
        <f t="shared" si="68"/>
        <v>0</v>
      </c>
      <c r="N102" s="85">
        <f t="shared" si="68"/>
        <v>0</v>
      </c>
      <c r="O102" s="85">
        <f t="shared" si="68"/>
        <v>0</v>
      </c>
      <c r="P102" s="85">
        <f t="shared" si="68"/>
        <v>0</v>
      </c>
      <c r="Q102" s="85">
        <f t="shared" si="68"/>
        <v>0</v>
      </c>
      <c r="R102" s="85">
        <f t="shared" si="68"/>
        <v>0</v>
      </c>
      <c r="S102" s="85">
        <f t="shared" si="68"/>
        <v>0</v>
      </c>
      <c r="T102" s="85">
        <f t="shared" si="68"/>
        <v>0</v>
      </c>
      <c r="U102" s="85">
        <f t="shared" si="68"/>
        <v>0</v>
      </c>
      <c r="V102" s="85">
        <f t="shared" si="68"/>
        <v>0</v>
      </c>
      <c r="W102" s="85">
        <f t="shared" si="68"/>
        <v>0</v>
      </c>
      <c r="X102" s="85">
        <f t="shared" si="68"/>
        <v>0</v>
      </c>
      <c r="Y102" s="85">
        <f t="shared" si="68"/>
        <v>0</v>
      </c>
      <c r="Z102" s="85">
        <f t="shared" si="68"/>
        <v>0</v>
      </c>
      <c r="AA102" s="85">
        <f t="shared" si="68"/>
        <v>0</v>
      </c>
      <c r="AB102" s="85">
        <f t="shared" ref="AB102:AC102" si="69">IF(AB82&lt;0,AB82*-1,0)</f>
        <v>0</v>
      </c>
      <c r="AC102" s="85">
        <f t="shared" si="69"/>
        <v>0</v>
      </c>
      <c r="AD102" s="85">
        <f t="shared" ref="AD102:AE102" si="70">IF(AD82&lt;0,AD82*-1,0)</f>
        <v>0</v>
      </c>
      <c r="AE102" s="85">
        <f t="shared" si="70"/>
        <v>0</v>
      </c>
      <c r="AF102" s="85">
        <f t="shared" ref="AF102" si="71">IF(AF82&lt;0,AF82*-1,0)</f>
        <v>0</v>
      </c>
      <c r="AG102" s="86"/>
      <c r="AH102" s="12">
        <f t="shared" si="46"/>
        <v>0</v>
      </c>
      <c r="AI102" s="11">
        <f t="shared" si="47"/>
        <v>0</v>
      </c>
      <c r="BF102" s="83"/>
      <c r="BG102" s="78">
        <v>8</v>
      </c>
      <c r="BH102" s="78">
        <v>0</v>
      </c>
      <c r="BI102" s="78">
        <v>100</v>
      </c>
      <c r="BJ102" s="78">
        <v>0</v>
      </c>
      <c r="BK102" s="78">
        <v>0</v>
      </c>
      <c r="BL102" s="78">
        <v>41.3</v>
      </c>
    </row>
    <row r="103" spans="1:64" x14ac:dyDescent="0.25">
      <c r="A103" s="82" t="s">
        <v>159</v>
      </c>
      <c r="B103" s="85">
        <f t="shared" ref="B103:AA103" si="72">IF(B85&lt;0,B85*-1,0)</f>
        <v>0</v>
      </c>
      <c r="C103" s="85">
        <f t="shared" si="72"/>
        <v>0</v>
      </c>
      <c r="D103" s="85">
        <f t="shared" si="72"/>
        <v>0</v>
      </c>
      <c r="E103" s="85">
        <f t="shared" si="72"/>
        <v>0</v>
      </c>
      <c r="F103" s="85">
        <f t="shared" si="72"/>
        <v>0</v>
      </c>
      <c r="G103" s="85">
        <f t="shared" si="72"/>
        <v>0</v>
      </c>
      <c r="H103" s="85">
        <f t="shared" si="72"/>
        <v>0</v>
      </c>
      <c r="I103" s="85">
        <f t="shared" si="72"/>
        <v>0</v>
      </c>
      <c r="J103" s="85">
        <f t="shared" si="72"/>
        <v>0</v>
      </c>
      <c r="K103" s="85">
        <f t="shared" si="72"/>
        <v>0</v>
      </c>
      <c r="L103" s="85">
        <f t="shared" si="72"/>
        <v>0</v>
      </c>
      <c r="M103" s="85">
        <f t="shared" si="72"/>
        <v>0</v>
      </c>
      <c r="N103" s="85">
        <f t="shared" si="72"/>
        <v>0</v>
      </c>
      <c r="O103" s="85">
        <f t="shared" si="72"/>
        <v>0</v>
      </c>
      <c r="P103" s="85">
        <f t="shared" si="72"/>
        <v>0</v>
      </c>
      <c r="Q103" s="85">
        <f t="shared" si="72"/>
        <v>0</v>
      </c>
      <c r="R103" s="85">
        <f t="shared" si="72"/>
        <v>0</v>
      </c>
      <c r="S103" s="85">
        <f t="shared" si="72"/>
        <v>0</v>
      </c>
      <c r="T103" s="85">
        <f t="shared" si="72"/>
        <v>0</v>
      </c>
      <c r="U103" s="85">
        <f t="shared" si="72"/>
        <v>0</v>
      </c>
      <c r="V103" s="85">
        <f t="shared" si="72"/>
        <v>0</v>
      </c>
      <c r="W103" s="85">
        <f t="shared" si="72"/>
        <v>0</v>
      </c>
      <c r="X103" s="85">
        <f t="shared" si="72"/>
        <v>0</v>
      </c>
      <c r="Y103" s="85">
        <f t="shared" si="72"/>
        <v>0</v>
      </c>
      <c r="Z103" s="85">
        <f t="shared" si="72"/>
        <v>0</v>
      </c>
      <c r="AA103" s="85">
        <f t="shared" si="72"/>
        <v>0</v>
      </c>
      <c r="AB103" s="85">
        <f t="shared" ref="AB103:AC103" si="73">IF(AB85&lt;0,AB85*-1,0)</f>
        <v>0</v>
      </c>
      <c r="AC103" s="85">
        <f t="shared" si="73"/>
        <v>0</v>
      </c>
      <c r="AD103" s="85">
        <f t="shared" ref="AD103:AE103" si="74">IF(AD85&lt;0,AD85*-1,0)</f>
        <v>0</v>
      </c>
      <c r="AE103" s="85">
        <f t="shared" si="74"/>
        <v>0</v>
      </c>
      <c r="AF103" s="85">
        <f t="shared" ref="AF103" si="75">IF(AF85&lt;0,AF85*-1,0)</f>
        <v>0</v>
      </c>
      <c r="AG103" s="84"/>
      <c r="AH103" s="12">
        <f t="shared" si="46"/>
        <v>0</v>
      </c>
      <c r="AI103" s="11">
        <f t="shared" si="47"/>
        <v>0</v>
      </c>
      <c r="BF103" s="83"/>
      <c r="BG103" s="78">
        <v>20.5</v>
      </c>
      <c r="BH103" s="78">
        <v>0</v>
      </c>
      <c r="BI103" s="78">
        <v>22.5</v>
      </c>
      <c r="BJ103" s="78">
        <v>0</v>
      </c>
      <c r="BK103" s="78">
        <v>0</v>
      </c>
      <c r="BL103" s="78">
        <v>40.799999999999997</v>
      </c>
    </row>
    <row r="104" spans="1:64" x14ac:dyDescent="0.25">
      <c r="A104" s="82" t="s">
        <v>158</v>
      </c>
      <c r="B104" s="85">
        <f t="shared" ref="B104:AA104" si="76">IF(B83&lt;0,B83*-1,0)</f>
        <v>0</v>
      </c>
      <c r="C104" s="85">
        <f t="shared" si="76"/>
        <v>0</v>
      </c>
      <c r="D104" s="85">
        <f t="shared" si="76"/>
        <v>0</v>
      </c>
      <c r="E104" s="85">
        <f t="shared" si="76"/>
        <v>0</v>
      </c>
      <c r="F104" s="85">
        <f t="shared" si="76"/>
        <v>0</v>
      </c>
      <c r="G104" s="85">
        <f t="shared" si="76"/>
        <v>0</v>
      </c>
      <c r="H104" s="85">
        <f t="shared" si="76"/>
        <v>2</v>
      </c>
      <c r="I104" s="85">
        <f t="shared" si="76"/>
        <v>0</v>
      </c>
      <c r="J104" s="85">
        <f t="shared" si="76"/>
        <v>0</v>
      </c>
      <c r="K104" s="85">
        <f t="shared" si="76"/>
        <v>0</v>
      </c>
      <c r="L104" s="85">
        <f t="shared" si="76"/>
        <v>0</v>
      </c>
      <c r="M104" s="85">
        <f t="shared" si="76"/>
        <v>0</v>
      </c>
      <c r="N104" s="85">
        <f t="shared" si="76"/>
        <v>0</v>
      </c>
      <c r="O104" s="85">
        <f t="shared" si="76"/>
        <v>0</v>
      </c>
      <c r="P104" s="85">
        <f t="shared" si="76"/>
        <v>0</v>
      </c>
      <c r="Q104" s="85">
        <f t="shared" si="76"/>
        <v>0</v>
      </c>
      <c r="R104" s="85">
        <f t="shared" si="76"/>
        <v>0</v>
      </c>
      <c r="S104" s="85">
        <f t="shared" si="76"/>
        <v>0</v>
      </c>
      <c r="T104" s="85">
        <f t="shared" si="76"/>
        <v>0</v>
      </c>
      <c r="U104" s="85">
        <f t="shared" si="76"/>
        <v>0</v>
      </c>
      <c r="V104" s="85">
        <f t="shared" si="76"/>
        <v>0</v>
      </c>
      <c r="W104" s="85">
        <f t="shared" si="76"/>
        <v>0</v>
      </c>
      <c r="X104" s="85">
        <f t="shared" si="76"/>
        <v>0</v>
      </c>
      <c r="Y104" s="85">
        <f t="shared" si="76"/>
        <v>0</v>
      </c>
      <c r="Z104" s="85">
        <f t="shared" si="76"/>
        <v>0</v>
      </c>
      <c r="AA104" s="85">
        <f t="shared" si="76"/>
        <v>0</v>
      </c>
      <c r="AB104" s="85">
        <f t="shared" ref="AB104:AC104" si="77">IF(AB83&lt;0,AB83*-1,0)</f>
        <v>0</v>
      </c>
      <c r="AC104" s="85">
        <f t="shared" si="77"/>
        <v>0</v>
      </c>
      <c r="AD104" s="85">
        <f t="shared" ref="AD104:AE104" si="78">IF(AD83&lt;0,AD83*-1,0)</f>
        <v>0</v>
      </c>
      <c r="AE104" s="85">
        <f t="shared" si="78"/>
        <v>0</v>
      </c>
      <c r="AF104" s="85">
        <f t="shared" ref="AF104" si="79">IF(AF83&lt;0,AF83*-1,0)</f>
        <v>0</v>
      </c>
      <c r="AG104" s="84"/>
      <c r="AH104" s="12">
        <f t="shared" si="46"/>
        <v>2</v>
      </c>
      <c r="AI104" s="11">
        <f t="shared" si="47"/>
        <v>0</v>
      </c>
      <c r="BF104" s="83"/>
      <c r="BG104" s="78">
        <v>16.899999999999999</v>
      </c>
      <c r="BH104" s="78">
        <v>0</v>
      </c>
      <c r="BI104" s="78">
        <v>22.3</v>
      </c>
      <c r="BJ104" s="78">
        <v>0</v>
      </c>
      <c r="BK104" s="78">
        <v>0</v>
      </c>
      <c r="BL104" s="78">
        <v>37.9</v>
      </c>
    </row>
    <row r="105" spans="1:64" x14ac:dyDescent="0.25">
      <c r="A105" s="82" t="s">
        <v>157</v>
      </c>
      <c r="B105" s="85">
        <f t="shared" ref="B105:AA105" si="80">IF(B81&lt;0,B81*-1,0)</f>
        <v>0</v>
      </c>
      <c r="C105" s="85">
        <f t="shared" si="80"/>
        <v>0</v>
      </c>
      <c r="D105" s="85">
        <f t="shared" si="80"/>
        <v>0</v>
      </c>
      <c r="E105" s="85">
        <f t="shared" si="80"/>
        <v>0</v>
      </c>
      <c r="F105" s="85">
        <f t="shared" si="80"/>
        <v>0</v>
      </c>
      <c r="G105" s="85">
        <f t="shared" si="80"/>
        <v>0</v>
      </c>
      <c r="H105" s="85">
        <f t="shared" si="80"/>
        <v>0</v>
      </c>
      <c r="I105" s="85">
        <f t="shared" si="80"/>
        <v>0</v>
      </c>
      <c r="J105" s="85">
        <f t="shared" si="80"/>
        <v>0</v>
      </c>
      <c r="K105" s="85">
        <f t="shared" si="80"/>
        <v>0</v>
      </c>
      <c r="L105" s="85">
        <f t="shared" si="80"/>
        <v>0</v>
      </c>
      <c r="M105" s="85">
        <f t="shared" si="80"/>
        <v>0</v>
      </c>
      <c r="N105" s="85">
        <f t="shared" si="80"/>
        <v>0</v>
      </c>
      <c r="O105" s="85">
        <f t="shared" si="80"/>
        <v>0</v>
      </c>
      <c r="P105" s="85">
        <f t="shared" si="80"/>
        <v>0</v>
      </c>
      <c r="Q105" s="85">
        <f t="shared" si="80"/>
        <v>0</v>
      </c>
      <c r="R105" s="85">
        <f t="shared" si="80"/>
        <v>0</v>
      </c>
      <c r="S105" s="85">
        <f t="shared" si="80"/>
        <v>0</v>
      </c>
      <c r="T105" s="85">
        <f t="shared" si="80"/>
        <v>0</v>
      </c>
      <c r="U105" s="85">
        <f t="shared" si="80"/>
        <v>0</v>
      </c>
      <c r="V105" s="85">
        <f t="shared" si="80"/>
        <v>0</v>
      </c>
      <c r="W105" s="85">
        <f t="shared" si="80"/>
        <v>0</v>
      </c>
      <c r="X105" s="85">
        <f t="shared" si="80"/>
        <v>0</v>
      </c>
      <c r="Y105" s="85">
        <f t="shared" si="80"/>
        <v>0</v>
      </c>
      <c r="Z105" s="85">
        <f t="shared" si="80"/>
        <v>0</v>
      </c>
      <c r="AA105" s="85">
        <f t="shared" si="80"/>
        <v>0</v>
      </c>
      <c r="AB105" s="85">
        <f t="shared" ref="AB105:AC105" si="81">IF(AB81&lt;0,AB81*-1,0)</f>
        <v>0</v>
      </c>
      <c r="AC105" s="85">
        <f t="shared" si="81"/>
        <v>0</v>
      </c>
      <c r="AD105" s="85">
        <f t="shared" ref="AD105:AE105" si="82">IF(AD81&lt;0,AD81*-1,0)</f>
        <v>0</v>
      </c>
      <c r="AE105" s="85">
        <f t="shared" si="82"/>
        <v>0</v>
      </c>
      <c r="AF105" s="85">
        <f t="shared" ref="AF105" si="83">IF(AF81&lt;0,AF81*-1,0)</f>
        <v>0</v>
      </c>
      <c r="AG105" s="84"/>
      <c r="AH105" s="12">
        <f t="shared" si="46"/>
        <v>0</v>
      </c>
      <c r="AI105" s="11">
        <f t="shared" si="47"/>
        <v>0</v>
      </c>
      <c r="BF105" s="83"/>
      <c r="BG105" s="78">
        <v>17.7</v>
      </c>
      <c r="BH105" s="78">
        <v>0</v>
      </c>
      <c r="BI105" s="78">
        <v>0</v>
      </c>
      <c r="BJ105" s="78">
        <v>0</v>
      </c>
      <c r="BK105" s="78">
        <v>0</v>
      </c>
      <c r="BL105" s="78">
        <v>37.700000000000003</v>
      </c>
    </row>
    <row r="106" spans="1:64" ht="15.75" thickBot="1" x14ac:dyDescent="0.3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46"/>
        <v>0</v>
      </c>
      <c r="AI106" s="11">
        <f t="shared" si="47"/>
        <v>0</v>
      </c>
      <c r="BG106" s="78">
        <v>14.2</v>
      </c>
      <c r="BH106" s="78">
        <v>0</v>
      </c>
      <c r="BI106" s="78">
        <v>9.9</v>
      </c>
      <c r="BJ106" s="78">
        <v>0</v>
      </c>
      <c r="BK106" s="78">
        <v>0</v>
      </c>
      <c r="BL106" s="78">
        <v>39.200000000000003</v>
      </c>
    </row>
    <row r="107" spans="1:64" ht="15.75" thickBot="1" x14ac:dyDescent="0.3">
      <c r="A107" s="79" t="s">
        <v>155</v>
      </c>
      <c r="B107" s="76">
        <f t="shared" ref="B107:AA107" si="84">SUM(B101:B106)</f>
        <v>0</v>
      </c>
      <c r="C107" s="76">
        <f t="shared" si="84"/>
        <v>0</v>
      </c>
      <c r="D107" s="76">
        <f t="shared" si="84"/>
        <v>0</v>
      </c>
      <c r="E107" s="76">
        <f t="shared" si="84"/>
        <v>0</v>
      </c>
      <c r="F107" s="76">
        <f t="shared" si="84"/>
        <v>0</v>
      </c>
      <c r="G107" s="76">
        <f t="shared" si="84"/>
        <v>0</v>
      </c>
      <c r="H107" s="76">
        <f t="shared" si="84"/>
        <v>2</v>
      </c>
      <c r="I107" s="76">
        <f t="shared" si="84"/>
        <v>0</v>
      </c>
      <c r="J107" s="76">
        <f t="shared" si="84"/>
        <v>0</v>
      </c>
      <c r="K107" s="76">
        <f t="shared" si="84"/>
        <v>0</v>
      </c>
      <c r="L107" s="76">
        <f t="shared" si="84"/>
        <v>0</v>
      </c>
      <c r="M107" s="76">
        <f t="shared" si="84"/>
        <v>0</v>
      </c>
      <c r="N107" s="76">
        <f t="shared" si="84"/>
        <v>0</v>
      </c>
      <c r="O107" s="76">
        <f t="shared" si="84"/>
        <v>0</v>
      </c>
      <c r="P107" s="76">
        <f t="shared" si="84"/>
        <v>0</v>
      </c>
      <c r="Q107" s="76">
        <f t="shared" si="84"/>
        <v>0</v>
      </c>
      <c r="R107" s="76">
        <f t="shared" si="84"/>
        <v>0</v>
      </c>
      <c r="S107" s="76">
        <f t="shared" si="84"/>
        <v>0</v>
      </c>
      <c r="T107" s="76">
        <f t="shared" si="84"/>
        <v>0</v>
      </c>
      <c r="U107" s="76">
        <f t="shared" si="84"/>
        <v>0</v>
      </c>
      <c r="V107" s="76">
        <f t="shared" si="84"/>
        <v>0</v>
      </c>
      <c r="W107" s="76">
        <f t="shared" si="84"/>
        <v>0</v>
      </c>
      <c r="X107" s="76">
        <f t="shared" si="84"/>
        <v>0</v>
      </c>
      <c r="Y107" s="76">
        <f t="shared" si="84"/>
        <v>0</v>
      </c>
      <c r="Z107" s="76">
        <f t="shared" si="84"/>
        <v>0</v>
      </c>
      <c r="AA107" s="76">
        <f t="shared" si="84"/>
        <v>0</v>
      </c>
      <c r="AB107" s="76">
        <f t="shared" ref="AB107:AC107" si="85">SUM(AB101:AB106)</f>
        <v>0</v>
      </c>
      <c r="AC107" s="76">
        <f t="shared" si="85"/>
        <v>0</v>
      </c>
      <c r="AD107" s="76">
        <f t="shared" ref="AD107:AE107" si="86">SUM(AD101:AD106)</f>
        <v>0</v>
      </c>
      <c r="AE107" s="76">
        <f t="shared" si="86"/>
        <v>0</v>
      </c>
      <c r="AF107" s="76">
        <f t="shared" ref="AF107" si="87">SUM(AF101:AF106)</f>
        <v>0</v>
      </c>
      <c r="AG107" s="75"/>
      <c r="AH107" s="12">
        <f t="shared" si="46"/>
        <v>2</v>
      </c>
      <c r="AI107" s="11">
        <f t="shared" si="47"/>
        <v>0</v>
      </c>
      <c r="AK107" s="19"/>
      <c r="BG107" s="78">
        <v>19</v>
      </c>
      <c r="BH107" s="78">
        <v>0</v>
      </c>
      <c r="BI107" s="78">
        <v>30.9</v>
      </c>
      <c r="BJ107" s="78">
        <v>0</v>
      </c>
      <c r="BK107" s="78">
        <v>0</v>
      </c>
      <c r="BL107" s="78">
        <v>47</v>
      </c>
    </row>
    <row r="108" spans="1:64" ht="15.75" thickBot="1" x14ac:dyDescent="0.3">
      <c r="A108" s="77" t="s">
        <v>154</v>
      </c>
      <c r="B108" s="76">
        <f t="shared" ref="B108:AA108" si="88">B92-B107</f>
        <v>96.9</v>
      </c>
      <c r="C108" s="76">
        <f t="shared" si="88"/>
        <v>94</v>
      </c>
      <c r="D108" s="76">
        <f t="shared" si="88"/>
        <v>101.6</v>
      </c>
      <c r="E108" s="76">
        <f t="shared" si="88"/>
        <v>69.3</v>
      </c>
      <c r="F108" s="76">
        <f t="shared" si="88"/>
        <v>66.7</v>
      </c>
      <c r="G108" s="76">
        <f t="shared" si="88"/>
        <v>99.699999999999989</v>
      </c>
      <c r="H108" s="76">
        <f t="shared" si="88"/>
        <v>69</v>
      </c>
      <c r="I108" s="76">
        <f t="shared" si="88"/>
        <v>112.1</v>
      </c>
      <c r="J108" s="76">
        <f t="shared" si="88"/>
        <v>631.9</v>
      </c>
      <c r="K108" s="76">
        <f t="shared" si="88"/>
        <v>627</v>
      </c>
      <c r="L108" s="76">
        <f t="shared" si="88"/>
        <v>608.9</v>
      </c>
      <c r="M108" s="76">
        <f t="shared" si="88"/>
        <v>640.1</v>
      </c>
      <c r="N108" s="76">
        <f t="shared" si="88"/>
        <v>658.5</v>
      </c>
      <c r="O108" s="76">
        <f t="shared" si="88"/>
        <v>672.2</v>
      </c>
      <c r="P108" s="76">
        <f t="shared" si="88"/>
        <v>697.9</v>
      </c>
      <c r="Q108" s="76">
        <f t="shared" si="88"/>
        <v>684.9</v>
      </c>
      <c r="R108" s="76">
        <f t="shared" si="88"/>
        <v>712.9</v>
      </c>
      <c r="S108" s="76">
        <f t="shared" si="88"/>
        <v>731.59999999999991</v>
      </c>
      <c r="T108" s="76">
        <f t="shared" si="88"/>
        <v>734.19999999999993</v>
      </c>
      <c r="U108" s="76">
        <f t="shared" si="88"/>
        <v>744.90000000000009</v>
      </c>
      <c r="V108" s="76">
        <f t="shared" si="88"/>
        <v>663.9</v>
      </c>
      <c r="W108" s="76">
        <f t="shared" si="88"/>
        <v>656</v>
      </c>
      <c r="X108" s="76">
        <f t="shared" si="88"/>
        <v>511.00000000000006</v>
      </c>
      <c r="Y108" s="76">
        <f t="shared" si="88"/>
        <v>201.3</v>
      </c>
      <c r="Z108" s="76">
        <f t="shared" si="88"/>
        <v>149.30000000000001</v>
      </c>
      <c r="AA108" s="76">
        <f t="shared" si="88"/>
        <v>66.599999999999994</v>
      </c>
      <c r="AB108" s="76">
        <f t="shared" ref="AB108:AC108" si="89">AB92-AB107</f>
        <v>83.8</v>
      </c>
      <c r="AC108" s="76">
        <f t="shared" si="89"/>
        <v>122.1</v>
      </c>
      <c r="AD108" s="76">
        <f t="shared" ref="AD108:AE108" si="90">AD92-AD107</f>
        <v>77.099999999999994</v>
      </c>
      <c r="AE108" s="76">
        <f t="shared" si="90"/>
        <v>55.400000000000006</v>
      </c>
      <c r="AF108" s="76">
        <f t="shared" ref="AF108" si="91">AF92-AF107</f>
        <v>63.300000000000004</v>
      </c>
      <c r="AG108" s="75"/>
      <c r="AH108" s="12">
        <f t="shared" si="46"/>
        <v>744.90000000000009</v>
      </c>
      <c r="AI108" s="11">
        <f t="shared" si="47"/>
        <v>55.400000000000006</v>
      </c>
    </row>
    <row r="109" spans="1:64" x14ac:dyDescent="0.25">
      <c r="A109" s="25" t="s">
        <v>153</v>
      </c>
      <c r="B109" s="74">
        <v>50.048000000000002</v>
      </c>
      <c r="C109" s="74">
        <v>50.031999999999996</v>
      </c>
      <c r="D109" s="74">
        <v>49.962000000000003</v>
      </c>
      <c r="E109" s="74">
        <v>49.957000000000001</v>
      </c>
      <c r="F109" s="74">
        <v>50.031999999999996</v>
      </c>
      <c r="G109" s="74">
        <v>50.031999999999996</v>
      </c>
      <c r="H109" s="74">
        <v>50.021000000000001</v>
      </c>
      <c r="I109" s="74">
        <v>50.051000000000002</v>
      </c>
      <c r="J109" s="74">
        <v>50.04</v>
      </c>
      <c r="K109" s="74">
        <v>50.055</v>
      </c>
      <c r="L109" s="74">
        <v>50.006999999999998</v>
      </c>
      <c r="M109" s="74">
        <v>50.098999999999997</v>
      </c>
      <c r="N109" s="74">
        <v>50.04</v>
      </c>
      <c r="O109" s="74">
        <v>50.03</v>
      </c>
      <c r="P109" s="74">
        <v>49.908999999999999</v>
      </c>
      <c r="Q109" s="74">
        <v>49.924999999999997</v>
      </c>
      <c r="R109" s="74">
        <v>50.01</v>
      </c>
      <c r="S109" s="74">
        <v>50.012999999999998</v>
      </c>
      <c r="T109" s="74">
        <v>49.872999999999998</v>
      </c>
      <c r="U109" s="74">
        <v>50</v>
      </c>
      <c r="V109" s="74">
        <v>50.037999999999997</v>
      </c>
      <c r="W109" s="74">
        <v>50.058999999999997</v>
      </c>
      <c r="X109" s="74">
        <v>49.908000000000001</v>
      </c>
      <c r="Y109" s="74">
        <v>49.945999999999998</v>
      </c>
      <c r="Z109" s="74">
        <v>50.081000000000003</v>
      </c>
      <c r="AA109" s="74">
        <v>50.012999999999998</v>
      </c>
      <c r="AB109" s="74">
        <v>50.07</v>
      </c>
      <c r="AC109" s="74">
        <v>50.05</v>
      </c>
      <c r="AD109" s="74">
        <v>50.01</v>
      </c>
      <c r="AE109" s="74">
        <v>50.06</v>
      </c>
      <c r="AF109" s="74">
        <v>50.128999999999998</v>
      </c>
      <c r="AG109" s="73"/>
      <c r="AH109" s="12">
        <f t="shared" si="46"/>
        <v>50.128999999999998</v>
      </c>
      <c r="AI109" s="11">
        <f t="shared" si="47"/>
        <v>49.872999999999998</v>
      </c>
    </row>
    <row r="110" spans="1:64" x14ac:dyDescent="0.25">
      <c r="A110" s="22" t="s">
        <v>152</v>
      </c>
      <c r="B110" s="70">
        <v>129.5</v>
      </c>
      <c r="C110" s="70">
        <v>129.4</v>
      </c>
      <c r="D110" s="70">
        <v>129.9</v>
      </c>
      <c r="E110" s="70">
        <v>129.80000000000001</v>
      </c>
      <c r="F110" s="70">
        <v>129.9</v>
      </c>
      <c r="G110" s="70">
        <v>126.9</v>
      </c>
      <c r="H110" s="70">
        <v>124.4</v>
      </c>
      <c r="I110" s="70">
        <v>122.5</v>
      </c>
      <c r="J110" s="70">
        <v>123.2</v>
      </c>
      <c r="K110" s="70">
        <v>122.8</v>
      </c>
      <c r="L110" s="70">
        <v>124.4</v>
      </c>
      <c r="M110" s="70">
        <v>125.2</v>
      </c>
      <c r="N110" s="70">
        <v>123.8</v>
      </c>
      <c r="O110" s="70">
        <v>121</v>
      </c>
      <c r="P110" s="70">
        <v>124.4</v>
      </c>
      <c r="Q110" s="70">
        <v>124.1</v>
      </c>
      <c r="R110" s="70">
        <v>123.8</v>
      </c>
      <c r="S110" s="70">
        <v>124.5</v>
      </c>
      <c r="T110" s="70">
        <v>123.7</v>
      </c>
      <c r="U110" s="70">
        <v>124.2</v>
      </c>
      <c r="V110" s="70">
        <v>125.8</v>
      </c>
      <c r="W110" s="70">
        <v>125.5</v>
      </c>
      <c r="X110" s="70">
        <v>128.4</v>
      </c>
      <c r="Y110" s="70">
        <v>125.9</v>
      </c>
      <c r="Z110" s="70">
        <v>122.8</v>
      </c>
      <c r="AA110" s="70">
        <v>126.1</v>
      </c>
      <c r="AB110" s="70">
        <v>127.4</v>
      </c>
      <c r="AC110" s="70">
        <v>127.4</v>
      </c>
      <c r="AD110" s="70">
        <v>128.1</v>
      </c>
      <c r="AE110" s="70">
        <v>129.69999999999999</v>
      </c>
      <c r="AF110" s="70">
        <v>129</v>
      </c>
      <c r="AG110" s="69"/>
      <c r="AH110" s="12">
        <f t="shared" si="46"/>
        <v>129.9</v>
      </c>
      <c r="AI110" s="11">
        <f t="shared" si="47"/>
        <v>121</v>
      </c>
    </row>
    <row r="111" spans="1:64" x14ac:dyDescent="0.25">
      <c r="A111" s="22" t="s">
        <v>151</v>
      </c>
      <c r="B111" s="70">
        <v>132.80000000000001</v>
      </c>
      <c r="C111" s="70">
        <v>132.80000000000001</v>
      </c>
      <c r="D111" s="70">
        <v>133.5</v>
      </c>
      <c r="E111" s="70">
        <v>133.30000000000001</v>
      </c>
      <c r="F111" s="70">
        <v>133.30000000000001</v>
      </c>
      <c r="G111" s="70">
        <v>131.5</v>
      </c>
      <c r="H111" s="70">
        <v>129</v>
      </c>
      <c r="I111" s="70">
        <v>127.1</v>
      </c>
      <c r="J111" s="70">
        <v>127</v>
      </c>
      <c r="K111" s="70">
        <v>126.8</v>
      </c>
      <c r="L111" s="70">
        <v>127.7</v>
      </c>
      <c r="M111" s="70">
        <v>128</v>
      </c>
      <c r="N111" s="70">
        <v>127</v>
      </c>
      <c r="O111" s="70">
        <v>125.3</v>
      </c>
      <c r="P111" s="70">
        <v>127.9</v>
      </c>
      <c r="Q111" s="70">
        <v>127.7</v>
      </c>
      <c r="R111" s="70">
        <v>127.5</v>
      </c>
      <c r="S111" s="70">
        <v>127.4</v>
      </c>
      <c r="T111" s="70">
        <v>126.6</v>
      </c>
      <c r="U111" s="70">
        <v>127.2</v>
      </c>
      <c r="V111" s="70">
        <v>128.5</v>
      </c>
      <c r="W111" s="70">
        <v>128.6</v>
      </c>
      <c r="X111" s="70">
        <v>130</v>
      </c>
      <c r="Y111" s="70">
        <v>128.4</v>
      </c>
      <c r="Z111" s="70">
        <v>126.3</v>
      </c>
      <c r="AA111" s="70">
        <v>128.69999999999999</v>
      </c>
      <c r="AB111" s="70">
        <v>129.9</v>
      </c>
      <c r="AC111" s="70">
        <v>129.9</v>
      </c>
      <c r="AD111" s="70">
        <v>129.9</v>
      </c>
      <c r="AE111" s="70">
        <v>132.6</v>
      </c>
      <c r="AF111" s="70">
        <v>132.6</v>
      </c>
      <c r="AG111" s="69"/>
      <c r="AH111" s="12">
        <f t="shared" si="46"/>
        <v>133.5</v>
      </c>
      <c r="AI111" s="11">
        <f t="shared" si="47"/>
        <v>125.3</v>
      </c>
    </row>
    <row r="112" spans="1:64" x14ac:dyDescent="0.25">
      <c r="A112" s="22" t="s">
        <v>150</v>
      </c>
      <c r="B112" s="70">
        <v>130.6</v>
      </c>
      <c r="C112" s="70">
        <v>130</v>
      </c>
      <c r="D112" s="70">
        <v>131.5</v>
      </c>
      <c r="E112" s="70">
        <v>130.9</v>
      </c>
      <c r="F112" s="70">
        <v>131.19999999999999</v>
      </c>
      <c r="G112" s="70">
        <v>129</v>
      </c>
      <c r="H112" s="70">
        <v>130</v>
      </c>
      <c r="I112" s="70">
        <v>127.8</v>
      </c>
      <c r="J112" s="70">
        <v>125.6</v>
      </c>
      <c r="K112" s="70">
        <v>125.4</v>
      </c>
      <c r="L112" s="70">
        <v>128.6</v>
      </c>
      <c r="M112" s="70">
        <v>127.4</v>
      </c>
      <c r="N112" s="70">
        <v>132.5</v>
      </c>
      <c r="O112" s="70">
        <v>130</v>
      </c>
      <c r="P112" s="70">
        <v>131.1</v>
      </c>
      <c r="Q112" s="70">
        <v>130</v>
      </c>
      <c r="R112" s="70">
        <v>129.4</v>
      </c>
      <c r="S112" s="70">
        <v>128.1</v>
      </c>
      <c r="T112" s="70">
        <v>128.19999999999999</v>
      </c>
      <c r="U112" s="70">
        <v>129.69999999999999</v>
      </c>
      <c r="V112" s="70">
        <v>128.69999999999999</v>
      </c>
      <c r="W112" s="70">
        <v>128.19999999999999</v>
      </c>
      <c r="X112" s="70">
        <v>128</v>
      </c>
      <c r="Y112" s="70">
        <v>128.80000000000001</v>
      </c>
      <c r="Z112" s="70">
        <v>126.6</v>
      </c>
      <c r="AA112" s="70">
        <v>130.69999999999999</v>
      </c>
      <c r="AB112" s="70">
        <v>130</v>
      </c>
      <c r="AC112" s="70">
        <v>130</v>
      </c>
      <c r="AD112" s="70">
        <v>130</v>
      </c>
      <c r="AE112" s="70">
        <v>133</v>
      </c>
      <c r="AF112" s="70">
        <v>131.80000000000001</v>
      </c>
      <c r="AG112" s="69"/>
      <c r="AH112" s="12">
        <f t="shared" si="46"/>
        <v>133</v>
      </c>
      <c r="AI112" s="11">
        <f t="shared" si="47"/>
        <v>125.4</v>
      </c>
    </row>
    <row r="113" spans="1:35" x14ac:dyDescent="0.25">
      <c r="A113" s="72" t="s">
        <v>149</v>
      </c>
      <c r="B113" s="70">
        <v>130.9</v>
      </c>
      <c r="C113" s="70">
        <v>131.5</v>
      </c>
      <c r="D113" s="70">
        <v>131.69999999999999</v>
      </c>
      <c r="E113" s="70">
        <v>132.30000000000001</v>
      </c>
      <c r="F113" s="70">
        <v>132.69999999999999</v>
      </c>
      <c r="G113" s="70">
        <v>129.80000000000001</v>
      </c>
      <c r="H113" s="70">
        <v>129.69999999999999</v>
      </c>
      <c r="I113" s="70">
        <v>130.80000000000001</v>
      </c>
      <c r="J113" s="70">
        <v>127.2</v>
      </c>
      <c r="K113" s="70">
        <v>130.19999999999999</v>
      </c>
      <c r="L113" s="70">
        <v>129.9</v>
      </c>
      <c r="M113" s="70">
        <v>133.4</v>
      </c>
      <c r="N113" s="70">
        <v>130.4</v>
      </c>
      <c r="O113" s="70">
        <v>128.19999999999999</v>
      </c>
      <c r="P113" s="70">
        <v>131.6</v>
      </c>
      <c r="Q113" s="70">
        <v>128.9</v>
      </c>
      <c r="R113" s="70">
        <v>128.5</v>
      </c>
      <c r="S113" s="70">
        <v>126.6</v>
      </c>
      <c r="T113" s="70">
        <v>128</v>
      </c>
      <c r="U113" s="70">
        <v>129.5</v>
      </c>
      <c r="V113" s="70">
        <v>127.3</v>
      </c>
      <c r="W113" s="70">
        <v>126.45</v>
      </c>
      <c r="X113" s="70">
        <v>124.7</v>
      </c>
      <c r="Y113" s="70">
        <v>127.2</v>
      </c>
      <c r="Z113" s="70">
        <v>127</v>
      </c>
      <c r="AA113" s="70">
        <v>130.30000000000001</v>
      </c>
      <c r="AB113" s="70">
        <v>131.1</v>
      </c>
      <c r="AC113" s="70">
        <v>131.1</v>
      </c>
      <c r="AD113" s="70">
        <v>131.1</v>
      </c>
      <c r="AE113" s="70">
        <v>132.9</v>
      </c>
      <c r="AF113" s="70">
        <v>132.19999999999999</v>
      </c>
      <c r="AG113" s="69"/>
      <c r="AH113" s="12">
        <f t="shared" si="46"/>
        <v>133.4</v>
      </c>
      <c r="AI113" s="11">
        <f t="shared" si="47"/>
        <v>124.7</v>
      </c>
    </row>
    <row r="114" spans="1:35" x14ac:dyDescent="0.25">
      <c r="A114" s="72" t="s">
        <v>148</v>
      </c>
      <c r="B114" s="56">
        <v>135</v>
      </c>
      <c r="C114" s="56">
        <v>131.1</v>
      </c>
      <c r="D114" s="56">
        <v>133.6</v>
      </c>
      <c r="E114" s="56">
        <v>131.1</v>
      </c>
      <c r="F114" s="56">
        <v>131.69999999999999</v>
      </c>
      <c r="G114" s="56">
        <v>132</v>
      </c>
      <c r="H114" s="56">
        <v>136</v>
      </c>
      <c r="I114" s="56">
        <v>132.6</v>
      </c>
      <c r="J114" s="56">
        <v>131.1</v>
      </c>
      <c r="K114" s="56">
        <v>130.6</v>
      </c>
      <c r="L114" s="56">
        <v>130.5</v>
      </c>
      <c r="M114" s="56">
        <v>130</v>
      </c>
      <c r="N114" s="56">
        <v>132</v>
      </c>
      <c r="O114" s="56">
        <v>131.9</v>
      </c>
      <c r="P114" s="56">
        <v>134.1</v>
      </c>
      <c r="Q114" s="56">
        <v>136</v>
      </c>
      <c r="R114" s="56">
        <v>134</v>
      </c>
      <c r="S114" s="56">
        <v>133</v>
      </c>
      <c r="T114" s="56">
        <v>133.80000000000001</v>
      </c>
      <c r="U114" s="56">
        <v>133.6</v>
      </c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71"/>
      <c r="AH114" s="12">
        <f t="shared" si="46"/>
        <v>136</v>
      </c>
      <c r="AI114" s="11">
        <f t="shared" si="47"/>
        <v>130</v>
      </c>
    </row>
    <row r="115" spans="1:35" x14ac:dyDescent="0.25">
      <c r="A115" s="22" t="s">
        <v>147</v>
      </c>
      <c r="B115" s="70">
        <v>135.80000000000001</v>
      </c>
      <c r="C115" s="70">
        <v>128.69999999999999</v>
      </c>
      <c r="D115" s="70">
        <v>131.80000000000001</v>
      </c>
      <c r="E115" s="70">
        <v>130.6</v>
      </c>
      <c r="F115" s="70">
        <v>132.1</v>
      </c>
      <c r="G115" s="70">
        <v>131.6</v>
      </c>
      <c r="H115" s="70">
        <v>127.8</v>
      </c>
      <c r="I115" s="70">
        <v>127.2</v>
      </c>
      <c r="J115" s="70">
        <v>128.19999999999999</v>
      </c>
      <c r="K115" s="70">
        <v>129.6</v>
      </c>
      <c r="L115" s="70">
        <v>128.69999999999999</v>
      </c>
      <c r="M115" s="70">
        <v>127.1</v>
      </c>
      <c r="N115" s="70">
        <v>129.6</v>
      </c>
      <c r="O115" s="70">
        <v>128.19999999999999</v>
      </c>
      <c r="P115" s="70">
        <v>129.4</v>
      </c>
      <c r="Q115" s="70">
        <v>131.9</v>
      </c>
      <c r="R115" s="70">
        <v>126.5</v>
      </c>
      <c r="S115" s="70">
        <v>125.7</v>
      </c>
      <c r="T115" s="70">
        <v>123.5</v>
      </c>
      <c r="U115" s="70">
        <v>130.6</v>
      </c>
      <c r="V115" s="70">
        <v>137.5</v>
      </c>
      <c r="W115" s="70">
        <v>132.1</v>
      </c>
      <c r="X115" s="70">
        <v>136</v>
      </c>
      <c r="Y115" s="70">
        <v>136</v>
      </c>
      <c r="Z115" s="70">
        <v>136.80000000000001</v>
      </c>
      <c r="AA115" s="70">
        <v>128.19999999999999</v>
      </c>
      <c r="AB115" s="70">
        <v>128.19999999999999</v>
      </c>
      <c r="AC115" s="70">
        <v>128.19999999999999</v>
      </c>
      <c r="AD115" s="70">
        <v>128.19999999999999</v>
      </c>
      <c r="AE115" s="70">
        <v>132.5</v>
      </c>
      <c r="AF115" s="70">
        <v>132.4</v>
      </c>
      <c r="AG115" s="69"/>
      <c r="AH115" s="12">
        <f t="shared" si="46"/>
        <v>137.5</v>
      </c>
      <c r="AI115" s="11">
        <f t="shared" si="47"/>
        <v>123.5</v>
      </c>
    </row>
    <row r="116" spans="1:35" ht="15.75" thickBot="1" x14ac:dyDescent="0.3">
      <c r="A116" s="22" t="s">
        <v>146</v>
      </c>
      <c r="B116" s="67">
        <v>66.8</v>
      </c>
      <c r="C116" s="67">
        <v>66.8</v>
      </c>
      <c r="D116" s="67">
        <v>67.099999999999994</v>
      </c>
      <c r="E116" s="67">
        <v>67.099999999999994</v>
      </c>
      <c r="F116" s="67">
        <v>67</v>
      </c>
      <c r="G116" s="67">
        <v>66</v>
      </c>
      <c r="H116" s="67">
        <v>64.900000000000006</v>
      </c>
      <c r="I116" s="67">
        <v>64</v>
      </c>
      <c r="J116" s="67">
        <v>64</v>
      </c>
      <c r="K116" s="67">
        <v>63.2</v>
      </c>
      <c r="L116" s="67">
        <v>64.099999999999994</v>
      </c>
      <c r="M116" s="67">
        <v>64.400000000000006</v>
      </c>
      <c r="N116" s="67">
        <v>63.5</v>
      </c>
      <c r="O116" s="67">
        <v>62.4</v>
      </c>
      <c r="P116" s="67">
        <v>64</v>
      </c>
      <c r="Q116" s="67">
        <v>63.7</v>
      </c>
      <c r="R116" s="67">
        <v>63.6</v>
      </c>
      <c r="S116" s="67">
        <v>64</v>
      </c>
      <c r="T116" s="67">
        <v>63.7</v>
      </c>
      <c r="U116" s="67">
        <v>64.599999999999994</v>
      </c>
      <c r="V116" s="67">
        <v>64.8</v>
      </c>
      <c r="W116" s="67">
        <v>65</v>
      </c>
      <c r="X116" s="67">
        <v>66</v>
      </c>
      <c r="Y116" s="67">
        <v>65</v>
      </c>
      <c r="Z116" s="67">
        <v>64.099999999999994</v>
      </c>
      <c r="AA116" s="67">
        <v>65.3</v>
      </c>
      <c r="AB116" s="67">
        <v>65.5</v>
      </c>
      <c r="AC116" s="67">
        <v>65.5</v>
      </c>
      <c r="AD116" s="67">
        <v>65.5</v>
      </c>
      <c r="AE116" s="67">
        <v>67.099999999999994</v>
      </c>
      <c r="AF116" s="67">
        <v>67</v>
      </c>
      <c r="AG116" s="66"/>
      <c r="AH116" s="12">
        <f t="shared" si="46"/>
        <v>67.099999999999994</v>
      </c>
      <c r="AI116" s="11">
        <f t="shared" si="47"/>
        <v>62.4</v>
      </c>
    </row>
    <row r="117" spans="1:35" ht="15.75" thickBot="1" x14ac:dyDescent="0.3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46"/>
        <v>0</v>
      </c>
      <c r="AI117" s="11">
        <f t="shared" si="47"/>
        <v>0</v>
      </c>
    </row>
    <row r="118" spans="1:35" ht="15.75" thickBot="1" x14ac:dyDescent="0.3">
      <c r="A118" s="65" t="s">
        <v>144</v>
      </c>
      <c r="B118" s="64">
        <f t="shared" ref="B118:O118" si="92">SUM(B22,B28,B31:B32,B66,B68:B69,B71,B73,B119:B123,B155,B161,B167,B176,B178,B190,B197,B200:B201,B208,B210,B212,B216:B218,B220:B222,B227,B233:B234,B236:B238,B246,B251)</f>
        <v>145.83999999999997</v>
      </c>
      <c r="C118" s="64">
        <f t="shared" si="92"/>
        <v>137.84000000000003</v>
      </c>
      <c r="D118" s="64">
        <f t="shared" si="92"/>
        <v>129.94000000000003</v>
      </c>
      <c r="E118" s="64">
        <f t="shared" si="92"/>
        <v>121.64000000000001</v>
      </c>
      <c r="F118" s="64">
        <f t="shared" si="92"/>
        <v>133.84000000000003</v>
      </c>
      <c r="G118" s="64">
        <f t="shared" si="92"/>
        <v>168.14</v>
      </c>
      <c r="H118" s="64">
        <f t="shared" si="92"/>
        <v>254.44000000000005</v>
      </c>
      <c r="I118" s="64">
        <f t="shared" si="92"/>
        <v>246.73999999999998</v>
      </c>
      <c r="J118" s="64">
        <f t="shared" si="92"/>
        <v>260.03999999999996</v>
      </c>
      <c r="K118" s="64">
        <f t="shared" si="92"/>
        <v>294.93999999999994</v>
      </c>
      <c r="L118" s="64">
        <f t="shared" si="92"/>
        <v>301.24</v>
      </c>
      <c r="M118" s="64">
        <f t="shared" si="92"/>
        <v>298.94</v>
      </c>
      <c r="N118" s="64">
        <f t="shared" si="92"/>
        <v>307.94000000000005</v>
      </c>
      <c r="O118" s="64">
        <f t="shared" si="92"/>
        <v>306.33999999999997</v>
      </c>
      <c r="P118" s="64">
        <v>42</v>
      </c>
      <c r="Q118" s="64">
        <f t="shared" ref="Q118:X118" si="93">SUM(Q22,Q28,Q31:Q32,Q66,Q68:Q69,Q71,Q73,Q119:Q123,Q155,Q161,Q167,Q176,Q178,Q190,Q197,Q200:Q201,Q208,Q210,Q212,Q216:Q218,Q220:Q222,Q227,Q233:Q234,Q236:Q238,Q246,Q251)</f>
        <v>282.54000000000002</v>
      </c>
      <c r="R118" s="64">
        <f t="shared" si="93"/>
        <v>269.83999999999997</v>
      </c>
      <c r="S118" s="64">
        <f t="shared" si="93"/>
        <v>268.83999999999997</v>
      </c>
      <c r="T118" s="64">
        <f t="shared" si="93"/>
        <v>267.64</v>
      </c>
      <c r="U118" s="64">
        <f t="shared" si="93"/>
        <v>268.33999999999997</v>
      </c>
      <c r="V118" s="64">
        <f t="shared" si="93"/>
        <v>277.54000000000002</v>
      </c>
      <c r="W118" s="64">
        <f t="shared" si="93"/>
        <v>257.74</v>
      </c>
      <c r="X118" s="64">
        <f t="shared" si="93"/>
        <v>290.74</v>
      </c>
      <c r="Y118" s="64">
        <f>SUM(Y20,Y26,Y37:Y38,Y66,Y68:Y69,Y71,Y73,Y119:Y123,Y148,Y154,Y160,Y169,Y171,Y183,Y190,Y193:Y194,Y201,Y203,Y205,Y209:Y211,Y213:Y215,Y220,Y226:Y227,Y229:Y231,Y239,Y244)</f>
        <v>313.3</v>
      </c>
      <c r="Z118" s="64">
        <f>SUM(Z20,Z26,Z37:Z38,Z66,Z68:Z69,Z71,Z73,Z119:Z123,Z148,Z154,Z160,Z169,Z171,Z183,Z190,Z193:Z194,Z201,Z203,Z205,Z209:Z211,Z213:Z215,Z220,Z226:Z227,Z229:Z231,Z239,Z244)</f>
        <v>352.1</v>
      </c>
      <c r="AA118" s="64">
        <f t="shared" ref="AA118" si="94">SUM(AA22,AA28,AA31:AA32,AA66,AA68:AA69,AA71,AA73,AA119:AA123,AA155,AA161,AA167,AA176,AA178,AA190,AA197,AA200:AA201,AA208,AA210,AA212,AA216:AA218,AA220:AA222,AA227,AA233:AA234,AA236:AA238,AA246,AA251)</f>
        <v>296.94</v>
      </c>
      <c r="AB118" s="64">
        <f t="shared" ref="AB118:AC118" si="95">SUM(AB22,AB28,AB31:AB32,AB66,AB68:AB69,AB71,AB73,AB119:AB123,AB155,AB161,AB167,AB176,AB178,AB190,AB197,AB200:AB201,AB208,AB210,AB212,AB216:AB218,AB220:AB222,AB227,AB233:AB234,AB236:AB238,AB246,AB251)</f>
        <v>350.64000000000004</v>
      </c>
      <c r="AC118" s="64">
        <f t="shared" si="95"/>
        <v>256.04000000000002</v>
      </c>
      <c r="AD118" s="64">
        <f t="shared" ref="AD118:AE118" si="96">SUM(AD22,AD28,AD31:AD32,AD66,AD68:AD69,AD71,AD73,AD119:AD123,AD155,AD161,AD167,AD176,AD178,AD190,AD197,AD200:AD201,AD208,AD210,AD212,AD216:AD218,AD220:AD222,AD227,AD233:AD234,AD236:AD238,AD246,AD251)</f>
        <v>309.04000000000002</v>
      </c>
      <c r="AE118" s="64">
        <f t="shared" si="96"/>
        <v>170.54000000000002</v>
      </c>
      <c r="AF118" s="64">
        <f t="shared" ref="AF118" si="97">SUM(AF22,AF28,AF31:AF32,AF66,AF68:AF69,AF71,AF73,AF119:AF123,AF155,AF161,AF167,AF176,AF178,AF190,AF197,AF200:AF201,AF208,AF210,AF212,AF216:AF218,AF220:AF222,AF227,AF233:AF234,AF236:AF238,AF246,AF251)</f>
        <v>179.64000000000001</v>
      </c>
      <c r="AG118" s="63"/>
      <c r="AH118" s="12">
        <f t="shared" si="46"/>
        <v>352.1</v>
      </c>
      <c r="AI118" s="11">
        <f t="shared" si="47"/>
        <v>42</v>
      </c>
    </row>
    <row r="119" spans="1:35" x14ac:dyDescent="0.25">
      <c r="A119" s="59" t="s">
        <v>143</v>
      </c>
      <c r="B119" s="62">
        <v>7.6</v>
      </c>
      <c r="C119" s="62">
        <v>19</v>
      </c>
      <c r="D119" s="62">
        <v>16</v>
      </c>
      <c r="E119" s="62">
        <v>6.2</v>
      </c>
      <c r="F119" s="62">
        <v>12.9</v>
      </c>
      <c r="G119" s="62">
        <v>21.8</v>
      </c>
      <c r="H119" s="62">
        <v>68.5</v>
      </c>
      <c r="I119" s="62">
        <v>55.8</v>
      </c>
      <c r="J119" s="62">
        <v>29</v>
      </c>
      <c r="K119" s="62">
        <v>21.2</v>
      </c>
      <c r="L119" s="62">
        <v>28</v>
      </c>
      <c r="M119" s="62">
        <v>31.2</v>
      </c>
      <c r="N119" s="62">
        <v>28.4</v>
      </c>
      <c r="O119" s="62">
        <v>23.8</v>
      </c>
      <c r="P119" s="62">
        <v>43</v>
      </c>
      <c r="Q119" s="62">
        <v>36.1</v>
      </c>
      <c r="R119" s="62">
        <v>23.1</v>
      </c>
      <c r="S119" s="62">
        <v>14</v>
      </c>
      <c r="T119" s="62">
        <v>8.8000000000000007</v>
      </c>
      <c r="U119" s="62">
        <v>8.1</v>
      </c>
      <c r="V119" s="62">
        <v>12.5</v>
      </c>
      <c r="W119" s="62">
        <v>12.1</v>
      </c>
      <c r="X119" s="62">
        <v>34.5</v>
      </c>
      <c r="Y119" s="62">
        <v>74.5</v>
      </c>
      <c r="Z119" s="62">
        <v>49</v>
      </c>
      <c r="AA119" s="62">
        <v>47.3</v>
      </c>
      <c r="AB119" s="62">
        <v>59.5</v>
      </c>
      <c r="AC119" s="62">
        <v>45.7</v>
      </c>
      <c r="AD119" s="62">
        <v>51.4</v>
      </c>
      <c r="AE119" s="62">
        <v>48.2</v>
      </c>
      <c r="AF119" s="62">
        <v>49.5</v>
      </c>
      <c r="AG119" s="55">
        <v>75</v>
      </c>
      <c r="AH119" s="12">
        <f t="shared" si="46"/>
        <v>74.5</v>
      </c>
      <c r="AI119" s="11">
        <f t="shared" si="47"/>
        <v>6.2</v>
      </c>
    </row>
    <row r="120" spans="1:35" x14ac:dyDescent="0.25">
      <c r="A120" s="57" t="s">
        <v>142</v>
      </c>
      <c r="B120" s="61">
        <v>16.5</v>
      </c>
      <c r="C120" s="61">
        <v>32</v>
      </c>
      <c r="D120" s="61">
        <v>29</v>
      </c>
      <c r="E120" s="61">
        <v>15.1</v>
      </c>
      <c r="F120" s="61">
        <v>26.6</v>
      </c>
      <c r="G120" s="61">
        <v>37.6</v>
      </c>
      <c r="H120" s="61">
        <v>96.9</v>
      </c>
      <c r="I120" s="61">
        <v>76</v>
      </c>
      <c r="J120" s="61">
        <v>52</v>
      </c>
      <c r="K120" s="61">
        <v>24.2</v>
      </c>
      <c r="L120" s="61">
        <v>33.9</v>
      </c>
      <c r="M120" s="61">
        <v>37.5</v>
      </c>
      <c r="N120" s="61">
        <v>33.200000000000003</v>
      </c>
      <c r="O120" s="61">
        <v>27.9</v>
      </c>
      <c r="P120" s="61">
        <v>54.7</v>
      </c>
      <c r="Q120" s="61">
        <v>44.7</v>
      </c>
      <c r="R120" s="61">
        <v>27.6</v>
      </c>
      <c r="S120" s="61">
        <v>15.3</v>
      </c>
      <c r="T120" s="61">
        <v>7.9</v>
      </c>
      <c r="U120" s="61">
        <v>6.6</v>
      </c>
      <c r="V120" s="61">
        <v>8</v>
      </c>
      <c r="W120" s="61"/>
      <c r="X120" s="61">
        <v>40</v>
      </c>
      <c r="Y120" s="61">
        <v>93.3</v>
      </c>
      <c r="Z120" s="61">
        <v>57.6</v>
      </c>
      <c r="AA120" s="61"/>
      <c r="AB120" s="61">
        <v>81.900000000000006</v>
      </c>
      <c r="AC120" s="61"/>
      <c r="AD120" s="61">
        <v>76.7</v>
      </c>
      <c r="AE120" s="61">
        <v>71.3</v>
      </c>
      <c r="AF120" s="61"/>
      <c r="AG120" s="55">
        <v>240</v>
      </c>
      <c r="AH120" s="12">
        <f t="shared" si="46"/>
        <v>96.9</v>
      </c>
      <c r="AI120" s="11">
        <f t="shared" si="47"/>
        <v>6.6</v>
      </c>
    </row>
    <row r="121" spans="1:35" x14ac:dyDescent="0.25">
      <c r="A121" s="57" t="s">
        <v>141</v>
      </c>
      <c r="B121" s="61">
        <v>-48</v>
      </c>
      <c r="C121" s="61">
        <v>-62</v>
      </c>
      <c r="D121" s="61">
        <v>-63</v>
      </c>
      <c r="E121" s="61">
        <v>-54.6</v>
      </c>
      <c r="F121" s="61">
        <v>-58.4</v>
      </c>
      <c r="G121" s="61">
        <v>-62.7</v>
      </c>
      <c r="H121" s="61">
        <v>-67</v>
      </c>
      <c r="I121" s="61">
        <v>-77.5</v>
      </c>
      <c r="J121" s="61">
        <v>-26.3</v>
      </c>
      <c r="K121" s="61">
        <v>10.6</v>
      </c>
      <c r="L121" s="61">
        <v>4.8</v>
      </c>
      <c r="M121" s="61">
        <v>-0.6</v>
      </c>
      <c r="N121" s="61">
        <v>4.4000000000000004</v>
      </c>
      <c r="O121" s="61">
        <v>7.1</v>
      </c>
      <c r="P121" s="61">
        <v>-24.6</v>
      </c>
      <c r="Q121" s="61">
        <f>-9-9.9</f>
        <v>-18.899999999999999</v>
      </c>
      <c r="R121" s="61">
        <v>-6.3</v>
      </c>
      <c r="S121" s="61">
        <v>3.2</v>
      </c>
      <c r="T121" s="61">
        <v>10.3</v>
      </c>
      <c r="U121" s="61">
        <v>12</v>
      </c>
      <c r="V121" s="61">
        <v>13</v>
      </c>
      <c r="W121" s="61"/>
      <c r="X121" s="61">
        <v>7</v>
      </c>
      <c r="Y121" s="61">
        <v>-54</v>
      </c>
      <c r="Z121" s="61">
        <v>-23</v>
      </c>
      <c r="AA121" s="61"/>
      <c r="AB121" s="61">
        <v>-35.4</v>
      </c>
      <c r="AC121" s="61"/>
      <c r="AD121" s="61"/>
      <c r="AE121" s="61"/>
      <c r="AF121" s="61"/>
      <c r="AG121" s="55">
        <v>240</v>
      </c>
      <c r="AH121" s="12">
        <f t="shared" si="46"/>
        <v>13</v>
      </c>
      <c r="AI121" s="11">
        <f t="shared" si="47"/>
        <v>-77.5</v>
      </c>
    </row>
    <row r="122" spans="1:35" ht="15.75" thickBot="1" x14ac:dyDescent="0.3">
      <c r="A122" s="57" t="s">
        <v>140</v>
      </c>
      <c r="B122" s="61">
        <v>2.7</v>
      </c>
      <c r="C122" s="61">
        <v>0</v>
      </c>
      <c r="D122" s="61">
        <v>-1.1000000000000001</v>
      </c>
      <c r="E122" s="61">
        <v>1.1000000000000001</v>
      </c>
      <c r="F122" s="61">
        <v>1.2</v>
      </c>
      <c r="G122" s="61">
        <v>-2.7</v>
      </c>
      <c r="H122" s="61">
        <v>-8.1999999999999993</v>
      </c>
      <c r="I122" s="61">
        <v>-8.4</v>
      </c>
      <c r="J122" s="61">
        <v>-2</v>
      </c>
      <c r="K122" s="61">
        <v>0.5</v>
      </c>
      <c r="L122" s="61">
        <v>2.5</v>
      </c>
      <c r="M122" s="61">
        <v>5.6</v>
      </c>
      <c r="N122" s="61">
        <v>0.3</v>
      </c>
      <c r="O122" s="61">
        <v>1.3</v>
      </c>
      <c r="P122" s="61">
        <v>0.2</v>
      </c>
      <c r="Q122" s="61">
        <v>-0.2</v>
      </c>
      <c r="R122" s="61">
        <v>-1.8</v>
      </c>
      <c r="S122" s="61">
        <v>-0.4</v>
      </c>
      <c r="T122" s="61">
        <v>-3.8</v>
      </c>
      <c r="U122" s="61">
        <v>-2.2999999999999998</v>
      </c>
      <c r="V122" s="61">
        <v>6</v>
      </c>
      <c r="W122" s="61">
        <v>8.1999999999999993</v>
      </c>
      <c r="X122" s="61">
        <v>15</v>
      </c>
      <c r="Y122" s="61">
        <v>6.4</v>
      </c>
      <c r="Z122" s="61">
        <v>10</v>
      </c>
      <c r="AA122" s="61">
        <v>19.3</v>
      </c>
      <c r="AB122" s="61">
        <v>19.3</v>
      </c>
      <c r="AC122" s="61">
        <v>22.5</v>
      </c>
      <c r="AD122" s="61">
        <v>19.600000000000001</v>
      </c>
      <c r="AE122" s="61">
        <v>-70</v>
      </c>
      <c r="AF122" s="61">
        <v>5.4</v>
      </c>
      <c r="AG122" s="55">
        <v>60</v>
      </c>
      <c r="AH122" s="12">
        <f t="shared" si="46"/>
        <v>22.5</v>
      </c>
      <c r="AI122" s="11">
        <f t="shared" si="47"/>
        <v>-70</v>
      </c>
    </row>
    <row r="123" spans="1:35" x14ac:dyDescent="0.25">
      <c r="A123" s="59" t="s">
        <v>139</v>
      </c>
      <c r="B123" s="58">
        <v>52</v>
      </c>
      <c r="C123" s="58">
        <v>33.799999999999997</v>
      </c>
      <c r="D123" s="58">
        <v>34</v>
      </c>
      <c r="E123" s="58">
        <v>46.1</v>
      </c>
      <c r="F123" s="58">
        <v>40</v>
      </c>
      <c r="G123" s="58">
        <v>63</v>
      </c>
      <c r="H123" s="58">
        <v>54.5</v>
      </c>
      <c r="I123" s="58">
        <v>90.5</v>
      </c>
      <c r="J123" s="58">
        <v>96.3</v>
      </c>
      <c r="K123" s="58">
        <v>126.3</v>
      </c>
      <c r="L123" s="58">
        <v>120.9</v>
      </c>
      <c r="M123" s="58">
        <v>115.4</v>
      </c>
      <c r="N123" s="58">
        <v>127.4</v>
      </c>
      <c r="O123" s="58">
        <v>136.4</v>
      </c>
      <c r="P123" s="58">
        <v>94.2</v>
      </c>
      <c r="Q123" s="58">
        <v>103.1</v>
      </c>
      <c r="R123" s="58">
        <v>116.4</v>
      </c>
      <c r="S123" s="58">
        <v>127.5</v>
      </c>
      <c r="T123" s="58">
        <v>135.5</v>
      </c>
      <c r="U123" s="58">
        <v>133.30000000000001</v>
      </c>
      <c r="V123" s="58">
        <v>127.6</v>
      </c>
      <c r="W123" s="58">
        <v>127</v>
      </c>
      <c r="X123" s="58">
        <v>85</v>
      </c>
      <c r="Y123" s="58">
        <v>69.599999999999994</v>
      </c>
      <c r="Z123" s="58">
        <v>135</v>
      </c>
      <c r="AA123" s="58">
        <v>121</v>
      </c>
      <c r="AB123" s="58">
        <v>121</v>
      </c>
      <c r="AC123" s="58">
        <v>83.5</v>
      </c>
      <c r="AD123" s="58">
        <v>57</v>
      </c>
      <c r="AE123" s="58">
        <v>15</v>
      </c>
      <c r="AF123" s="58">
        <v>18.7</v>
      </c>
      <c r="AG123" s="60">
        <v>120</v>
      </c>
      <c r="AH123" s="12">
        <f t="shared" si="46"/>
        <v>136.4</v>
      </c>
      <c r="AI123" s="11">
        <f t="shared" si="47"/>
        <v>15</v>
      </c>
    </row>
    <row r="124" spans="1:35" x14ac:dyDescent="0.25">
      <c r="A124" s="57" t="s">
        <v>138</v>
      </c>
      <c r="B124" s="58">
        <v>42</v>
      </c>
      <c r="C124" s="58">
        <v>32.799999999999997</v>
      </c>
      <c r="D124" s="58">
        <v>34</v>
      </c>
      <c r="E124" s="58">
        <v>40.5</v>
      </c>
      <c r="F124" s="58">
        <v>36.700000000000003</v>
      </c>
      <c r="G124" s="58">
        <v>48.5</v>
      </c>
      <c r="H124" s="58">
        <v>42.5</v>
      </c>
      <c r="I124" s="58">
        <v>60.8</v>
      </c>
      <c r="J124" s="58">
        <v>62</v>
      </c>
      <c r="K124" s="58">
        <v>77.900000000000006</v>
      </c>
      <c r="L124" s="58">
        <v>76.5</v>
      </c>
      <c r="M124" s="58">
        <v>72.8</v>
      </c>
      <c r="N124" s="58">
        <v>80</v>
      </c>
      <c r="O124" s="58">
        <v>83.4</v>
      </c>
      <c r="P124" s="58">
        <v>63.9</v>
      </c>
      <c r="Q124" s="58">
        <v>66.900000000000006</v>
      </c>
      <c r="R124" s="58">
        <v>74.5</v>
      </c>
      <c r="S124" s="58">
        <v>80.3</v>
      </c>
      <c r="T124" s="58">
        <v>137</v>
      </c>
      <c r="U124" s="58">
        <v>84.1</v>
      </c>
      <c r="V124" s="58">
        <v>84.5</v>
      </c>
      <c r="W124" s="58">
        <v>83.2</v>
      </c>
      <c r="X124" s="58">
        <v>63.1</v>
      </c>
      <c r="Y124" s="58">
        <v>55.4</v>
      </c>
      <c r="Z124" s="58">
        <v>86</v>
      </c>
      <c r="AA124" s="58">
        <v>78</v>
      </c>
      <c r="AB124" s="58">
        <v>78</v>
      </c>
      <c r="AC124" s="58">
        <v>55.7</v>
      </c>
      <c r="AD124" s="58">
        <v>44.3</v>
      </c>
      <c r="AE124" s="58">
        <v>34.1</v>
      </c>
      <c r="AF124" s="58">
        <v>26.7</v>
      </c>
      <c r="AG124" s="60"/>
      <c r="AH124" s="12">
        <f t="shared" si="46"/>
        <v>137</v>
      </c>
      <c r="AI124" s="11">
        <f t="shared" si="47"/>
        <v>26.7</v>
      </c>
    </row>
    <row r="125" spans="1:35" x14ac:dyDescent="0.25">
      <c r="A125" s="57" t="s">
        <v>137</v>
      </c>
      <c r="B125" s="58">
        <v>23.5</v>
      </c>
      <c r="C125" s="58">
        <v>10</v>
      </c>
      <c r="D125" s="58">
        <v>16</v>
      </c>
      <c r="E125" s="58">
        <v>31.2</v>
      </c>
      <c r="F125" s="58">
        <v>20.100000000000001</v>
      </c>
      <c r="G125" s="58">
        <v>19.399999999999999</v>
      </c>
      <c r="H125" s="58">
        <v>-23.4</v>
      </c>
      <c r="I125" s="58">
        <v>-2.1</v>
      </c>
      <c r="J125" s="58">
        <v>2</v>
      </c>
      <c r="K125" s="58">
        <v>2.4</v>
      </c>
      <c r="L125" s="58">
        <v>-3.5</v>
      </c>
      <c r="M125" s="58">
        <v>-11.7</v>
      </c>
      <c r="N125" s="58">
        <v>-5</v>
      </c>
      <c r="O125" s="58">
        <v>-4</v>
      </c>
      <c r="P125" s="58">
        <v>-2</v>
      </c>
      <c r="Q125" s="58">
        <v>2.9</v>
      </c>
      <c r="R125" s="58">
        <v>19.3</v>
      </c>
      <c r="S125" s="58">
        <v>30.4</v>
      </c>
      <c r="T125" s="58">
        <v>21</v>
      </c>
      <c r="U125" s="58">
        <v>19.7</v>
      </c>
      <c r="V125" s="58">
        <v>16.2</v>
      </c>
      <c r="W125" s="58">
        <v>14</v>
      </c>
      <c r="X125" s="58">
        <v>-31</v>
      </c>
      <c r="Y125" s="58">
        <v>-38.4</v>
      </c>
      <c r="Z125" s="58">
        <v>3</v>
      </c>
      <c r="AA125" s="58">
        <v>-34</v>
      </c>
      <c r="AB125" s="58">
        <v>-34</v>
      </c>
      <c r="AC125" s="58">
        <v>-39.9</v>
      </c>
      <c r="AD125" s="58">
        <v>-47.6</v>
      </c>
      <c r="AE125" s="58">
        <v>33.799999999999997</v>
      </c>
      <c r="AF125" s="58">
        <v>-26.9</v>
      </c>
      <c r="AG125" s="60"/>
      <c r="AH125" s="12">
        <f t="shared" si="46"/>
        <v>33.799999999999997</v>
      </c>
      <c r="AI125" s="11">
        <f t="shared" si="47"/>
        <v>-47.6</v>
      </c>
    </row>
    <row r="126" spans="1:35" ht="15.75" thickBot="1" x14ac:dyDescent="0.3">
      <c r="A126" s="57" t="s">
        <v>136</v>
      </c>
      <c r="B126" s="58">
        <v>39</v>
      </c>
      <c r="C126" s="58">
        <v>30</v>
      </c>
      <c r="D126" s="58">
        <v>30</v>
      </c>
      <c r="E126" s="58">
        <v>39.799999999999997</v>
      </c>
      <c r="F126" s="58">
        <v>35</v>
      </c>
      <c r="G126" s="58">
        <v>51.4</v>
      </c>
      <c r="H126" s="58">
        <v>44.8</v>
      </c>
      <c r="I126" s="58">
        <v>64.7</v>
      </c>
      <c r="J126" s="58">
        <v>69</v>
      </c>
      <c r="K126" s="58">
        <v>81.599999999999994</v>
      </c>
      <c r="L126" s="58">
        <v>82</v>
      </c>
      <c r="M126" s="58">
        <v>76.3</v>
      </c>
      <c r="N126" s="58">
        <v>89.7</v>
      </c>
      <c r="O126" s="58">
        <v>92</v>
      </c>
      <c r="P126" s="58">
        <v>71.2</v>
      </c>
      <c r="Q126" s="58">
        <v>79</v>
      </c>
      <c r="R126" s="58">
        <v>81.099999999999994</v>
      </c>
      <c r="S126" s="58">
        <v>89</v>
      </c>
      <c r="T126" s="58">
        <v>92.6</v>
      </c>
      <c r="U126" s="58">
        <v>90</v>
      </c>
      <c r="V126" s="58">
        <v>92</v>
      </c>
      <c r="W126" s="58">
        <v>92</v>
      </c>
      <c r="X126" s="58">
        <v>63</v>
      </c>
      <c r="Y126" s="58">
        <v>40</v>
      </c>
      <c r="Z126" s="58">
        <v>76.400000000000006</v>
      </c>
      <c r="AA126" s="58">
        <v>68</v>
      </c>
      <c r="AB126" s="58">
        <v>68</v>
      </c>
      <c r="AC126" s="58">
        <v>49.3</v>
      </c>
      <c r="AD126" s="58">
        <v>37.1</v>
      </c>
      <c r="AE126" s="58">
        <v>-36</v>
      </c>
      <c r="AF126" s="58">
        <v>27.8</v>
      </c>
      <c r="AG126" s="55"/>
      <c r="AH126" s="12">
        <f>MAX(B126:AF126)</f>
        <v>92.6</v>
      </c>
      <c r="AI126" s="11">
        <f>MIN(B126:AF126)</f>
        <v>-36</v>
      </c>
    </row>
    <row r="127" spans="1:35" x14ac:dyDescent="0.25">
      <c r="A127" s="59" t="s">
        <v>135</v>
      </c>
      <c r="B127" s="58">
        <v>-83</v>
      </c>
      <c r="C127" s="58">
        <v>-61</v>
      </c>
      <c r="D127" s="58">
        <v>-62</v>
      </c>
      <c r="E127" s="58">
        <v>-80.599999999999994</v>
      </c>
      <c r="F127" s="58">
        <v>-81.2</v>
      </c>
      <c r="G127" s="58">
        <v>-71.599999999999994</v>
      </c>
      <c r="H127" s="58">
        <v>-100.5</v>
      </c>
      <c r="I127" s="58">
        <v>-96</v>
      </c>
      <c r="J127" s="58">
        <v>-52</v>
      </c>
      <c r="K127" s="58">
        <v>-37.1</v>
      </c>
      <c r="L127" s="58">
        <v>28.7</v>
      </c>
      <c r="M127" s="58">
        <v>24.2</v>
      </c>
      <c r="N127" s="58">
        <v>30.2</v>
      </c>
      <c r="O127" s="58">
        <v>20.6</v>
      </c>
      <c r="P127" s="58">
        <v>16.399999999999999</v>
      </c>
      <c r="Q127" s="58">
        <v>19.2</v>
      </c>
      <c r="R127" s="58">
        <v>13.1</v>
      </c>
      <c r="S127" s="58">
        <v>18</v>
      </c>
      <c r="T127" s="58">
        <v>41.6</v>
      </c>
      <c r="U127" s="58">
        <v>32</v>
      </c>
      <c r="V127" s="58">
        <v>35.1</v>
      </c>
      <c r="W127" s="58">
        <v>34</v>
      </c>
      <c r="X127" s="58">
        <v>13</v>
      </c>
      <c r="Y127" s="58">
        <v>-135.4</v>
      </c>
      <c r="Z127" s="58">
        <v>-160</v>
      </c>
      <c r="AA127" s="58">
        <v>-169</v>
      </c>
      <c r="AB127" s="58">
        <v>-169</v>
      </c>
      <c r="AC127" s="58">
        <v>-137.30000000000001</v>
      </c>
      <c r="AD127" s="58">
        <v>-129.19999999999999</v>
      </c>
      <c r="AE127" s="58">
        <v>30.7</v>
      </c>
      <c r="AF127" s="58">
        <v>-110</v>
      </c>
      <c r="AG127" s="55"/>
      <c r="AH127" s="12">
        <f>MAX(B127:AF127)</f>
        <v>41.6</v>
      </c>
      <c r="AI127" s="11">
        <f>MIN(B127:AF127)</f>
        <v>-169</v>
      </c>
    </row>
    <row r="128" spans="1:35" x14ac:dyDescent="0.25">
      <c r="A128" s="57" t="s">
        <v>134</v>
      </c>
      <c r="B128" s="56">
        <v>-1.4</v>
      </c>
      <c r="C128" s="56">
        <v>-2</v>
      </c>
      <c r="D128" s="56">
        <v>0</v>
      </c>
      <c r="E128" s="56">
        <v>-1.6</v>
      </c>
      <c r="F128" s="56">
        <v>-3.3</v>
      </c>
      <c r="G128" s="56">
        <v>-13.35</v>
      </c>
      <c r="H128" s="56">
        <v>-21.4</v>
      </c>
      <c r="I128" s="56">
        <v>-23.6</v>
      </c>
      <c r="J128" s="56">
        <v>-20</v>
      </c>
      <c r="K128" s="56">
        <v>-27.9</v>
      </c>
      <c r="L128" s="56">
        <v>-31.9</v>
      </c>
      <c r="M128" s="56">
        <v>-34.1</v>
      </c>
      <c r="N128" s="56">
        <v>-33.799999999999997</v>
      </c>
      <c r="O128" s="56">
        <v>-32.1</v>
      </c>
      <c r="P128" s="56">
        <v>-17.8</v>
      </c>
      <c r="Q128" s="56">
        <v>-25.4</v>
      </c>
      <c r="R128" s="56">
        <v>-26</v>
      </c>
      <c r="S128" s="56">
        <v>-29.1</v>
      </c>
      <c r="T128" s="56">
        <v>-25.37</v>
      </c>
      <c r="U128" s="56">
        <v>-28.2</v>
      </c>
      <c r="V128" s="56">
        <v>-39</v>
      </c>
      <c r="W128" s="56">
        <v>-40</v>
      </c>
      <c r="X128" s="56"/>
      <c r="Y128" s="56">
        <v>-56.4</v>
      </c>
      <c r="Z128" s="56">
        <v>-52.3</v>
      </c>
      <c r="AA128" s="56">
        <v>-46</v>
      </c>
      <c r="AB128" s="56">
        <v>-46</v>
      </c>
      <c r="AC128" s="56">
        <v>-40.9</v>
      </c>
      <c r="AD128" s="56">
        <v>-37.9</v>
      </c>
      <c r="AE128" s="56">
        <v>-133.6</v>
      </c>
      <c r="AF128" s="56">
        <v>-28.1</v>
      </c>
      <c r="AG128" s="55"/>
      <c r="AH128" s="12">
        <f>MAX(B128:AF128)</f>
        <v>0</v>
      </c>
      <c r="AI128" s="11">
        <f>MIN(B128:AF128)</f>
        <v>-133.6</v>
      </c>
    </row>
    <row r="129" spans="1:37" x14ac:dyDescent="0.25">
      <c r="A129" s="57" t="s">
        <v>133</v>
      </c>
      <c r="B129" s="56">
        <v>34</v>
      </c>
      <c r="C129" s="56">
        <v>31</v>
      </c>
      <c r="D129" s="56">
        <v>31</v>
      </c>
      <c r="E129" s="56">
        <v>30.4</v>
      </c>
      <c r="F129" s="56">
        <v>30.8</v>
      </c>
      <c r="G129" s="56">
        <v>39.4</v>
      </c>
      <c r="H129" s="56">
        <v>44.6</v>
      </c>
      <c r="I129" s="56">
        <v>59.2</v>
      </c>
      <c r="J129" s="56">
        <v>49.3</v>
      </c>
      <c r="K129" s="56">
        <v>62.7</v>
      </c>
      <c r="L129" s="56">
        <v>70.099999999999994</v>
      </c>
      <c r="M129" s="56">
        <v>74.400000000000006</v>
      </c>
      <c r="N129" s="56">
        <v>73</v>
      </c>
      <c r="O129" s="56">
        <v>81.3</v>
      </c>
      <c r="P129" s="56">
        <v>76.599999999999994</v>
      </c>
      <c r="Q129" s="56">
        <v>71.400000000000006</v>
      </c>
      <c r="R129" s="56">
        <v>77.900000000000006</v>
      </c>
      <c r="S129" s="56">
        <v>78</v>
      </c>
      <c r="T129" s="56">
        <v>78</v>
      </c>
      <c r="U129" s="56">
        <v>58</v>
      </c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5"/>
      <c r="AH129" s="12">
        <f>MAX(B129:AF129)</f>
        <v>81.3</v>
      </c>
      <c r="AI129" s="11">
        <f>MIN(B129:AF129)</f>
        <v>30.4</v>
      </c>
    </row>
    <row r="130" spans="1:37" ht="15.75" thickBot="1" x14ac:dyDescent="0.3">
      <c r="A130" s="57" t="s">
        <v>132</v>
      </c>
      <c r="B130" s="56">
        <v>46</v>
      </c>
      <c r="C130" s="56">
        <v>44</v>
      </c>
      <c r="D130" s="56">
        <v>44</v>
      </c>
      <c r="E130" s="56">
        <v>42.2</v>
      </c>
      <c r="F130" s="56">
        <v>44.6</v>
      </c>
      <c r="G130" s="56">
        <v>50.9</v>
      </c>
      <c r="H130" s="56">
        <v>55.8</v>
      </c>
      <c r="I130" s="56">
        <v>65.8</v>
      </c>
      <c r="J130" s="56">
        <v>62</v>
      </c>
      <c r="K130" s="56">
        <v>67.900000000000006</v>
      </c>
      <c r="L130" s="56">
        <v>71</v>
      </c>
      <c r="M130" s="56">
        <v>72.7</v>
      </c>
      <c r="N130" s="56">
        <v>76.900000000000006</v>
      </c>
      <c r="O130" s="56">
        <v>85.5</v>
      </c>
      <c r="P130" s="56">
        <v>75.5</v>
      </c>
      <c r="Q130" s="56">
        <v>75.099999999999994</v>
      </c>
      <c r="R130" s="56">
        <v>80.8</v>
      </c>
      <c r="S130" s="56"/>
      <c r="T130" s="56"/>
      <c r="U130" s="56"/>
      <c r="V130" s="56">
        <v>50.1</v>
      </c>
      <c r="W130" s="56">
        <v>55.1</v>
      </c>
      <c r="X130" s="56">
        <v>46</v>
      </c>
      <c r="Y130" s="56">
        <v>110.3</v>
      </c>
      <c r="Z130" s="56">
        <v>108.3</v>
      </c>
      <c r="AA130" s="56">
        <v>106.3</v>
      </c>
      <c r="AB130" s="56">
        <v>106.3</v>
      </c>
      <c r="AC130" s="56">
        <v>102.3</v>
      </c>
      <c r="AD130" s="56">
        <v>103.5</v>
      </c>
      <c r="AE130" s="56">
        <v>92.4</v>
      </c>
      <c r="AF130" s="56">
        <v>92.4</v>
      </c>
      <c r="AG130" s="55"/>
      <c r="AH130" s="12">
        <f>MAX(B130:AF130)</f>
        <v>110.3</v>
      </c>
      <c r="AI130" s="11">
        <f>MIN(B130:AF130)</f>
        <v>42.2</v>
      </c>
    </row>
    <row r="131" spans="1:37" x14ac:dyDescent="0.25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25">
      <c r="A132" s="47" t="s">
        <v>130</v>
      </c>
      <c r="B132" s="51">
        <v>1984.8</v>
      </c>
      <c r="C132" s="51">
        <v>1984.62</v>
      </c>
      <c r="D132" s="51">
        <v>1984.6</v>
      </c>
      <c r="E132" s="51">
        <v>1984.52</v>
      </c>
      <c r="F132" s="51">
        <v>1984.38</v>
      </c>
      <c r="G132" s="51">
        <v>1984.2</v>
      </c>
      <c r="H132" s="51"/>
      <c r="I132" s="51">
        <v>1983.92</v>
      </c>
      <c r="J132" s="51"/>
      <c r="K132" s="51">
        <v>1983.95</v>
      </c>
      <c r="L132" s="51"/>
      <c r="M132" s="51">
        <v>1984.22</v>
      </c>
      <c r="N132" s="51">
        <v>1984.45</v>
      </c>
      <c r="O132" s="51">
        <v>1984.65</v>
      </c>
      <c r="P132" s="51">
        <v>1984.8</v>
      </c>
      <c r="Q132" s="51">
        <v>1985</v>
      </c>
      <c r="R132" s="51">
        <v>1985.2</v>
      </c>
      <c r="S132" s="51">
        <v>1985.33</v>
      </c>
      <c r="T132" s="51">
        <v>1985.48</v>
      </c>
      <c r="U132" s="51">
        <v>1985.62</v>
      </c>
      <c r="V132" s="51">
        <v>1985.85</v>
      </c>
      <c r="W132" s="51"/>
      <c r="X132" s="51">
        <v>1986.08</v>
      </c>
      <c r="Y132" s="51"/>
      <c r="Z132" s="51">
        <v>1985.85</v>
      </c>
      <c r="AA132" s="51"/>
      <c r="AB132" s="51">
        <v>1984.95</v>
      </c>
      <c r="AC132" s="51"/>
      <c r="AD132" s="51">
        <v>1984.4</v>
      </c>
      <c r="AE132" s="51">
        <v>1983.95</v>
      </c>
      <c r="AF132" s="50">
        <v>1983.6</v>
      </c>
      <c r="AG132" s="44"/>
      <c r="AH132" s="12"/>
      <c r="AI132" s="11"/>
    </row>
    <row r="133" spans="1:37" x14ac:dyDescent="0.25">
      <c r="A133" s="47" t="s">
        <v>129</v>
      </c>
      <c r="B133" s="49">
        <v>521.44000000000005</v>
      </c>
      <c r="C133" s="49">
        <v>521.52</v>
      </c>
      <c r="D133" s="49">
        <v>521.6</v>
      </c>
      <c r="E133" s="49">
        <v>521.77</v>
      </c>
      <c r="F133" s="49">
        <v>522.05999999999995</v>
      </c>
      <c r="G133" s="49">
        <v>522.29999999999995</v>
      </c>
      <c r="H133" s="49"/>
      <c r="I133" s="49">
        <v>522.29999999999995</v>
      </c>
      <c r="J133" s="49"/>
      <c r="K133" s="49">
        <v>522.22</v>
      </c>
      <c r="L133" s="49"/>
      <c r="M133" s="49">
        <v>522.15</v>
      </c>
      <c r="N133" s="49">
        <v>522.09</v>
      </c>
      <c r="O133" s="49">
        <v>522.01</v>
      </c>
      <c r="P133" s="49">
        <v>521.91999999999996</v>
      </c>
      <c r="Q133" s="49">
        <v>521.88</v>
      </c>
      <c r="R133" s="49">
        <v>521.9</v>
      </c>
      <c r="S133" s="49">
        <v>521.91999999999996</v>
      </c>
      <c r="T133" s="51">
        <v>521.9</v>
      </c>
      <c r="U133" s="49">
        <v>521.84</v>
      </c>
      <c r="V133" s="49">
        <v>521.79999999999995</v>
      </c>
      <c r="W133" s="49"/>
      <c r="X133" s="49">
        <v>521.88</v>
      </c>
      <c r="Y133" s="49"/>
      <c r="Z133" s="49">
        <v>521.76</v>
      </c>
      <c r="AA133" s="49"/>
      <c r="AB133" s="49">
        <v>521.45000000000005</v>
      </c>
      <c r="AC133" s="49"/>
      <c r="AD133" s="49">
        <v>521.16</v>
      </c>
      <c r="AE133" s="49">
        <v>621.02</v>
      </c>
      <c r="AF133" s="48"/>
      <c r="AG133" s="44"/>
      <c r="AH133" s="12"/>
      <c r="AI133" s="11"/>
    </row>
    <row r="134" spans="1:37" x14ac:dyDescent="0.25">
      <c r="A134" s="47" t="s">
        <v>128</v>
      </c>
      <c r="B134" s="49">
        <v>624</v>
      </c>
      <c r="C134" s="49">
        <v>624.1</v>
      </c>
      <c r="D134" s="49">
        <v>624.22</v>
      </c>
      <c r="E134" s="49">
        <v>624.41999999999996</v>
      </c>
      <c r="F134" s="49">
        <v>624.63</v>
      </c>
      <c r="G134" s="49">
        <v>624.80999999999995</v>
      </c>
      <c r="H134" s="49"/>
      <c r="I134" s="49">
        <v>624.76</v>
      </c>
      <c r="J134" s="49"/>
      <c r="K134" s="49">
        <v>624.74</v>
      </c>
      <c r="L134" s="49"/>
      <c r="M134" s="49">
        <v>624.79</v>
      </c>
      <c r="N134" s="49">
        <v>624.67999999999995</v>
      </c>
      <c r="O134" s="49">
        <v>624.6</v>
      </c>
      <c r="P134" s="49">
        <v>624.38</v>
      </c>
      <c r="Q134" s="49">
        <v>624.29</v>
      </c>
      <c r="R134" s="49">
        <v>624.28</v>
      </c>
      <c r="S134" s="49">
        <v>624.26</v>
      </c>
      <c r="T134" s="51">
        <v>624.26</v>
      </c>
      <c r="U134" s="49">
        <v>624.46</v>
      </c>
      <c r="V134" s="49">
        <v>624.4</v>
      </c>
      <c r="W134" s="49"/>
      <c r="X134" s="49">
        <v>624.51</v>
      </c>
      <c r="Y134" s="49"/>
      <c r="Z134" s="49">
        <v>624.36</v>
      </c>
      <c r="AA134" s="49"/>
      <c r="AB134" s="49">
        <v>624.01</v>
      </c>
      <c r="AC134" s="49"/>
      <c r="AD134" s="49">
        <v>623.75</v>
      </c>
      <c r="AE134" s="49">
        <v>623.5</v>
      </c>
      <c r="AF134" s="48"/>
      <c r="AG134" s="44"/>
      <c r="AH134" s="12"/>
      <c r="AI134" s="11"/>
    </row>
    <row r="135" spans="1:37" x14ac:dyDescent="0.25">
      <c r="A135" s="47" t="s">
        <v>127</v>
      </c>
      <c r="B135" s="49">
        <v>336.67</v>
      </c>
      <c r="C135" s="49">
        <v>336.63</v>
      </c>
      <c r="D135" s="49">
        <v>336.65</v>
      </c>
      <c r="E135" s="49">
        <v>336.67</v>
      </c>
      <c r="F135" s="49">
        <v>336.67</v>
      </c>
      <c r="G135" s="49">
        <v>336.58</v>
      </c>
      <c r="H135" s="49"/>
      <c r="I135" s="49">
        <v>336.34</v>
      </c>
      <c r="J135" s="49"/>
      <c r="K135" s="49">
        <v>336.12</v>
      </c>
      <c r="L135" s="49"/>
      <c r="M135" s="49">
        <v>336.05</v>
      </c>
      <c r="N135" s="49">
        <v>335.93</v>
      </c>
      <c r="O135" s="49">
        <v>335.78</v>
      </c>
      <c r="P135" s="49">
        <v>335.75</v>
      </c>
      <c r="Q135" s="49">
        <v>335.85</v>
      </c>
      <c r="R135" s="49">
        <v>336.07</v>
      </c>
      <c r="S135" s="49">
        <v>336.41</v>
      </c>
      <c r="T135" s="51">
        <v>336.74</v>
      </c>
      <c r="U135" s="49">
        <v>337.08</v>
      </c>
      <c r="V135" s="49">
        <v>337.37</v>
      </c>
      <c r="W135" s="49"/>
      <c r="X135" s="49">
        <v>337.58</v>
      </c>
      <c r="Y135" s="49"/>
      <c r="Z135" s="49">
        <v>337.45</v>
      </c>
      <c r="AA135" s="49"/>
      <c r="AB135" s="49">
        <v>337.21</v>
      </c>
      <c r="AC135" s="49"/>
      <c r="AD135" s="49">
        <v>336.85</v>
      </c>
      <c r="AE135" s="49">
        <v>336.7</v>
      </c>
      <c r="AF135" s="48"/>
      <c r="AG135" s="44"/>
      <c r="AH135" s="12"/>
      <c r="AI135" s="11"/>
    </row>
    <row r="136" spans="1:37" x14ac:dyDescent="0.25">
      <c r="A136" s="47" t="s">
        <v>126</v>
      </c>
      <c r="B136" s="49">
        <v>884.2</v>
      </c>
      <c r="C136" s="49">
        <v>884.3</v>
      </c>
      <c r="D136" s="49">
        <v>884.4</v>
      </c>
      <c r="E136" s="49">
        <v>885.3</v>
      </c>
      <c r="F136" s="49">
        <v>886.1</v>
      </c>
      <c r="G136" s="49">
        <v>886.7</v>
      </c>
      <c r="H136" s="49"/>
      <c r="I136" s="49">
        <v>886.9</v>
      </c>
      <c r="J136" s="49"/>
      <c r="K136" s="49">
        <v>886.5</v>
      </c>
      <c r="L136" s="49"/>
      <c r="M136" s="49">
        <v>886.4</v>
      </c>
      <c r="N136" s="49">
        <v>886.3</v>
      </c>
      <c r="O136" s="49">
        <v>886.3</v>
      </c>
      <c r="P136" s="49">
        <v>886.4</v>
      </c>
      <c r="Q136" s="49">
        <v>886.4</v>
      </c>
      <c r="R136" s="49">
        <v>887.1</v>
      </c>
      <c r="S136" s="49">
        <v>887.2</v>
      </c>
      <c r="T136" s="51">
        <v>887.1</v>
      </c>
      <c r="U136" s="51">
        <v>887.1</v>
      </c>
      <c r="V136" s="51">
        <v>887.1</v>
      </c>
      <c r="W136" s="49"/>
      <c r="X136" s="49">
        <v>887.1</v>
      </c>
      <c r="Y136" s="49"/>
      <c r="Z136" s="49">
        <v>886.5</v>
      </c>
      <c r="AA136" s="49"/>
      <c r="AB136" s="49">
        <v>885.8</v>
      </c>
      <c r="AC136" s="49"/>
      <c r="AD136" s="49">
        <v>885.3</v>
      </c>
      <c r="AE136" s="49">
        <v>884.3</v>
      </c>
      <c r="AF136" s="48"/>
      <c r="AG136" s="44"/>
      <c r="AH136" s="12"/>
      <c r="AI136" s="11"/>
    </row>
    <row r="137" spans="1:37" ht="15.75" thickBot="1" x14ac:dyDescent="0.3">
      <c r="A137" s="47" t="s">
        <v>125</v>
      </c>
      <c r="B137" s="46"/>
      <c r="C137" s="46"/>
      <c r="D137" s="46"/>
      <c r="E137" s="46"/>
      <c r="F137" s="46"/>
      <c r="G137" s="46"/>
      <c r="H137" s="46"/>
      <c r="I137" s="46">
        <v>1501.12</v>
      </c>
      <c r="J137" s="46"/>
      <c r="K137" s="46"/>
      <c r="L137" s="46"/>
      <c r="M137" s="46">
        <v>1501.14</v>
      </c>
      <c r="N137" s="46"/>
      <c r="O137" s="46"/>
      <c r="P137" s="46"/>
      <c r="Q137" s="46">
        <v>1501.15</v>
      </c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.75" thickBot="1" x14ac:dyDescent="0.3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25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25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25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25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25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25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25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25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25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25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25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25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25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25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25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25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25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25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25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25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25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25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25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25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25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25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25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25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25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25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25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25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25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25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25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25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25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25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25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25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25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25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25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25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25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25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25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25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25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25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25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25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25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25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25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25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25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25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25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25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25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25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25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25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25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25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25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25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25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25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25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25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25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25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25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25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25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25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25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25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25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25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25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25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25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25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25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25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25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25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25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25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25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25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25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25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25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25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25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25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25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25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25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25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.75" thickBot="1" x14ac:dyDescent="0.3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.75" thickBot="1" x14ac:dyDescent="0.3">
      <c r="A244" s="31" t="s">
        <v>17</v>
      </c>
      <c r="B244" s="30">
        <f t="shared" ref="B244:AG244" si="98">SUM(B139:B243)</f>
        <v>0</v>
      </c>
      <c r="C244" s="14">
        <f t="shared" si="98"/>
        <v>0</v>
      </c>
      <c r="D244" s="14">
        <f t="shared" si="98"/>
        <v>0</v>
      </c>
      <c r="E244" s="14">
        <f t="shared" si="98"/>
        <v>0</v>
      </c>
      <c r="F244" s="14">
        <f t="shared" si="98"/>
        <v>0</v>
      </c>
      <c r="G244" s="14">
        <f t="shared" si="98"/>
        <v>0</v>
      </c>
      <c r="H244" s="14">
        <f t="shared" si="98"/>
        <v>0</v>
      </c>
      <c r="I244" s="14">
        <f t="shared" si="98"/>
        <v>0</v>
      </c>
      <c r="J244" s="14">
        <f t="shared" si="98"/>
        <v>0</v>
      </c>
      <c r="K244" s="14">
        <f t="shared" si="98"/>
        <v>0</v>
      </c>
      <c r="L244" s="14">
        <f t="shared" si="98"/>
        <v>0</v>
      </c>
      <c r="M244" s="14">
        <f t="shared" si="98"/>
        <v>0</v>
      </c>
      <c r="N244" s="14">
        <f t="shared" si="98"/>
        <v>0</v>
      </c>
      <c r="O244" s="14">
        <f t="shared" si="98"/>
        <v>0</v>
      </c>
      <c r="P244" s="14">
        <f t="shared" si="98"/>
        <v>0</v>
      </c>
      <c r="Q244" s="14">
        <f t="shared" si="98"/>
        <v>0</v>
      </c>
      <c r="R244" s="14">
        <f t="shared" si="98"/>
        <v>0</v>
      </c>
      <c r="S244" s="14">
        <f t="shared" si="98"/>
        <v>0</v>
      </c>
      <c r="T244" s="14">
        <f t="shared" si="98"/>
        <v>0</v>
      </c>
      <c r="U244" s="14">
        <f t="shared" si="98"/>
        <v>0</v>
      </c>
      <c r="V244" s="14">
        <f t="shared" si="98"/>
        <v>0</v>
      </c>
      <c r="W244" s="14">
        <f t="shared" si="98"/>
        <v>0</v>
      </c>
      <c r="X244" s="14">
        <f t="shared" si="98"/>
        <v>0</v>
      </c>
      <c r="Y244" s="14">
        <f t="shared" si="98"/>
        <v>0</v>
      </c>
      <c r="Z244" s="14">
        <f t="shared" si="98"/>
        <v>0</v>
      </c>
      <c r="AA244" s="14">
        <f t="shared" si="98"/>
        <v>0</v>
      </c>
      <c r="AB244" s="14">
        <f t="shared" si="98"/>
        <v>0</v>
      </c>
      <c r="AC244" s="14">
        <f t="shared" si="98"/>
        <v>0</v>
      </c>
      <c r="AD244" s="14">
        <f t="shared" si="98"/>
        <v>0</v>
      </c>
      <c r="AE244" s="14">
        <f t="shared" si="98"/>
        <v>0</v>
      </c>
      <c r="AF244" s="29">
        <f t="shared" si="98"/>
        <v>0</v>
      </c>
      <c r="AG244" s="28">
        <f t="shared" si="98"/>
        <v>412.72299999999984</v>
      </c>
      <c r="AH244" s="12"/>
      <c r="AI244" s="11"/>
      <c r="AK244" s="19"/>
    </row>
    <row r="245" spans="1:37" ht="15.75" thickBot="1" x14ac:dyDescent="0.3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25">
      <c r="A246" s="25" t="s">
        <v>16</v>
      </c>
      <c r="B246" s="24">
        <f t="shared" ref="B246:B251" si="99">AF246</f>
        <v>0.3</v>
      </c>
      <c r="C246" s="24">
        <v>0.3</v>
      </c>
      <c r="D246" s="24">
        <f t="shared" ref="D246:AF251" si="100">C246</f>
        <v>0.3</v>
      </c>
      <c r="E246" s="24">
        <f t="shared" si="100"/>
        <v>0.3</v>
      </c>
      <c r="F246" s="24">
        <f t="shared" si="100"/>
        <v>0.3</v>
      </c>
      <c r="G246" s="24">
        <f t="shared" si="100"/>
        <v>0.3</v>
      </c>
      <c r="H246" s="24">
        <f t="shared" si="100"/>
        <v>0.3</v>
      </c>
      <c r="I246" s="24">
        <f t="shared" si="100"/>
        <v>0.3</v>
      </c>
      <c r="J246" s="24">
        <f t="shared" si="100"/>
        <v>0.3</v>
      </c>
      <c r="K246" s="24">
        <f t="shared" si="100"/>
        <v>0.3</v>
      </c>
      <c r="L246" s="24">
        <f t="shared" si="100"/>
        <v>0.3</v>
      </c>
      <c r="M246" s="24">
        <f t="shared" si="100"/>
        <v>0.3</v>
      </c>
      <c r="N246" s="24">
        <f t="shared" si="100"/>
        <v>0.3</v>
      </c>
      <c r="O246" s="24">
        <f t="shared" si="100"/>
        <v>0.3</v>
      </c>
      <c r="P246" s="24">
        <f t="shared" si="100"/>
        <v>0.3</v>
      </c>
      <c r="Q246" s="24">
        <f t="shared" si="100"/>
        <v>0.3</v>
      </c>
      <c r="R246" s="24">
        <f t="shared" si="100"/>
        <v>0.3</v>
      </c>
      <c r="S246" s="24">
        <f t="shared" si="100"/>
        <v>0.3</v>
      </c>
      <c r="T246" s="24">
        <f t="shared" si="100"/>
        <v>0.3</v>
      </c>
      <c r="U246" s="24">
        <f t="shared" si="100"/>
        <v>0.3</v>
      </c>
      <c r="V246" s="24">
        <f t="shared" si="100"/>
        <v>0.3</v>
      </c>
      <c r="W246" s="24">
        <f t="shared" si="100"/>
        <v>0.3</v>
      </c>
      <c r="X246" s="24">
        <f t="shared" si="100"/>
        <v>0.3</v>
      </c>
      <c r="Y246" s="24">
        <f t="shared" si="100"/>
        <v>0.3</v>
      </c>
      <c r="Z246" s="24">
        <f t="shared" si="100"/>
        <v>0.3</v>
      </c>
      <c r="AA246" s="24">
        <f t="shared" si="100"/>
        <v>0.3</v>
      </c>
      <c r="AB246" s="24">
        <f t="shared" si="100"/>
        <v>0.3</v>
      </c>
      <c r="AC246" s="24">
        <f t="shared" si="100"/>
        <v>0.3</v>
      </c>
      <c r="AD246" s="24">
        <f t="shared" si="100"/>
        <v>0.3</v>
      </c>
      <c r="AE246" s="24">
        <f t="shared" si="100"/>
        <v>0.3</v>
      </c>
      <c r="AF246" s="24">
        <f t="shared" si="100"/>
        <v>0.3</v>
      </c>
      <c r="AG246" s="23">
        <v>2.4</v>
      </c>
      <c r="AH246" s="12"/>
      <c r="AI246" s="11"/>
      <c r="AK246" s="19"/>
    </row>
    <row r="247" spans="1:37" x14ac:dyDescent="0.25">
      <c r="A247" s="22" t="s">
        <v>15</v>
      </c>
      <c r="B247" s="21">
        <f t="shared" si="99"/>
        <v>0.4</v>
      </c>
      <c r="C247" s="21">
        <v>0.4</v>
      </c>
      <c r="D247" s="21">
        <f t="shared" si="100"/>
        <v>0.4</v>
      </c>
      <c r="E247" s="21">
        <f t="shared" si="100"/>
        <v>0.4</v>
      </c>
      <c r="F247" s="21">
        <f t="shared" si="100"/>
        <v>0.4</v>
      </c>
      <c r="G247" s="21">
        <f t="shared" si="100"/>
        <v>0.4</v>
      </c>
      <c r="H247" s="21">
        <f t="shared" si="100"/>
        <v>0.4</v>
      </c>
      <c r="I247" s="21">
        <f t="shared" si="100"/>
        <v>0.4</v>
      </c>
      <c r="J247" s="21">
        <f t="shared" si="100"/>
        <v>0.4</v>
      </c>
      <c r="K247" s="21">
        <f t="shared" si="100"/>
        <v>0.4</v>
      </c>
      <c r="L247" s="21">
        <f t="shared" si="100"/>
        <v>0.4</v>
      </c>
      <c r="M247" s="21">
        <f t="shared" si="100"/>
        <v>0.4</v>
      </c>
      <c r="N247" s="21">
        <f t="shared" si="100"/>
        <v>0.4</v>
      </c>
      <c r="O247" s="21">
        <f t="shared" si="100"/>
        <v>0.4</v>
      </c>
      <c r="P247" s="21">
        <f t="shared" si="100"/>
        <v>0.4</v>
      </c>
      <c r="Q247" s="21">
        <f t="shared" si="100"/>
        <v>0.4</v>
      </c>
      <c r="R247" s="21">
        <f t="shared" si="100"/>
        <v>0.4</v>
      </c>
      <c r="S247" s="21">
        <f t="shared" si="100"/>
        <v>0.4</v>
      </c>
      <c r="T247" s="21">
        <f t="shared" si="100"/>
        <v>0.4</v>
      </c>
      <c r="U247" s="21">
        <f t="shared" si="100"/>
        <v>0.4</v>
      </c>
      <c r="V247" s="21">
        <f t="shared" si="100"/>
        <v>0.4</v>
      </c>
      <c r="W247" s="21">
        <f t="shared" si="100"/>
        <v>0.4</v>
      </c>
      <c r="X247" s="21">
        <f t="shared" si="100"/>
        <v>0.4</v>
      </c>
      <c r="Y247" s="21">
        <f t="shared" si="100"/>
        <v>0.4</v>
      </c>
      <c r="Z247" s="21">
        <f t="shared" si="100"/>
        <v>0.4</v>
      </c>
      <c r="AA247" s="21">
        <f t="shared" si="100"/>
        <v>0.4</v>
      </c>
      <c r="AB247" s="21">
        <f t="shared" si="100"/>
        <v>0.4</v>
      </c>
      <c r="AC247" s="21">
        <f t="shared" si="100"/>
        <v>0.4</v>
      </c>
      <c r="AD247" s="21">
        <f t="shared" si="100"/>
        <v>0.4</v>
      </c>
      <c r="AE247" s="21">
        <f t="shared" si="100"/>
        <v>0.4</v>
      </c>
      <c r="AF247" s="21">
        <f t="shared" si="100"/>
        <v>0.4</v>
      </c>
      <c r="AG247" s="20">
        <v>2</v>
      </c>
      <c r="AH247" s="12"/>
      <c r="AI247" s="11"/>
      <c r="AK247" s="19"/>
    </row>
    <row r="248" spans="1:37" x14ac:dyDescent="0.25">
      <c r="A248" s="22" t="s">
        <v>14</v>
      </c>
      <c r="B248" s="21">
        <f t="shared" si="99"/>
        <v>1.5</v>
      </c>
      <c r="C248" s="21">
        <v>1.5</v>
      </c>
      <c r="D248" s="21">
        <f t="shared" si="100"/>
        <v>1.5</v>
      </c>
      <c r="E248" s="21">
        <f t="shared" si="100"/>
        <v>1.5</v>
      </c>
      <c r="F248" s="21">
        <f t="shared" si="100"/>
        <v>1.5</v>
      </c>
      <c r="G248" s="21">
        <f t="shared" si="100"/>
        <v>1.5</v>
      </c>
      <c r="H248" s="21">
        <f t="shared" si="100"/>
        <v>1.5</v>
      </c>
      <c r="I248" s="21">
        <f t="shared" si="100"/>
        <v>1.5</v>
      </c>
      <c r="J248" s="21">
        <f t="shared" si="100"/>
        <v>1.5</v>
      </c>
      <c r="K248" s="21">
        <f t="shared" si="100"/>
        <v>1.5</v>
      </c>
      <c r="L248" s="21">
        <f t="shared" si="100"/>
        <v>1.5</v>
      </c>
      <c r="M248" s="21">
        <f t="shared" si="100"/>
        <v>1.5</v>
      </c>
      <c r="N248" s="21">
        <f t="shared" si="100"/>
        <v>1.5</v>
      </c>
      <c r="O248" s="21">
        <f t="shared" si="100"/>
        <v>1.5</v>
      </c>
      <c r="P248" s="21">
        <f t="shared" si="100"/>
        <v>1.5</v>
      </c>
      <c r="Q248" s="21">
        <f t="shared" si="100"/>
        <v>1.5</v>
      </c>
      <c r="R248" s="21">
        <f t="shared" si="100"/>
        <v>1.5</v>
      </c>
      <c r="S248" s="21">
        <f t="shared" si="100"/>
        <v>1.5</v>
      </c>
      <c r="T248" s="21">
        <f t="shared" si="100"/>
        <v>1.5</v>
      </c>
      <c r="U248" s="21">
        <f t="shared" si="100"/>
        <v>1.5</v>
      </c>
      <c r="V248" s="21">
        <f t="shared" si="100"/>
        <v>1.5</v>
      </c>
      <c r="W248" s="21">
        <f t="shared" si="100"/>
        <v>1.5</v>
      </c>
      <c r="X248" s="21">
        <f t="shared" si="100"/>
        <v>1.5</v>
      </c>
      <c r="Y248" s="21">
        <f t="shared" si="100"/>
        <v>1.5</v>
      </c>
      <c r="Z248" s="21">
        <f t="shared" si="100"/>
        <v>1.5</v>
      </c>
      <c r="AA248" s="21">
        <f t="shared" si="100"/>
        <v>1.5</v>
      </c>
      <c r="AB248" s="21">
        <f t="shared" si="100"/>
        <v>1.5</v>
      </c>
      <c r="AC248" s="21">
        <f t="shared" si="100"/>
        <v>1.5</v>
      </c>
      <c r="AD248" s="21">
        <f t="shared" si="100"/>
        <v>1.5</v>
      </c>
      <c r="AE248" s="21">
        <f t="shared" si="100"/>
        <v>1.5</v>
      </c>
      <c r="AF248" s="21">
        <f t="shared" si="100"/>
        <v>1.5</v>
      </c>
      <c r="AG248" s="20">
        <v>1.5</v>
      </c>
      <c r="AH248" s="12"/>
      <c r="AI248" s="11"/>
      <c r="AK248" s="19"/>
    </row>
    <row r="249" spans="1:37" x14ac:dyDescent="0.25">
      <c r="A249" s="22" t="s">
        <v>13</v>
      </c>
      <c r="B249" s="21">
        <f t="shared" si="99"/>
        <v>0.3</v>
      </c>
      <c r="C249" s="21">
        <v>0.3</v>
      </c>
      <c r="D249" s="21">
        <f t="shared" si="100"/>
        <v>0.3</v>
      </c>
      <c r="E249" s="21">
        <f t="shared" si="100"/>
        <v>0.3</v>
      </c>
      <c r="F249" s="21">
        <f t="shared" si="100"/>
        <v>0.3</v>
      </c>
      <c r="G249" s="21">
        <f t="shared" si="100"/>
        <v>0.3</v>
      </c>
      <c r="H249" s="21">
        <f t="shared" si="100"/>
        <v>0.3</v>
      </c>
      <c r="I249" s="21">
        <f t="shared" si="100"/>
        <v>0.3</v>
      </c>
      <c r="J249" s="21">
        <f t="shared" si="100"/>
        <v>0.3</v>
      </c>
      <c r="K249" s="21">
        <f t="shared" si="100"/>
        <v>0.3</v>
      </c>
      <c r="L249" s="21">
        <f t="shared" si="100"/>
        <v>0.3</v>
      </c>
      <c r="M249" s="21">
        <f t="shared" si="100"/>
        <v>0.3</v>
      </c>
      <c r="N249" s="21">
        <f t="shared" si="100"/>
        <v>0.3</v>
      </c>
      <c r="O249" s="21">
        <f t="shared" si="100"/>
        <v>0.3</v>
      </c>
      <c r="P249" s="21">
        <f t="shared" si="100"/>
        <v>0.3</v>
      </c>
      <c r="Q249" s="21">
        <f t="shared" si="100"/>
        <v>0.3</v>
      </c>
      <c r="R249" s="21">
        <f t="shared" si="100"/>
        <v>0.3</v>
      </c>
      <c r="S249" s="21">
        <f t="shared" si="100"/>
        <v>0.3</v>
      </c>
      <c r="T249" s="21">
        <f t="shared" si="100"/>
        <v>0.3</v>
      </c>
      <c r="U249" s="21">
        <f t="shared" si="100"/>
        <v>0.3</v>
      </c>
      <c r="V249" s="21">
        <f t="shared" si="100"/>
        <v>0.3</v>
      </c>
      <c r="W249" s="21">
        <f t="shared" si="100"/>
        <v>0.3</v>
      </c>
      <c r="X249" s="21">
        <f t="shared" si="100"/>
        <v>0.3</v>
      </c>
      <c r="Y249" s="21">
        <f t="shared" si="100"/>
        <v>0.3</v>
      </c>
      <c r="Z249" s="21">
        <f t="shared" si="100"/>
        <v>0.3</v>
      </c>
      <c r="AA249" s="21">
        <f t="shared" si="100"/>
        <v>0.3</v>
      </c>
      <c r="AB249" s="21">
        <f t="shared" si="100"/>
        <v>0.3</v>
      </c>
      <c r="AC249" s="21">
        <f t="shared" si="100"/>
        <v>0.3</v>
      </c>
      <c r="AD249" s="21">
        <f t="shared" si="100"/>
        <v>0.3</v>
      </c>
      <c r="AE249" s="21">
        <f t="shared" si="100"/>
        <v>0.3</v>
      </c>
      <c r="AF249" s="21">
        <f t="shared" si="100"/>
        <v>0.3</v>
      </c>
      <c r="AG249" s="20">
        <v>1</v>
      </c>
      <c r="AH249" s="12"/>
      <c r="AI249" s="11"/>
      <c r="AK249" s="19"/>
    </row>
    <row r="250" spans="1:37" x14ac:dyDescent="0.25">
      <c r="A250" s="22" t="s">
        <v>12</v>
      </c>
      <c r="B250" s="21">
        <f t="shared" si="99"/>
        <v>0.4</v>
      </c>
      <c r="C250" s="21">
        <v>0.4</v>
      </c>
      <c r="D250" s="21">
        <f t="shared" si="100"/>
        <v>0.4</v>
      </c>
      <c r="E250" s="21">
        <f t="shared" si="100"/>
        <v>0.4</v>
      </c>
      <c r="F250" s="21">
        <f t="shared" si="100"/>
        <v>0.4</v>
      </c>
      <c r="G250" s="21">
        <f t="shared" si="100"/>
        <v>0.4</v>
      </c>
      <c r="H250" s="21">
        <f t="shared" si="100"/>
        <v>0.4</v>
      </c>
      <c r="I250" s="21">
        <f t="shared" si="100"/>
        <v>0.4</v>
      </c>
      <c r="J250" s="21">
        <f t="shared" si="100"/>
        <v>0.4</v>
      </c>
      <c r="K250" s="21">
        <f t="shared" si="100"/>
        <v>0.4</v>
      </c>
      <c r="L250" s="21">
        <f t="shared" si="100"/>
        <v>0.4</v>
      </c>
      <c r="M250" s="21">
        <f t="shared" si="100"/>
        <v>0.4</v>
      </c>
      <c r="N250" s="21">
        <f t="shared" si="100"/>
        <v>0.4</v>
      </c>
      <c r="O250" s="21">
        <f t="shared" si="100"/>
        <v>0.4</v>
      </c>
      <c r="P250" s="21">
        <f t="shared" si="100"/>
        <v>0.4</v>
      </c>
      <c r="Q250" s="21">
        <f t="shared" si="100"/>
        <v>0.4</v>
      </c>
      <c r="R250" s="21">
        <f t="shared" si="100"/>
        <v>0.4</v>
      </c>
      <c r="S250" s="21">
        <f t="shared" si="100"/>
        <v>0.4</v>
      </c>
      <c r="T250" s="21">
        <f t="shared" si="100"/>
        <v>0.4</v>
      </c>
      <c r="U250" s="21">
        <f t="shared" si="100"/>
        <v>0.4</v>
      </c>
      <c r="V250" s="21">
        <f t="shared" si="100"/>
        <v>0.4</v>
      </c>
      <c r="W250" s="21">
        <f t="shared" si="100"/>
        <v>0.4</v>
      </c>
      <c r="X250" s="21">
        <f t="shared" si="100"/>
        <v>0.4</v>
      </c>
      <c r="Y250" s="21">
        <f t="shared" si="100"/>
        <v>0.4</v>
      </c>
      <c r="Z250" s="21">
        <f t="shared" si="100"/>
        <v>0.4</v>
      </c>
      <c r="AA250" s="21">
        <f t="shared" si="100"/>
        <v>0.4</v>
      </c>
      <c r="AB250" s="21">
        <f t="shared" si="100"/>
        <v>0.4</v>
      </c>
      <c r="AC250" s="21">
        <f t="shared" si="100"/>
        <v>0.4</v>
      </c>
      <c r="AD250" s="21">
        <f t="shared" si="100"/>
        <v>0.4</v>
      </c>
      <c r="AE250" s="21">
        <f t="shared" si="100"/>
        <v>0.4</v>
      </c>
      <c r="AF250" s="21">
        <f t="shared" si="100"/>
        <v>0.4</v>
      </c>
      <c r="AG250" s="20">
        <v>1</v>
      </c>
      <c r="AH250" s="12"/>
      <c r="AI250" s="11"/>
      <c r="AK250" s="19"/>
    </row>
    <row r="251" spans="1:37" ht="15.75" thickBot="1" x14ac:dyDescent="0.3">
      <c r="A251" s="18" t="s">
        <v>11</v>
      </c>
      <c r="B251" s="17">
        <f t="shared" si="99"/>
        <v>0.64</v>
      </c>
      <c r="C251" s="17">
        <v>0.64</v>
      </c>
      <c r="D251" s="17">
        <f t="shared" si="100"/>
        <v>0.64</v>
      </c>
      <c r="E251" s="17">
        <f t="shared" si="100"/>
        <v>0.64</v>
      </c>
      <c r="F251" s="17">
        <f t="shared" si="100"/>
        <v>0.64</v>
      </c>
      <c r="G251" s="17">
        <f t="shared" si="100"/>
        <v>0.64</v>
      </c>
      <c r="H251" s="17">
        <f t="shared" si="100"/>
        <v>0.64</v>
      </c>
      <c r="I251" s="17">
        <f t="shared" si="100"/>
        <v>0.64</v>
      </c>
      <c r="J251" s="17">
        <f t="shared" si="100"/>
        <v>0.64</v>
      </c>
      <c r="K251" s="17">
        <f t="shared" si="100"/>
        <v>0.64</v>
      </c>
      <c r="L251" s="17">
        <f t="shared" si="100"/>
        <v>0.64</v>
      </c>
      <c r="M251" s="17">
        <f t="shared" si="100"/>
        <v>0.64</v>
      </c>
      <c r="N251" s="17">
        <f t="shared" si="100"/>
        <v>0.64</v>
      </c>
      <c r="O251" s="17">
        <f t="shared" si="100"/>
        <v>0.64</v>
      </c>
      <c r="P251" s="17">
        <f t="shared" si="100"/>
        <v>0.64</v>
      </c>
      <c r="Q251" s="17">
        <f t="shared" si="100"/>
        <v>0.64</v>
      </c>
      <c r="R251" s="17">
        <f t="shared" si="100"/>
        <v>0.64</v>
      </c>
      <c r="S251" s="17">
        <f t="shared" si="100"/>
        <v>0.64</v>
      </c>
      <c r="T251" s="17">
        <f t="shared" si="100"/>
        <v>0.64</v>
      </c>
      <c r="U251" s="17">
        <f t="shared" si="100"/>
        <v>0.64</v>
      </c>
      <c r="V251" s="17">
        <f t="shared" si="100"/>
        <v>0.64</v>
      </c>
      <c r="W251" s="17">
        <f t="shared" si="100"/>
        <v>0.64</v>
      </c>
      <c r="X251" s="17">
        <f t="shared" si="100"/>
        <v>0.64</v>
      </c>
      <c r="Y251" s="17">
        <f t="shared" si="100"/>
        <v>0.64</v>
      </c>
      <c r="Z251" s="17">
        <f t="shared" si="100"/>
        <v>0.64</v>
      </c>
      <c r="AA251" s="17">
        <f t="shared" si="100"/>
        <v>0.64</v>
      </c>
      <c r="AB251" s="17">
        <f t="shared" si="100"/>
        <v>0.64</v>
      </c>
      <c r="AC251" s="17">
        <f t="shared" si="100"/>
        <v>0.64</v>
      </c>
      <c r="AD251" s="17">
        <f t="shared" si="100"/>
        <v>0.64</v>
      </c>
      <c r="AE251" s="17">
        <f t="shared" si="100"/>
        <v>0.64</v>
      </c>
      <c r="AF251" s="17">
        <f t="shared" si="100"/>
        <v>0.64</v>
      </c>
      <c r="AG251" s="16">
        <v>0.66</v>
      </c>
      <c r="AH251" s="12"/>
      <c r="AI251" s="11"/>
    </row>
    <row r="252" spans="1:37" ht="15.75" thickBot="1" x14ac:dyDescent="0.3">
      <c r="A252" s="15" t="s">
        <v>10</v>
      </c>
      <c r="B252" s="14">
        <f t="shared" ref="B252:AG252" si="101">SUM(B246:B251)</f>
        <v>3.54</v>
      </c>
      <c r="C252" s="14">
        <f t="shared" si="101"/>
        <v>3.54</v>
      </c>
      <c r="D252" s="14">
        <f t="shared" si="101"/>
        <v>3.54</v>
      </c>
      <c r="E252" s="14">
        <f t="shared" si="101"/>
        <v>3.54</v>
      </c>
      <c r="F252" s="14">
        <f t="shared" si="101"/>
        <v>3.54</v>
      </c>
      <c r="G252" s="14">
        <f t="shared" si="101"/>
        <v>3.54</v>
      </c>
      <c r="H252" s="14">
        <f t="shared" si="101"/>
        <v>3.54</v>
      </c>
      <c r="I252" s="14">
        <f t="shared" si="101"/>
        <v>3.54</v>
      </c>
      <c r="J252" s="14">
        <f t="shared" si="101"/>
        <v>3.54</v>
      </c>
      <c r="K252" s="14">
        <f t="shared" si="101"/>
        <v>3.54</v>
      </c>
      <c r="L252" s="14">
        <f t="shared" si="101"/>
        <v>3.54</v>
      </c>
      <c r="M252" s="14">
        <f t="shared" si="101"/>
        <v>3.54</v>
      </c>
      <c r="N252" s="14">
        <f t="shared" si="101"/>
        <v>3.54</v>
      </c>
      <c r="O252" s="14">
        <f t="shared" si="101"/>
        <v>3.54</v>
      </c>
      <c r="P252" s="14">
        <f t="shared" si="101"/>
        <v>3.54</v>
      </c>
      <c r="Q252" s="14">
        <f t="shared" si="101"/>
        <v>3.54</v>
      </c>
      <c r="R252" s="14">
        <f t="shared" si="101"/>
        <v>3.54</v>
      </c>
      <c r="S252" s="14">
        <f t="shared" si="101"/>
        <v>3.54</v>
      </c>
      <c r="T252" s="14">
        <f t="shared" si="101"/>
        <v>3.54</v>
      </c>
      <c r="U252" s="14">
        <f t="shared" si="101"/>
        <v>3.54</v>
      </c>
      <c r="V252" s="14">
        <f t="shared" si="101"/>
        <v>3.54</v>
      </c>
      <c r="W252" s="14">
        <f t="shared" si="101"/>
        <v>3.54</v>
      </c>
      <c r="X252" s="14">
        <f t="shared" si="101"/>
        <v>3.54</v>
      </c>
      <c r="Y252" s="14">
        <f t="shared" si="101"/>
        <v>3.54</v>
      </c>
      <c r="Z252" s="14">
        <f t="shared" si="101"/>
        <v>3.54</v>
      </c>
      <c r="AA252" s="14">
        <f t="shared" si="101"/>
        <v>3.54</v>
      </c>
      <c r="AB252" s="14">
        <f t="shared" si="101"/>
        <v>3.54</v>
      </c>
      <c r="AC252" s="14">
        <f t="shared" si="101"/>
        <v>3.54</v>
      </c>
      <c r="AD252" s="14">
        <f t="shared" si="101"/>
        <v>3.54</v>
      </c>
      <c r="AE252" s="14">
        <f t="shared" si="101"/>
        <v>3.54</v>
      </c>
      <c r="AF252" s="14">
        <f t="shared" si="101"/>
        <v>3.54</v>
      </c>
      <c r="AG252" s="13">
        <f t="shared" si="101"/>
        <v>8.56</v>
      </c>
      <c r="AH252" s="12"/>
      <c r="AI252" s="11"/>
    </row>
    <row r="253" spans="1:37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25">
      <c r="A256" s="9" t="s">
        <v>9</v>
      </c>
      <c r="B256" s="8">
        <f>MAX(G99:N99)</f>
        <v>1549.3389999999999</v>
      </c>
      <c r="C256" s="7">
        <f>INDEX(G9:N9,1,MATCH(MAX(G99:N99),G99:N99,0))</f>
        <v>0.27083333333333331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25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2080/10/26)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25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25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25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25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25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25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25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25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25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25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25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25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25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25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920" priority="89">
      <formula>$AH11=0</formula>
    </cfRule>
  </conditionalFormatting>
  <conditionalFormatting sqref="A132:A253">
    <cfRule type="expression" dxfId="919" priority="90">
      <formula>$AH132=0</formula>
    </cfRule>
  </conditionalFormatting>
  <conditionalFormatting sqref="B8">
    <cfRule type="expression" dxfId="918" priority="147">
      <formula>C$9&gt;=20/24</formula>
    </cfRule>
    <cfRule type="expression" dxfId="917" priority="146">
      <formula>C$9&lt;8/24</formula>
    </cfRule>
    <cfRule type="expression" dxfId="916" priority="145">
      <formula>AND(C$9&gt;=8/24,C$9&lt;14/24)</formula>
    </cfRule>
    <cfRule type="expression" dxfId="915" priority="144">
      <formula>AND(C$9&gt;=14/24,C$9&lt;20/24)</formula>
    </cfRule>
  </conditionalFormatting>
  <conditionalFormatting sqref="B11:G52 H12:K52 L13:Y52 B59:D74 E69:AF74 B77:AF99 B9:AF10 B101:AF117 B119:AF137 B244:AF244 B246:B252">
    <cfRule type="expression" dxfId="914" priority="41">
      <formula>B$9&gt;=20/24</formula>
    </cfRule>
  </conditionalFormatting>
  <conditionalFormatting sqref="B53:Y57">
    <cfRule type="expression" dxfId="913" priority="53">
      <formula>B$9&lt;8/24</formula>
    </cfRule>
  </conditionalFormatting>
  <conditionalFormatting sqref="B9:AF10 B11:G52 H12:K52 L13:Y52 B59:D74 E69:AF74 B77:AF99 B101:AF117 B119:AF137 B244:AF244 B246:B252">
    <cfRule type="expression" dxfId="912" priority="43">
      <formula>AND(B$9&gt;=8/24,B$9&lt;14/24)</formula>
    </cfRule>
    <cfRule type="expression" dxfId="911" priority="42">
      <formula>AND(B$9&gt;=14/24,B$9&lt;20/24)</formula>
    </cfRule>
    <cfRule type="expression" dxfId="910" priority="44">
      <formula>B$9&lt;8/24</formula>
    </cfRule>
  </conditionalFormatting>
  <conditionalFormatting sqref="D246:AF252">
    <cfRule type="expression" dxfId="909" priority="131">
      <formula>AND(D$9&gt;=8/24,D$9&lt;14/24)</formula>
    </cfRule>
    <cfRule type="expression" dxfId="908" priority="130">
      <formula>AND(D$9&gt;=14/24,D$9&lt;20/24)</formula>
    </cfRule>
    <cfRule type="expression" dxfId="907" priority="132">
      <formula>D$9&lt;8/24</formula>
    </cfRule>
    <cfRule type="expression" dxfId="906" priority="129">
      <formula>D$9&gt;=20/24</formula>
    </cfRule>
  </conditionalFormatting>
  <conditionalFormatting sqref="E11:G57 B11:D74 H12:K55 L13:Y55 H57 J57:Y57 I57:I61 E58:H58 J58:Z58 AA58:AA61 AB58:AF80 E59:AA74 AG62 B75:AA80 AG80">
    <cfRule type="expression" dxfId="905" priority="40">
      <formula>B11&gt;$AG11</formula>
    </cfRule>
  </conditionalFormatting>
  <conditionalFormatting sqref="E63:K68">
    <cfRule type="expression" dxfId="904" priority="49">
      <formula>E$9&gt;=20/24</formula>
    </cfRule>
    <cfRule type="expression" dxfId="903" priority="50">
      <formula>AND(E$9&gt;=14/24,E$9&lt;20/24)</formula>
    </cfRule>
    <cfRule type="expression" dxfId="902" priority="51">
      <formula>AND(E$9&gt;=8/24,E$9&lt;14/24)</formula>
    </cfRule>
    <cfRule type="expression" dxfId="901" priority="52">
      <formula>E$9&lt;8/24</formula>
    </cfRule>
  </conditionalFormatting>
  <conditionalFormatting sqref="E11:Q11 R11:Y12 Z11:AF52 L12:Q12">
    <cfRule type="expression" dxfId="900" priority="59">
      <formula>E$9&gt;=20/24</formula>
    </cfRule>
    <cfRule type="expression" dxfId="899" priority="58">
      <formula>E11&gt;$AG11</formula>
    </cfRule>
    <cfRule type="expression" dxfId="898" priority="60">
      <formula>AND(E$9&gt;=14/24,E$9&lt;20/24)</formula>
    </cfRule>
    <cfRule type="expression" dxfId="897" priority="61">
      <formula>AND(E$9&gt;=8/24,E$9&lt;14/24)</formula>
    </cfRule>
    <cfRule type="expression" dxfId="896" priority="62">
      <formula>E$9&lt;8/24</formula>
    </cfRule>
  </conditionalFormatting>
  <conditionalFormatting sqref="E59:AF62">
    <cfRule type="expression" dxfId="895" priority="68">
      <formula>AND(E$9&gt;=14/24,E$9&lt;20/24)</formula>
    </cfRule>
    <cfRule type="expression" dxfId="894" priority="69">
      <formula>AND(E$9&gt;=8/24,E$9&lt;14/24)</formula>
    </cfRule>
    <cfRule type="expression" dxfId="893" priority="70">
      <formula>E$9&lt;8/24</formula>
    </cfRule>
    <cfRule type="expression" dxfId="892" priority="67">
      <formula>E$9&gt;=20/24</formula>
    </cfRule>
  </conditionalFormatting>
  <conditionalFormatting sqref="F63:M65">
    <cfRule type="expression" dxfId="891" priority="84">
      <formula>F$9&lt;8/24</formula>
    </cfRule>
    <cfRule type="expression" dxfId="890" priority="83">
      <formula>AND(F$9&gt;=8/24,F$9&lt;14/24)</formula>
    </cfRule>
    <cfRule type="expression" dxfId="889" priority="82">
      <formula>AND(F$9&gt;=14/24,F$9&lt;20/24)</formula>
    </cfRule>
    <cfRule type="expression" dxfId="888" priority="81">
      <formula>F$9&gt;=20/24</formula>
    </cfRule>
  </conditionalFormatting>
  <conditionalFormatting sqref="H56:Y56">
    <cfRule type="expression" dxfId="887" priority="45">
      <formula>H56&gt;$AG56</formula>
    </cfRule>
  </conditionalFormatting>
  <conditionalFormatting sqref="H56:Y57">
    <cfRule type="expression" dxfId="886" priority="46">
      <formula>H$9&gt;=20/24</formula>
    </cfRule>
    <cfRule type="expression" dxfId="885" priority="48">
      <formula>AND(H$9&gt;=8/24,H$9&lt;14/24)</formula>
    </cfRule>
    <cfRule type="expression" dxfId="884" priority="47">
      <formula>AND(H$9&gt;=14/24,H$9&lt;20/24)</formula>
    </cfRule>
  </conditionalFormatting>
  <conditionalFormatting sqref="L68:Y68">
    <cfRule type="expression" dxfId="883" priority="77">
      <formula>L$9&gt;=20/24</formula>
    </cfRule>
    <cfRule type="expression" dxfId="882" priority="80">
      <formula>L$9&lt;8/24</formula>
    </cfRule>
    <cfRule type="expression" dxfId="881" priority="79">
      <formula>AND(L$9&gt;=8/24,L$9&lt;14/24)</formula>
    </cfRule>
    <cfRule type="expression" dxfId="880" priority="78">
      <formula>AND(L$9&gt;=14/24,L$9&lt;20/24)</formula>
    </cfRule>
  </conditionalFormatting>
  <conditionalFormatting sqref="M8 S8 AB8">
    <cfRule type="expression" dxfId="879" priority="138">
      <formula>N$9&lt;8/24</formula>
    </cfRule>
    <cfRule type="expression" dxfId="878" priority="137">
      <formula>AND(N$9&gt;=8/24,N$9&lt;14/24)</formula>
    </cfRule>
    <cfRule type="expression" dxfId="877" priority="136">
      <formula>AND(N$9&gt;=14/24,N$9&lt;20/24)</formula>
    </cfRule>
  </conditionalFormatting>
  <conditionalFormatting sqref="M63:Y67">
    <cfRule type="expression" dxfId="876" priority="85">
      <formula>M$9&gt;=20/24</formula>
    </cfRule>
    <cfRule type="expression" dxfId="875" priority="87">
      <formula>AND(M$9&gt;=8/24,M$9&lt;14/24)</formula>
    </cfRule>
    <cfRule type="expression" dxfId="874" priority="88">
      <formula>M$9&lt;8/24</formula>
    </cfRule>
    <cfRule type="expression" dxfId="873" priority="86">
      <formula>AND(M$9&gt;=14/24,M$9&lt;20/24)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872" priority="135">
      <formula>N$9&gt;=20/24</formula>
    </cfRule>
  </conditionalFormatting>
  <conditionalFormatting sqref="S8">
    <cfRule type="expression" dxfId="871" priority="122">
      <formula>U$9&gt;=20/24</formula>
    </cfRule>
    <cfRule type="expression" dxfId="870" priority="123">
      <formula>AND(U$9&gt;=14/24,U$9&lt;20/24)</formula>
    </cfRule>
    <cfRule type="expression" dxfId="869" priority="124">
      <formula>AND(U$9&gt;=8/24,U$9&lt;14/24)</formula>
    </cfRule>
    <cfRule type="expression" dxfId="868" priority="125">
      <formula>U$9&lt;8/24</formula>
    </cfRule>
  </conditionalFormatting>
  <conditionalFormatting sqref="T63:AF68">
    <cfRule type="expression" dxfId="867" priority="74">
      <formula>T$9&lt;8/24</formula>
    </cfRule>
    <cfRule type="expression" dxfId="866" priority="73">
      <formula>AND(T$9&gt;=8/24,T$9&lt;14/24)</formula>
    </cfRule>
    <cfRule type="expression" dxfId="865" priority="72">
      <formula>AND(T$9&gt;=14/24,T$9&lt;20/24)</formula>
    </cfRule>
    <cfRule type="expression" dxfId="864" priority="71">
      <formula>T$9&gt;=20/24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Z53:AF54 H53:Y55 B53:G57">
    <cfRule type="expression" dxfId="863" priority="37">
      <formula>B$9&gt;=20/24</formula>
    </cfRule>
    <cfRule type="expression" dxfId="862" priority="38">
      <formula>AND(B$9&gt;=14/24,B$9&lt;20/24)</formula>
    </cfRule>
    <cfRule type="expression" dxfId="861" priority="39">
      <formula>AND(B$9&gt;=8/24,B$9&lt;14/24)</formula>
    </cfRule>
  </conditionalFormatting>
  <conditionalFormatting sqref="Z53:AF55">
    <cfRule type="expression" dxfId="860" priority="76">
      <formula>Z53&gt;$AG53</formula>
    </cfRule>
  </conditionalFormatting>
  <conditionalFormatting sqref="Z53:AF57">
    <cfRule type="expression" dxfId="859" priority="75">
      <formula>Z$9&lt;8/24</formula>
    </cfRule>
  </conditionalFormatting>
  <conditionalFormatting sqref="Z55:AF57">
    <cfRule type="expression" dxfId="858" priority="66">
      <formula>AND(Z$9&gt;=8/24,Z$9&lt;14/24)</formula>
    </cfRule>
    <cfRule type="expression" dxfId="857" priority="65">
      <formula>AND(Z$9&gt;=14/24,Z$9&lt;20/24)</formula>
    </cfRule>
    <cfRule type="expression" dxfId="856" priority="64">
      <formula>Z$9&gt;=20/24</formula>
    </cfRule>
  </conditionalFormatting>
  <conditionalFormatting sqref="Z56:AF57">
    <cfRule type="expression" dxfId="855" priority="63">
      <formula>Z56&gt;$AG56</formula>
    </cfRule>
  </conditionalFormatting>
  <conditionalFormatting sqref="AB8">
    <cfRule type="expression" dxfId="854" priority="118">
      <formula>AD$9&gt;=20/24</formula>
    </cfRule>
    <cfRule type="expression" dxfId="853" priority="121">
      <formula>AD$9&lt;8/24</formula>
    </cfRule>
    <cfRule type="expression" dxfId="852" priority="120">
      <formula>AND(AD$9&gt;=8/24,AD$9&lt;14/24)</formula>
    </cfRule>
    <cfRule type="expression" dxfId="851" priority="119">
      <formula>AND(AD$9&gt;=14/24,AD$9&lt;20/24)</formula>
    </cfRule>
  </conditionalFormatting>
  <conditionalFormatting sqref="AG58">
    <cfRule type="expression" dxfId="850" priority="113">
      <formula>AG58&gt;$AG58</formula>
    </cfRule>
  </conditionalFormatting>
  <conditionalFormatting sqref="AG62">
    <cfRule type="expression" dxfId="849" priority="97">
      <formula>AND(AG$9&gt;=14/24,AG$9&lt;20/24)</formula>
    </cfRule>
    <cfRule type="expression" dxfId="848" priority="99">
      <formula>AG$9&lt;8/24</formula>
    </cfRule>
    <cfRule type="expression" dxfId="847" priority="98">
      <formula>AND(AG$9&gt;=8/24,AG$9&lt;14/24)</formula>
    </cfRule>
    <cfRule type="expression" dxfId="846" priority="96">
      <formula>AG$9&gt;=20/24</formula>
    </cfRule>
  </conditionalFormatting>
  <conditionalFormatting sqref="AG75:AG76">
    <cfRule type="expression" dxfId="845" priority="91">
      <formula>AG75&gt;$AG75</formula>
    </cfRule>
  </conditionalFormatting>
  <conditionalFormatting sqref="AG80">
    <cfRule type="expression" dxfId="844" priority="92">
      <formula>AG$9&gt;=20/24</formula>
    </cfRule>
    <cfRule type="expression" dxfId="843" priority="93">
      <formula>AND(AG$9&gt;=14/24,AG$9&lt;20/24)</formula>
    </cfRule>
    <cfRule type="expression" dxfId="842" priority="94">
      <formula>AND(AG$9&gt;=8/24,AG$9&lt;14/24)</formula>
    </cfRule>
    <cfRule type="expression" dxfId="841" priority="95">
      <formula>AG$9&lt;8/24</formula>
    </cfRule>
  </conditionalFormatting>
  <conditionalFormatting sqref="AG97">
    <cfRule type="expression" dxfId="840" priority="117">
      <formula>AG$9&lt;8/24</formula>
    </cfRule>
    <cfRule type="expression" dxfId="839" priority="116">
      <formula>AND(AG$9&gt;=8/24,AG$9&lt;14/24)</formula>
    </cfRule>
    <cfRule type="expression" dxfId="838" priority="115">
      <formula>AND(AG$9&gt;=14/24,AG$9&lt;20/24)</formula>
    </cfRule>
    <cfRule type="expression" dxfId="837" priority="114">
      <formula>AG$9&gt;=20/24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836" priority="141">
      <formula>AND(AJ$9&gt;=8/24,AJ$9&lt;14/24)</formula>
    </cfRule>
    <cfRule type="expression" dxfId="835" priority="142">
      <formula>AJ$9&lt;8/24</formula>
    </cfRule>
    <cfRule type="expression" dxfId="834" priority="140">
      <formula>AND(AJ$9&gt;=14/24,AJ$9&lt;20/24)</formula>
    </cfRule>
    <cfRule type="expression" dxfId="833" priority="139">
      <formula>AJ$9&gt;=20/24</formula>
    </cfRule>
  </conditionalFormatting>
  <conditionalFormatting sqref="AL88:AN88 AL94:AN94">
    <cfRule type="expression" dxfId="832" priority="107">
      <formula>AND(AL$9&gt;=14/24,AL$9&lt;20/24)</formula>
    </cfRule>
    <cfRule type="expression" dxfId="831" priority="108">
      <formula>AND(AL$9&gt;=8/24,AL$9&lt;14/24)</formula>
    </cfRule>
    <cfRule type="expression" dxfId="830" priority="109">
      <formula>AL$9&lt;8/24</formula>
    </cfRule>
    <cfRule type="expression" dxfId="829" priority="106">
      <formula>AL$9&gt;=20/24</formula>
    </cfRule>
  </conditionalFormatting>
  <conditionalFormatting sqref="AM15:AM21 AN16:AR21">
    <cfRule type="expression" dxfId="828" priority="13">
      <formula>AX$9&gt;=20/24</formula>
    </cfRule>
    <cfRule type="expression" dxfId="827" priority="15">
      <formula>AND(AX$9&gt;=8/24,AX$9&lt;14/24)</formula>
    </cfRule>
    <cfRule type="expression" dxfId="826" priority="16">
      <formula>AX$9&lt;8/24</formula>
    </cfRule>
    <cfRule type="expression" dxfId="825" priority="14">
      <formula>AND(AX$9&gt;=14/24,AX$9&lt;20/24)</formula>
    </cfRule>
  </conditionalFormatting>
  <conditionalFormatting sqref="AN89:AN92">
    <cfRule type="expression" dxfId="824" priority="102">
      <formula>AN$9&gt;=20/24</formula>
    </cfRule>
    <cfRule type="expression" dxfId="823" priority="105">
      <formula>AN$9&lt;8/24</formula>
    </cfRule>
    <cfRule type="expression" dxfId="822" priority="104">
      <formula>AND(AN$9&gt;=8/24,AN$9&lt;14/24)</formula>
    </cfRule>
    <cfRule type="expression" dxfId="821" priority="103">
      <formula>AND(AN$9&gt;=14/24,AN$9&lt;20/24)</formula>
    </cfRule>
  </conditionalFormatting>
  <conditionalFormatting sqref="AN15:AR15">
    <cfRule type="expression" dxfId="820" priority="3">
      <formula>AND(U$9&gt;=8/24,U$9&lt;14/24)</formula>
    </cfRule>
    <cfRule type="expression" dxfId="819" priority="4">
      <formula>U$9&lt;8/24</formula>
    </cfRule>
    <cfRule type="expression" dxfId="818" priority="1">
      <formula>U$9&gt;=20/24</formula>
    </cfRule>
    <cfRule type="expression" dxfId="817" priority="2">
      <formula>AND(U$9&gt;=14/24,U$9&lt;20/24)</formula>
    </cfRule>
  </conditionalFormatting>
  <conditionalFormatting sqref="AS15">
    <cfRule type="expression" dxfId="816" priority="9">
      <formula>AA$9&gt;=20/24</formula>
    </cfRule>
    <cfRule type="expression" dxfId="815" priority="12">
      <formula>AA$9&lt;8/24</formula>
    </cfRule>
    <cfRule type="expression" dxfId="814" priority="11">
      <formula>AND(AA$9&gt;=8/24,AA$9&lt;14/24)</formula>
    </cfRule>
    <cfRule type="expression" dxfId="813" priority="10">
      <formula>AND(AA$9&gt;=14/24,AA$9&lt;20/24)</formula>
    </cfRule>
  </conditionalFormatting>
  <conditionalFormatting sqref="AS16:AS21">
    <cfRule type="expression" dxfId="812" priority="18">
      <formula>AND(BE$9&gt;=14/24,BE$9&lt;20/24)</formula>
    </cfRule>
    <cfRule type="expression" dxfId="811" priority="20">
      <formula>BE$9&lt;8/24</formula>
    </cfRule>
    <cfRule type="expression" dxfId="810" priority="19">
      <formula>AND(BE$9&gt;=8/24,BE$9&lt;14/24)</formula>
    </cfRule>
    <cfRule type="expression" dxfId="809" priority="17">
      <formula>BE$9&gt;=20/24</formula>
    </cfRule>
  </conditionalFormatting>
  <conditionalFormatting sqref="AT15 AX15:BJ15">
    <cfRule type="expression" dxfId="808" priority="23">
      <formula>AND(AC$9&gt;=8/24,AC$9&lt;14/24)</formula>
    </cfRule>
    <cfRule type="expression" dxfId="807" priority="21">
      <formula>AC$9&gt;=20/24</formula>
    </cfRule>
    <cfRule type="expression" dxfId="806" priority="24">
      <formula>AC$9&lt;8/24</formula>
    </cfRule>
    <cfRule type="expression" dxfId="805" priority="22">
      <formula>AND(AC$9&gt;=14/24,AC$9&lt;20/24)</formula>
    </cfRule>
  </conditionalFormatting>
  <conditionalFormatting sqref="AT16:AT21">
    <cfRule type="expression" dxfId="804" priority="26">
      <formula>AND(BG$9&gt;=14/24,BG$9&lt;20/24)</formula>
    </cfRule>
    <cfRule type="expression" dxfId="803" priority="25">
      <formula>BG$9&gt;=20/24</formula>
    </cfRule>
    <cfRule type="expression" dxfId="802" priority="28">
      <formula>BG$9&lt;8/24</formula>
    </cfRule>
    <cfRule type="expression" dxfId="801" priority="27">
      <formula>AND(BG$9&gt;=8/24,BG$9&lt;14/24)</formula>
    </cfRule>
  </conditionalFormatting>
  <conditionalFormatting sqref="AU15:AV15">
    <cfRule type="expression" dxfId="800" priority="31">
      <formula>AND(AE$9&gt;=8/24,AE$9&lt;14/24)</formula>
    </cfRule>
    <cfRule type="expression" dxfId="799" priority="32">
      <formula>AE$9&lt;8/24</formula>
    </cfRule>
    <cfRule type="expression" dxfId="798" priority="30">
      <formula>AND(AE$9&gt;=14/24,AE$9&lt;20/24)</formula>
    </cfRule>
    <cfRule type="expression" dxfId="797" priority="29">
      <formula>AE$9&gt;=20/24</formula>
    </cfRule>
  </conditionalFormatting>
  <conditionalFormatting sqref="AU16:BJ21">
    <cfRule type="expression" dxfId="796" priority="36">
      <formula>BI$9&lt;8/24</formula>
    </cfRule>
    <cfRule type="expression" dxfId="795" priority="34">
      <formula>AND(BI$9&gt;=14/24,BI$9&lt;20/24)</formula>
    </cfRule>
    <cfRule type="expression" dxfId="794" priority="33">
      <formula>BI$9&gt;=20/24</formula>
    </cfRule>
    <cfRule type="expression" dxfId="793" priority="35">
      <formula>AND(BI$9&gt;=8/24,BI$9&lt;14/24)</formula>
    </cfRule>
  </conditionalFormatting>
  <conditionalFormatting sqref="AW15">
    <cfRule type="expression" dxfId="792" priority="5">
      <formula>B$9&gt;=20/24</formula>
    </cfRule>
    <cfRule type="expression" dxfId="791" priority="6">
      <formula>AND(B$9&gt;=14/24,B$9&lt;20/24)</formula>
    </cfRule>
    <cfRule type="expression" dxfId="790" priority="7">
      <formula>AND(B$9&gt;=8/24,B$9&lt;14/24)</formula>
    </cfRule>
    <cfRule type="expression" dxfId="789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D3536-B570-4999-8F05-E5C952AF1BF5}">
  <dimension ref="A1:CJ294"/>
  <sheetViews>
    <sheetView zoomScale="120" zoomScaleNormal="120" workbookViewId="0">
      <pane xSplit="1" ySplit="10" topLeftCell="B11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BG84" sqref="BG84:BL107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.1406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20.25" hidden="1" x14ac:dyDescent="0.2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9.5" hidden="1" thickBot="1" x14ac:dyDescent="0.3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3">
      <c r="A4" s="162" t="s">
        <v>273</v>
      </c>
      <c r="B4" s="205" t="str">
        <f ca="1">"2080/"&amp;"10/"&amp;INT(MID(CELL("filename",D6),FIND("]",CELL("filename",D6))+1,200))</f>
        <v>2080/10/27</v>
      </c>
      <c r="C4" s="205"/>
      <c r="D4" s="205"/>
      <c r="E4" s="206" t="str">
        <f ca="1">"2080/"&amp;"10/"&amp;INT(MID(CELL("filename",G6),FIND("]",CELL("filename",G6))+1,200))</f>
        <v>2080/10/27</v>
      </c>
      <c r="F4" s="206"/>
      <c r="G4" s="206"/>
      <c r="H4" s="206" t="str">
        <f ca="1">TEXT(E4,"dddd")</f>
        <v>Sunday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3">
      <c r="A5" s="158"/>
      <c r="B5" s="161">
        <f t="shared" ref="B5:AE5" si="0">C92</f>
        <v>58</v>
      </c>
      <c r="C5" s="161">
        <f t="shared" si="0"/>
        <v>135.4</v>
      </c>
      <c r="D5" s="161">
        <f t="shared" si="0"/>
        <v>170.70000000000002</v>
      </c>
      <c r="E5" s="161">
        <f t="shared" si="0"/>
        <v>201.39999999999998</v>
      </c>
      <c r="F5" s="161">
        <f t="shared" si="0"/>
        <v>225.8</v>
      </c>
      <c r="G5" s="161">
        <f t="shared" si="0"/>
        <v>246.9</v>
      </c>
      <c r="H5" s="161">
        <f t="shared" si="0"/>
        <v>322.10000000000002</v>
      </c>
      <c r="I5" s="161">
        <f t="shared" si="0"/>
        <v>647.30000000000007</v>
      </c>
      <c r="J5" s="161">
        <f t="shared" si="0"/>
        <v>771.7</v>
      </c>
      <c r="K5" s="161">
        <f t="shared" si="0"/>
        <v>788.10000000000014</v>
      </c>
      <c r="L5" s="161">
        <f t="shared" si="0"/>
        <v>794.2</v>
      </c>
      <c r="M5" s="161">
        <f t="shared" si="0"/>
        <v>793.3</v>
      </c>
      <c r="N5" s="161">
        <f t="shared" si="0"/>
        <v>832.1</v>
      </c>
      <c r="O5" s="161">
        <f t="shared" si="0"/>
        <v>801.00000000000011</v>
      </c>
      <c r="P5" s="161">
        <f t="shared" si="0"/>
        <v>799.1</v>
      </c>
      <c r="Q5" s="161">
        <f t="shared" si="0"/>
        <v>790.8</v>
      </c>
      <c r="R5" s="161">
        <f t="shared" si="0"/>
        <v>778.8</v>
      </c>
      <c r="S5" s="161">
        <f t="shared" si="0"/>
        <v>752.3</v>
      </c>
      <c r="T5" s="161">
        <f t="shared" si="0"/>
        <v>790.6</v>
      </c>
      <c r="U5" s="161">
        <f t="shared" si="0"/>
        <v>744</v>
      </c>
      <c r="V5" s="161">
        <f t="shared" si="0"/>
        <v>744</v>
      </c>
      <c r="W5" s="161">
        <f t="shared" si="0"/>
        <v>645</v>
      </c>
      <c r="X5" s="161">
        <f t="shared" si="0"/>
        <v>183</v>
      </c>
      <c r="Y5" s="161">
        <f t="shared" si="0"/>
        <v>164.2</v>
      </c>
      <c r="Z5" s="161">
        <f t="shared" si="0"/>
        <v>203.10000000000002</v>
      </c>
      <c r="AA5" s="161">
        <f t="shared" si="0"/>
        <v>252</v>
      </c>
      <c r="AB5" s="161">
        <f t="shared" si="0"/>
        <v>258.3</v>
      </c>
      <c r="AC5" s="161">
        <f t="shared" si="0"/>
        <v>261.5</v>
      </c>
      <c r="AD5" s="161">
        <f t="shared" si="0"/>
        <v>65.2</v>
      </c>
      <c r="AE5" s="161">
        <f t="shared" si="0"/>
        <v>61</v>
      </c>
      <c r="AF5" s="161">
        <f>B92</f>
        <v>58.7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3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1632MW at 8:00hr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5" thickBot="1" x14ac:dyDescent="0.3">
      <c r="A7" s="151" t="str">
        <f>"Base Load="&amp;ROUND(MIN($B$7:$AF$7),0)</f>
        <v>Base Load=1235</v>
      </c>
      <c r="B7" s="150">
        <f t="shared" ref="B7:AF7" si="1">B100</f>
        <v>1261.6400000000001</v>
      </c>
      <c r="C7" s="150">
        <f t="shared" si="1"/>
        <v>1245.04</v>
      </c>
      <c r="D7" s="150">
        <f t="shared" si="1"/>
        <v>1248.6400000000001</v>
      </c>
      <c r="E7" s="150">
        <f t="shared" si="1"/>
        <v>1235.3400000000001</v>
      </c>
      <c r="F7" s="150">
        <f t="shared" si="1"/>
        <v>1238.6400000000001</v>
      </c>
      <c r="G7" s="150">
        <f t="shared" si="1"/>
        <v>1262.0400000000002</v>
      </c>
      <c r="H7" s="150">
        <f t="shared" si="1"/>
        <v>1329.14</v>
      </c>
      <c r="I7" s="150">
        <f t="shared" si="1"/>
        <v>1445.64</v>
      </c>
      <c r="J7" s="150">
        <f t="shared" si="1"/>
        <v>1425.2400000000002</v>
      </c>
      <c r="K7" s="150">
        <f t="shared" si="1"/>
        <v>1559.54</v>
      </c>
      <c r="L7" s="150">
        <f t="shared" si="1"/>
        <v>1626.3400000000001</v>
      </c>
      <c r="M7" s="150">
        <f t="shared" si="1"/>
        <v>1631.94</v>
      </c>
      <c r="N7" s="150">
        <f t="shared" si="1"/>
        <v>1591.3400000000001</v>
      </c>
      <c r="O7" s="150">
        <f t="shared" si="1"/>
        <v>1636.2400000000002</v>
      </c>
      <c r="P7" s="150">
        <f t="shared" si="1"/>
        <v>1614.94</v>
      </c>
      <c r="Q7" s="150">
        <f t="shared" si="1"/>
        <v>1596.7400000000002</v>
      </c>
      <c r="R7" s="150">
        <f t="shared" si="1"/>
        <v>1579.3400000000001</v>
      </c>
      <c r="S7" s="150">
        <f t="shared" si="1"/>
        <v>1596.4</v>
      </c>
      <c r="T7" s="150">
        <f t="shared" si="1"/>
        <v>1591.74</v>
      </c>
      <c r="U7" s="150">
        <f t="shared" si="1"/>
        <v>1590.04</v>
      </c>
      <c r="V7" s="150">
        <f t="shared" si="1"/>
        <v>1586.44</v>
      </c>
      <c r="W7" s="150">
        <f t="shared" si="1"/>
        <v>1585.44</v>
      </c>
      <c r="X7" s="150">
        <f t="shared" si="1"/>
        <v>1464.54</v>
      </c>
      <c r="Y7" s="150">
        <f t="shared" si="1"/>
        <v>1631.2</v>
      </c>
      <c r="Z7" s="150">
        <f>Z100</f>
        <v>1751.2</v>
      </c>
      <c r="AA7" s="150">
        <f t="shared" si="1"/>
        <v>1747.54</v>
      </c>
      <c r="AB7" s="150">
        <f t="shared" si="1"/>
        <v>1645.64</v>
      </c>
      <c r="AC7" s="150">
        <f t="shared" si="1"/>
        <v>1563.04</v>
      </c>
      <c r="AD7" s="150">
        <f t="shared" si="1"/>
        <v>1528.54</v>
      </c>
      <c r="AE7" s="150">
        <f t="shared" si="1"/>
        <v>1464.44</v>
      </c>
      <c r="AF7" s="150">
        <f t="shared" si="1"/>
        <v>1407.04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7.25" thickTop="1" thickBot="1" x14ac:dyDescent="0.3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1751.2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2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1751.2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.75" thickBot="1" x14ac:dyDescent="0.3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25">
      <c r="A11" s="89" t="s">
        <v>264</v>
      </c>
      <c r="B11" s="102">
        <v>21.2</v>
      </c>
      <c r="C11" s="102">
        <v>21.2</v>
      </c>
      <c r="D11" s="102">
        <v>21.2</v>
      </c>
      <c r="E11" s="102">
        <v>21.2</v>
      </c>
      <c r="F11" s="102">
        <v>21.2</v>
      </c>
      <c r="G11" s="102">
        <v>21.2</v>
      </c>
      <c r="H11" s="102">
        <v>21.2</v>
      </c>
      <c r="I11" s="102">
        <v>21.2</v>
      </c>
      <c r="J11" s="102">
        <v>21.2</v>
      </c>
      <c r="K11" s="102">
        <v>21.2</v>
      </c>
      <c r="L11" s="102">
        <v>21.2</v>
      </c>
      <c r="M11" s="102">
        <v>21.2</v>
      </c>
      <c r="N11" s="102">
        <v>21.2</v>
      </c>
      <c r="O11" s="102">
        <v>21.2</v>
      </c>
      <c r="P11" s="102">
        <v>21.2</v>
      </c>
      <c r="Q11" s="102">
        <v>21.2</v>
      </c>
      <c r="R11" s="102">
        <v>21.2</v>
      </c>
      <c r="S11" s="102">
        <v>25</v>
      </c>
      <c r="T11" s="102">
        <v>25.9</v>
      </c>
      <c r="U11" s="102">
        <v>25.9</v>
      </c>
      <c r="V11" s="102">
        <v>25.9</v>
      </c>
      <c r="W11" s="102">
        <v>25.9</v>
      </c>
      <c r="X11" s="102">
        <v>25.9</v>
      </c>
      <c r="Y11" s="102">
        <v>25.9</v>
      </c>
      <c r="Z11" s="102">
        <v>25.9</v>
      </c>
      <c r="AA11" s="102">
        <v>24.5</v>
      </c>
      <c r="AB11" s="102">
        <v>24.5</v>
      </c>
      <c r="AC11" s="102">
        <v>25.2</v>
      </c>
      <c r="AD11" s="102">
        <v>25.2</v>
      </c>
      <c r="AE11" s="102">
        <v>22.5</v>
      </c>
      <c r="AF11" s="102">
        <v>22.2</v>
      </c>
      <c r="AG11" s="140">
        <v>86</v>
      </c>
      <c r="AH11" s="12">
        <f t="shared" ref="AH11:AH16" si="2">MAX(B11:AF11)</f>
        <v>25.9</v>
      </c>
      <c r="AI11" s="11">
        <f t="shared" ref="AI11:AI16" si="3">MIN(B11:AF11)</f>
        <v>21.2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25">
      <c r="A12" s="89" t="s">
        <v>263</v>
      </c>
      <c r="B12" s="102">
        <v>8.6</v>
      </c>
      <c r="C12" s="102">
        <v>8.6</v>
      </c>
      <c r="D12" s="102">
        <v>8.6</v>
      </c>
      <c r="E12" s="102">
        <v>8.6</v>
      </c>
      <c r="F12" s="102">
        <v>8.6</v>
      </c>
      <c r="G12" s="102">
        <v>8.6</v>
      </c>
      <c r="H12" s="102">
        <v>8.6</v>
      </c>
      <c r="I12" s="102">
        <v>8.6</v>
      </c>
      <c r="J12" s="102">
        <v>8.6</v>
      </c>
      <c r="K12" s="102">
        <v>8.6</v>
      </c>
      <c r="L12" s="102">
        <v>8.6</v>
      </c>
      <c r="M12" s="102">
        <v>8.6</v>
      </c>
      <c r="N12" s="102">
        <v>8.6</v>
      </c>
      <c r="O12" s="102">
        <v>8.6</v>
      </c>
      <c r="P12" s="102">
        <v>8.6</v>
      </c>
      <c r="Q12" s="102">
        <v>8.6</v>
      </c>
      <c r="R12" s="102">
        <v>8.6</v>
      </c>
      <c r="S12" s="102">
        <v>8.6</v>
      </c>
      <c r="T12" s="102">
        <v>8.6</v>
      </c>
      <c r="U12" s="102">
        <v>8.6</v>
      </c>
      <c r="V12" s="102">
        <v>8.6</v>
      </c>
      <c r="W12" s="102">
        <v>8.6</v>
      </c>
      <c r="X12" s="102">
        <v>8.6</v>
      </c>
      <c r="Y12" s="102">
        <v>8.6</v>
      </c>
      <c r="Z12" s="102">
        <v>8.6</v>
      </c>
      <c r="AA12" s="102">
        <v>8.6</v>
      </c>
      <c r="AB12" s="102">
        <v>8.6</v>
      </c>
      <c r="AC12" s="102">
        <v>8.6</v>
      </c>
      <c r="AD12" s="102">
        <v>8.6</v>
      </c>
      <c r="AE12" s="102">
        <v>8.6</v>
      </c>
      <c r="AF12" s="102">
        <v>8.6</v>
      </c>
      <c r="AG12" s="130">
        <v>54</v>
      </c>
      <c r="AH12" s="12">
        <f t="shared" si="2"/>
        <v>8.6</v>
      </c>
      <c r="AI12" s="11">
        <f t="shared" si="3"/>
        <v>8.6</v>
      </c>
      <c r="AK12" s="19"/>
      <c r="AL12" s="6" t="str">
        <f ca="1">MID(CELL("filename",C7),FIND("]",CELL("filename",C7))+1,600)</f>
        <v>27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25">
      <c r="A13" s="89" t="s">
        <v>262</v>
      </c>
      <c r="B13" s="102">
        <v>14.2</v>
      </c>
      <c r="C13" s="102">
        <v>14.2</v>
      </c>
      <c r="D13" s="102">
        <v>14.2</v>
      </c>
      <c r="E13" s="102">
        <v>14.2</v>
      </c>
      <c r="F13" s="102">
        <v>14.2</v>
      </c>
      <c r="G13" s="102">
        <v>14.2</v>
      </c>
      <c r="H13" s="102">
        <v>14.2</v>
      </c>
      <c r="I13" s="102">
        <v>14.2</v>
      </c>
      <c r="J13" s="102">
        <v>14.2</v>
      </c>
      <c r="K13" s="102">
        <v>14.2</v>
      </c>
      <c r="L13" s="102">
        <v>14.2</v>
      </c>
      <c r="M13" s="102">
        <v>14.2</v>
      </c>
      <c r="N13" s="102">
        <v>14.2</v>
      </c>
      <c r="O13" s="102">
        <v>14.2</v>
      </c>
      <c r="P13" s="102">
        <v>14.2</v>
      </c>
      <c r="Q13" s="102">
        <v>14.2</v>
      </c>
      <c r="R13" s="102">
        <v>14.2</v>
      </c>
      <c r="S13" s="102">
        <v>14.2</v>
      </c>
      <c r="T13" s="102">
        <v>14.2</v>
      </c>
      <c r="U13" s="102">
        <v>14.2</v>
      </c>
      <c r="V13" s="102">
        <v>14.2</v>
      </c>
      <c r="W13" s="102">
        <v>14.2</v>
      </c>
      <c r="X13" s="102">
        <v>14.2</v>
      </c>
      <c r="Y13" s="102">
        <v>14.2</v>
      </c>
      <c r="Z13" s="102">
        <v>15.4</v>
      </c>
      <c r="AA13" s="102">
        <v>15.4</v>
      </c>
      <c r="AB13" s="102">
        <v>15.4</v>
      </c>
      <c r="AC13" s="102">
        <v>15.4</v>
      </c>
      <c r="AD13" s="102">
        <v>15.4</v>
      </c>
      <c r="AE13" s="102">
        <v>15.4</v>
      </c>
      <c r="AF13" s="102">
        <v>15.4</v>
      </c>
      <c r="AG13" s="130">
        <v>54</v>
      </c>
      <c r="AH13" s="12">
        <f t="shared" si="2"/>
        <v>15.4</v>
      </c>
      <c r="AI13" s="11">
        <f t="shared" si="3"/>
        <v>14.2</v>
      </c>
      <c r="AK13" s="19"/>
      <c r="AL13" s="6" t="str">
        <f ca="1">"Daily Load Curve(Excluding of Export) of Nepal ("&amp;A4&amp;" "&amp;B4&amp;")"</f>
        <v>Daily Load Curve(Excluding of Export) of Nepal (Nepali Date: 2080/10/27)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.75" thickBot="1" x14ac:dyDescent="0.3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.75" thickTop="1" x14ac:dyDescent="0.25">
      <c r="A15" s="89" t="s">
        <v>260</v>
      </c>
      <c r="B15" s="102">
        <v>46</v>
      </c>
      <c r="C15" s="102">
        <v>46</v>
      </c>
      <c r="D15" s="102">
        <v>46</v>
      </c>
      <c r="E15" s="102">
        <v>46</v>
      </c>
      <c r="F15" s="102">
        <v>46</v>
      </c>
      <c r="G15" s="102">
        <v>46</v>
      </c>
      <c r="H15" s="102">
        <v>46</v>
      </c>
      <c r="I15" s="102">
        <v>46</v>
      </c>
      <c r="J15" s="102">
        <v>46</v>
      </c>
      <c r="K15" s="102">
        <v>46</v>
      </c>
      <c r="L15" s="102">
        <v>46</v>
      </c>
      <c r="M15" s="102">
        <v>46</v>
      </c>
      <c r="N15" s="102">
        <v>46</v>
      </c>
      <c r="O15" s="102">
        <v>46</v>
      </c>
      <c r="P15" s="102">
        <v>46</v>
      </c>
      <c r="Q15" s="102">
        <v>46</v>
      </c>
      <c r="R15" s="102">
        <v>46</v>
      </c>
      <c r="S15" s="102">
        <v>46</v>
      </c>
      <c r="T15" s="102">
        <v>46</v>
      </c>
      <c r="U15" s="102">
        <v>46</v>
      </c>
      <c r="V15" s="102">
        <v>46</v>
      </c>
      <c r="W15" s="102">
        <v>46</v>
      </c>
      <c r="X15" s="102">
        <v>46</v>
      </c>
      <c r="Y15" s="102">
        <v>46</v>
      </c>
      <c r="Z15" s="123">
        <v>40.1</v>
      </c>
      <c r="AA15" s="123">
        <v>40.1</v>
      </c>
      <c r="AB15" s="123">
        <v>40.1</v>
      </c>
      <c r="AC15" s="123">
        <v>40.1</v>
      </c>
      <c r="AD15" s="123">
        <v>40.1</v>
      </c>
      <c r="AE15" s="123">
        <v>40.1</v>
      </c>
      <c r="AF15" s="123">
        <v>40.1</v>
      </c>
      <c r="AG15" s="130">
        <v>50</v>
      </c>
      <c r="AH15" s="12">
        <f t="shared" si="2"/>
        <v>46</v>
      </c>
      <c r="AI15" s="11">
        <f t="shared" si="3"/>
        <v>40.1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25">
      <c r="A16" s="89" t="s">
        <v>258</v>
      </c>
      <c r="B16" s="102">
        <v>16</v>
      </c>
      <c r="C16" s="102">
        <v>16</v>
      </c>
      <c r="D16" s="102">
        <v>16</v>
      </c>
      <c r="E16" s="102">
        <v>16</v>
      </c>
      <c r="F16" s="102">
        <v>16</v>
      </c>
      <c r="G16" s="102">
        <v>16</v>
      </c>
      <c r="H16" s="102">
        <v>16</v>
      </c>
      <c r="I16" s="102">
        <v>16</v>
      </c>
      <c r="J16" s="102">
        <v>16</v>
      </c>
      <c r="K16" s="102">
        <v>16</v>
      </c>
      <c r="L16" s="102">
        <v>16</v>
      </c>
      <c r="M16" s="102">
        <v>16</v>
      </c>
      <c r="N16" s="102">
        <v>16</v>
      </c>
      <c r="O16" s="102">
        <v>16</v>
      </c>
      <c r="P16" s="102">
        <v>16</v>
      </c>
      <c r="Q16" s="102">
        <v>16</v>
      </c>
      <c r="R16" s="102">
        <v>16</v>
      </c>
      <c r="S16" s="102">
        <v>16</v>
      </c>
      <c r="T16" s="102">
        <v>16</v>
      </c>
      <c r="U16" s="102">
        <v>16</v>
      </c>
      <c r="V16" s="102">
        <v>16</v>
      </c>
      <c r="W16" s="102">
        <v>16</v>
      </c>
      <c r="X16" s="102">
        <v>16</v>
      </c>
      <c r="Y16" s="102">
        <v>16</v>
      </c>
      <c r="Z16" s="102">
        <v>16</v>
      </c>
      <c r="AA16" s="102">
        <v>16</v>
      </c>
      <c r="AB16" s="102">
        <v>16</v>
      </c>
      <c r="AC16" s="102">
        <v>16</v>
      </c>
      <c r="AD16" s="102">
        <v>16</v>
      </c>
      <c r="AE16" s="102">
        <v>16</v>
      </c>
      <c r="AF16" s="102">
        <v>16</v>
      </c>
      <c r="AG16" s="130">
        <v>45</v>
      </c>
      <c r="AH16" s="12">
        <f t="shared" si="2"/>
        <v>16</v>
      </c>
      <c r="AI16" s="11">
        <f t="shared" si="3"/>
        <v>16</v>
      </c>
      <c r="AK16" s="19"/>
      <c r="AL16" s="135" t="s">
        <v>7</v>
      </c>
      <c r="AM16" s="134">
        <f t="shared" ref="AM16:AR16" si="4">B58</f>
        <v>498.40000000000009</v>
      </c>
      <c r="AN16" s="134">
        <f t="shared" si="4"/>
        <v>498.40000000000009</v>
      </c>
      <c r="AO16" s="134">
        <f t="shared" si="4"/>
        <v>498.40000000000009</v>
      </c>
      <c r="AP16" s="134">
        <f t="shared" si="4"/>
        <v>498.40000000000009</v>
      </c>
      <c r="AQ16" s="134">
        <f t="shared" si="4"/>
        <v>498.40000000000009</v>
      </c>
      <c r="AR16" s="134">
        <f t="shared" si="4"/>
        <v>498.40000000000009</v>
      </c>
      <c r="AS16" s="134">
        <f>I58</f>
        <v>498.40000000000009</v>
      </c>
      <c r="AT16" s="134">
        <f>K58</f>
        <v>498.40000000000009</v>
      </c>
      <c r="AU16" s="134">
        <f t="shared" ref="AU16:BD16" si="5">M58</f>
        <v>498.40000000000009</v>
      </c>
      <c r="AV16" s="134">
        <f t="shared" si="5"/>
        <v>498.40000000000009</v>
      </c>
      <c r="AW16" s="134">
        <f t="shared" si="5"/>
        <v>498.40000000000009</v>
      </c>
      <c r="AX16" s="134">
        <f t="shared" si="5"/>
        <v>498.40000000000009</v>
      </c>
      <c r="AY16" s="134">
        <f t="shared" si="5"/>
        <v>498.40000000000009</v>
      </c>
      <c r="AZ16" s="134">
        <f t="shared" si="5"/>
        <v>498.40000000000009</v>
      </c>
      <c r="BA16" s="134">
        <f t="shared" si="5"/>
        <v>502.20000000000005</v>
      </c>
      <c r="BB16" s="134">
        <f t="shared" si="5"/>
        <v>503.1</v>
      </c>
      <c r="BC16" s="134">
        <f t="shared" si="5"/>
        <v>503.1</v>
      </c>
      <c r="BD16" s="134">
        <f t="shared" si="5"/>
        <v>503.1</v>
      </c>
      <c r="BE16" s="133">
        <f>X58</f>
        <v>503.1</v>
      </c>
      <c r="BF16" s="133">
        <f>Z58</f>
        <v>484.90000000000003</v>
      </c>
      <c r="BG16" s="133">
        <f>AB58</f>
        <v>483.5</v>
      </c>
      <c r="BH16" s="133">
        <f>AD58</f>
        <v>484.20000000000005</v>
      </c>
      <c r="BI16" s="133">
        <f>AE58</f>
        <v>481.5</v>
      </c>
      <c r="BJ16" s="133">
        <f>AF58</f>
        <v>481.20000000000005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25">
      <c r="A17" s="89" t="s">
        <v>257</v>
      </c>
      <c r="B17" s="102">
        <v>20</v>
      </c>
      <c r="C17" s="102">
        <v>20</v>
      </c>
      <c r="D17" s="102">
        <v>20</v>
      </c>
      <c r="E17" s="102">
        <v>20</v>
      </c>
      <c r="F17" s="102">
        <v>20</v>
      </c>
      <c r="G17" s="102">
        <v>20</v>
      </c>
      <c r="H17" s="102">
        <v>20</v>
      </c>
      <c r="I17" s="102">
        <v>20</v>
      </c>
      <c r="J17" s="102">
        <v>20</v>
      </c>
      <c r="K17" s="102">
        <v>20</v>
      </c>
      <c r="L17" s="102">
        <v>20</v>
      </c>
      <c r="M17" s="102">
        <v>20</v>
      </c>
      <c r="N17" s="102">
        <v>20</v>
      </c>
      <c r="O17" s="102">
        <v>20</v>
      </c>
      <c r="P17" s="102">
        <v>20</v>
      </c>
      <c r="Q17" s="102">
        <v>20</v>
      </c>
      <c r="R17" s="102">
        <v>20</v>
      </c>
      <c r="S17" s="102">
        <v>20</v>
      </c>
      <c r="T17" s="102">
        <v>20</v>
      </c>
      <c r="U17" s="102">
        <v>20</v>
      </c>
      <c r="V17" s="102">
        <v>20</v>
      </c>
      <c r="W17" s="102">
        <v>20</v>
      </c>
      <c r="X17" s="102">
        <v>20</v>
      </c>
      <c r="Y17" s="102">
        <v>20</v>
      </c>
      <c r="Z17" s="102">
        <v>20</v>
      </c>
      <c r="AA17" s="102">
        <v>20</v>
      </c>
      <c r="AB17" s="102">
        <v>20</v>
      </c>
      <c r="AC17" s="102">
        <v>20</v>
      </c>
      <c r="AD17" s="102">
        <v>20</v>
      </c>
      <c r="AE17" s="102">
        <v>20</v>
      </c>
      <c r="AF17" s="102">
        <v>20</v>
      </c>
      <c r="AG17" s="130">
        <v>44</v>
      </c>
      <c r="AH17" s="12">
        <f>MAX(B17:AG17)</f>
        <v>44</v>
      </c>
      <c r="AI17" s="11">
        <f>MIN(B17:AG17)</f>
        <v>20</v>
      </c>
      <c r="AK17" s="19"/>
      <c r="AL17" s="135" t="s">
        <v>256</v>
      </c>
      <c r="AM17" s="134">
        <f t="shared" ref="AM17:AR17" si="6">B62</f>
        <v>162.30000000000001</v>
      </c>
      <c r="AN17" s="134">
        <f t="shared" si="6"/>
        <v>162.30000000000001</v>
      </c>
      <c r="AO17" s="134">
        <f t="shared" si="6"/>
        <v>123</v>
      </c>
      <c r="AP17" s="134">
        <f t="shared" si="6"/>
        <v>123</v>
      </c>
      <c r="AQ17" s="134">
        <f t="shared" si="6"/>
        <v>123</v>
      </c>
      <c r="AR17" s="134">
        <f t="shared" si="6"/>
        <v>123.2</v>
      </c>
      <c r="AS17" s="134">
        <f>I62</f>
        <v>177.5</v>
      </c>
      <c r="AT17" s="134">
        <f>K62</f>
        <v>22.8</v>
      </c>
      <c r="AU17" s="134">
        <f t="shared" ref="AU17:BD17" si="7">M62</f>
        <v>24.6</v>
      </c>
      <c r="AV17" s="134">
        <f t="shared" si="7"/>
        <v>24.6</v>
      </c>
      <c r="AW17" s="134">
        <f t="shared" si="7"/>
        <v>24.6</v>
      </c>
      <c r="AX17" s="134">
        <f t="shared" si="7"/>
        <v>24.6</v>
      </c>
      <c r="AY17" s="134">
        <f t="shared" si="7"/>
        <v>24.6</v>
      </c>
      <c r="AZ17" s="134">
        <f t="shared" si="7"/>
        <v>24.6</v>
      </c>
      <c r="BA17" s="134">
        <f t="shared" si="7"/>
        <v>24.6</v>
      </c>
      <c r="BB17" s="134">
        <f t="shared" si="7"/>
        <v>21.1</v>
      </c>
      <c r="BC17" s="134">
        <f t="shared" si="7"/>
        <v>25.2</v>
      </c>
      <c r="BD17" s="134">
        <f t="shared" si="7"/>
        <v>21.5</v>
      </c>
      <c r="BE17" s="133">
        <f>X62</f>
        <v>21.5</v>
      </c>
      <c r="BF17" s="133">
        <f>Z62</f>
        <v>442.6</v>
      </c>
      <c r="BG17" s="133">
        <f>AB62</f>
        <v>222.6</v>
      </c>
      <c r="BH17" s="133">
        <f>AD62</f>
        <v>173.70000000000002</v>
      </c>
      <c r="BI17" s="133">
        <f>AE62</f>
        <v>220.9</v>
      </c>
      <c r="BJ17" s="133">
        <f>AF62</f>
        <v>170.9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25">
      <c r="A18" s="89" t="s">
        <v>255</v>
      </c>
      <c r="B18" s="102">
        <v>9.5</v>
      </c>
      <c r="C18" s="102">
        <v>9.5</v>
      </c>
      <c r="D18" s="102">
        <v>9.5</v>
      </c>
      <c r="E18" s="102">
        <v>9.5</v>
      </c>
      <c r="F18" s="102">
        <v>9.5</v>
      </c>
      <c r="G18" s="102">
        <v>9.5</v>
      </c>
      <c r="H18" s="102">
        <v>9.5</v>
      </c>
      <c r="I18" s="102">
        <v>9.5</v>
      </c>
      <c r="J18" s="102">
        <v>9.5</v>
      </c>
      <c r="K18" s="102">
        <v>9.5</v>
      </c>
      <c r="L18" s="102">
        <v>9.5</v>
      </c>
      <c r="M18" s="102">
        <v>9.5</v>
      </c>
      <c r="N18" s="102">
        <v>9.5</v>
      </c>
      <c r="O18" s="102">
        <v>9.5</v>
      </c>
      <c r="P18" s="102">
        <v>9.5</v>
      </c>
      <c r="Q18" s="102">
        <v>9.5</v>
      </c>
      <c r="R18" s="102">
        <v>9.5</v>
      </c>
      <c r="S18" s="102">
        <v>9.5</v>
      </c>
      <c r="T18" s="102">
        <v>9.5</v>
      </c>
      <c r="U18" s="102">
        <v>9.5</v>
      </c>
      <c r="V18" s="102">
        <v>9.5</v>
      </c>
      <c r="W18" s="102">
        <v>9.5</v>
      </c>
      <c r="X18" s="102">
        <v>9.5</v>
      </c>
      <c r="Y18" s="102">
        <v>9.5</v>
      </c>
      <c r="Z18" s="102">
        <v>10</v>
      </c>
      <c r="AA18" s="102">
        <v>10</v>
      </c>
      <c r="AB18" s="102">
        <v>10</v>
      </c>
      <c r="AC18" s="102">
        <v>10</v>
      </c>
      <c r="AD18" s="102">
        <v>10</v>
      </c>
      <c r="AE18" s="102">
        <v>10</v>
      </c>
      <c r="AF18" s="102">
        <v>10</v>
      </c>
      <c r="AG18" s="130">
        <v>42</v>
      </c>
      <c r="AH18" s="12">
        <f t="shared" ref="AH18:AH81" si="8">MAX(B18:AF18)</f>
        <v>10</v>
      </c>
      <c r="AI18" s="11">
        <f t="shared" ref="AI18:AI81" si="9">MIN(B18:AF18)</f>
        <v>9.5</v>
      </c>
      <c r="AK18" s="19"/>
      <c r="AL18" s="135" t="s">
        <v>254</v>
      </c>
      <c r="AM18" s="134">
        <f t="shared" ref="AM18:AR18" si="10">B76</f>
        <v>313.14</v>
      </c>
      <c r="AN18" s="134">
        <f t="shared" si="10"/>
        <v>297.24</v>
      </c>
      <c r="AO18" s="134">
        <f t="shared" si="10"/>
        <v>262.74</v>
      </c>
      <c r="AP18" s="134">
        <f t="shared" si="10"/>
        <v>214.94</v>
      </c>
      <c r="AQ18" s="134">
        <f t="shared" si="10"/>
        <v>187.64</v>
      </c>
      <c r="AR18" s="134">
        <f t="shared" si="10"/>
        <v>186.64</v>
      </c>
      <c r="AS18" s="134">
        <f>I76</f>
        <v>249.64</v>
      </c>
      <c r="AT18" s="134">
        <f>K76</f>
        <v>218.83999999999997</v>
      </c>
      <c r="AU18" s="134">
        <f t="shared" ref="AU18:BD18" si="11">M76</f>
        <v>257.64</v>
      </c>
      <c r="AV18" s="134">
        <f t="shared" si="11"/>
        <v>254.93999999999997</v>
      </c>
      <c r="AW18" s="134">
        <f t="shared" si="11"/>
        <v>261.04000000000002</v>
      </c>
      <c r="AX18" s="134">
        <f t="shared" si="11"/>
        <v>270.83999999999997</v>
      </c>
      <c r="AY18" s="134">
        <f t="shared" si="11"/>
        <v>254.53999999999996</v>
      </c>
      <c r="AZ18" s="134">
        <f t="shared" si="11"/>
        <v>265.54000000000002</v>
      </c>
      <c r="BA18" s="134">
        <f t="shared" si="11"/>
        <v>271.83999999999997</v>
      </c>
      <c r="BB18" s="134">
        <f t="shared" si="11"/>
        <v>265.94</v>
      </c>
      <c r="BC18" s="134">
        <f t="shared" si="11"/>
        <v>221.23999999999998</v>
      </c>
      <c r="BD18" s="134">
        <f t="shared" si="11"/>
        <v>220.73999999999998</v>
      </c>
      <c r="BE18" s="133">
        <f>X76</f>
        <v>216.73999999999998</v>
      </c>
      <c r="BF18" s="133">
        <f>Z76</f>
        <v>346.4</v>
      </c>
      <c r="BG18" s="133">
        <f>AB76</f>
        <v>339.64000000000004</v>
      </c>
      <c r="BH18" s="133">
        <f>AD76</f>
        <v>313.84000000000003</v>
      </c>
      <c r="BI18" s="133">
        <f>AE76</f>
        <v>299.44</v>
      </c>
      <c r="BJ18" s="133">
        <f>AF76</f>
        <v>296.03999999999996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25">
      <c r="A19" s="89" t="s">
        <v>253</v>
      </c>
      <c r="B19" s="102">
        <v>18.3</v>
      </c>
      <c r="C19" s="102">
        <v>18.3</v>
      </c>
      <c r="D19" s="102">
        <v>18.3</v>
      </c>
      <c r="E19" s="102">
        <v>18.3</v>
      </c>
      <c r="F19" s="102">
        <v>18.3</v>
      </c>
      <c r="G19" s="102">
        <v>18.3</v>
      </c>
      <c r="H19" s="102">
        <v>18.3</v>
      </c>
      <c r="I19" s="102">
        <v>18.3</v>
      </c>
      <c r="J19" s="102">
        <v>18.3</v>
      </c>
      <c r="K19" s="102">
        <v>18.3</v>
      </c>
      <c r="L19" s="102">
        <v>18.3</v>
      </c>
      <c r="M19" s="102">
        <v>18.3</v>
      </c>
      <c r="N19" s="102">
        <v>18.3</v>
      </c>
      <c r="O19" s="102">
        <v>18.3</v>
      </c>
      <c r="P19" s="102">
        <v>18.3</v>
      </c>
      <c r="Q19" s="102">
        <v>18.3</v>
      </c>
      <c r="R19" s="102">
        <v>18.3</v>
      </c>
      <c r="S19" s="102">
        <v>18.3</v>
      </c>
      <c r="T19" s="102">
        <v>18.3</v>
      </c>
      <c r="U19" s="102">
        <v>18.3</v>
      </c>
      <c r="V19" s="102">
        <v>18.3</v>
      </c>
      <c r="W19" s="102">
        <v>18.3</v>
      </c>
      <c r="X19" s="102">
        <v>18.3</v>
      </c>
      <c r="Y19" s="102">
        <v>18.3</v>
      </c>
      <c r="Z19" s="102">
        <v>16.8</v>
      </c>
      <c r="AA19" s="102">
        <v>16.8</v>
      </c>
      <c r="AB19" s="102">
        <v>16.8</v>
      </c>
      <c r="AC19" s="102">
        <v>16.8</v>
      </c>
      <c r="AD19" s="102">
        <v>16.8</v>
      </c>
      <c r="AE19" s="102">
        <v>16.8</v>
      </c>
      <c r="AF19" s="102">
        <v>16.8</v>
      </c>
      <c r="AG19" s="130">
        <v>38.46</v>
      </c>
      <c r="AH19" s="12">
        <f t="shared" si="8"/>
        <v>18.3</v>
      </c>
      <c r="AI19" s="11">
        <f t="shared" si="9"/>
        <v>16.8</v>
      </c>
      <c r="AK19" s="19"/>
      <c r="AL19" s="135" t="s">
        <v>252</v>
      </c>
      <c r="AM19" s="134">
        <f t="shared" ref="AM19:AR19" si="12">B92</f>
        <v>58.7</v>
      </c>
      <c r="AN19" s="134">
        <f t="shared" si="12"/>
        <v>58</v>
      </c>
      <c r="AO19" s="134">
        <f t="shared" si="12"/>
        <v>135.4</v>
      </c>
      <c r="AP19" s="134">
        <f t="shared" si="12"/>
        <v>170.70000000000002</v>
      </c>
      <c r="AQ19" s="134">
        <f t="shared" si="12"/>
        <v>201.39999999999998</v>
      </c>
      <c r="AR19" s="134">
        <f t="shared" si="12"/>
        <v>225.8</v>
      </c>
      <c r="AS19" s="134">
        <f>I92</f>
        <v>322.10000000000002</v>
      </c>
      <c r="AT19" s="134">
        <f>K92</f>
        <v>771.7</v>
      </c>
      <c r="AU19" s="134">
        <f t="shared" ref="AU19:BD19" si="13">M92</f>
        <v>794.2</v>
      </c>
      <c r="AV19" s="134">
        <f t="shared" si="13"/>
        <v>793.3</v>
      </c>
      <c r="AW19" s="134">
        <f t="shared" si="13"/>
        <v>832.1</v>
      </c>
      <c r="AX19" s="134">
        <f t="shared" si="13"/>
        <v>801.00000000000011</v>
      </c>
      <c r="AY19" s="134">
        <f t="shared" si="13"/>
        <v>799.1</v>
      </c>
      <c r="AZ19" s="134">
        <f t="shared" si="13"/>
        <v>790.8</v>
      </c>
      <c r="BA19" s="134">
        <f t="shared" si="13"/>
        <v>778.8</v>
      </c>
      <c r="BB19" s="134">
        <f t="shared" si="13"/>
        <v>752.3</v>
      </c>
      <c r="BC19" s="134">
        <f t="shared" si="13"/>
        <v>790.6</v>
      </c>
      <c r="BD19" s="134">
        <f t="shared" si="13"/>
        <v>744</v>
      </c>
      <c r="BE19" s="133">
        <f>X92</f>
        <v>645</v>
      </c>
      <c r="BF19" s="133">
        <f>Z92</f>
        <v>164.2</v>
      </c>
      <c r="BG19" s="133">
        <f>AB92</f>
        <v>252</v>
      </c>
      <c r="BH19" s="133">
        <f>AD92</f>
        <v>261.5</v>
      </c>
      <c r="BI19" s="133">
        <f>AE92</f>
        <v>65.2</v>
      </c>
      <c r="BJ19" s="133">
        <f>AF92</f>
        <v>61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25">
      <c r="A20" s="89" t="s">
        <v>251</v>
      </c>
      <c r="B20" s="102">
        <v>14</v>
      </c>
      <c r="C20" s="102">
        <v>14</v>
      </c>
      <c r="D20" s="102">
        <v>14</v>
      </c>
      <c r="E20" s="102">
        <v>14</v>
      </c>
      <c r="F20" s="102">
        <v>14</v>
      </c>
      <c r="G20" s="102">
        <v>14</v>
      </c>
      <c r="H20" s="102">
        <v>14</v>
      </c>
      <c r="I20" s="102">
        <v>14</v>
      </c>
      <c r="J20" s="102">
        <v>14</v>
      </c>
      <c r="K20" s="102">
        <v>14</v>
      </c>
      <c r="L20" s="102">
        <v>14</v>
      </c>
      <c r="M20" s="102">
        <v>14</v>
      </c>
      <c r="N20" s="102">
        <v>14</v>
      </c>
      <c r="O20" s="102">
        <v>14</v>
      </c>
      <c r="P20" s="102">
        <v>14</v>
      </c>
      <c r="Q20" s="102">
        <v>14</v>
      </c>
      <c r="R20" s="102">
        <v>14</v>
      </c>
      <c r="S20" s="102">
        <v>14</v>
      </c>
      <c r="T20" s="102">
        <v>14</v>
      </c>
      <c r="U20" s="102">
        <v>14</v>
      </c>
      <c r="V20" s="102">
        <v>14</v>
      </c>
      <c r="W20" s="102">
        <v>14</v>
      </c>
      <c r="X20" s="102">
        <v>14</v>
      </c>
      <c r="Y20" s="102">
        <v>14</v>
      </c>
      <c r="Z20" s="102">
        <v>14</v>
      </c>
      <c r="AA20" s="102">
        <v>14</v>
      </c>
      <c r="AB20" s="102">
        <v>14</v>
      </c>
      <c r="AC20" s="102">
        <v>14</v>
      </c>
      <c r="AD20" s="102">
        <v>14</v>
      </c>
      <c r="AE20" s="102">
        <v>14</v>
      </c>
      <c r="AF20" s="102">
        <v>14</v>
      </c>
      <c r="AG20" s="130">
        <v>38.46</v>
      </c>
      <c r="AH20" s="12">
        <f t="shared" si="8"/>
        <v>14</v>
      </c>
      <c r="AI20" s="11">
        <f t="shared" si="9"/>
        <v>14</v>
      </c>
      <c r="AK20" s="19"/>
      <c r="AL20" s="135" t="s">
        <v>250</v>
      </c>
      <c r="AM20" s="134">
        <f t="shared" ref="AM20:AR20" si="14">B80</f>
        <v>49.099999999999994</v>
      </c>
      <c r="AN20" s="134">
        <f t="shared" si="14"/>
        <v>49.099999999999994</v>
      </c>
      <c r="AO20" s="134">
        <f t="shared" si="14"/>
        <v>49.099999999999994</v>
      </c>
      <c r="AP20" s="134">
        <f t="shared" si="14"/>
        <v>48.300000000000004</v>
      </c>
      <c r="AQ20" s="134">
        <f t="shared" si="14"/>
        <v>48.2</v>
      </c>
      <c r="AR20" s="134">
        <f t="shared" si="14"/>
        <v>48</v>
      </c>
      <c r="AS20" s="134">
        <f>I80</f>
        <v>48</v>
      </c>
      <c r="AT20" s="134">
        <f>K80</f>
        <v>47.8</v>
      </c>
      <c r="AU20" s="134">
        <f t="shared" ref="AU20:BD20" si="15">M80</f>
        <v>57.1</v>
      </c>
      <c r="AV20" s="134">
        <f t="shared" si="15"/>
        <v>20.100000000000001</v>
      </c>
      <c r="AW20" s="134">
        <f t="shared" si="15"/>
        <v>20.100000000000001</v>
      </c>
      <c r="AX20" s="134">
        <f t="shared" si="15"/>
        <v>20.100000000000001</v>
      </c>
      <c r="AY20" s="134">
        <f t="shared" si="15"/>
        <v>20.100000000000001</v>
      </c>
      <c r="AZ20" s="134">
        <f t="shared" si="15"/>
        <v>0</v>
      </c>
      <c r="BA20" s="134">
        <f t="shared" si="15"/>
        <v>18.96</v>
      </c>
      <c r="BB20" s="134">
        <f t="shared" si="15"/>
        <v>49.3</v>
      </c>
      <c r="BC20" s="134">
        <f t="shared" si="15"/>
        <v>49.9</v>
      </c>
      <c r="BD20" s="134">
        <f t="shared" si="15"/>
        <v>97.100000000000009</v>
      </c>
      <c r="BE20" s="133">
        <f>X80</f>
        <v>78.2</v>
      </c>
      <c r="BF20" s="133">
        <f>Z80</f>
        <v>63.1</v>
      </c>
      <c r="BG20" s="133">
        <f>AB80</f>
        <v>97.9</v>
      </c>
      <c r="BH20" s="133">
        <f>AD80</f>
        <v>95.3</v>
      </c>
      <c r="BI20" s="133">
        <f>AE80</f>
        <v>97.399999999999991</v>
      </c>
      <c r="BJ20" s="133">
        <f>AF80</f>
        <v>97.9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25">
      <c r="A21" s="89" t="s">
        <v>249</v>
      </c>
      <c r="B21" s="102">
        <v>0</v>
      </c>
      <c r="C21" s="102">
        <v>0</v>
      </c>
      <c r="D21" s="102">
        <v>0</v>
      </c>
      <c r="E21" s="102">
        <v>0</v>
      </c>
      <c r="F21" s="102">
        <v>0</v>
      </c>
      <c r="G21" s="102">
        <v>0</v>
      </c>
      <c r="H21" s="102">
        <v>0</v>
      </c>
      <c r="I21" s="102">
        <v>0</v>
      </c>
      <c r="J21" s="102">
        <v>0</v>
      </c>
      <c r="K21" s="102">
        <v>0</v>
      </c>
      <c r="L21" s="102">
        <v>0</v>
      </c>
      <c r="M21" s="102">
        <v>0</v>
      </c>
      <c r="N21" s="102">
        <v>0</v>
      </c>
      <c r="O21" s="102">
        <v>0</v>
      </c>
      <c r="P21" s="102">
        <v>0</v>
      </c>
      <c r="Q21" s="102">
        <v>0</v>
      </c>
      <c r="R21" s="102">
        <v>0</v>
      </c>
      <c r="S21" s="102">
        <v>0</v>
      </c>
      <c r="T21" s="102">
        <v>0</v>
      </c>
      <c r="U21" s="102">
        <v>0</v>
      </c>
      <c r="V21" s="102">
        <v>0</v>
      </c>
      <c r="W21" s="102">
        <v>0</v>
      </c>
      <c r="X21" s="102">
        <v>0</v>
      </c>
      <c r="Y21" s="102">
        <v>0</v>
      </c>
      <c r="Z21" s="102">
        <v>0</v>
      </c>
      <c r="AA21" s="102">
        <v>0</v>
      </c>
      <c r="AB21" s="102">
        <v>0</v>
      </c>
      <c r="AC21" s="102">
        <v>0</v>
      </c>
      <c r="AD21" s="102">
        <v>0</v>
      </c>
      <c r="AE21" s="102">
        <v>0</v>
      </c>
      <c r="AF21" s="102">
        <v>0</v>
      </c>
      <c r="AG21" s="130">
        <v>36</v>
      </c>
      <c r="AH21" s="12">
        <f t="shared" si="8"/>
        <v>0</v>
      </c>
      <c r="AI21" s="11">
        <f t="shared" si="9"/>
        <v>0</v>
      </c>
      <c r="AK21" s="19"/>
      <c r="AL21" s="135" t="s">
        <v>248</v>
      </c>
      <c r="AM21" s="134">
        <f t="shared" ref="AM21:AR21" si="16">B98</f>
        <v>180</v>
      </c>
      <c r="AN21" s="134">
        <f t="shared" si="16"/>
        <v>180</v>
      </c>
      <c r="AO21" s="134">
        <f t="shared" si="16"/>
        <v>180</v>
      </c>
      <c r="AP21" s="134">
        <f t="shared" si="16"/>
        <v>180</v>
      </c>
      <c r="AQ21" s="134">
        <f t="shared" si="16"/>
        <v>180</v>
      </c>
      <c r="AR21" s="134">
        <f t="shared" si="16"/>
        <v>180</v>
      </c>
      <c r="AS21" s="134">
        <f>I98</f>
        <v>150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250</v>
      </c>
      <c r="BG21" s="133">
        <f>AB98</f>
        <v>250</v>
      </c>
      <c r="BH21" s="133">
        <f>AD98</f>
        <v>200</v>
      </c>
      <c r="BI21" s="133">
        <f>AE98</f>
        <v>300</v>
      </c>
      <c r="BJ21" s="133">
        <f>AF98</f>
        <v>300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25">
      <c r="A22" s="89" t="s">
        <v>247</v>
      </c>
      <c r="B22" s="102">
        <v>8.8000000000000007</v>
      </c>
      <c r="C22" s="102">
        <v>8.8000000000000007</v>
      </c>
      <c r="D22" s="102">
        <v>8.8000000000000007</v>
      </c>
      <c r="E22" s="102">
        <v>8.8000000000000007</v>
      </c>
      <c r="F22" s="102">
        <v>8.8000000000000007</v>
      </c>
      <c r="G22" s="102">
        <v>8.8000000000000007</v>
      </c>
      <c r="H22" s="102">
        <v>8.8000000000000007</v>
      </c>
      <c r="I22" s="102">
        <v>8.8000000000000007</v>
      </c>
      <c r="J22" s="102">
        <v>8.8000000000000007</v>
      </c>
      <c r="K22" s="102">
        <v>8.8000000000000007</v>
      </c>
      <c r="L22" s="102">
        <v>8.8000000000000007</v>
      </c>
      <c r="M22" s="102">
        <v>8.8000000000000007</v>
      </c>
      <c r="N22" s="102">
        <v>8.8000000000000007</v>
      </c>
      <c r="O22" s="102">
        <v>8.8000000000000007</v>
      </c>
      <c r="P22" s="102">
        <v>8.8000000000000007</v>
      </c>
      <c r="Q22" s="102">
        <v>8.8000000000000007</v>
      </c>
      <c r="R22" s="102">
        <v>8.8000000000000007</v>
      </c>
      <c r="S22" s="102">
        <v>8.8000000000000007</v>
      </c>
      <c r="T22" s="102">
        <v>8.8000000000000007</v>
      </c>
      <c r="U22" s="102">
        <v>8.8000000000000007</v>
      </c>
      <c r="V22" s="102">
        <v>8.8000000000000007</v>
      </c>
      <c r="W22" s="102">
        <v>8.8000000000000007</v>
      </c>
      <c r="X22" s="102">
        <v>8.8000000000000007</v>
      </c>
      <c r="Y22" s="102">
        <v>8.8000000000000007</v>
      </c>
      <c r="Z22" s="102">
        <v>11.5</v>
      </c>
      <c r="AA22" s="102">
        <v>11.5</v>
      </c>
      <c r="AB22" s="102">
        <v>11.5</v>
      </c>
      <c r="AC22" s="102">
        <v>11.5</v>
      </c>
      <c r="AD22" s="102">
        <v>11.5</v>
      </c>
      <c r="AE22" s="102">
        <v>11.5</v>
      </c>
      <c r="AF22" s="102">
        <v>11.5</v>
      </c>
      <c r="AG22" s="88">
        <v>30</v>
      </c>
      <c r="AH22" s="12">
        <f t="shared" si="8"/>
        <v>11.5</v>
      </c>
      <c r="AI22" s="11">
        <f t="shared" si="9"/>
        <v>8.8000000000000007</v>
      </c>
      <c r="AK22" s="19"/>
      <c r="AL22" s="132" t="s">
        <v>246</v>
      </c>
      <c r="AM22" s="131">
        <f t="shared" ref="AM22:BJ22" si="18">SUM(AM16:AM21)</f>
        <v>1261.6399999999999</v>
      </c>
      <c r="AN22" s="131">
        <f t="shared" si="18"/>
        <v>1245.04</v>
      </c>
      <c r="AO22" s="131">
        <f t="shared" si="18"/>
        <v>1248.6400000000001</v>
      </c>
      <c r="AP22" s="131">
        <f t="shared" si="18"/>
        <v>1235.3400000000001</v>
      </c>
      <c r="AQ22" s="131">
        <f t="shared" si="18"/>
        <v>1238.6400000000001</v>
      </c>
      <c r="AR22" s="131">
        <f t="shared" si="18"/>
        <v>1262.0400000000002</v>
      </c>
      <c r="AS22" s="131">
        <f t="shared" si="18"/>
        <v>1445.64</v>
      </c>
      <c r="AT22" s="131">
        <f t="shared" si="18"/>
        <v>1559.54</v>
      </c>
      <c r="AU22" s="131">
        <f t="shared" si="18"/>
        <v>1631.94</v>
      </c>
      <c r="AV22" s="131">
        <f t="shared" si="18"/>
        <v>1591.34</v>
      </c>
      <c r="AW22" s="131">
        <f t="shared" si="18"/>
        <v>1636.2400000000002</v>
      </c>
      <c r="AX22" s="131">
        <f t="shared" si="18"/>
        <v>1614.94</v>
      </c>
      <c r="AY22" s="131">
        <f t="shared" si="18"/>
        <v>1596.74</v>
      </c>
      <c r="AZ22" s="131">
        <f t="shared" si="18"/>
        <v>1579.3400000000001</v>
      </c>
      <c r="BA22" s="131">
        <f t="shared" si="18"/>
        <v>1596.4</v>
      </c>
      <c r="BB22" s="131">
        <f t="shared" si="18"/>
        <v>1591.74</v>
      </c>
      <c r="BC22" s="131">
        <f t="shared" si="18"/>
        <v>1590.0400000000002</v>
      </c>
      <c r="BD22" s="131">
        <f t="shared" si="18"/>
        <v>1586.44</v>
      </c>
      <c r="BE22" s="131">
        <f t="shared" si="18"/>
        <v>1464.5400000000002</v>
      </c>
      <c r="BF22" s="131">
        <f t="shared" si="18"/>
        <v>1751.2</v>
      </c>
      <c r="BG22" s="131">
        <f t="shared" si="18"/>
        <v>1645.64</v>
      </c>
      <c r="BH22" s="131">
        <f t="shared" si="18"/>
        <v>1528.5400000000002</v>
      </c>
      <c r="BI22" s="131">
        <f t="shared" si="18"/>
        <v>1464.44</v>
      </c>
      <c r="BJ22" s="131">
        <f t="shared" si="18"/>
        <v>1407.04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25">
      <c r="A23" s="89" t="s">
        <v>245</v>
      </c>
      <c r="B23" s="102">
        <v>7</v>
      </c>
      <c r="C23" s="102">
        <v>7</v>
      </c>
      <c r="D23" s="102">
        <v>7</v>
      </c>
      <c r="E23" s="102">
        <v>7</v>
      </c>
      <c r="F23" s="102">
        <v>7</v>
      </c>
      <c r="G23" s="102">
        <v>7</v>
      </c>
      <c r="H23" s="102">
        <v>7</v>
      </c>
      <c r="I23" s="102">
        <v>7</v>
      </c>
      <c r="J23" s="102">
        <v>7</v>
      </c>
      <c r="K23" s="102">
        <v>7</v>
      </c>
      <c r="L23" s="102">
        <v>7</v>
      </c>
      <c r="M23" s="102">
        <v>7</v>
      </c>
      <c r="N23" s="102">
        <v>7</v>
      </c>
      <c r="O23" s="102">
        <v>7</v>
      </c>
      <c r="P23" s="102">
        <v>7</v>
      </c>
      <c r="Q23" s="102">
        <v>7</v>
      </c>
      <c r="R23" s="102">
        <v>7</v>
      </c>
      <c r="S23" s="102">
        <v>7</v>
      </c>
      <c r="T23" s="102">
        <v>7</v>
      </c>
      <c r="U23" s="102">
        <v>7</v>
      </c>
      <c r="V23" s="102">
        <v>7</v>
      </c>
      <c r="W23" s="102">
        <v>7</v>
      </c>
      <c r="X23" s="102">
        <v>7</v>
      </c>
      <c r="Y23" s="102">
        <v>7</v>
      </c>
      <c r="Z23" s="102">
        <v>7</v>
      </c>
      <c r="AA23" s="102">
        <v>7</v>
      </c>
      <c r="AB23" s="102">
        <v>7</v>
      </c>
      <c r="AC23" s="102">
        <v>7</v>
      </c>
      <c r="AD23" s="102">
        <v>7</v>
      </c>
      <c r="AE23" s="102">
        <v>7</v>
      </c>
      <c r="AF23" s="102">
        <v>7</v>
      </c>
      <c r="AG23" s="130">
        <v>24.2</v>
      </c>
      <c r="AH23" s="12">
        <f t="shared" si="8"/>
        <v>7</v>
      </c>
      <c r="AI23" s="11">
        <f t="shared" si="9"/>
        <v>7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25">
      <c r="A24" s="89" t="s">
        <v>244</v>
      </c>
      <c r="B24" s="102">
        <v>6.9</v>
      </c>
      <c r="C24" s="102">
        <v>6.9</v>
      </c>
      <c r="D24" s="102">
        <v>6.9</v>
      </c>
      <c r="E24" s="102">
        <v>6.9</v>
      </c>
      <c r="F24" s="102">
        <v>6.9</v>
      </c>
      <c r="G24" s="102">
        <v>6.9</v>
      </c>
      <c r="H24" s="102">
        <v>6.9</v>
      </c>
      <c r="I24" s="102">
        <v>6.9</v>
      </c>
      <c r="J24" s="102">
        <v>6.9</v>
      </c>
      <c r="K24" s="102">
        <v>6.9</v>
      </c>
      <c r="L24" s="102">
        <v>6.9</v>
      </c>
      <c r="M24" s="102">
        <v>6.9</v>
      </c>
      <c r="N24" s="102">
        <v>6.9</v>
      </c>
      <c r="O24" s="102">
        <v>6.9</v>
      </c>
      <c r="P24" s="102">
        <v>6.9</v>
      </c>
      <c r="Q24" s="102">
        <v>6.9</v>
      </c>
      <c r="R24" s="102">
        <v>6.9</v>
      </c>
      <c r="S24" s="102">
        <v>6.9</v>
      </c>
      <c r="T24" s="102">
        <v>6.9</v>
      </c>
      <c r="U24" s="102">
        <v>6.9</v>
      </c>
      <c r="V24" s="102">
        <v>6.9</v>
      </c>
      <c r="W24" s="102">
        <v>6.9</v>
      </c>
      <c r="X24" s="102">
        <v>6.9</v>
      </c>
      <c r="Y24" s="102">
        <v>6.9</v>
      </c>
      <c r="Z24" s="102">
        <v>6.2</v>
      </c>
      <c r="AA24" s="102">
        <v>6.2</v>
      </c>
      <c r="AB24" s="102">
        <v>6.2</v>
      </c>
      <c r="AC24" s="102">
        <v>6.2</v>
      </c>
      <c r="AD24" s="102">
        <v>6.2</v>
      </c>
      <c r="AE24" s="102">
        <v>6.2</v>
      </c>
      <c r="AF24" s="102">
        <v>6.2</v>
      </c>
      <c r="AG24" s="130">
        <v>28</v>
      </c>
      <c r="AH24" s="12">
        <f t="shared" si="8"/>
        <v>6.9</v>
      </c>
      <c r="AI24" s="11">
        <f t="shared" si="9"/>
        <v>6.2</v>
      </c>
      <c r="AK24" s="19"/>
      <c r="AL24" s="132" t="s">
        <v>243</v>
      </c>
      <c r="AM24" s="131">
        <f t="shared" ref="AM24:BJ24" si="21">AM22+AM23</f>
        <v>1261.6399999999999</v>
      </c>
      <c r="AN24" s="131">
        <f t="shared" si="21"/>
        <v>1245.04</v>
      </c>
      <c r="AO24" s="131">
        <f t="shared" si="21"/>
        <v>1248.6400000000001</v>
      </c>
      <c r="AP24" s="131">
        <f t="shared" si="21"/>
        <v>1235.3400000000001</v>
      </c>
      <c r="AQ24" s="131">
        <f t="shared" si="21"/>
        <v>1238.6400000000001</v>
      </c>
      <c r="AR24" s="131">
        <f t="shared" si="21"/>
        <v>1262.0400000000002</v>
      </c>
      <c r="AS24" s="131">
        <f t="shared" si="21"/>
        <v>1445.64</v>
      </c>
      <c r="AT24" s="131">
        <f t="shared" si="21"/>
        <v>1559.54</v>
      </c>
      <c r="AU24" s="131">
        <f t="shared" si="21"/>
        <v>1631.94</v>
      </c>
      <c r="AV24" s="131">
        <f t="shared" si="21"/>
        <v>1591.34</v>
      </c>
      <c r="AW24" s="131">
        <f t="shared" si="21"/>
        <v>1636.2400000000002</v>
      </c>
      <c r="AX24" s="131">
        <f t="shared" si="21"/>
        <v>1614.94</v>
      </c>
      <c r="AY24" s="131">
        <f t="shared" si="21"/>
        <v>1596.74</v>
      </c>
      <c r="AZ24" s="131">
        <f t="shared" si="21"/>
        <v>1579.3400000000001</v>
      </c>
      <c r="BA24" s="131">
        <f t="shared" si="21"/>
        <v>1596.4</v>
      </c>
      <c r="BB24" s="131">
        <f t="shared" si="21"/>
        <v>1591.74</v>
      </c>
      <c r="BC24" s="131">
        <f t="shared" si="21"/>
        <v>1590.0400000000002</v>
      </c>
      <c r="BD24" s="131">
        <f t="shared" si="21"/>
        <v>1586.44</v>
      </c>
      <c r="BE24" s="131">
        <f t="shared" si="21"/>
        <v>1464.5400000000002</v>
      </c>
      <c r="BF24" s="131">
        <f t="shared" si="21"/>
        <v>1751.2</v>
      </c>
      <c r="BG24" s="131">
        <f t="shared" si="21"/>
        <v>1645.64</v>
      </c>
      <c r="BH24" s="131">
        <f t="shared" si="21"/>
        <v>1528.5400000000002</v>
      </c>
      <c r="BI24" s="131">
        <f t="shared" si="21"/>
        <v>1464.44</v>
      </c>
      <c r="BJ24" s="131">
        <f t="shared" si="21"/>
        <v>1407.04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25">
      <c r="A25" s="89" t="s">
        <v>242</v>
      </c>
      <c r="B25" s="102">
        <v>13</v>
      </c>
      <c r="C25" s="102">
        <v>13</v>
      </c>
      <c r="D25" s="102">
        <v>13</v>
      </c>
      <c r="E25" s="102">
        <v>13</v>
      </c>
      <c r="F25" s="102">
        <v>13</v>
      </c>
      <c r="G25" s="102">
        <v>13</v>
      </c>
      <c r="H25" s="102">
        <v>13</v>
      </c>
      <c r="I25" s="102">
        <v>13</v>
      </c>
      <c r="J25" s="102">
        <v>13</v>
      </c>
      <c r="K25" s="102">
        <v>13</v>
      </c>
      <c r="L25" s="102">
        <v>13</v>
      </c>
      <c r="M25" s="102">
        <v>13</v>
      </c>
      <c r="N25" s="102">
        <v>13</v>
      </c>
      <c r="O25" s="102">
        <v>13</v>
      </c>
      <c r="P25" s="102">
        <v>13</v>
      </c>
      <c r="Q25" s="102">
        <v>13</v>
      </c>
      <c r="R25" s="102">
        <v>13</v>
      </c>
      <c r="S25" s="102">
        <v>13</v>
      </c>
      <c r="T25" s="102">
        <v>13</v>
      </c>
      <c r="U25" s="102">
        <v>13</v>
      </c>
      <c r="V25" s="102">
        <v>13</v>
      </c>
      <c r="W25" s="102">
        <v>13</v>
      </c>
      <c r="X25" s="102">
        <v>13</v>
      </c>
      <c r="Y25" s="102">
        <v>13</v>
      </c>
      <c r="Z25" s="102">
        <v>9</v>
      </c>
      <c r="AA25" s="102">
        <v>9</v>
      </c>
      <c r="AB25" s="102">
        <v>9</v>
      </c>
      <c r="AC25" s="102">
        <v>9</v>
      </c>
      <c r="AD25" s="102">
        <v>9</v>
      </c>
      <c r="AE25" s="102">
        <v>9</v>
      </c>
      <c r="AF25" s="102">
        <v>9</v>
      </c>
      <c r="AG25" s="88">
        <v>30</v>
      </c>
      <c r="AH25" s="12">
        <f t="shared" si="8"/>
        <v>13</v>
      </c>
      <c r="AI25" s="11">
        <f t="shared" si="9"/>
        <v>9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25">
      <c r="A26" s="89" t="s">
        <v>241</v>
      </c>
      <c r="B26" s="102">
        <v>15</v>
      </c>
      <c r="C26" s="102">
        <v>15</v>
      </c>
      <c r="D26" s="102">
        <v>15</v>
      </c>
      <c r="E26" s="102">
        <v>15</v>
      </c>
      <c r="F26" s="102">
        <v>15</v>
      </c>
      <c r="G26" s="102">
        <v>15</v>
      </c>
      <c r="H26" s="102">
        <v>15</v>
      </c>
      <c r="I26" s="102">
        <v>15</v>
      </c>
      <c r="J26" s="102">
        <v>15</v>
      </c>
      <c r="K26" s="102">
        <v>15</v>
      </c>
      <c r="L26" s="102">
        <v>15</v>
      </c>
      <c r="M26" s="102">
        <v>15</v>
      </c>
      <c r="N26" s="102">
        <v>15</v>
      </c>
      <c r="O26" s="102">
        <v>15</v>
      </c>
      <c r="P26" s="102">
        <v>15</v>
      </c>
      <c r="Q26" s="102">
        <v>15</v>
      </c>
      <c r="R26" s="102">
        <v>15</v>
      </c>
      <c r="S26" s="102">
        <v>15</v>
      </c>
      <c r="T26" s="102">
        <v>15</v>
      </c>
      <c r="U26" s="102">
        <v>15</v>
      </c>
      <c r="V26" s="102">
        <v>15</v>
      </c>
      <c r="W26" s="102">
        <v>15</v>
      </c>
      <c r="X26" s="102">
        <v>15</v>
      </c>
      <c r="Y26" s="102">
        <v>15</v>
      </c>
      <c r="Z26" s="102">
        <v>11.3</v>
      </c>
      <c r="AA26" s="102">
        <v>11.3</v>
      </c>
      <c r="AB26" s="102">
        <v>11.3</v>
      </c>
      <c r="AC26" s="102">
        <v>11.3</v>
      </c>
      <c r="AD26" s="102">
        <v>11.3</v>
      </c>
      <c r="AE26" s="102">
        <v>11.3</v>
      </c>
      <c r="AF26" s="102">
        <v>11.3</v>
      </c>
      <c r="AG26" s="130">
        <v>25</v>
      </c>
      <c r="AH26" s="12">
        <f t="shared" si="8"/>
        <v>15</v>
      </c>
      <c r="AI26" s="11">
        <f t="shared" si="9"/>
        <v>11.3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25">
      <c r="A27" s="89" t="s">
        <v>240</v>
      </c>
      <c r="B27" s="102">
        <v>8</v>
      </c>
      <c r="C27" s="102">
        <v>8</v>
      </c>
      <c r="D27" s="102">
        <v>8</v>
      </c>
      <c r="E27" s="102">
        <v>8</v>
      </c>
      <c r="F27" s="102">
        <v>8</v>
      </c>
      <c r="G27" s="102">
        <v>8</v>
      </c>
      <c r="H27" s="102">
        <v>8</v>
      </c>
      <c r="I27" s="102">
        <v>8</v>
      </c>
      <c r="J27" s="102">
        <v>8</v>
      </c>
      <c r="K27" s="102">
        <v>8</v>
      </c>
      <c r="L27" s="102">
        <v>8</v>
      </c>
      <c r="M27" s="102">
        <v>8</v>
      </c>
      <c r="N27" s="102">
        <v>8</v>
      </c>
      <c r="O27" s="102">
        <v>8</v>
      </c>
      <c r="P27" s="102">
        <v>8</v>
      </c>
      <c r="Q27" s="102">
        <v>8</v>
      </c>
      <c r="R27" s="102">
        <v>8</v>
      </c>
      <c r="S27" s="102">
        <v>8</v>
      </c>
      <c r="T27" s="102">
        <v>8</v>
      </c>
      <c r="U27" s="102">
        <v>8</v>
      </c>
      <c r="V27" s="102">
        <v>8</v>
      </c>
      <c r="W27" s="102">
        <v>8</v>
      </c>
      <c r="X27" s="102">
        <v>8</v>
      </c>
      <c r="Y27" s="102">
        <v>8</v>
      </c>
      <c r="Z27" s="102">
        <v>8</v>
      </c>
      <c r="AA27" s="102">
        <v>8</v>
      </c>
      <c r="AB27" s="102">
        <v>8</v>
      </c>
      <c r="AC27" s="102">
        <v>8</v>
      </c>
      <c r="AD27" s="102">
        <v>8</v>
      </c>
      <c r="AE27" s="102">
        <v>8</v>
      </c>
      <c r="AF27" s="102">
        <v>8</v>
      </c>
      <c r="AG27" s="130">
        <v>25</v>
      </c>
      <c r="AH27" s="12">
        <f t="shared" si="8"/>
        <v>8</v>
      </c>
      <c r="AI27" s="11">
        <f t="shared" si="9"/>
        <v>8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25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25">
      <c r="A29" s="89" t="s">
        <v>238</v>
      </c>
      <c r="B29" s="102">
        <v>12.1</v>
      </c>
      <c r="C29" s="102">
        <v>12.1</v>
      </c>
      <c r="D29" s="102">
        <v>12.1</v>
      </c>
      <c r="E29" s="102">
        <v>12.1</v>
      </c>
      <c r="F29" s="102">
        <v>12.1</v>
      </c>
      <c r="G29" s="102">
        <v>12.1</v>
      </c>
      <c r="H29" s="102">
        <v>12.1</v>
      </c>
      <c r="I29" s="102">
        <v>12.1</v>
      </c>
      <c r="J29" s="102">
        <v>12.1</v>
      </c>
      <c r="K29" s="102">
        <v>12.1</v>
      </c>
      <c r="L29" s="102">
        <v>12.1</v>
      </c>
      <c r="M29" s="102">
        <v>12.1</v>
      </c>
      <c r="N29" s="102">
        <v>12.1</v>
      </c>
      <c r="O29" s="102">
        <v>12.1</v>
      </c>
      <c r="P29" s="102">
        <v>12.1</v>
      </c>
      <c r="Q29" s="102">
        <v>12.1</v>
      </c>
      <c r="R29" s="102">
        <v>12.1</v>
      </c>
      <c r="S29" s="102">
        <v>12.1</v>
      </c>
      <c r="T29" s="102">
        <v>12.1</v>
      </c>
      <c r="U29" s="102">
        <v>12.1</v>
      </c>
      <c r="V29" s="102">
        <v>12.1</v>
      </c>
      <c r="W29" s="102">
        <v>12.1</v>
      </c>
      <c r="X29" s="102">
        <v>12.1</v>
      </c>
      <c r="Y29" s="102">
        <v>12.1</v>
      </c>
      <c r="Z29" s="102">
        <v>12.1</v>
      </c>
      <c r="AA29" s="102">
        <v>12.1</v>
      </c>
      <c r="AB29" s="102">
        <v>12.1</v>
      </c>
      <c r="AC29" s="102">
        <v>12.1</v>
      </c>
      <c r="AD29" s="102">
        <v>12.1</v>
      </c>
      <c r="AE29" s="102">
        <v>12.1</v>
      </c>
      <c r="AF29" s="102">
        <v>12.1</v>
      </c>
      <c r="AG29" s="130">
        <v>25</v>
      </c>
      <c r="AH29" s="12">
        <f t="shared" si="8"/>
        <v>12.1</v>
      </c>
      <c r="AI29" s="11">
        <f t="shared" si="9"/>
        <v>12.1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25">
      <c r="A30" s="89" t="s">
        <v>237</v>
      </c>
      <c r="B30" s="102">
        <v>5.0999999999999996</v>
      </c>
      <c r="C30" s="102">
        <v>5.0999999999999996</v>
      </c>
      <c r="D30" s="102">
        <v>5.0999999999999996</v>
      </c>
      <c r="E30" s="102">
        <v>5.0999999999999996</v>
      </c>
      <c r="F30" s="102">
        <v>5.0999999999999996</v>
      </c>
      <c r="G30" s="102">
        <v>5.0999999999999996</v>
      </c>
      <c r="H30" s="102">
        <v>5.0999999999999996</v>
      </c>
      <c r="I30" s="102">
        <v>5.0999999999999996</v>
      </c>
      <c r="J30" s="102">
        <v>5.0999999999999996</v>
      </c>
      <c r="K30" s="102">
        <v>5.0999999999999996</v>
      </c>
      <c r="L30" s="102">
        <v>5.0999999999999996</v>
      </c>
      <c r="M30" s="102">
        <v>5.0999999999999996</v>
      </c>
      <c r="N30" s="102">
        <v>5.0999999999999996</v>
      </c>
      <c r="O30" s="102">
        <v>5.0999999999999996</v>
      </c>
      <c r="P30" s="102">
        <v>5.0999999999999996</v>
      </c>
      <c r="Q30" s="102">
        <v>5.0999999999999996</v>
      </c>
      <c r="R30" s="102">
        <v>5.0999999999999996</v>
      </c>
      <c r="S30" s="102">
        <v>5.0999999999999996</v>
      </c>
      <c r="T30" s="102">
        <v>5.0999999999999996</v>
      </c>
      <c r="U30" s="102">
        <v>5.0999999999999996</v>
      </c>
      <c r="V30" s="102">
        <v>5.0999999999999996</v>
      </c>
      <c r="W30" s="102">
        <v>5.0999999999999996</v>
      </c>
      <c r="X30" s="102">
        <v>5.0999999999999996</v>
      </c>
      <c r="Y30" s="102">
        <v>5.0999999999999996</v>
      </c>
      <c r="Z30" s="102">
        <v>5.0999999999999996</v>
      </c>
      <c r="AA30" s="102">
        <v>5.0999999999999996</v>
      </c>
      <c r="AB30" s="102">
        <v>5.0999999999999996</v>
      </c>
      <c r="AC30" s="102">
        <v>5.0999999999999996</v>
      </c>
      <c r="AD30" s="102">
        <v>5.0999999999999996</v>
      </c>
      <c r="AE30" s="102">
        <v>5.0999999999999996</v>
      </c>
      <c r="AF30" s="102">
        <v>5.0999999999999996</v>
      </c>
      <c r="AG30" s="130">
        <v>23.5</v>
      </c>
      <c r="AH30" s="12">
        <f t="shared" si="8"/>
        <v>5.0999999999999996</v>
      </c>
      <c r="AI30" s="11">
        <f t="shared" si="9"/>
        <v>5.0999999999999996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25">
      <c r="A31" s="89" t="s">
        <v>236</v>
      </c>
      <c r="B31" s="102">
        <v>0</v>
      </c>
      <c r="C31" s="102">
        <v>0</v>
      </c>
      <c r="D31" s="102">
        <v>0</v>
      </c>
      <c r="E31" s="102">
        <v>0</v>
      </c>
      <c r="F31" s="102">
        <v>0</v>
      </c>
      <c r="G31" s="102">
        <v>0</v>
      </c>
      <c r="H31" s="102">
        <v>0</v>
      </c>
      <c r="I31" s="102">
        <v>0</v>
      </c>
      <c r="J31" s="102">
        <v>0</v>
      </c>
      <c r="K31" s="102">
        <v>0</v>
      </c>
      <c r="L31" s="102">
        <v>0</v>
      </c>
      <c r="M31" s="102">
        <v>0</v>
      </c>
      <c r="N31" s="102">
        <v>0</v>
      </c>
      <c r="O31" s="102">
        <v>0</v>
      </c>
      <c r="P31" s="102">
        <v>0</v>
      </c>
      <c r="Q31" s="102">
        <v>0</v>
      </c>
      <c r="R31" s="102">
        <v>0</v>
      </c>
      <c r="S31" s="102">
        <v>0</v>
      </c>
      <c r="T31" s="102">
        <v>0</v>
      </c>
      <c r="U31" s="102">
        <v>0</v>
      </c>
      <c r="V31" s="102">
        <v>0</v>
      </c>
      <c r="W31" s="102">
        <v>0</v>
      </c>
      <c r="X31" s="102">
        <v>0</v>
      </c>
      <c r="Y31" s="102">
        <v>0</v>
      </c>
      <c r="Z31" s="102">
        <v>0</v>
      </c>
      <c r="AA31" s="102">
        <v>0</v>
      </c>
      <c r="AB31" s="102">
        <v>0</v>
      </c>
      <c r="AC31" s="102">
        <v>0</v>
      </c>
      <c r="AD31" s="102">
        <v>0</v>
      </c>
      <c r="AE31" s="102">
        <v>0</v>
      </c>
      <c r="AF31" s="102">
        <v>0</v>
      </c>
      <c r="AG31" s="130">
        <v>22.2</v>
      </c>
      <c r="AH31" s="12">
        <f t="shared" si="8"/>
        <v>0</v>
      </c>
      <c r="AI31" s="11">
        <f t="shared" si="9"/>
        <v>0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25">
      <c r="A32" s="89" t="s">
        <v>235</v>
      </c>
      <c r="B32" s="102">
        <v>3</v>
      </c>
      <c r="C32" s="102">
        <v>3</v>
      </c>
      <c r="D32" s="102">
        <v>3</v>
      </c>
      <c r="E32" s="102">
        <v>3</v>
      </c>
      <c r="F32" s="102">
        <v>3</v>
      </c>
      <c r="G32" s="102">
        <v>3</v>
      </c>
      <c r="H32" s="102">
        <v>3</v>
      </c>
      <c r="I32" s="102">
        <v>3</v>
      </c>
      <c r="J32" s="102">
        <v>3</v>
      </c>
      <c r="K32" s="102">
        <v>3</v>
      </c>
      <c r="L32" s="102">
        <v>3</v>
      </c>
      <c r="M32" s="102">
        <v>3</v>
      </c>
      <c r="N32" s="102">
        <v>3</v>
      </c>
      <c r="O32" s="102">
        <v>3</v>
      </c>
      <c r="P32" s="102">
        <v>3</v>
      </c>
      <c r="Q32" s="102">
        <v>3</v>
      </c>
      <c r="R32" s="102">
        <v>3</v>
      </c>
      <c r="S32" s="102">
        <v>3</v>
      </c>
      <c r="T32" s="102">
        <v>3</v>
      </c>
      <c r="U32" s="102">
        <v>3</v>
      </c>
      <c r="V32" s="102">
        <v>3</v>
      </c>
      <c r="W32" s="102">
        <v>3</v>
      </c>
      <c r="X32" s="102">
        <v>3</v>
      </c>
      <c r="Y32" s="102">
        <v>3</v>
      </c>
      <c r="Z32" s="102">
        <v>3</v>
      </c>
      <c r="AA32" s="102">
        <v>3</v>
      </c>
      <c r="AB32" s="102">
        <v>3</v>
      </c>
      <c r="AC32" s="102">
        <v>3</v>
      </c>
      <c r="AD32" s="102">
        <v>3</v>
      </c>
      <c r="AE32" s="102">
        <v>3</v>
      </c>
      <c r="AF32" s="102">
        <v>3</v>
      </c>
      <c r="AG32" s="130">
        <v>22.1</v>
      </c>
      <c r="AH32" s="12">
        <f t="shared" si="8"/>
        <v>3</v>
      </c>
      <c r="AI32" s="11">
        <f t="shared" si="9"/>
        <v>3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25">
      <c r="A33" s="89" t="s">
        <v>234</v>
      </c>
      <c r="B33" s="102">
        <v>3.9</v>
      </c>
      <c r="C33" s="102">
        <v>3.9</v>
      </c>
      <c r="D33" s="102">
        <v>3.9</v>
      </c>
      <c r="E33" s="102">
        <v>3.9</v>
      </c>
      <c r="F33" s="102">
        <v>3.9</v>
      </c>
      <c r="G33" s="102">
        <v>3.9</v>
      </c>
      <c r="H33" s="102">
        <v>3.9</v>
      </c>
      <c r="I33" s="102">
        <v>3.9</v>
      </c>
      <c r="J33" s="102">
        <v>3.9</v>
      </c>
      <c r="K33" s="102">
        <v>3.9</v>
      </c>
      <c r="L33" s="102">
        <v>3.9</v>
      </c>
      <c r="M33" s="102">
        <v>3.9</v>
      </c>
      <c r="N33" s="102">
        <v>3.9</v>
      </c>
      <c r="O33" s="102">
        <v>3.9</v>
      </c>
      <c r="P33" s="102">
        <v>3.9</v>
      </c>
      <c r="Q33" s="102">
        <v>3.9</v>
      </c>
      <c r="R33" s="102">
        <v>3.9</v>
      </c>
      <c r="S33" s="102">
        <v>3.9</v>
      </c>
      <c r="T33" s="102">
        <v>3.9</v>
      </c>
      <c r="U33" s="102">
        <v>3.9</v>
      </c>
      <c r="V33" s="102">
        <v>3.9</v>
      </c>
      <c r="W33" s="102">
        <v>3.9</v>
      </c>
      <c r="X33" s="102">
        <v>3.9</v>
      </c>
      <c r="Y33" s="102">
        <v>3.9</v>
      </c>
      <c r="Z33" s="102">
        <v>5.3</v>
      </c>
      <c r="AA33" s="102">
        <v>5.3</v>
      </c>
      <c r="AB33" s="102">
        <v>5.3</v>
      </c>
      <c r="AC33" s="102">
        <v>5.3</v>
      </c>
      <c r="AD33" s="102">
        <v>5.3</v>
      </c>
      <c r="AE33" s="102">
        <v>5.3</v>
      </c>
      <c r="AF33" s="102">
        <v>5.3</v>
      </c>
      <c r="AG33" s="130">
        <v>22</v>
      </c>
      <c r="AH33" s="12">
        <f t="shared" si="8"/>
        <v>5.3</v>
      </c>
      <c r="AI33" s="11">
        <f t="shared" si="9"/>
        <v>3.9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25">
      <c r="A34" s="89" t="s">
        <v>233</v>
      </c>
      <c r="B34" s="102">
        <v>10.8</v>
      </c>
      <c r="C34" s="102">
        <v>10.8</v>
      </c>
      <c r="D34" s="102">
        <v>10.8</v>
      </c>
      <c r="E34" s="102">
        <v>10.8</v>
      </c>
      <c r="F34" s="102">
        <v>10.8</v>
      </c>
      <c r="G34" s="102">
        <v>10.8</v>
      </c>
      <c r="H34" s="102">
        <v>10.8</v>
      </c>
      <c r="I34" s="102">
        <v>10.8</v>
      </c>
      <c r="J34" s="102">
        <v>10.8</v>
      </c>
      <c r="K34" s="102">
        <v>10.8</v>
      </c>
      <c r="L34" s="102">
        <v>10.8</v>
      </c>
      <c r="M34" s="102">
        <v>10.8</v>
      </c>
      <c r="N34" s="102">
        <v>10.8</v>
      </c>
      <c r="O34" s="102">
        <v>10.8</v>
      </c>
      <c r="P34" s="102">
        <v>10.8</v>
      </c>
      <c r="Q34" s="102">
        <v>10.8</v>
      </c>
      <c r="R34" s="102">
        <v>10.8</v>
      </c>
      <c r="S34" s="102">
        <v>10.8</v>
      </c>
      <c r="T34" s="102">
        <v>10.8</v>
      </c>
      <c r="U34" s="102">
        <v>10.8</v>
      </c>
      <c r="V34" s="102">
        <v>10.8</v>
      </c>
      <c r="W34" s="102">
        <v>10.8</v>
      </c>
      <c r="X34" s="102">
        <v>10.8</v>
      </c>
      <c r="Y34" s="102">
        <v>10.8</v>
      </c>
      <c r="Z34" s="102">
        <v>8.5</v>
      </c>
      <c r="AA34" s="102">
        <v>8.5</v>
      </c>
      <c r="AB34" s="102">
        <v>8.5</v>
      </c>
      <c r="AC34" s="102">
        <v>8.5</v>
      </c>
      <c r="AD34" s="102">
        <v>8.5</v>
      </c>
      <c r="AE34" s="102">
        <v>8.5</v>
      </c>
      <c r="AF34" s="102">
        <v>8.5</v>
      </c>
      <c r="AG34" s="130">
        <v>22</v>
      </c>
      <c r="AH34" s="12">
        <f t="shared" si="8"/>
        <v>10.8</v>
      </c>
      <c r="AI34" s="11">
        <f t="shared" si="9"/>
        <v>8.5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25">
      <c r="A35" s="89" t="s">
        <v>232</v>
      </c>
      <c r="B35" s="102">
        <v>9.6</v>
      </c>
      <c r="C35" s="102">
        <v>9.6</v>
      </c>
      <c r="D35" s="102">
        <v>9.6</v>
      </c>
      <c r="E35" s="102">
        <v>9.6</v>
      </c>
      <c r="F35" s="102">
        <v>9.6</v>
      </c>
      <c r="G35" s="102">
        <v>9.6</v>
      </c>
      <c r="H35" s="102">
        <v>9.6</v>
      </c>
      <c r="I35" s="102">
        <v>9.6</v>
      </c>
      <c r="J35" s="102">
        <v>9.6</v>
      </c>
      <c r="K35" s="102">
        <v>9.6</v>
      </c>
      <c r="L35" s="102">
        <v>9.6</v>
      </c>
      <c r="M35" s="102">
        <v>9.6</v>
      </c>
      <c r="N35" s="102">
        <v>9.6</v>
      </c>
      <c r="O35" s="102">
        <v>9.6</v>
      </c>
      <c r="P35" s="102">
        <v>9.6</v>
      </c>
      <c r="Q35" s="102">
        <v>9.6</v>
      </c>
      <c r="R35" s="102">
        <v>9.6</v>
      </c>
      <c r="S35" s="102">
        <v>9.6</v>
      </c>
      <c r="T35" s="102">
        <v>9.6</v>
      </c>
      <c r="U35" s="102">
        <v>9.6</v>
      </c>
      <c r="V35" s="102">
        <v>9.6</v>
      </c>
      <c r="W35" s="102">
        <v>9.6</v>
      </c>
      <c r="X35" s="102">
        <v>9.6</v>
      </c>
      <c r="Y35" s="102">
        <v>9.6</v>
      </c>
      <c r="Z35" s="102">
        <v>7.4</v>
      </c>
      <c r="AA35" s="102">
        <v>7.4</v>
      </c>
      <c r="AB35" s="102">
        <v>7.4</v>
      </c>
      <c r="AC35" s="102">
        <v>7.4</v>
      </c>
      <c r="AD35" s="102">
        <v>7.4</v>
      </c>
      <c r="AE35" s="102">
        <v>7.4</v>
      </c>
      <c r="AF35" s="102">
        <v>7.4</v>
      </c>
      <c r="AG35" s="130">
        <v>20</v>
      </c>
      <c r="AH35" s="12">
        <f t="shared" si="8"/>
        <v>9.6</v>
      </c>
      <c r="AI35" s="11">
        <f t="shared" si="9"/>
        <v>7.4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25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25">
      <c r="A37" s="89" t="s">
        <v>230</v>
      </c>
      <c r="B37" s="102">
        <v>5.8</v>
      </c>
      <c r="C37" s="102">
        <v>5.8</v>
      </c>
      <c r="D37" s="102">
        <v>5.8</v>
      </c>
      <c r="E37" s="102">
        <v>5.8</v>
      </c>
      <c r="F37" s="102">
        <v>5.8</v>
      </c>
      <c r="G37" s="102">
        <v>5.8</v>
      </c>
      <c r="H37" s="102">
        <v>5.8</v>
      </c>
      <c r="I37" s="102">
        <v>5.8</v>
      </c>
      <c r="J37" s="102">
        <v>5.8</v>
      </c>
      <c r="K37" s="102">
        <v>5.8</v>
      </c>
      <c r="L37" s="102">
        <v>5.8</v>
      </c>
      <c r="M37" s="102">
        <v>5.8</v>
      </c>
      <c r="N37" s="102">
        <v>5.8</v>
      </c>
      <c r="O37" s="102">
        <v>5.8</v>
      </c>
      <c r="P37" s="102">
        <v>5.8</v>
      </c>
      <c r="Q37" s="102">
        <v>5.8</v>
      </c>
      <c r="R37" s="102">
        <v>5.8</v>
      </c>
      <c r="S37" s="102">
        <v>5.8</v>
      </c>
      <c r="T37" s="102">
        <v>5.8</v>
      </c>
      <c r="U37" s="102">
        <v>5.8</v>
      </c>
      <c r="V37" s="102">
        <v>5.8</v>
      </c>
      <c r="W37" s="102">
        <v>5.8</v>
      </c>
      <c r="X37" s="102">
        <v>5.8</v>
      </c>
      <c r="Y37" s="102">
        <v>5.8</v>
      </c>
      <c r="Z37" s="102">
        <v>5.8</v>
      </c>
      <c r="AA37" s="102">
        <v>5.8</v>
      </c>
      <c r="AB37" s="102">
        <v>5.8</v>
      </c>
      <c r="AC37" s="102">
        <v>5.8</v>
      </c>
      <c r="AD37" s="102">
        <v>5.8</v>
      </c>
      <c r="AE37" s="102">
        <v>5.8</v>
      </c>
      <c r="AF37" s="102">
        <v>5.8</v>
      </c>
      <c r="AG37" s="130">
        <v>18</v>
      </c>
      <c r="AH37" s="12">
        <f t="shared" si="8"/>
        <v>5.8</v>
      </c>
      <c r="AI37" s="11">
        <f t="shared" si="9"/>
        <v>5.8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25">
      <c r="A38" s="89" t="s">
        <v>229</v>
      </c>
      <c r="B38" s="102">
        <v>5.0999999999999996</v>
      </c>
      <c r="C38" s="102">
        <v>5.0999999999999996</v>
      </c>
      <c r="D38" s="102">
        <v>5.0999999999999996</v>
      </c>
      <c r="E38" s="102">
        <v>5.0999999999999996</v>
      </c>
      <c r="F38" s="102">
        <v>5.0999999999999996</v>
      </c>
      <c r="G38" s="102">
        <v>5.0999999999999996</v>
      </c>
      <c r="H38" s="102">
        <v>5.0999999999999996</v>
      </c>
      <c r="I38" s="102">
        <v>5.0999999999999996</v>
      </c>
      <c r="J38" s="102">
        <v>5.0999999999999996</v>
      </c>
      <c r="K38" s="102">
        <v>5.0999999999999996</v>
      </c>
      <c r="L38" s="102">
        <v>5.0999999999999996</v>
      </c>
      <c r="M38" s="102">
        <v>5.0999999999999996</v>
      </c>
      <c r="N38" s="102">
        <v>5.0999999999999996</v>
      </c>
      <c r="O38" s="102">
        <v>5.0999999999999996</v>
      </c>
      <c r="P38" s="102">
        <v>5.0999999999999996</v>
      </c>
      <c r="Q38" s="102">
        <v>5.0999999999999996</v>
      </c>
      <c r="R38" s="102">
        <v>5.0999999999999996</v>
      </c>
      <c r="S38" s="102">
        <v>5.0999999999999996</v>
      </c>
      <c r="T38" s="102">
        <v>5.0999999999999996</v>
      </c>
      <c r="U38" s="102">
        <v>5.0999999999999996</v>
      </c>
      <c r="V38" s="102">
        <v>5.0999999999999996</v>
      </c>
      <c r="W38" s="102">
        <v>5.0999999999999996</v>
      </c>
      <c r="X38" s="102">
        <v>5.0999999999999996</v>
      </c>
      <c r="Y38" s="102">
        <v>5.0999999999999996</v>
      </c>
      <c r="Z38" s="102">
        <v>5.0999999999999996</v>
      </c>
      <c r="AA38" s="102">
        <v>5.0999999999999996</v>
      </c>
      <c r="AB38" s="102">
        <v>5.0999999999999996</v>
      </c>
      <c r="AC38" s="102">
        <v>5.0999999999999996</v>
      </c>
      <c r="AD38" s="102">
        <v>5.0999999999999996</v>
      </c>
      <c r="AE38" s="102">
        <v>5.0999999999999996</v>
      </c>
      <c r="AF38" s="102">
        <v>5.0999999999999996</v>
      </c>
      <c r="AG38" s="130">
        <v>14.9</v>
      </c>
      <c r="AH38" s="12">
        <f t="shared" si="8"/>
        <v>5.0999999999999996</v>
      </c>
      <c r="AI38" s="11">
        <f t="shared" si="9"/>
        <v>5.0999999999999996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25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25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8</v>
      </c>
      <c r="N40" s="102">
        <v>8</v>
      </c>
      <c r="O40" s="102">
        <v>8</v>
      </c>
      <c r="P40" s="102">
        <v>8</v>
      </c>
      <c r="Q40" s="102">
        <v>8</v>
      </c>
      <c r="R40" s="102">
        <v>8</v>
      </c>
      <c r="S40" s="102">
        <v>8</v>
      </c>
      <c r="T40" s="102">
        <v>8</v>
      </c>
      <c r="U40" s="102">
        <v>8</v>
      </c>
      <c r="V40" s="102">
        <v>8</v>
      </c>
      <c r="W40" s="102">
        <v>8</v>
      </c>
      <c r="X40" s="102">
        <v>8</v>
      </c>
      <c r="Y40" s="102">
        <v>8</v>
      </c>
      <c r="Z40" s="102">
        <v>8</v>
      </c>
      <c r="AA40" s="102">
        <v>8</v>
      </c>
      <c r="AB40" s="102">
        <v>8</v>
      </c>
      <c r="AC40" s="102">
        <v>8</v>
      </c>
      <c r="AD40" s="102">
        <v>8</v>
      </c>
      <c r="AE40" s="102">
        <v>8</v>
      </c>
      <c r="AF40" s="102">
        <v>8</v>
      </c>
      <c r="AG40" s="130">
        <v>14.9</v>
      </c>
      <c r="AH40" s="12">
        <f t="shared" si="8"/>
        <v>8</v>
      </c>
      <c r="AI40" s="11">
        <f t="shared" si="9"/>
        <v>8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25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25">
      <c r="A42" s="89" t="s">
        <v>225</v>
      </c>
      <c r="B42" s="102">
        <v>5.2</v>
      </c>
      <c r="C42" s="102">
        <v>5.2</v>
      </c>
      <c r="D42" s="102">
        <v>5.2</v>
      </c>
      <c r="E42" s="102">
        <v>5.2</v>
      </c>
      <c r="F42" s="102">
        <v>5.2</v>
      </c>
      <c r="G42" s="102">
        <v>5.2</v>
      </c>
      <c r="H42" s="102">
        <v>5.2</v>
      </c>
      <c r="I42" s="102">
        <v>5.2</v>
      </c>
      <c r="J42" s="102">
        <v>5.2</v>
      </c>
      <c r="K42" s="102">
        <v>5.2</v>
      </c>
      <c r="L42" s="102">
        <v>5.2</v>
      </c>
      <c r="M42" s="102">
        <v>5.2</v>
      </c>
      <c r="N42" s="102">
        <v>5.2</v>
      </c>
      <c r="O42" s="102">
        <v>5.2</v>
      </c>
      <c r="P42" s="102">
        <v>5.2</v>
      </c>
      <c r="Q42" s="102">
        <v>5.2</v>
      </c>
      <c r="R42" s="102">
        <v>5.2</v>
      </c>
      <c r="S42" s="102">
        <v>5.2</v>
      </c>
      <c r="T42" s="102">
        <v>5.2</v>
      </c>
      <c r="U42" s="102">
        <v>5.2</v>
      </c>
      <c r="V42" s="102">
        <v>5.2</v>
      </c>
      <c r="W42" s="102">
        <v>5.2</v>
      </c>
      <c r="X42" s="102">
        <v>5.2</v>
      </c>
      <c r="Y42" s="102">
        <v>5.2</v>
      </c>
      <c r="Z42" s="102">
        <v>5.2</v>
      </c>
      <c r="AA42" s="102">
        <v>5.2</v>
      </c>
      <c r="AB42" s="102">
        <v>5.2</v>
      </c>
      <c r="AC42" s="102">
        <v>5.2</v>
      </c>
      <c r="AD42" s="102">
        <v>5.2</v>
      </c>
      <c r="AE42" s="102">
        <v>5.2</v>
      </c>
      <c r="AF42" s="102">
        <v>5.2</v>
      </c>
      <c r="AG42" s="130">
        <v>13.6</v>
      </c>
      <c r="AH42" s="12">
        <f t="shared" si="8"/>
        <v>5.2</v>
      </c>
      <c r="AI42" s="11">
        <f t="shared" si="9"/>
        <v>5.2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25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25">
      <c r="A44" s="89" t="s">
        <v>223</v>
      </c>
      <c r="B44" s="102">
        <v>0</v>
      </c>
      <c r="C44" s="102">
        <v>0</v>
      </c>
      <c r="D44" s="102">
        <v>0</v>
      </c>
      <c r="E44" s="102">
        <v>0</v>
      </c>
      <c r="F44" s="102">
        <v>0</v>
      </c>
      <c r="G44" s="102">
        <v>0</v>
      </c>
      <c r="H44" s="102">
        <v>0</v>
      </c>
      <c r="I44" s="102">
        <v>0</v>
      </c>
      <c r="J44" s="102">
        <v>0</v>
      </c>
      <c r="K44" s="102">
        <v>0</v>
      </c>
      <c r="L44" s="102">
        <v>0</v>
      </c>
      <c r="M44" s="102">
        <v>0</v>
      </c>
      <c r="N44" s="102">
        <v>0</v>
      </c>
      <c r="O44" s="102">
        <v>0</v>
      </c>
      <c r="P44" s="102">
        <v>0</v>
      </c>
      <c r="Q44" s="102">
        <v>0</v>
      </c>
      <c r="R44" s="102">
        <v>0</v>
      </c>
      <c r="S44" s="102">
        <v>0</v>
      </c>
      <c r="T44" s="102">
        <v>0</v>
      </c>
      <c r="U44" s="102">
        <v>0</v>
      </c>
      <c r="V44" s="102">
        <v>0</v>
      </c>
      <c r="W44" s="102">
        <v>0</v>
      </c>
      <c r="X44" s="102">
        <v>0</v>
      </c>
      <c r="Y44" s="102">
        <v>0</v>
      </c>
      <c r="Z44" s="102">
        <v>0</v>
      </c>
      <c r="AA44" s="102">
        <v>0</v>
      </c>
      <c r="AB44" s="102">
        <v>0</v>
      </c>
      <c r="AC44" s="102">
        <v>0</v>
      </c>
      <c r="AD44" s="102">
        <v>0</v>
      </c>
      <c r="AE44" s="102">
        <v>0</v>
      </c>
      <c r="AF44" s="102">
        <v>0</v>
      </c>
      <c r="AG44" s="130">
        <v>12</v>
      </c>
      <c r="AH44" s="12">
        <f t="shared" si="8"/>
        <v>0</v>
      </c>
      <c r="AI44" s="11">
        <f t="shared" si="9"/>
        <v>0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25">
      <c r="A45" s="89" t="s">
        <v>222</v>
      </c>
      <c r="B45" s="102">
        <v>3.5</v>
      </c>
      <c r="C45" s="102">
        <v>3.5</v>
      </c>
      <c r="D45" s="102">
        <v>3.5</v>
      </c>
      <c r="E45" s="102">
        <v>3.5</v>
      </c>
      <c r="F45" s="102">
        <v>3.5</v>
      </c>
      <c r="G45" s="102">
        <v>3.5</v>
      </c>
      <c r="H45" s="102">
        <v>3.5</v>
      </c>
      <c r="I45" s="102">
        <v>3.5</v>
      </c>
      <c r="J45" s="102">
        <v>3.5</v>
      </c>
      <c r="K45" s="102">
        <v>3.5</v>
      </c>
      <c r="L45" s="102">
        <v>3.5</v>
      </c>
      <c r="M45" s="102">
        <v>3.5</v>
      </c>
      <c r="N45" s="102">
        <v>3.5</v>
      </c>
      <c r="O45" s="102">
        <v>3.5</v>
      </c>
      <c r="P45" s="102">
        <v>3.5</v>
      </c>
      <c r="Q45" s="102">
        <v>3.5</v>
      </c>
      <c r="R45" s="102">
        <v>3.5</v>
      </c>
      <c r="S45" s="102">
        <v>3.5</v>
      </c>
      <c r="T45" s="102">
        <v>3.5</v>
      </c>
      <c r="U45" s="102">
        <v>3.5</v>
      </c>
      <c r="V45" s="102">
        <v>3.5</v>
      </c>
      <c r="W45" s="102">
        <v>3.5</v>
      </c>
      <c r="X45" s="102">
        <v>3.5</v>
      </c>
      <c r="Y45" s="102">
        <v>3.5</v>
      </c>
      <c r="Z45" s="102">
        <v>3.5</v>
      </c>
      <c r="AA45" s="102">
        <v>3.5</v>
      </c>
      <c r="AB45" s="102">
        <v>3.5</v>
      </c>
      <c r="AC45" s="102">
        <v>3.5</v>
      </c>
      <c r="AD45" s="102">
        <v>3.5</v>
      </c>
      <c r="AE45" s="102">
        <v>3.5</v>
      </c>
      <c r="AF45" s="102">
        <v>3.5</v>
      </c>
      <c r="AG45" s="130">
        <v>12</v>
      </c>
      <c r="AH45" s="12">
        <f t="shared" si="8"/>
        <v>3.5</v>
      </c>
      <c r="AI45" s="11">
        <f t="shared" si="9"/>
        <v>3.5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25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25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25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25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25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25">
      <c r="A51" s="87" t="s">
        <v>216</v>
      </c>
      <c r="B51" s="102">
        <v>1.6</v>
      </c>
      <c r="C51" s="102">
        <v>1.6</v>
      </c>
      <c r="D51" s="102">
        <v>1.6</v>
      </c>
      <c r="E51" s="102">
        <v>1.6</v>
      </c>
      <c r="F51" s="102">
        <v>1.6</v>
      </c>
      <c r="G51" s="102">
        <v>1.6</v>
      </c>
      <c r="H51" s="102">
        <v>1.6</v>
      </c>
      <c r="I51" s="102">
        <v>1.6</v>
      </c>
      <c r="J51" s="102">
        <v>1.6</v>
      </c>
      <c r="K51" s="102">
        <v>1.6</v>
      </c>
      <c r="L51" s="102">
        <v>1.6</v>
      </c>
      <c r="M51" s="102">
        <v>1.6</v>
      </c>
      <c r="N51" s="102">
        <v>1.6</v>
      </c>
      <c r="O51" s="102">
        <v>1.6</v>
      </c>
      <c r="P51" s="102">
        <v>1.6</v>
      </c>
      <c r="Q51" s="102">
        <v>1.6</v>
      </c>
      <c r="R51" s="102">
        <v>1.6</v>
      </c>
      <c r="S51" s="102">
        <v>1.6</v>
      </c>
      <c r="T51" s="102">
        <v>1.6</v>
      </c>
      <c r="U51" s="102">
        <v>1.6</v>
      </c>
      <c r="V51" s="102">
        <v>1.6</v>
      </c>
      <c r="W51" s="102">
        <v>1.6</v>
      </c>
      <c r="X51" s="102">
        <v>1.6</v>
      </c>
      <c r="Y51" s="102">
        <v>1.6</v>
      </c>
      <c r="Z51" s="102">
        <v>1.6</v>
      </c>
      <c r="AA51" s="102">
        <v>1.6</v>
      </c>
      <c r="AB51" s="102">
        <v>1.6</v>
      </c>
      <c r="AC51" s="102">
        <v>1.6</v>
      </c>
      <c r="AD51" s="102">
        <v>1.6</v>
      </c>
      <c r="AE51" s="102">
        <v>1.6</v>
      </c>
      <c r="AF51" s="102">
        <v>1.6</v>
      </c>
      <c r="AG51" s="86">
        <v>11</v>
      </c>
      <c r="AH51" s="12">
        <f t="shared" si="8"/>
        <v>1.6</v>
      </c>
      <c r="AI51" s="11">
        <f t="shared" si="9"/>
        <v>1.6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25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25">
      <c r="A53" s="87" t="s">
        <v>214</v>
      </c>
      <c r="B53" s="102">
        <v>8.6999999999999993</v>
      </c>
      <c r="C53" s="102">
        <v>8.6999999999999993</v>
      </c>
      <c r="D53" s="102">
        <v>8.6999999999999993</v>
      </c>
      <c r="E53" s="102">
        <v>8.6999999999999993</v>
      </c>
      <c r="F53" s="102">
        <v>8.6999999999999993</v>
      </c>
      <c r="G53" s="102">
        <v>8.6999999999999993</v>
      </c>
      <c r="H53" s="102">
        <v>8.6999999999999993</v>
      </c>
      <c r="I53" s="102">
        <v>8.6999999999999993</v>
      </c>
      <c r="J53" s="102">
        <v>8.6999999999999993</v>
      </c>
      <c r="K53" s="102">
        <v>8.6999999999999993</v>
      </c>
      <c r="L53" s="102">
        <v>8.6999999999999993</v>
      </c>
      <c r="M53" s="102">
        <v>8.6999999999999993</v>
      </c>
      <c r="N53" s="102">
        <v>8.6999999999999993</v>
      </c>
      <c r="O53" s="102">
        <v>8.6999999999999993</v>
      </c>
      <c r="P53" s="102">
        <v>8.6999999999999993</v>
      </c>
      <c r="Q53" s="102">
        <v>8.6999999999999993</v>
      </c>
      <c r="R53" s="102">
        <v>8.6999999999999993</v>
      </c>
      <c r="S53" s="102">
        <v>8.6999999999999993</v>
      </c>
      <c r="T53" s="102">
        <v>8.6999999999999993</v>
      </c>
      <c r="U53" s="102">
        <v>8.6999999999999993</v>
      </c>
      <c r="V53" s="102">
        <v>8.6999999999999993</v>
      </c>
      <c r="W53" s="102">
        <v>8.6999999999999993</v>
      </c>
      <c r="X53" s="102">
        <v>8.6999999999999993</v>
      </c>
      <c r="Y53" s="102">
        <v>8.6999999999999993</v>
      </c>
      <c r="Z53" s="102">
        <v>5</v>
      </c>
      <c r="AA53" s="102">
        <v>5</v>
      </c>
      <c r="AB53" s="102">
        <v>5</v>
      </c>
      <c r="AC53" s="102">
        <v>5</v>
      </c>
      <c r="AD53" s="102">
        <v>5</v>
      </c>
      <c r="AE53" s="102">
        <v>5</v>
      </c>
      <c r="AF53" s="102">
        <v>5</v>
      </c>
      <c r="AG53" s="86">
        <v>10</v>
      </c>
      <c r="AH53" s="12">
        <f t="shared" si="8"/>
        <v>8.6999999999999993</v>
      </c>
      <c r="AI53" s="11">
        <f t="shared" si="9"/>
        <v>5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25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25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25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.75" thickBot="1" x14ac:dyDescent="0.3">
      <c r="A57" s="124" t="s">
        <v>210</v>
      </c>
      <c r="B57" s="122">
        <v>33.6</v>
      </c>
      <c r="C57" s="122">
        <v>33.6</v>
      </c>
      <c r="D57" s="122">
        <v>33.6</v>
      </c>
      <c r="E57" s="122">
        <v>33.6</v>
      </c>
      <c r="F57" s="122">
        <v>33.6</v>
      </c>
      <c r="G57" s="122">
        <v>33.6</v>
      </c>
      <c r="H57" s="122">
        <v>33.6</v>
      </c>
      <c r="I57" s="122">
        <v>33.6</v>
      </c>
      <c r="J57" s="122">
        <v>33.6</v>
      </c>
      <c r="K57" s="122">
        <v>33.6</v>
      </c>
      <c r="L57" s="122">
        <v>33.6</v>
      </c>
      <c r="M57" s="122">
        <v>33</v>
      </c>
      <c r="N57" s="122">
        <v>33</v>
      </c>
      <c r="O57" s="122">
        <v>33</v>
      </c>
      <c r="P57" s="122">
        <v>33</v>
      </c>
      <c r="Q57" s="122">
        <v>33.799999999999997</v>
      </c>
      <c r="R57" s="122">
        <v>33.799999999999997</v>
      </c>
      <c r="S57" s="122">
        <v>33.799999999999997</v>
      </c>
      <c r="T57" s="122">
        <f>11.7+21</f>
        <v>32.700000000000003</v>
      </c>
      <c r="U57" s="122">
        <f>11.7+21</f>
        <v>32.700000000000003</v>
      </c>
      <c r="V57" s="122">
        <f>11.7+21</f>
        <v>32.700000000000003</v>
      </c>
      <c r="W57" s="122">
        <f t="shared" ref="W57:X57" si="22">11.7+21</f>
        <v>32.700000000000003</v>
      </c>
      <c r="X57" s="122">
        <f t="shared" si="22"/>
        <v>32.700000000000003</v>
      </c>
      <c r="Y57" s="122">
        <v>36</v>
      </c>
      <c r="Z57" s="122">
        <v>35.200000000000003</v>
      </c>
      <c r="AA57" s="122">
        <v>35.200000000000003</v>
      </c>
      <c r="AB57" s="122">
        <f>23.6+12.7</f>
        <v>36.299999999999997</v>
      </c>
      <c r="AC57" s="122">
        <f>24.7+13.1</f>
        <v>37.799999999999997</v>
      </c>
      <c r="AD57" s="122">
        <f>26.4+13.6</f>
        <v>40</v>
      </c>
      <c r="AE57" s="122">
        <f>28.2+14.4</f>
        <v>42.6</v>
      </c>
      <c r="AF57" s="122">
        <f>26.6+13.9</f>
        <v>40.5</v>
      </c>
      <c r="AG57" s="86">
        <v>240</v>
      </c>
      <c r="AH57" s="12">
        <f t="shared" si="8"/>
        <v>42.6</v>
      </c>
      <c r="AI57" s="11">
        <f t="shared" si="9"/>
        <v>32.700000000000003</v>
      </c>
      <c r="AK57" s="19"/>
    </row>
    <row r="58" spans="1:88" ht="15.75" thickBot="1" x14ac:dyDescent="0.3">
      <c r="A58" s="121" t="s">
        <v>209</v>
      </c>
      <c r="B58" s="76">
        <f t="shared" ref="B58" si="23">SUM(B11:B56)</f>
        <v>498.40000000000009</v>
      </c>
      <c r="C58" s="76">
        <f t="shared" ref="C58:AF58" si="24">SUM(C11:C56)</f>
        <v>498.40000000000009</v>
      </c>
      <c r="D58" s="76">
        <f t="shared" si="24"/>
        <v>498.40000000000009</v>
      </c>
      <c r="E58" s="76">
        <f t="shared" si="24"/>
        <v>498.40000000000009</v>
      </c>
      <c r="F58" s="76">
        <f t="shared" si="24"/>
        <v>498.40000000000009</v>
      </c>
      <c r="G58" s="76">
        <f t="shared" si="24"/>
        <v>498.40000000000009</v>
      </c>
      <c r="H58" s="76">
        <f t="shared" si="24"/>
        <v>498.40000000000009</v>
      </c>
      <c r="I58" s="76">
        <f t="shared" si="24"/>
        <v>498.40000000000009</v>
      </c>
      <c r="J58" s="76">
        <f t="shared" si="24"/>
        <v>498.40000000000009</v>
      </c>
      <c r="K58" s="76">
        <f t="shared" si="24"/>
        <v>498.40000000000009</v>
      </c>
      <c r="L58" s="76">
        <f t="shared" si="24"/>
        <v>498.40000000000009</v>
      </c>
      <c r="M58" s="76">
        <f t="shared" ref="M58" si="25">SUM(M11:M56)</f>
        <v>498.40000000000009</v>
      </c>
      <c r="N58" s="76">
        <f t="shared" si="24"/>
        <v>498.40000000000009</v>
      </c>
      <c r="O58" s="76">
        <f t="shared" si="24"/>
        <v>498.40000000000009</v>
      </c>
      <c r="P58" s="76">
        <f t="shared" si="24"/>
        <v>498.40000000000009</v>
      </c>
      <c r="Q58" s="76">
        <f t="shared" si="24"/>
        <v>498.40000000000009</v>
      </c>
      <c r="R58" s="76">
        <f t="shared" si="24"/>
        <v>498.40000000000009</v>
      </c>
      <c r="S58" s="76">
        <f t="shared" si="24"/>
        <v>502.20000000000005</v>
      </c>
      <c r="T58" s="76">
        <f t="shared" si="24"/>
        <v>503.1</v>
      </c>
      <c r="U58" s="76">
        <f t="shared" si="24"/>
        <v>503.1</v>
      </c>
      <c r="V58" s="76">
        <f t="shared" si="24"/>
        <v>503.1</v>
      </c>
      <c r="W58" s="76">
        <f t="shared" ref="W58:X58" si="26">SUM(W11:W56)</f>
        <v>503.1</v>
      </c>
      <c r="X58" s="76">
        <f t="shared" si="26"/>
        <v>503.1</v>
      </c>
      <c r="Y58" s="76">
        <f t="shared" si="24"/>
        <v>503.1</v>
      </c>
      <c r="Z58" s="76">
        <f>SUM(Z11:Z56)</f>
        <v>484.90000000000003</v>
      </c>
      <c r="AA58" s="76">
        <f t="shared" ref="AA58" si="27">SUM(AA11:AA56)</f>
        <v>483.5</v>
      </c>
      <c r="AB58" s="76">
        <f t="shared" si="24"/>
        <v>483.5</v>
      </c>
      <c r="AC58" s="76">
        <f t="shared" si="24"/>
        <v>484.20000000000005</v>
      </c>
      <c r="AD58" s="76">
        <f t="shared" si="24"/>
        <v>484.20000000000005</v>
      </c>
      <c r="AE58" s="76">
        <f t="shared" si="24"/>
        <v>481.5</v>
      </c>
      <c r="AF58" s="76">
        <f t="shared" si="24"/>
        <v>481.20000000000005</v>
      </c>
      <c r="AG58" s="93">
        <f>SUM(AG14:AG56)</f>
        <v>1042.4000000000001</v>
      </c>
      <c r="AH58" s="12">
        <f t="shared" si="8"/>
        <v>503.1</v>
      </c>
      <c r="AI58" s="11">
        <f t="shared" si="9"/>
        <v>481.20000000000005</v>
      </c>
      <c r="AK58" s="19"/>
    </row>
    <row r="59" spans="1:88" x14ac:dyDescent="0.25">
      <c r="A59" s="120" t="s">
        <v>208</v>
      </c>
      <c r="B59" s="102">
        <v>140</v>
      </c>
      <c r="C59" s="102">
        <v>140</v>
      </c>
      <c r="D59" s="102">
        <v>100.7</v>
      </c>
      <c r="E59" s="102">
        <v>100.7</v>
      </c>
      <c r="F59" s="102">
        <v>100.7</v>
      </c>
      <c r="G59" s="102">
        <v>100.7</v>
      </c>
      <c r="H59" s="102">
        <v>100.6</v>
      </c>
      <c r="I59" s="102">
        <v>152.80000000000001</v>
      </c>
      <c r="J59" s="102">
        <v>15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19">
        <v>0</v>
      </c>
      <c r="U59" s="119">
        <v>0</v>
      </c>
      <c r="V59" s="119">
        <v>0</v>
      </c>
      <c r="W59" s="119">
        <v>0</v>
      </c>
      <c r="X59" s="119">
        <v>0</v>
      </c>
      <c r="Y59" s="102">
        <v>283.3</v>
      </c>
      <c r="Z59" s="102">
        <v>420</v>
      </c>
      <c r="AA59" s="102">
        <v>360</v>
      </c>
      <c r="AB59" s="102">
        <v>200</v>
      </c>
      <c r="AC59" s="102">
        <v>175</v>
      </c>
      <c r="AD59" s="102">
        <v>152.80000000000001</v>
      </c>
      <c r="AE59" s="102">
        <v>200</v>
      </c>
      <c r="AF59" s="102">
        <v>150</v>
      </c>
      <c r="AG59" s="88">
        <v>456</v>
      </c>
      <c r="AH59" s="12">
        <f t="shared" si="8"/>
        <v>420</v>
      </c>
      <c r="AI59" s="11">
        <f t="shared" si="9"/>
        <v>0</v>
      </c>
      <c r="AK59" s="19"/>
    </row>
    <row r="60" spans="1:88" x14ac:dyDescent="0.25">
      <c r="A60" s="118" t="s">
        <v>207</v>
      </c>
      <c r="B60" s="70">
        <v>22.3</v>
      </c>
      <c r="C60" s="70">
        <v>22.3</v>
      </c>
      <c r="D60" s="70">
        <v>22.3</v>
      </c>
      <c r="E60" s="70">
        <v>22.3</v>
      </c>
      <c r="F60" s="70">
        <v>22.3</v>
      </c>
      <c r="G60" s="70">
        <v>22.5</v>
      </c>
      <c r="H60" s="70">
        <v>25.6</v>
      </c>
      <c r="I60" s="70">
        <v>24.7</v>
      </c>
      <c r="J60" s="70">
        <v>24.1</v>
      </c>
      <c r="K60" s="70">
        <v>22.8</v>
      </c>
      <c r="L60" s="70">
        <v>24.6</v>
      </c>
      <c r="M60" s="70">
        <v>24.6</v>
      </c>
      <c r="N60" s="70">
        <v>24.6</v>
      </c>
      <c r="O60" s="70">
        <v>24.6</v>
      </c>
      <c r="P60" s="70">
        <v>24.6</v>
      </c>
      <c r="Q60" s="70">
        <v>24.6</v>
      </c>
      <c r="R60" s="70">
        <v>24.6</v>
      </c>
      <c r="S60" s="70">
        <v>24.6</v>
      </c>
      <c r="T60" s="70">
        <v>21.1</v>
      </c>
      <c r="U60" s="70">
        <v>25.2</v>
      </c>
      <c r="V60" s="70">
        <v>21.5</v>
      </c>
      <c r="W60" s="70">
        <v>21.5</v>
      </c>
      <c r="X60" s="70">
        <v>21.5</v>
      </c>
      <c r="Y60" s="70">
        <v>21.8</v>
      </c>
      <c r="Z60" s="70">
        <v>22.6</v>
      </c>
      <c r="AA60" s="70">
        <v>22.6</v>
      </c>
      <c r="AB60" s="70">
        <v>22.6</v>
      </c>
      <c r="AC60" s="70">
        <v>20.9</v>
      </c>
      <c r="AD60" s="70">
        <v>20.9</v>
      </c>
      <c r="AE60" s="70">
        <v>20.9</v>
      </c>
      <c r="AF60" s="70">
        <v>20.9</v>
      </c>
      <c r="AG60" s="86">
        <v>60</v>
      </c>
      <c r="AH60" s="12">
        <f t="shared" si="8"/>
        <v>25.6</v>
      </c>
      <c r="AI60" s="11">
        <f t="shared" si="9"/>
        <v>20.9</v>
      </c>
      <c r="AK60" s="19"/>
    </row>
    <row r="61" spans="1:88" ht="15.75" thickBot="1" x14ac:dyDescent="0.3">
      <c r="A61" s="117" t="s">
        <v>206</v>
      </c>
      <c r="B61" s="110">
        <v>0</v>
      </c>
      <c r="C61" s="110">
        <v>0</v>
      </c>
      <c r="D61" s="110">
        <v>0</v>
      </c>
      <c r="E61" s="110">
        <v>0</v>
      </c>
      <c r="F61" s="110">
        <v>0</v>
      </c>
      <c r="G61" s="110">
        <v>0</v>
      </c>
      <c r="H61" s="110">
        <v>0</v>
      </c>
      <c r="I61" s="110">
        <v>0</v>
      </c>
      <c r="J61" s="110">
        <v>0</v>
      </c>
      <c r="K61" s="110">
        <v>0</v>
      </c>
      <c r="L61" s="110">
        <v>0</v>
      </c>
      <c r="M61" s="110">
        <v>0</v>
      </c>
      <c r="N61" s="110">
        <v>0</v>
      </c>
      <c r="O61" s="110">
        <v>0</v>
      </c>
      <c r="P61" s="110">
        <v>0</v>
      </c>
      <c r="Q61" s="110">
        <v>0</v>
      </c>
      <c r="R61" s="110">
        <v>0</v>
      </c>
      <c r="S61" s="110">
        <v>0</v>
      </c>
      <c r="T61" s="110">
        <v>0</v>
      </c>
      <c r="U61" s="110">
        <v>0</v>
      </c>
      <c r="V61" s="110">
        <v>0</v>
      </c>
      <c r="W61" s="110">
        <v>0</v>
      </c>
      <c r="X61" s="110">
        <v>0</v>
      </c>
      <c r="Y61" s="110">
        <v>0</v>
      </c>
      <c r="Z61" s="110">
        <v>0</v>
      </c>
      <c r="AA61" s="110">
        <v>0</v>
      </c>
      <c r="AB61" s="110">
        <v>0</v>
      </c>
      <c r="AC61" s="110">
        <v>0</v>
      </c>
      <c r="AD61" s="110">
        <v>0</v>
      </c>
      <c r="AE61" s="110">
        <v>0</v>
      </c>
      <c r="AF61" s="110">
        <v>0</v>
      </c>
      <c r="AG61" s="109">
        <v>22.1</v>
      </c>
      <c r="AH61" s="12">
        <f t="shared" si="8"/>
        <v>0</v>
      </c>
      <c r="AI61" s="11">
        <f t="shared" si="9"/>
        <v>0</v>
      </c>
      <c r="AK61" s="19"/>
    </row>
    <row r="62" spans="1:88" ht="15.75" thickBot="1" x14ac:dyDescent="0.3">
      <c r="A62" s="116" t="s">
        <v>205</v>
      </c>
      <c r="B62" s="76">
        <f t="shared" ref="B62" si="28">SUM(B59:B61)</f>
        <v>162.30000000000001</v>
      </c>
      <c r="C62" s="76">
        <f t="shared" ref="C62:AG62" si="29">SUM(C59:C61)</f>
        <v>162.30000000000001</v>
      </c>
      <c r="D62" s="76">
        <f t="shared" si="29"/>
        <v>123</v>
      </c>
      <c r="E62" s="76">
        <f t="shared" si="29"/>
        <v>123</v>
      </c>
      <c r="F62" s="76">
        <f t="shared" si="29"/>
        <v>123</v>
      </c>
      <c r="G62" s="76">
        <f t="shared" si="29"/>
        <v>123.2</v>
      </c>
      <c r="H62" s="76">
        <f t="shared" si="29"/>
        <v>126.19999999999999</v>
      </c>
      <c r="I62" s="76">
        <f t="shared" si="29"/>
        <v>177.5</v>
      </c>
      <c r="J62" s="76">
        <f t="shared" si="29"/>
        <v>39.1</v>
      </c>
      <c r="K62" s="76">
        <f t="shared" si="29"/>
        <v>22.8</v>
      </c>
      <c r="L62" s="76">
        <f t="shared" si="29"/>
        <v>24.6</v>
      </c>
      <c r="M62" s="76">
        <f t="shared" ref="M62" si="30">SUM(M59:M61)</f>
        <v>24.6</v>
      </c>
      <c r="N62" s="76">
        <f t="shared" si="29"/>
        <v>24.6</v>
      </c>
      <c r="O62" s="76">
        <f t="shared" si="29"/>
        <v>24.6</v>
      </c>
      <c r="P62" s="76">
        <f t="shared" si="29"/>
        <v>24.6</v>
      </c>
      <c r="Q62" s="76">
        <f t="shared" si="29"/>
        <v>24.6</v>
      </c>
      <c r="R62" s="76">
        <f t="shared" si="29"/>
        <v>24.6</v>
      </c>
      <c r="S62" s="76">
        <f t="shared" si="29"/>
        <v>24.6</v>
      </c>
      <c r="T62" s="76">
        <f t="shared" si="29"/>
        <v>21.1</v>
      </c>
      <c r="U62" s="76">
        <f t="shared" si="29"/>
        <v>25.2</v>
      </c>
      <c r="V62" s="76">
        <f t="shared" si="29"/>
        <v>21.5</v>
      </c>
      <c r="W62" s="76">
        <f t="shared" ref="W62:X62" si="31">SUM(W59:W61)</f>
        <v>21.5</v>
      </c>
      <c r="X62" s="76">
        <f t="shared" si="31"/>
        <v>21.5</v>
      </c>
      <c r="Y62" s="76">
        <f t="shared" si="29"/>
        <v>305.10000000000002</v>
      </c>
      <c r="Z62" s="76">
        <f>SUM(Z59:Z61)</f>
        <v>442.6</v>
      </c>
      <c r="AA62" s="76">
        <f>SUM(AA59:AA61)</f>
        <v>382.6</v>
      </c>
      <c r="AB62" s="76">
        <f t="shared" si="29"/>
        <v>222.6</v>
      </c>
      <c r="AC62" s="76">
        <f t="shared" si="29"/>
        <v>195.9</v>
      </c>
      <c r="AD62" s="76">
        <f t="shared" si="29"/>
        <v>173.70000000000002</v>
      </c>
      <c r="AE62" s="76">
        <f t="shared" si="29"/>
        <v>220.9</v>
      </c>
      <c r="AF62" s="76">
        <f t="shared" si="29"/>
        <v>170.9</v>
      </c>
      <c r="AG62" s="93">
        <f t="shared" si="29"/>
        <v>538.1</v>
      </c>
      <c r="AH62" s="12">
        <f t="shared" si="8"/>
        <v>442.6</v>
      </c>
      <c r="AI62" s="11">
        <f t="shared" si="9"/>
        <v>21.1</v>
      </c>
      <c r="AK62" s="19"/>
    </row>
    <row r="63" spans="1:88" x14ac:dyDescent="0.25">
      <c r="A63" s="89" t="s">
        <v>204</v>
      </c>
      <c r="B63" s="102">
        <v>80</v>
      </c>
      <c r="C63" s="102">
        <v>80</v>
      </c>
      <c r="D63" s="102">
        <v>70</v>
      </c>
      <c r="E63" s="102">
        <v>60</v>
      </c>
      <c r="F63" s="102">
        <v>60</v>
      </c>
      <c r="G63" s="102">
        <v>60</v>
      </c>
      <c r="H63" s="102">
        <v>80</v>
      </c>
      <c r="I63" s="102">
        <v>90</v>
      </c>
      <c r="J63" s="102">
        <v>64</v>
      </c>
      <c r="K63" s="102">
        <v>64</v>
      </c>
      <c r="L63" s="102">
        <v>97.6</v>
      </c>
      <c r="M63" s="102">
        <v>77</v>
      </c>
      <c r="N63" s="102">
        <v>71</v>
      </c>
      <c r="O63" s="102">
        <v>71</v>
      </c>
      <c r="P63" s="102">
        <v>61.1</v>
      </c>
      <c r="Q63" s="102">
        <v>61.1</v>
      </c>
      <c r="R63" s="102">
        <v>61.1</v>
      </c>
      <c r="S63" s="102">
        <v>61.1</v>
      </c>
      <c r="T63" s="102">
        <v>60</v>
      </c>
      <c r="U63" s="102">
        <v>61.6</v>
      </c>
      <c r="V63" s="102">
        <v>60.9</v>
      </c>
      <c r="W63" s="102">
        <v>60.9</v>
      </c>
      <c r="X63" s="102">
        <v>60.9</v>
      </c>
      <c r="Y63" s="102">
        <v>91.4</v>
      </c>
      <c r="Z63" s="102">
        <v>115.6</v>
      </c>
      <c r="AA63" s="102">
        <v>115.6</v>
      </c>
      <c r="AB63" s="102">
        <v>115.4</v>
      </c>
      <c r="AC63" s="102">
        <v>115.6</v>
      </c>
      <c r="AD63" s="102">
        <v>101.3</v>
      </c>
      <c r="AE63" s="102">
        <v>90</v>
      </c>
      <c r="AF63" s="102">
        <v>91.4</v>
      </c>
      <c r="AG63" s="88">
        <v>144</v>
      </c>
      <c r="AH63" s="12">
        <f t="shared" si="8"/>
        <v>115.6</v>
      </c>
      <c r="AI63" s="11">
        <f t="shared" si="9"/>
        <v>60</v>
      </c>
      <c r="AK63" s="19"/>
    </row>
    <row r="64" spans="1:88" x14ac:dyDescent="0.25">
      <c r="A64" s="87" t="s">
        <v>203</v>
      </c>
      <c r="B64" s="70">
        <v>69.900000000000006</v>
      </c>
      <c r="C64" s="70">
        <v>50</v>
      </c>
      <c r="D64" s="70">
        <v>35</v>
      </c>
      <c r="E64" s="70">
        <v>0</v>
      </c>
      <c r="F64" s="70">
        <v>0</v>
      </c>
      <c r="G64" s="70">
        <v>0</v>
      </c>
      <c r="H64" s="70">
        <v>25</v>
      </c>
      <c r="I64" s="70">
        <v>35</v>
      </c>
      <c r="J64" s="70">
        <v>25</v>
      </c>
      <c r="K64" s="70">
        <v>30</v>
      </c>
      <c r="L64" s="70">
        <v>29.8</v>
      </c>
      <c r="M64" s="70">
        <v>29.8</v>
      </c>
      <c r="N64" s="70">
        <v>29.8</v>
      </c>
      <c r="O64" s="70">
        <v>34.700000000000003</v>
      </c>
      <c r="P64" s="70">
        <v>49.6</v>
      </c>
      <c r="Q64" s="70">
        <v>49.6</v>
      </c>
      <c r="R64" s="70">
        <v>49.6</v>
      </c>
      <c r="S64" s="70">
        <v>49.6</v>
      </c>
      <c r="T64" s="70">
        <v>45.7</v>
      </c>
      <c r="U64" s="70">
        <v>34.4</v>
      </c>
      <c r="V64" s="70">
        <v>35.1</v>
      </c>
      <c r="W64" s="70">
        <v>35.1</v>
      </c>
      <c r="X64" s="70">
        <v>35.1</v>
      </c>
      <c r="Y64" s="102">
        <v>50.5</v>
      </c>
      <c r="Z64" s="102">
        <v>50</v>
      </c>
      <c r="AA64" s="102">
        <v>50</v>
      </c>
      <c r="AB64" s="102">
        <v>48.9</v>
      </c>
      <c r="AC64" s="102">
        <v>49.3</v>
      </c>
      <c r="AD64" s="102">
        <v>49.9</v>
      </c>
      <c r="AE64" s="102">
        <v>48.8</v>
      </c>
      <c r="AF64" s="102">
        <v>50.1</v>
      </c>
      <c r="AG64" s="86">
        <v>70</v>
      </c>
      <c r="AH64" s="12">
        <f t="shared" si="8"/>
        <v>69.900000000000006</v>
      </c>
      <c r="AI64" s="11">
        <f t="shared" si="9"/>
        <v>0</v>
      </c>
      <c r="AK64" s="19"/>
    </row>
    <row r="65" spans="1:75" x14ac:dyDescent="0.25">
      <c r="A65" s="87" t="s">
        <v>202</v>
      </c>
      <c r="B65" s="70">
        <v>60</v>
      </c>
      <c r="C65" s="70">
        <v>60</v>
      </c>
      <c r="D65" s="70">
        <v>60</v>
      </c>
      <c r="E65" s="70">
        <v>61.3</v>
      </c>
      <c r="F65" s="70">
        <v>34</v>
      </c>
      <c r="G65" s="70">
        <v>33</v>
      </c>
      <c r="H65" s="70">
        <v>33</v>
      </c>
      <c r="I65" s="70">
        <v>33</v>
      </c>
      <c r="J65" s="70">
        <v>33</v>
      </c>
      <c r="K65" s="70">
        <v>32</v>
      </c>
      <c r="L65" s="70">
        <v>45.3</v>
      </c>
      <c r="M65" s="70">
        <v>45.3</v>
      </c>
      <c r="N65" s="70">
        <v>45.3</v>
      </c>
      <c r="O65" s="70">
        <v>45.3</v>
      </c>
      <c r="P65" s="70">
        <v>45.3</v>
      </c>
      <c r="Q65" s="70">
        <v>32</v>
      </c>
      <c r="R65" s="70">
        <v>32</v>
      </c>
      <c r="S65" s="70">
        <v>32</v>
      </c>
      <c r="T65" s="70">
        <v>35.5</v>
      </c>
      <c r="U65" s="70">
        <v>36.799999999999997</v>
      </c>
      <c r="V65" s="70">
        <v>36</v>
      </c>
      <c r="W65" s="70">
        <v>36</v>
      </c>
      <c r="X65" s="70">
        <v>32</v>
      </c>
      <c r="Y65" s="102">
        <v>65.599999999999994</v>
      </c>
      <c r="Z65" s="102">
        <v>65.3</v>
      </c>
      <c r="AA65" s="102">
        <v>65.3</v>
      </c>
      <c r="AB65" s="102">
        <v>66</v>
      </c>
      <c r="AC65" s="102">
        <v>66.099999999999994</v>
      </c>
      <c r="AD65" s="102">
        <v>66</v>
      </c>
      <c r="AE65" s="102">
        <v>62.4</v>
      </c>
      <c r="AF65" s="102">
        <v>51</v>
      </c>
      <c r="AG65" s="86">
        <v>69</v>
      </c>
      <c r="AH65" s="12">
        <f t="shared" si="8"/>
        <v>66.099999999999994</v>
      </c>
      <c r="AI65" s="11">
        <f t="shared" si="9"/>
        <v>32</v>
      </c>
      <c r="AK65" s="19"/>
    </row>
    <row r="66" spans="1:75" x14ac:dyDescent="0.25">
      <c r="A66" s="87" t="s">
        <v>201</v>
      </c>
      <c r="B66" s="70">
        <v>50</v>
      </c>
      <c r="C66" s="70">
        <v>54</v>
      </c>
      <c r="D66" s="70">
        <v>54</v>
      </c>
      <c r="E66" s="70">
        <v>54.2</v>
      </c>
      <c r="F66" s="70">
        <v>54.2</v>
      </c>
      <c r="G66" s="70">
        <v>54.2</v>
      </c>
      <c r="H66" s="70">
        <v>51.9</v>
      </c>
      <c r="I66" s="70">
        <v>51.9</v>
      </c>
      <c r="J66" s="70">
        <v>50.2</v>
      </c>
      <c r="K66" s="122">
        <v>52.1</v>
      </c>
      <c r="L66" s="122">
        <v>52.1</v>
      </c>
      <c r="M66" s="122">
        <v>52.1</v>
      </c>
      <c r="N66" s="122">
        <v>52.1</v>
      </c>
      <c r="O66" s="122">
        <v>52.1</v>
      </c>
      <c r="P66" s="70">
        <v>50.4</v>
      </c>
      <c r="Q66" s="70">
        <v>50.4</v>
      </c>
      <c r="R66" s="70">
        <v>50.4</v>
      </c>
      <c r="S66" s="70">
        <v>50.4</v>
      </c>
      <c r="T66" s="70">
        <v>49.4</v>
      </c>
      <c r="U66" s="70">
        <v>47.4</v>
      </c>
      <c r="V66" s="70">
        <v>50.2</v>
      </c>
      <c r="W66" s="70">
        <v>50.2</v>
      </c>
      <c r="X66" s="70">
        <v>50.2</v>
      </c>
      <c r="Y66" s="70">
        <v>50.2</v>
      </c>
      <c r="Z66" s="102">
        <v>48.6</v>
      </c>
      <c r="AA66" s="102">
        <v>48.6</v>
      </c>
      <c r="AB66" s="102">
        <v>47.8</v>
      </c>
      <c r="AC66" s="102">
        <v>47.4</v>
      </c>
      <c r="AD66" s="102">
        <v>47.6</v>
      </c>
      <c r="AE66" s="102">
        <v>49.4</v>
      </c>
      <c r="AF66" s="102">
        <v>53.2</v>
      </c>
      <c r="AG66" s="86">
        <v>60</v>
      </c>
      <c r="AH66" s="12">
        <f t="shared" si="8"/>
        <v>54.2</v>
      </c>
      <c r="AI66" s="11">
        <f t="shared" si="9"/>
        <v>47.4</v>
      </c>
      <c r="AK66" s="19"/>
    </row>
    <row r="67" spans="1:75" x14ac:dyDescent="0.25">
      <c r="A67" s="87" t="s">
        <v>200</v>
      </c>
      <c r="B67" s="102">
        <v>10</v>
      </c>
      <c r="C67" s="102">
        <v>10</v>
      </c>
      <c r="D67" s="102">
        <v>0</v>
      </c>
      <c r="E67" s="70">
        <v>0</v>
      </c>
      <c r="F67" s="70">
        <v>0</v>
      </c>
      <c r="G67" s="70">
        <v>0</v>
      </c>
      <c r="H67" s="70">
        <v>0</v>
      </c>
      <c r="I67" s="70">
        <v>0</v>
      </c>
      <c r="J67" s="70">
        <v>0</v>
      </c>
      <c r="K67" s="70">
        <v>0</v>
      </c>
      <c r="L67" s="122">
        <v>0</v>
      </c>
      <c r="M67" s="122">
        <v>10.8</v>
      </c>
      <c r="N67" s="122">
        <v>10.8</v>
      </c>
      <c r="O67" s="122">
        <v>14.4</v>
      </c>
      <c r="P67" s="70">
        <v>14.7</v>
      </c>
      <c r="Q67" s="70">
        <v>9.6999999999999993</v>
      </c>
      <c r="R67" s="70">
        <v>15.2</v>
      </c>
      <c r="S67" s="70">
        <v>22</v>
      </c>
      <c r="T67" s="70">
        <v>24.7</v>
      </c>
      <c r="U67" s="70">
        <v>0</v>
      </c>
      <c r="V67" s="70">
        <v>0</v>
      </c>
      <c r="W67" s="70">
        <v>0</v>
      </c>
      <c r="X67" s="70">
        <v>0</v>
      </c>
      <c r="Y67" s="70">
        <v>28.6</v>
      </c>
      <c r="Z67" s="102">
        <v>28.5</v>
      </c>
      <c r="AA67" s="102">
        <v>28.5</v>
      </c>
      <c r="AB67" s="102">
        <v>23.1</v>
      </c>
      <c r="AC67" s="102">
        <v>10</v>
      </c>
      <c r="AD67" s="102">
        <v>10.6</v>
      </c>
      <c r="AE67" s="102">
        <v>10.4</v>
      </c>
      <c r="AF67" s="102">
        <v>10.7</v>
      </c>
      <c r="AG67" s="86">
        <v>30</v>
      </c>
      <c r="AH67" s="12">
        <f t="shared" si="8"/>
        <v>28.6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25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0.5</v>
      </c>
      <c r="K68" s="102">
        <v>3</v>
      </c>
      <c r="L68" s="70">
        <v>3.3</v>
      </c>
      <c r="M68" s="70">
        <v>4.9000000000000004</v>
      </c>
      <c r="N68" s="70">
        <v>8.1999999999999993</v>
      </c>
      <c r="O68" s="70">
        <v>5.8</v>
      </c>
      <c r="P68" s="70">
        <v>12</v>
      </c>
      <c r="Q68" s="70">
        <v>13.5</v>
      </c>
      <c r="R68" s="70">
        <v>19</v>
      </c>
      <c r="S68" s="70">
        <v>19</v>
      </c>
      <c r="T68" s="70">
        <v>12.3</v>
      </c>
      <c r="U68" s="70">
        <v>3.2</v>
      </c>
      <c r="V68" s="70">
        <v>0.7</v>
      </c>
      <c r="W68" s="70">
        <v>0.7</v>
      </c>
      <c r="X68" s="70">
        <v>0.7</v>
      </c>
      <c r="Y68" s="70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19</v>
      </c>
      <c r="AI68" s="11">
        <f t="shared" si="9"/>
        <v>0</v>
      </c>
      <c r="AK68" s="19"/>
      <c r="AY68" s="1" t="s">
        <v>198</v>
      </c>
      <c r="AZ68" s="78">
        <f>ROUND(C81,0)</f>
        <v>11</v>
      </c>
      <c r="BA68" s="83">
        <f t="shared" ref="BA68:BD72" si="32">D81</f>
        <v>12.9</v>
      </c>
      <c r="BB68" s="83">
        <f t="shared" si="32"/>
        <v>30.6</v>
      </c>
      <c r="BC68" s="83">
        <f t="shared" si="32"/>
        <v>27.1</v>
      </c>
      <c r="BD68" s="83">
        <f t="shared" si="32"/>
        <v>23.4</v>
      </c>
      <c r="BE68" s="78">
        <f>I81</f>
        <v>33.799999999999997</v>
      </c>
      <c r="BF68" s="78">
        <f>K81</f>
        <v>69.8</v>
      </c>
      <c r="BG68" s="78">
        <f t="shared" ref="BG68:BP72" si="33">M81</f>
        <v>63.5</v>
      </c>
      <c r="BH68" s="78">
        <f t="shared" si="33"/>
        <v>57.1</v>
      </c>
      <c r="BI68" s="78">
        <f t="shared" si="33"/>
        <v>64.599999999999994</v>
      </c>
      <c r="BJ68" s="78">
        <f t="shared" si="33"/>
        <v>75.3</v>
      </c>
      <c r="BK68" s="78">
        <f t="shared" si="33"/>
        <v>54.3</v>
      </c>
      <c r="BL68" s="78">
        <f t="shared" si="33"/>
        <v>72.599999999999994</v>
      </c>
      <c r="BM68" s="78">
        <f t="shared" si="33"/>
        <v>73.8</v>
      </c>
      <c r="BN68" s="78">
        <f t="shared" si="33"/>
        <v>73.8</v>
      </c>
      <c r="BO68" s="78">
        <f t="shared" si="33"/>
        <v>73.2</v>
      </c>
      <c r="BP68" s="78">
        <f t="shared" si="33"/>
        <v>62.2</v>
      </c>
      <c r="BQ68" s="78">
        <f>X81</f>
        <v>60</v>
      </c>
      <c r="BR68" s="78">
        <f>Z81</f>
        <v>19.3</v>
      </c>
      <c r="BS68" s="83">
        <f>AB81</f>
        <v>27.4</v>
      </c>
      <c r="BT68" s="83">
        <f t="shared" ref="BT68:BV72" si="34">AD81</f>
        <v>33.700000000000003</v>
      </c>
      <c r="BU68" s="83">
        <f t="shared" si="34"/>
        <v>26.5</v>
      </c>
      <c r="BV68" s="83">
        <f t="shared" si="34"/>
        <v>19.7</v>
      </c>
      <c r="BW68" s="83">
        <f>B81</f>
        <v>6.3</v>
      </c>
    </row>
    <row r="69" spans="1:75" x14ac:dyDescent="0.25">
      <c r="A69" s="87" t="s">
        <v>197</v>
      </c>
      <c r="B69" s="70">
        <v>15</v>
      </c>
      <c r="C69" s="70">
        <v>15</v>
      </c>
      <c r="D69" s="70">
        <v>15</v>
      </c>
      <c r="E69" s="70">
        <v>12.1</v>
      </c>
      <c r="F69" s="70">
        <v>12.1</v>
      </c>
      <c r="G69" s="70">
        <v>12.1</v>
      </c>
      <c r="H69" s="70">
        <v>12.1</v>
      </c>
      <c r="I69" s="70">
        <v>12.1</v>
      </c>
      <c r="J69" s="70">
        <v>12.1</v>
      </c>
      <c r="K69" s="70">
        <v>11.7</v>
      </c>
      <c r="L69" s="70">
        <v>11.7</v>
      </c>
      <c r="M69" s="70">
        <v>11.7</v>
      </c>
      <c r="N69" s="70">
        <v>11.7</v>
      </c>
      <c r="O69" s="70">
        <v>11.7</v>
      </c>
      <c r="P69" s="70">
        <v>11.7</v>
      </c>
      <c r="Q69" s="70">
        <v>12.2</v>
      </c>
      <c r="R69" s="70">
        <v>12.2</v>
      </c>
      <c r="S69" s="70">
        <v>12.2</v>
      </c>
      <c r="T69" s="70">
        <v>12.6</v>
      </c>
      <c r="U69" s="70">
        <v>12.6</v>
      </c>
      <c r="V69" s="70">
        <v>12.5</v>
      </c>
      <c r="W69" s="70">
        <v>12.5</v>
      </c>
      <c r="X69" s="70">
        <v>12.5</v>
      </c>
      <c r="Y69" s="70">
        <v>12.9</v>
      </c>
      <c r="Z69" s="70">
        <v>12.9</v>
      </c>
      <c r="AA69" s="70">
        <v>12.9</v>
      </c>
      <c r="AB69" s="70">
        <v>12.9</v>
      </c>
      <c r="AC69" s="70">
        <v>12.9</v>
      </c>
      <c r="AD69" s="70">
        <v>12.9</v>
      </c>
      <c r="AE69" s="70">
        <v>12.9</v>
      </c>
      <c r="AF69" s="70">
        <v>12.9</v>
      </c>
      <c r="AG69" s="86">
        <v>24</v>
      </c>
      <c r="AH69" s="12">
        <f t="shared" si="8"/>
        <v>15</v>
      </c>
      <c r="AI69" s="11">
        <f t="shared" si="9"/>
        <v>11.7</v>
      </c>
      <c r="AK69" s="19"/>
      <c r="AY69" s="1" t="s">
        <v>196</v>
      </c>
      <c r="AZ69" s="78">
        <f>ROUND(C82,0)</f>
        <v>0</v>
      </c>
      <c r="BA69" s="83">
        <f t="shared" si="32"/>
        <v>0</v>
      </c>
      <c r="BB69" s="83">
        <f t="shared" si="32"/>
        <v>0</v>
      </c>
      <c r="BC69" s="83">
        <f t="shared" si="32"/>
        <v>0</v>
      </c>
      <c r="BD69" s="83">
        <f t="shared" si="32"/>
        <v>0</v>
      </c>
      <c r="BE69" s="78">
        <f>I82</f>
        <v>0</v>
      </c>
      <c r="BF69" s="78">
        <f>K82</f>
        <v>83</v>
      </c>
      <c r="BG69" s="78">
        <f t="shared" si="33"/>
        <v>83</v>
      </c>
      <c r="BH69" s="78">
        <f t="shared" si="33"/>
        <v>84</v>
      </c>
      <c r="BI69" s="78">
        <f t="shared" si="33"/>
        <v>85</v>
      </c>
      <c r="BJ69" s="78">
        <f t="shared" si="33"/>
        <v>77</v>
      </c>
      <c r="BK69" s="78">
        <f t="shared" si="33"/>
        <v>85.8</v>
      </c>
      <c r="BL69" s="78">
        <f t="shared" si="33"/>
        <v>79.3</v>
      </c>
      <c r="BM69" s="78">
        <f t="shared" si="33"/>
        <v>41</v>
      </c>
      <c r="BN69" s="78">
        <f t="shared" si="33"/>
        <v>0</v>
      </c>
      <c r="BO69" s="78">
        <f t="shared" si="33"/>
        <v>61.7</v>
      </c>
      <c r="BP69" s="78">
        <f t="shared" si="33"/>
        <v>53.6</v>
      </c>
      <c r="BQ69" s="78">
        <f>X82</f>
        <v>59</v>
      </c>
      <c r="BR69" s="78">
        <f>Z82</f>
        <v>0</v>
      </c>
      <c r="BS69" s="83">
        <f>AB82</f>
        <v>0</v>
      </c>
      <c r="BT69" s="83">
        <f t="shared" si="34"/>
        <v>0</v>
      </c>
      <c r="BU69" s="83">
        <f t="shared" si="34"/>
        <v>0</v>
      </c>
      <c r="BV69" s="83">
        <f t="shared" si="34"/>
        <v>0</v>
      </c>
      <c r="BW69" s="83">
        <f>B82</f>
        <v>0</v>
      </c>
    </row>
    <row r="70" spans="1:75" x14ac:dyDescent="0.25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10</v>
      </c>
      <c r="BA70" s="83">
        <f t="shared" si="32"/>
        <v>84.5</v>
      </c>
      <c r="BB70" s="83">
        <f t="shared" si="32"/>
        <v>101.7</v>
      </c>
      <c r="BC70" s="83">
        <f t="shared" si="32"/>
        <v>140</v>
      </c>
      <c r="BD70" s="83">
        <f t="shared" si="32"/>
        <v>170</v>
      </c>
      <c r="BE70" s="78">
        <f>I83</f>
        <v>254.7</v>
      </c>
      <c r="BF70" s="78">
        <f>K83</f>
        <v>430</v>
      </c>
      <c r="BG70" s="78">
        <f t="shared" si="33"/>
        <v>457</v>
      </c>
      <c r="BH70" s="78">
        <f t="shared" si="33"/>
        <v>446.3</v>
      </c>
      <c r="BI70" s="78">
        <f t="shared" si="33"/>
        <v>472</v>
      </c>
      <c r="BJ70" s="78">
        <f t="shared" si="33"/>
        <v>435.3</v>
      </c>
      <c r="BK70" s="78">
        <f t="shared" si="33"/>
        <v>429</v>
      </c>
      <c r="BL70" s="78">
        <f t="shared" si="33"/>
        <v>430</v>
      </c>
      <c r="BM70" s="78">
        <f t="shared" si="33"/>
        <v>445</v>
      </c>
      <c r="BN70" s="78">
        <f t="shared" si="33"/>
        <v>452.2</v>
      </c>
      <c r="BO70" s="78">
        <f t="shared" si="33"/>
        <v>444.9</v>
      </c>
      <c r="BP70" s="78">
        <f t="shared" si="33"/>
        <v>413.9</v>
      </c>
      <c r="BQ70" s="78">
        <f>X83</f>
        <v>360</v>
      </c>
      <c r="BR70" s="78">
        <f>Z83</f>
        <v>81.599999999999994</v>
      </c>
      <c r="BS70" s="83">
        <f>AB83</f>
        <v>186.1</v>
      </c>
      <c r="BT70" s="83">
        <f t="shared" si="34"/>
        <v>188.9</v>
      </c>
      <c r="BU70" s="83">
        <f t="shared" si="34"/>
        <v>0</v>
      </c>
      <c r="BV70" s="83">
        <f t="shared" si="34"/>
        <v>0</v>
      </c>
      <c r="BW70" s="83">
        <f>B83</f>
        <v>14.5</v>
      </c>
    </row>
    <row r="71" spans="1:75" s="115" customFormat="1" x14ac:dyDescent="0.25">
      <c r="A71" s="87" t="s">
        <v>193</v>
      </c>
      <c r="B71" s="70">
        <v>12.2</v>
      </c>
      <c r="C71" s="70">
        <v>12.2</v>
      </c>
      <c r="D71" s="70">
        <v>12.2</v>
      </c>
      <c r="E71" s="70">
        <v>10.3</v>
      </c>
      <c r="F71" s="70">
        <v>10.3</v>
      </c>
      <c r="G71" s="70">
        <v>10.3</v>
      </c>
      <c r="H71" s="70">
        <v>10.6</v>
      </c>
      <c r="I71" s="70">
        <v>10.6</v>
      </c>
      <c r="J71" s="70">
        <v>10.6</v>
      </c>
      <c r="K71" s="70">
        <v>9</v>
      </c>
      <c r="L71" s="70">
        <v>9</v>
      </c>
      <c r="M71" s="70">
        <v>9</v>
      </c>
      <c r="N71" s="70">
        <v>9</v>
      </c>
      <c r="O71" s="70">
        <v>9</v>
      </c>
      <c r="P71" s="70">
        <v>9</v>
      </c>
      <c r="Q71" s="70">
        <v>9</v>
      </c>
      <c r="R71" s="70">
        <v>9</v>
      </c>
      <c r="S71" s="70">
        <v>9</v>
      </c>
      <c r="T71" s="70">
        <v>10.199999999999999</v>
      </c>
      <c r="U71" s="70">
        <v>9.6999999999999993</v>
      </c>
      <c r="V71" s="70">
        <v>9.8000000000000007</v>
      </c>
      <c r="W71" s="70">
        <v>9.8000000000000007</v>
      </c>
      <c r="X71" s="70">
        <v>9.8000000000000007</v>
      </c>
      <c r="Y71" s="70">
        <v>10.4</v>
      </c>
      <c r="Z71" s="70">
        <v>10</v>
      </c>
      <c r="AA71" s="70">
        <v>10</v>
      </c>
      <c r="AB71" s="70">
        <v>10</v>
      </c>
      <c r="AC71" s="70">
        <v>10</v>
      </c>
      <c r="AD71" s="70">
        <v>10</v>
      </c>
      <c r="AE71" s="70">
        <v>10</v>
      </c>
      <c r="AF71" s="70">
        <v>10</v>
      </c>
      <c r="AG71" s="86">
        <v>14.1</v>
      </c>
      <c r="AH71" s="12">
        <f t="shared" si="8"/>
        <v>12.2</v>
      </c>
      <c r="AI71" s="11">
        <f t="shared" si="9"/>
        <v>9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32"/>
        <v>0</v>
      </c>
      <c r="BB71" s="83">
        <f t="shared" si="32"/>
        <v>0</v>
      </c>
      <c r="BC71" s="83">
        <f t="shared" si="32"/>
        <v>0</v>
      </c>
      <c r="BD71" s="83">
        <f t="shared" si="32"/>
        <v>0</v>
      </c>
      <c r="BE71" s="78">
        <f>I84</f>
        <v>0</v>
      </c>
      <c r="BF71" s="78">
        <f>K84</f>
        <v>51.6</v>
      </c>
      <c r="BG71" s="78">
        <f t="shared" si="33"/>
        <v>56</v>
      </c>
      <c r="BH71" s="78">
        <f t="shared" si="33"/>
        <v>53.4</v>
      </c>
      <c r="BI71" s="78">
        <f t="shared" si="33"/>
        <v>47.9</v>
      </c>
      <c r="BJ71" s="78">
        <f t="shared" si="33"/>
        <v>50</v>
      </c>
      <c r="BK71" s="78">
        <f t="shared" si="33"/>
        <v>42.8</v>
      </c>
      <c r="BL71" s="78">
        <f t="shared" si="33"/>
        <v>52.3</v>
      </c>
      <c r="BM71" s="78">
        <f t="shared" si="33"/>
        <v>52</v>
      </c>
      <c r="BN71" s="78">
        <f t="shared" si="33"/>
        <v>53.3</v>
      </c>
      <c r="BO71" s="78">
        <f t="shared" si="33"/>
        <v>53.2</v>
      </c>
      <c r="BP71" s="78">
        <f t="shared" si="33"/>
        <v>50.3</v>
      </c>
      <c r="BQ71" s="78">
        <f>X84</f>
        <v>30</v>
      </c>
      <c r="BR71" s="78">
        <f>Z84</f>
        <v>24.3</v>
      </c>
      <c r="BS71" s="83">
        <f>AB84</f>
        <v>0</v>
      </c>
      <c r="BT71" s="83">
        <f t="shared" si="34"/>
        <v>0</v>
      </c>
      <c r="BU71" s="83">
        <f t="shared" si="34"/>
        <v>0</v>
      </c>
      <c r="BV71" s="83">
        <f t="shared" si="34"/>
        <v>0</v>
      </c>
      <c r="BW71" s="83">
        <f>B84</f>
        <v>0</v>
      </c>
    </row>
    <row r="72" spans="1:75" x14ac:dyDescent="0.25">
      <c r="A72" s="111" t="s">
        <v>191</v>
      </c>
      <c r="B72" s="70">
        <v>6.5</v>
      </c>
      <c r="C72" s="70">
        <v>6.5</v>
      </c>
      <c r="D72" s="70">
        <v>6.5</v>
      </c>
      <c r="E72" s="70">
        <v>7</v>
      </c>
      <c r="F72" s="70">
        <v>7</v>
      </c>
      <c r="G72" s="70">
        <v>7</v>
      </c>
      <c r="H72" s="70">
        <v>7</v>
      </c>
      <c r="I72" s="70">
        <v>7</v>
      </c>
      <c r="J72" s="70">
        <v>7</v>
      </c>
      <c r="K72" s="70">
        <v>7</v>
      </c>
      <c r="L72" s="70">
        <v>7</v>
      </c>
      <c r="M72" s="70">
        <v>7</v>
      </c>
      <c r="N72" s="70">
        <v>7</v>
      </c>
      <c r="O72" s="70">
        <v>7</v>
      </c>
      <c r="P72" s="70">
        <v>7</v>
      </c>
      <c r="Q72" s="70">
        <v>7</v>
      </c>
      <c r="R72" s="70">
        <v>7</v>
      </c>
      <c r="S72" s="70">
        <v>7</v>
      </c>
      <c r="T72" s="70">
        <v>6</v>
      </c>
      <c r="U72" s="70">
        <v>6</v>
      </c>
      <c r="V72" s="70">
        <v>6</v>
      </c>
      <c r="W72" s="70">
        <v>6</v>
      </c>
      <c r="X72" s="70">
        <v>6</v>
      </c>
      <c r="Y72" s="70">
        <v>6</v>
      </c>
      <c r="Z72" s="70">
        <v>6</v>
      </c>
      <c r="AA72" s="70">
        <v>6</v>
      </c>
      <c r="AB72" s="70">
        <v>6</v>
      </c>
      <c r="AC72" s="70">
        <v>6</v>
      </c>
      <c r="AD72" s="70">
        <v>6</v>
      </c>
      <c r="AE72" s="70">
        <v>6</v>
      </c>
      <c r="AF72" s="70">
        <v>7.2</v>
      </c>
      <c r="AG72" s="86">
        <v>14</v>
      </c>
      <c r="AH72" s="12">
        <f t="shared" si="8"/>
        <v>7.2</v>
      </c>
      <c r="AI72" s="11">
        <f t="shared" si="9"/>
        <v>6</v>
      </c>
      <c r="AK72" s="19"/>
      <c r="AY72" s="1" t="s">
        <v>190</v>
      </c>
      <c r="AZ72" s="78">
        <f>ROUND(C85,0)</f>
        <v>0</v>
      </c>
      <c r="BA72" s="83">
        <f t="shared" si="32"/>
        <v>0</v>
      </c>
      <c r="BB72" s="83">
        <f t="shared" si="32"/>
        <v>0</v>
      </c>
      <c r="BC72" s="83">
        <f t="shared" si="32"/>
        <v>0</v>
      </c>
      <c r="BD72" s="83">
        <f t="shared" si="32"/>
        <v>0</v>
      </c>
      <c r="BE72" s="78">
        <f>I85</f>
        <v>0</v>
      </c>
      <c r="BF72" s="78">
        <f>K85</f>
        <v>96.7</v>
      </c>
      <c r="BG72" s="78">
        <f t="shared" si="33"/>
        <v>91</v>
      </c>
      <c r="BH72" s="78">
        <f t="shared" si="33"/>
        <v>104.2</v>
      </c>
      <c r="BI72" s="78">
        <f t="shared" si="33"/>
        <v>118.5</v>
      </c>
      <c r="BJ72" s="78">
        <f t="shared" si="33"/>
        <v>116.7</v>
      </c>
      <c r="BK72" s="78">
        <f t="shared" si="33"/>
        <v>135.30000000000001</v>
      </c>
      <c r="BL72" s="78">
        <f t="shared" si="33"/>
        <v>113.1</v>
      </c>
      <c r="BM72" s="78">
        <f t="shared" si="33"/>
        <v>119</v>
      </c>
      <c r="BN72" s="78">
        <f t="shared" si="33"/>
        <v>121</v>
      </c>
      <c r="BO72" s="78">
        <f t="shared" si="33"/>
        <v>119.1</v>
      </c>
      <c r="BP72" s="78">
        <f t="shared" si="33"/>
        <v>125.4</v>
      </c>
      <c r="BQ72" s="78">
        <f>X85</f>
        <v>95</v>
      </c>
      <c r="BR72" s="78">
        <f>Z85</f>
        <v>0</v>
      </c>
      <c r="BS72" s="83">
        <f>AB85</f>
        <v>0</v>
      </c>
      <c r="BT72" s="83">
        <f t="shared" si="34"/>
        <v>0</v>
      </c>
      <c r="BU72" s="83">
        <f t="shared" si="34"/>
        <v>0</v>
      </c>
      <c r="BV72" s="83">
        <f t="shared" si="34"/>
        <v>0</v>
      </c>
      <c r="BW72" s="83">
        <f>B85</f>
        <v>0</v>
      </c>
    </row>
    <row r="73" spans="1:75" x14ac:dyDescent="0.25">
      <c r="A73" s="87" t="s">
        <v>189</v>
      </c>
      <c r="B73" s="70">
        <v>4</v>
      </c>
      <c r="C73" s="70">
        <v>4</v>
      </c>
      <c r="D73" s="70">
        <v>4.5</v>
      </c>
      <c r="E73" s="70">
        <v>4.5</v>
      </c>
      <c r="F73" s="70">
        <v>4.5</v>
      </c>
      <c r="G73" s="70">
        <v>4.5</v>
      </c>
      <c r="H73" s="70">
        <v>4.5</v>
      </c>
      <c r="I73" s="70">
        <v>4.5</v>
      </c>
      <c r="J73" s="70">
        <v>4.5</v>
      </c>
      <c r="K73" s="70">
        <v>4.5</v>
      </c>
      <c r="L73" s="70">
        <v>4.5</v>
      </c>
      <c r="M73" s="70">
        <v>4.5</v>
      </c>
      <c r="N73" s="70">
        <v>4.5</v>
      </c>
      <c r="O73" s="70">
        <v>4.5</v>
      </c>
      <c r="P73" s="70">
        <v>4.5</v>
      </c>
      <c r="Q73" s="70">
        <v>4.5</v>
      </c>
      <c r="R73" s="70">
        <v>4.5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8"/>
        <v>4.5</v>
      </c>
      <c r="AI73" s="11">
        <f t="shared" si="9"/>
        <v>4</v>
      </c>
      <c r="AK73" s="19"/>
      <c r="AY73" s="1" t="s">
        <v>188</v>
      </c>
      <c r="AZ73" s="78">
        <f>ROUND(C91,0)</f>
        <v>37</v>
      </c>
      <c r="BA73" s="78">
        <f>D91</f>
        <v>38</v>
      </c>
      <c r="BB73" s="78">
        <f>E91</f>
        <v>38.4</v>
      </c>
      <c r="BC73" s="78">
        <f>F91</f>
        <v>34.299999999999997</v>
      </c>
      <c r="BD73" s="78">
        <f>G91</f>
        <v>32.4</v>
      </c>
      <c r="BE73" s="78">
        <f>I91</f>
        <v>33.6</v>
      </c>
      <c r="BF73" s="78">
        <f>K91</f>
        <v>40.6</v>
      </c>
      <c r="BG73" s="78">
        <f t="shared" ref="BG73:BP73" si="35">M91</f>
        <v>43.7</v>
      </c>
      <c r="BH73" s="78">
        <f t="shared" si="35"/>
        <v>48.3</v>
      </c>
      <c r="BI73" s="78">
        <f t="shared" si="35"/>
        <v>44.1</v>
      </c>
      <c r="BJ73" s="78">
        <f t="shared" si="35"/>
        <v>46.7</v>
      </c>
      <c r="BK73" s="78">
        <f t="shared" si="35"/>
        <v>51.9</v>
      </c>
      <c r="BL73" s="78">
        <f t="shared" si="35"/>
        <v>43.5</v>
      </c>
      <c r="BM73" s="78">
        <f t="shared" si="35"/>
        <v>48</v>
      </c>
      <c r="BN73" s="78">
        <f t="shared" si="35"/>
        <v>52</v>
      </c>
      <c r="BO73" s="78">
        <f t="shared" si="35"/>
        <v>38.5</v>
      </c>
      <c r="BP73" s="78">
        <f t="shared" si="35"/>
        <v>38.6</v>
      </c>
      <c r="BQ73" s="78">
        <f>X91</f>
        <v>41</v>
      </c>
      <c r="BR73" s="78">
        <f>Z91</f>
        <v>39</v>
      </c>
      <c r="BS73" s="78">
        <f>AB91</f>
        <v>38.5</v>
      </c>
      <c r="BT73" s="78">
        <f>AD91</f>
        <v>38.9</v>
      </c>
      <c r="BU73" s="78">
        <f>AE91</f>
        <v>38.700000000000003</v>
      </c>
      <c r="BV73" s="78">
        <f>AF91</f>
        <v>41.3</v>
      </c>
      <c r="BW73" s="78">
        <f>B91</f>
        <v>37.9</v>
      </c>
    </row>
    <row r="74" spans="1:75" x14ac:dyDescent="0.25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.75" thickBot="1" x14ac:dyDescent="0.3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3.5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</v>
      </c>
      <c r="AK75" s="19"/>
      <c r="AZ75" s="78">
        <f t="shared" ref="AZ75:BW80" si="36">VALUE(AZ68)</f>
        <v>11</v>
      </c>
      <c r="BA75" s="78">
        <f t="shared" si="36"/>
        <v>12.9</v>
      </c>
      <c r="BB75" s="78">
        <f t="shared" si="36"/>
        <v>30.6</v>
      </c>
      <c r="BC75" s="78">
        <f t="shared" si="36"/>
        <v>27.1</v>
      </c>
      <c r="BD75" s="78">
        <f t="shared" si="36"/>
        <v>23.4</v>
      </c>
      <c r="BE75" s="78">
        <f t="shared" si="36"/>
        <v>33.799999999999997</v>
      </c>
      <c r="BF75" s="78">
        <f t="shared" si="36"/>
        <v>69.8</v>
      </c>
      <c r="BG75" s="78">
        <f t="shared" si="36"/>
        <v>63.5</v>
      </c>
      <c r="BH75" s="78">
        <f t="shared" si="36"/>
        <v>57.1</v>
      </c>
      <c r="BI75" s="78">
        <f t="shared" si="36"/>
        <v>64.599999999999994</v>
      </c>
      <c r="BJ75" s="78">
        <f t="shared" si="36"/>
        <v>75.3</v>
      </c>
      <c r="BK75" s="78">
        <f t="shared" si="36"/>
        <v>54.3</v>
      </c>
      <c r="BL75" s="78">
        <f t="shared" si="36"/>
        <v>72.599999999999994</v>
      </c>
      <c r="BM75" s="78">
        <f t="shared" si="36"/>
        <v>73.8</v>
      </c>
      <c r="BN75" s="78">
        <f t="shared" si="36"/>
        <v>73.8</v>
      </c>
      <c r="BO75" s="78">
        <f t="shared" si="36"/>
        <v>73.2</v>
      </c>
      <c r="BP75" s="78">
        <f t="shared" si="36"/>
        <v>62.2</v>
      </c>
      <c r="BQ75" s="78">
        <f t="shared" si="36"/>
        <v>60</v>
      </c>
      <c r="BR75" s="78">
        <f t="shared" si="36"/>
        <v>19.3</v>
      </c>
      <c r="BS75" s="78">
        <f t="shared" si="36"/>
        <v>27.4</v>
      </c>
      <c r="BT75" s="78">
        <f t="shared" si="36"/>
        <v>33.700000000000003</v>
      </c>
      <c r="BU75" s="78">
        <f t="shared" si="36"/>
        <v>26.5</v>
      </c>
      <c r="BV75" s="78">
        <f t="shared" si="36"/>
        <v>19.7</v>
      </c>
      <c r="BW75" s="78">
        <f t="shared" si="36"/>
        <v>6.3</v>
      </c>
    </row>
    <row r="76" spans="1:75" ht="15.75" thickBot="1" x14ac:dyDescent="0.3">
      <c r="A76" s="77" t="s">
        <v>186</v>
      </c>
      <c r="B76" s="76">
        <f t="shared" ref="B76" si="37">SUM(B63:B75)</f>
        <v>313.14</v>
      </c>
      <c r="C76" s="76">
        <f t="shared" ref="C76:AG76" si="38">SUM(C63:C75)</f>
        <v>297.24</v>
      </c>
      <c r="D76" s="76">
        <f t="shared" si="38"/>
        <v>262.74</v>
      </c>
      <c r="E76" s="76">
        <f t="shared" si="38"/>
        <v>214.94</v>
      </c>
      <c r="F76" s="76">
        <f t="shared" si="38"/>
        <v>187.64</v>
      </c>
      <c r="G76" s="76">
        <f t="shared" si="38"/>
        <v>186.64</v>
      </c>
      <c r="H76" s="76">
        <f t="shared" si="38"/>
        <v>229.64</v>
      </c>
      <c r="I76" s="76">
        <f t="shared" si="38"/>
        <v>249.64</v>
      </c>
      <c r="J76" s="76">
        <f t="shared" si="38"/>
        <v>212.43999999999997</v>
      </c>
      <c r="K76" s="76">
        <f t="shared" si="38"/>
        <v>218.83999999999997</v>
      </c>
      <c r="L76" s="76">
        <f t="shared" si="38"/>
        <v>265.83999999999997</v>
      </c>
      <c r="M76" s="76">
        <f t="shared" ref="M76" si="39">SUM(M63:M75)</f>
        <v>257.64</v>
      </c>
      <c r="N76" s="76">
        <f t="shared" si="38"/>
        <v>254.93999999999997</v>
      </c>
      <c r="O76" s="76">
        <f t="shared" si="38"/>
        <v>261.04000000000002</v>
      </c>
      <c r="P76" s="76">
        <f t="shared" si="38"/>
        <v>270.83999999999997</v>
      </c>
      <c r="Q76" s="76">
        <f t="shared" si="38"/>
        <v>254.53999999999996</v>
      </c>
      <c r="R76" s="76">
        <f t="shared" si="38"/>
        <v>265.54000000000002</v>
      </c>
      <c r="S76" s="76">
        <f t="shared" si="38"/>
        <v>271.83999999999997</v>
      </c>
      <c r="T76" s="76">
        <f t="shared" si="38"/>
        <v>265.94</v>
      </c>
      <c r="U76" s="76">
        <f t="shared" si="38"/>
        <v>221.23999999999998</v>
      </c>
      <c r="V76" s="76">
        <f t="shared" si="38"/>
        <v>220.73999999999998</v>
      </c>
      <c r="W76" s="76">
        <f t="shared" ref="W76:X76" si="40">SUM(W63:W75)</f>
        <v>220.73999999999998</v>
      </c>
      <c r="X76" s="76">
        <f t="shared" si="40"/>
        <v>216.73999999999998</v>
      </c>
      <c r="Y76" s="76">
        <f t="shared" si="38"/>
        <v>325.09999999999997</v>
      </c>
      <c r="Z76" s="76">
        <f>SUM(Z63:Z75)</f>
        <v>346.4</v>
      </c>
      <c r="AA76" s="76">
        <f>SUM(AA63:AA75)</f>
        <v>346.44</v>
      </c>
      <c r="AB76" s="76">
        <f t="shared" si="38"/>
        <v>339.64000000000004</v>
      </c>
      <c r="AC76" s="76">
        <f t="shared" si="38"/>
        <v>326.83999999999997</v>
      </c>
      <c r="AD76" s="76">
        <f t="shared" si="38"/>
        <v>313.84000000000003</v>
      </c>
      <c r="AE76" s="76">
        <f t="shared" si="38"/>
        <v>299.44</v>
      </c>
      <c r="AF76" s="76">
        <f t="shared" si="38"/>
        <v>296.03999999999996</v>
      </c>
      <c r="AG76" s="93">
        <f t="shared" si="38"/>
        <v>489.91</v>
      </c>
      <c r="AH76" s="12">
        <f t="shared" si="8"/>
        <v>346.44</v>
      </c>
      <c r="AI76" s="11">
        <f t="shared" si="9"/>
        <v>186.64</v>
      </c>
      <c r="AK76" s="19"/>
      <c r="AZ76" s="78">
        <f t="shared" si="36"/>
        <v>0</v>
      </c>
      <c r="BA76" s="78">
        <f t="shared" si="36"/>
        <v>0</v>
      </c>
      <c r="BB76" s="78">
        <f t="shared" si="36"/>
        <v>0</v>
      </c>
      <c r="BC76" s="78">
        <f t="shared" si="36"/>
        <v>0</v>
      </c>
      <c r="BD76" s="78">
        <f t="shared" si="36"/>
        <v>0</v>
      </c>
      <c r="BE76" s="78">
        <f t="shared" si="36"/>
        <v>0</v>
      </c>
      <c r="BF76" s="78">
        <f t="shared" si="36"/>
        <v>83</v>
      </c>
      <c r="BG76" s="78">
        <f t="shared" si="36"/>
        <v>83</v>
      </c>
      <c r="BH76" s="78">
        <f t="shared" si="36"/>
        <v>84</v>
      </c>
      <c r="BI76" s="78">
        <f t="shared" si="36"/>
        <v>85</v>
      </c>
      <c r="BJ76" s="78">
        <f t="shared" si="36"/>
        <v>77</v>
      </c>
      <c r="BK76" s="78">
        <f t="shared" si="36"/>
        <v>85.8</v>
      </c>
      <c r="BL76" s="78">
        <f t="shared" si="36"/>
        <v>79.3</v>
      </c>
      <c r="BM76" s="78">
        <f t="shared" si="36"/>
        <v>41</v>
      </c>
      <c r="BN76" s="78">
        <f t="shared" si="36"/>
        <v>0</v>
      </c>
      <c r="BO76" s="78">
        <f t="shared" si="36"/>
        <v>61.7</v>
      </c>
      <c r="BP76" s="78">
        <f t="shared" si="36"/>
        <v>53.6</v>
      </c>
      <c r="BQ76" s="78">
        <f t="shared" si="36"/>
        <v>59</v>
      </c>
      <c r="BR76" s="78">
        <f t="shared" si="36"/>
        <v>0</v>
      </c>
      <c r="BS76" s="78">
        <f t="shared" si="36"/>
        <v>0</v>
      </c>
      <c r="BT76" s="78">
        <f t="shared" si="36"/>
        <v>0</v>
      </c>
      <c r="BU76" s="78">
        <f t="shared" si="36"/>
        <v>0</v>
      </c>
      <c r="BV76" s="78">
        <f t="shared" si="36"/>
        <v>0</v>
      </c>
      <c r="BW76" s="78">
        <f t="shared" si="36"/>
        <v>0</v>
      </c>
    </row>
    <row r="77" spans="1:75" x14ac:dyDescent="0.25">
      <c r="A77" s="89" t="s">
        <v>185</v>
      </c>
      <c r="B77" s="102">
        <v>29.4</v>
      </c>
      <c r="C77" s="102">
        <v>29.4</v>
      </c>
      <c r="D77" s="102">
        <v>29.4</v>
      </c>
      <c r="E77" s="102">
        <v>29.4</v>
      </c>
      <c r="F77" s="102">
        <v>29</v>
      </c>
      <c r="G77" s="102">
        <v>29</v>
      </c>
      <c r="H77" s="102">
        <v>29</v>
      </c>
      <c r="I77" s="102">
        <v>29</v>
      </c>
      <c r="J77" s="102">
        <v>14</v>
      </c>
      <c r="K77" s="102">
        <v>29</v>
      </c>
      <c r="L77" s="102">
        <v>29.7</v>
      </c>
      <c r="M77" s="102">
        <v>34.1</v>
      </c>
      <c r="N77" s="102">
        <v>13.5</v>
      </c>
      <c r="O77" s="102">
        <v>13.5</v>
      </c>
      <c r="P77" s="102">
        <v>13.5</v>
      </c>
      <c r="Q77" s="102">
        <v>13.5</v>
      </c>
      <c r="R77" s="102">
        <v>0</v>
      </c>
      <c r="S77" s="102">
        <v>14</v>
      </c>
      <c r="T77" s="102">
        <v>29.6</v>
      </c>
      <c r="U77" s="102">
        <v>30</v>
      </c>
      <c r="V77" s="102">
        <v>59</v>
      </c>
      <c r="W77" s="102">
        <v>59</v>
      </c>
      <c r="X77" s="102">
        <v>40</v>
      </c>
      <c r="Y77" s="102">
        <v>39.1</v>
      </c>
      <c r="Z77" s="102">
        <v>40</v>
      </c>
      <c r="AA77" s="102">
        <v>49.8</v>
      </c>
      <c r="AB77" s="102">
        <v>59</v>
      </c>
      <c r="AC77" s="102">
        <v>59</v>
      </c>
      <c r="AD77" s="102">
        <v>59</v>
      </c>
      <c r="AE77" s="102">
        <v>58.9</v>
      </c>
      <c r="AF77" s="102">
        <v>58.9</v>
      </c>
      <c r="AG77" s="88">
        <v>60</v>
      </c>
      <c r="AH77" s="12">
        <f t="shared" si="8"/>
        <v>59</v>
      </c>
      <c r="AI77" s="11">
        <f t="shared" si="9"/>
        <v>0</v>
      </c>
      <c r="AK77" s="19"/>
      <c r="AZ77" s="78">
        <f t="shared" si="36"/>
        <v>10</v>
      </c>
      <c r="BA77" s="78">
        <f t="shared" si="36"/>
        <v>84.5</v>
      </c>
      <c r="BB77" s="78">
        <f t="shared" si="36"/>
        <v>101.7</v>
      </c>
      <c r="BC77" s="78">
        <f t="shared" si="36"/>
        <v>140</v>
      </c>
      <c r="BD77" s="78">
        <f t="shared" si="36"/>
        <v>170</v>
      </c>
      <c r="BE77" s="78">
        <f t="shared" si="36"/>
        <v>254.7</v>
      </c>
      <c r="BF77" s="78">
        <f t="shared" si="36"/>
        <v>430</v>
      </c>
      <c r="BG77" s="78">
        <f t="shared" si="36"/>
        <v>457</v>
      </c>
      <c r="BH77" s="78">
        <f t="shared" si="36"/>
        <v>446.3</v>
      </c>
      <c r="BI77" s="78">
        <f t="shared" si="36"/>
        <v>472</v>
      </c>
      <c r="BJ77" s="78">
        <f t="shared" si="36"/>
        <v>435.3</v>
      </c>
      <c r="BK77" s="78">
        <f t="shared" si="36"/>
        <v>429</v>
      </c>
      <c r="BL77" s="78">
        <f t="shared" si="36"/>
        <v>430</v>
      </c>
      <c r="BM77" s="78">
        <f t="shared" si="36"/>
        <v>445</v>
      </c>
      <c r="BN77" s="78">
        <f t="shared" si="36"/>
        <v>452.2</v>
      </c>
      <c r="BO77" s="78">
        <f t="shared" si="36"/>
        <v>444.9</v>
      </c>
      <c r="BP77" s="78">
        <f t="shared" si="36"/>
        <v>413.9</v>
      </c>
      <c r="BQ77" s="78">
        <f t="shared" si="36"/>
        <v>360</v>
      </c>
      <c r="BR77" s="78">
        <f t="shared" si="36"/>
        <v>81.599999999999994</v>
      </c>
      <c r="BS77" s="78">
        <f t="shared" si="36"/>
        <v>186.1</v>
      </c>
      <c r="BT77" s="78">
        <f t="shared" si="36"/>
        <v>188.9</v>
      </c>
      <c r="BU77" s="78">
        <f t="shared" si="36"/>
        <v>0</v>
      </c>
      <c r="BV77" s="78">
        <f t="shared" si="36"/>
        <v>0</v>
      </c>
      <c r="BW77" s="78">
        <f t="shared" si="36"/>
        <v>14.5</v>
      </c>
    </row>
    <row r="78" spans="1:75" x14ac:dyDescent="0.25">
      <c r="A78" s="87" t="s">
        <v>184</v>
      </c>
      <c r="B78" s="70">
        <v>14.4</v>
      </c>
      <c r="C78" s="70">
        <v>14.4</v>
      </c>
      <c r="D78" s="70">
        <v>14.4</v>
      </c>
      <c r="E78" s="70">
        <v>13.8</v>
      </c>
      <c r="F78" s="70">
        <v>14</v>
      </c>
      <c r="G78" s="70">
        <v>14</v>
      </c>
      <c r="H78" s="70">
        <v>14</v>
      </c>
      <c r="I78" s="70">
        <v>14</v>
      </c>
      <c r="J78" s="70">
        <v>10</v>
      </c>
      <c r="K78" s="70">
        <v>13.8</v>
      </c>
      <c r="L78" s="70">
        <v>14.4</v>
      </c>
      <c r="M78" s="70">
        <v>17</v>
      </c>
      <c r="N78" s="70">
        <v>4.8</v>
      </c>
      <c r="O78" s="70">
        <v>4.8</v>
      </c>
      <c r="P78" s="70">
        <v>4.8</v>
      </c>
      <c r="Q78" s="70">
        <v>4.8</v>
      </c>
      <c r="R78" s="70">
        <v>0</v>
      </c>
      <c r="S78" s="70">
        <v>3.6</v>
      </c>
      <c r="T78" s="70">
        <v>14.4</v>
      </c>
      <c r="U78" s="70">
        <v>14.6</v>
      </c>
      <c r="V78" s="70">
        <v>27.9</v>
      </c>
      <c r="W78" s="70">
        <v>27.9</v>
      </c>
      <c r="X78" s="70">
        <v>28</v>
      </c>
      <c r="Y78" s="70">
        <v>18.899999999999999</v>
      </c>
      <c r="Z78" s="70">
        <v>16.899999999999999</v>
      </c>
      <c r="AA78" s="70">
        <v>23.5</v>
      </c>
      <c r="AB78" s="70">
        <v>28.5</v>
      </c>
      <c r="AC78" s="70">
        <v>28.4</v>
      </c>
      <c r="AD78" s="70">
        <v>26.6</v>
      </c>
      <c r="AE78" s="70">
        <v>28.2</v>
      </c>
      <c r="AF78" s="70">
        <v>28.6</v>
      </c>
      <c r="AG78" s="86">
        <v>32</v>
      </c>
      <c r="AH78" s="12">
        <f t="shared" si="8"/>
        <v>28.6</v>
      </c>
      <c r="AI78" s="11">
        <f t="shared" si="9"/>
        <v>0</v>
      </c>
      <c r="AK78" s="19"/>
      <c r="AZ78" s="78">
        <f t="shared" si="36"/>
        <v>0</v>
      </c>
      <c r="BA78" s="78">
        <f t="shared" si="36"/>
        <v>0</v>
      </c>
      <c r="BB78" s="78">
        <f t="shared" si="36"/>
        <v>0</v>
      </c>
      <c r="BC78" s="78">
        <f t="shared" si="36"/>
        <v>0</v>
      </c>
      <c r="BD78" s="78">
        <f t="shared" si="36"/>
        <v>0</v>
      </c>
      <c r="BE78" s="78">
        <f t="shared" si="36"/>
        <v>0</v>
      </c>
      <c r="BF78" s="78">
        <f t="shared" si="36"/>
        <v>51.6</v>
      </c>
      <c r="BG78" s="78">
        <f t="shared" si="36"/>
        <v>56</v>
      </c>
      <c r="BH78" s="78">
        <f t="shared" si="36"/>
        <v>53.4</v>
      </c>
      <c r="BI78" s="78">
        <f t="shared" si="36"/>
        <v>47.9</v>
      </c>
      <c r="BJ78" s="78">
        <f t="shared" si="36"/>
        <v>50</v>
      </c>
      <c r="BK78" s="78">
        <f t="shared" si="36"/>
        <v>42.8</v>
      </c>
      <c r="BL78" s="78">
        <f t="shared" si="36"/>
        <v>52.3</v>
      </c>
      <c r="BM78" s="78">
        <f t="shared" si="36"/>
        <v>52</v>
      </c>
      <c r="BN78" s="78">
        <f t="shared" si="36"/>
        <v>53.3</v>
      </c>
      <c r="BO78" s="78">
        <f t="shared" si="36"/>
        <v>53.2</v>
      </c>
      <c r="BP78" s="78">
        <f t="shared" si="36"/>
        <v>50.3</v>
      </c>
      <c r="BQ78" s="78">
        <f t="shared" si="36"/>
        <v>30</v>
      </c>
      <c r="BR78" s="78">
        <f t="shared" si="36"/>
        <v>24.3</v>
      </c>
      <c r="BS78" s="78">
        <f t="shared" si="36"/>
        <v>0</v>
      </c>
      <c r="BT78" s="78">
        <f t="shared" si="36"/>
        <v>0</v>
      </c>
      <c r="BU78" s="78">
        <f t="shared" si="36"/>
        <v>0</v>
      </c>
      <c r="BV78" s="78">
        <f t="shared" si="36"/>
        <v>0</v>
      </c>
      <c r="BW78" s="78">
        <f t="shared" si="36"/>
        <v>0</v>
      </c>
    </row>
    <row r="79" spans="1:75" ht="15.75" thickBot="1" x14ac:dyDescent="0.3">
      <c r="A79" s="111" t="s">
        <v>183</v>
      </c>
      <c r="B79" s="110">
        <v>5.3</v>
      </c>
      <c r="C79" s="110">
        <v>5.3</v>
      </c>
      <c r="D79" s="110">
        <v>5.3</v>
      </c>
      <c r="E79" s="110">
        <v>5.0999999999999996</v>
      </c>
      <c r="F79" s="110">
        <v>5.2</v>
      </c>
      <c r="G79" s="110">
        <v>5</v>
      </c>
      <c r="H79" s="110">
        <v>5</v>
      </c>
      <c r="I79" s="110">
        <v>5</v>
      </c>
      <c r="J79" s="110">
        <v>4</v>
      </c>
      <c r="K79" s="110">
        <v>5</v>
      </c>
      <c r="L79" s="110">
        <v>5.3</v>
      </c>
      <c r="M79" s="110">
        <v>6</v>
      </c>
      <c r="N79" s="110">
        <v>1.8</v>
      </c>
      <c r="O79" s="110">
        <v>1.8</v>
      </c>
      <c r="P79" s="110">
        <v>1.8</v>
      </c>
      <c r="Q79" s="110">
        <v>1.8</v>
      </c>
      <c r="R79" s="110">
        <v>0</v>
      </c>
      <c r="S79" s="110">
        <v>1.36</v>
      </c>
      <c r="T79" s="110">
        <v>5.3</v>
      </c>
      <c r="U79" s="110">
        <v>5.3</v>
      </c>
      <c r="V79" s="110">
        <v>10.199999999999999</v>
      </c>
      <c r="W79" s="110">
        <v>10.199999999999999</v>
      </c>
      <c r="X79" s="110">
        <v>10.199999999999999</v>
      </c>
      <c r="Y79" s="110">
        <v>6.9</v>
      </c>
      <c r="Z79" s="110">
        <v>6.2</v>
      </c>
      <c r="AA79" s="110">
        <v>8.6</v>
      </c>
      <c r="AB79" s="110">
        <v>10.4</v>
      </c>
      <c r="AC79" s="110">
        <v>10.4</v>
      </c>
      <c r="AD79" s="110">
        <v>9.6999999999999993</v>
      </c>
      <c r="AE79" s="110">
        <v>10.3</v>
      </c>
      <c r="AF79" s="110">
        <v>10.4</v>
      </c>
      <c r="AG79" s="109">
        <v>14</v>
      </c>
      <c r="AH79" s="12">
        <f t="shared" si="8"/>
        <v>10.4</v>
      </c>
      <c r="AI79" s="11">
        <f t="shared" si="9"/>
        <v>0</v>
      </c>
      <c r="AK79" s="19"/>
      <c r="AZ79" s="78">
        <f t="shared" si="36"/>
        <v>0</v>
      </c>
      <c r="BA79" s="78">
        <f t="shared" si="36"/>
        <v>0</v>
      </c>
      <c r="BB79" s="78">
        <f t="shared" si="36"/>
        <v>0</v>
      </c>
      <c r="BC79" s="78">
        <f t="shared" si="36"/>
        <v>0</v>
      </c>
      <c r="BD79" s="78">
        <f t="shared" si="36"/>
        <v>0</v>
      </c>
      <c r="BE79" s="78">
        <f t="shared" si="36"/>
        <v>0</v>
      </c>
      <c r="BF79" s="78">
        <f t="shared" si="36"/>
        <v>96.7</v>
      </c>
      <c r="BG79" s="78">
        <f t="shared" si="36"/>
        <v>91</v>
      </c>
      <c r="BH79" s="78">
        <f t="shared" si="36"/>
        <v>104.2</v>
      </c>
      <c r="BI79" s="78">
        <f t="shared" si="36"/>
        <v>118.5</v>
      </c>
      <c r="BJ79" s="78">
        <f t="shared" si="36"/>
        <v>116.7</v>
      </c>
      <c r="BK79" s="78">
        <f t="shared" si="36"/>
        <v>135.30000000000001</v>
      </c>
      <c r="BL79" s="78">
        <f t="shared" si="36"/>
        <v>113.1</v>
      </c>
      <c r="BM79" s="78">
        <f t="shared" si="36"/>
        <v>119</v>
      </c>
      <c r="BN79" s="78">
        <f t="shared" si="36"/>
        <v>121</v>
      </c>
      <c r="BO79" s="78">
        <f t="shared" si="36"/>
        <v>119.1</v>
      </c>
      <c r="BP79" s="78">
        <f t="shared" si="36"/>
        <v>125.4</v>
      </c>
      <c r="BQ79" s="78">
        <f t="shared" si="36"/>
        <v>95</v>
      </c>
      <c r="BR79" s="78">
        <f t="shared" si="36"/>
        <v>0</v>
      </c>
      <c r="BS79" s="78">
        <f t="shared" si="36"/>
        <v>0</v>
      </c>
      <c r="BT79" s="78">
        <f t="shared" si="36"/>
        <v>0</v>
      </c>
      <c r="BU79" s="78">
        <f t="shared" si="36"/>
        <v>0</v>
      </c>
      <c r="BV79" s="78">
        <f t="shared" si="36"/>
        <v>0</v>
      </c>
      <c r="BW79" s="78">
        <f t="shared" si="36"/>
        <v>0</v>
      </c>
    </row>
    <row r="80" spans="1:75" ht="15.75" thickBot="1" x14ac:dyDescent="0.3">
      <c r="A80" s="77" t="s">
        <v>182</v>
      </c>
      <c r="B80" s="76">
        <f t="shared" ref="B80" si="41">B77+B78+B79</f>
        <v>49.099999999999994</v>
      </c>
      <c r="C80" s="76">
        <f t="shared" ref="C80:AF80" si="42">C77+C78+C79</f>
        <v>49.099999999999994</v>
      </c>
      <c r="D80" s="76">
        <f t="shared" si="42"/>
        <v>49.099999999999994</v>
      </c>
      <c r="E80" s="76">
        <f t="shared" si="42"/>
        <v>48.300000000000004</v>
      </c>
      <c r="F80" s="76">
        <f t="shared" si="42"/>
        <v>48.2</v>
      </c>
      <c r="G80" s="76">
        <f t="shared" si="42"/>
        <v>48</v>
      </c>
      <c r="H80" s="76">
        <f t="shared" si="42"/>
        <v>48</v>
      </c>
      <c r="I80" s="76">
        <f t="shared" si="42"/>
        <v>48</v>
      </c>
      <c r="J80" s="76">
        <f t="shared" si="42"/>
        <v>28</v>
      </c>
      <c r="K80" s="76">
        <f t="shared" si="42"/>
        <v>47.8</v>
      </c>
      <c r="L80" s="76">
        <f t="shared" si="42"/>
        <v>49.4</v>
      </c>
      <c r="M80" s="76">
        <f t="shared" ref="M80" si="43">M77+M78+M79</f>
        <v>57.1</v>
      </c>
      <c r="N80" s="76">
        <f t="shared" si="42"/>
        <v>20.100000000000001</v>
      </c>
      <c r="O80" s="76">
        <f t="shared" si="42"/>
        <v>20.100000000000001</v>
      </c>
      <c r="P80" s="76">
        <f t="shared" si="42"/>
        <v>20.100000000000001</v>
      </c>
      <c r="Q80" s="76">
        <f t="shared" si="42"/>
        <v>20.100000000000001</v>
      </c>
      <c r="R80" s="76">
        <f t="shared" si="42"/>
        <v>0</v>
      </c>
      <c r="S80" s="76">
        <f t="shared" si="42"/>
        <v>18.96</v>
      </c>
      <c r="T80" s="76">
        <f t="shared" si="42"/>
        <v>49.3</v>
      </c>
      <c r="U80" s="76">
        <f t="shared" si="42"/>
        <v>49.9</v>
      </c>
      <c r="V80" s="76">
        <f t="shared" si="42"/>
        <v>97.100000000000009</v>
      </c>
      <c r="W80" s="76">
        <f t="shared" ref="W80:X80" si="44">W77+W78+W79</f>
        <v>97.100000000000009</v>
      </c>
      <c r="X80" s="76">
        <f t="shared" si="44"/>
        <v>78.2</v>
      </c>
      <c r="Y80" s="76">
        <f t="shared" si="42"/>
        <v>64.900000000000006</v>
      </c>
      <c r="Z80" s="76">
        <f>Z77+Z78+Z79</f>
        <v>63.1</v>
      </c>
      <c r="AA80" s="76">
        <f t="shared" si="42"/>
        <v>81.899999999999991</v>
      </c>
      <c r="AB80" s="76">
        <f t="shared" si="42"/>
        <v>97.9</v>
      </c>
      <c r="AC80" s="76">
        <f t="shared" si="42"/>
        <v>97.800000000000011</v>
      </c>
      <c r="AD80" s="76">
        <f t="shared" si="42"/>
        <v>95.3</v>
      </c>
      <c r="AE80" s="76">
        <f t="shared" si="42"/>
        <v>97.399999999999991</v>
      </c>
      <c r="AF80" s="76">
        <f t="shared" si="42"/>
        <v>97.9</v>
      </c>
      <c r="AG80" s="93">
        <f>SUM(AG77:AG79)</f>
        <v>106</v>
      </c>
      <c r="AH80" s="12">
        <f t="shared" si="8"/>
        <v>97.9</v>
      </c>
      <c r="AI80" s="11">
        <f t="shared" si="9"/>
        <v>0</v>
      </c>
      <c r="AK80" s="19"/>
      <c r="AZ80" s="78">
        <f t="shared" si="36"/>
        <v>37</v>
      </c>
      <c r="BA80" s="78">
        <f t="shared" si="36"/>
        <v>38</v>
      </c>
      <c r="BB80" s="78">
        <f t="shared" si="36"/>
        <v>38.4</v>
      </c>
      <c r="BC80" s="78">
        <f t="shared" si="36"/>
        <v>34.299999999999997</v>
      </c>
      <c r="BD80" s="78">
        <f t="shared" si="36"/>
        <v>32.4</v>
      </c>
      <c r="BE80" s="78">
        <f t="shared" si="36"/>
        <v>33.6</v>
      </c>
      <c r="BF80" s="78">
        <f t="shared" si="36"/>
        <v>40.6</v>
      </c>
      <c r="BG80" s="78">
        <f t="shared" si="36"/>
        <v>43.7</v>
      </c>
      <c r="BH80" s="78">
        <f t="shared" si="36"/>
        <v>48.3</v>
      </c>
      <c r="BI80" s="78">
        <f t="shared" si="36"/>
        <v>44.1</v>
      </c>
      <c r="BJ80" s="78">
        <f t="shared" si="36"/>
        <v>46.7</v>
      </c>
      <c r="BK80" s="78">
        <f t="shared" si="36"/>
        <v>51.9</v>
      </c>
      <c r="BL80" s="78">
        <f t="shared" si="36"/>
        <v>43.5</v>
      </c>
      <c r="BM80" s="78">
        <f t="shared" si="36"/>
        <v>48</v>
      </c>
      <c r="BN80" s="78">
        <f t="shared" si="36"/>
        <v>52</v>
      </c>
      <c r="BO80" s="78">
        <f t="shared" si="36"/>
        <v>38.5</v>
      </c>
      <c r="BP80" s="78">
        <f t="shared" si="36"/>
        <v>38.6</v>
      </c>
      <c r="BQ80" s="78">
        <f t="shared" si="36"/>
        <v>41</v>
      </c>
      <c r="BR80" s="78">
        <f t="shared" si="36"/>
        <v>39</v>
      </c>
      <c r="BS80" s="78">
        <f t="shared" si="36"/>
        <v>38.5</v>
      </c>
      <c r="BT80" s="78">
        <f t="shared" si="36"/>
        <v>38.9</v>
      </c>
      <c r="BU80" s="78">
        <f t="shared" si="36"/>
        <v>38.700000000000003</v>
      </c>
      <c r="BV80" s="78">
        <f t="shared" si="36"/>
        <v>41.3</v>
      </c>
      <c r="BW80" s="78">
        <f t="shared" si="36"/>
        <v>37.9</v>
      </c>
    </row>
    <row r="81" spans="1:64" x14ac:dyDescent="0.25">
      <c r="A81" s="89" t="s">
        <v>157</v>
      </c>
      <c r="B81" s="102">
        <v>6.3</v>
      </c>
      <c r="C81" s="102">
        <v>11</v>
      </c>
      <c r="D81" s="102">
        <v>12.9</v>
      </c>
      <c r="E81" s="102">
        <v>30.6</v>
      </c>
      <c r="F81" s="102">
        <v>27.1</v>
      </c>
      <c r="G81" s="102">
        <v>23.4</v>
      </c>
      <c r="H81" s="102">
        <v>22.4</v>
      </c>
      <c r="I81" s="102">
        <v>33.799999999999997</v>
      </c>
      <c r="J81" s="102">
        <v>67.900000000000006</v>
      </c>
      <c r="K81" s="102">
        <v>69.8</v>
      </c>
      <c r="L81" s="102">
        <v>67.3</v>
      </c>
      <c r="M81" s="102">
        <v>63.5</v>
      </c>
      <c r="N81" s="102">
        <v>57.1</v>
      </c>
      <c r="O81" s="102">
        <v>64.599999999999994</v>
      </c>
      <c r="P81" s="102">
        <v>75.3</v>
      </c>
      <c r="Q81" s="102">
        <v>54.3</v>
      </c>
      <c r="R81" s="102">
        <v>72.599999999999994</v>
      </c>
      <c r="S81" s="102">
        <v>73.8</v>
      </c>
      <c r="T81" s="102">
        <v>73.8</v>
      </c>
      <c r="U81" s="102">
        <v>73.2</v>
      </c>
      <c r="V81" s="102">
        <v>62.2</v>
      </c>
      <c r="W81" s="102">
        <v>62.2</v>
      </c>
      <c r="X81" s="102">
        <v>60</v>
      </c>
      <c r="Y81" s="102">
        <v>18.100000000000001</v>
      </c>
      <c r="Z81" s="102">
        <v>19.3</v>
      </c>
      <c r="AA81" s="102">
        <v>31.8</v>
      </c>
      <c r="AB81" s="102">
        <v>27.4</v>
      </c>
      <c r="AC81" s="102">
        <v>37.700000000000003</v>
      </c>
      <c r="AD81" s="102">
        <v>33.700000000000003</v>
      </c>
      <c r="AE81" s="102">
        <v>26.5</v>
      </c>
      <c r="AF81" s="102">
        <v>19.7</v>
      </c>
      <c r="AG81" s="88"/>
      <c r="AH81" s="12">
        <f t="shared" si="8"/>
        <v>75.3</v>
      </c>
      <c r="AI81" s="11">
        <f t="shared" si="9"/>
        <v>6.3</v>
      </c>
      <c r="AK81" s="19"/>
      <c r="AY81" s="78"/>
    </row>
    <row r="82" spans="1:64" x14ac:dyDescent="0.25">
      <c r="A82" s="87" t="s">
        <v>160</v>
      </c>
      <c r="B82" s="70"/>
      <c r="C82" s="70"/>
      <c r="D82" s="70"/>
      <c r="E82" s="70"/>
      <c r="F82" s="70"/>
      <c r="G82" s="70"/>
      <c r="H82" s="70"/>
      <c r="I82" s="70"/>
      <c r="J82" s="70">
        <v>75</v>
      </c>
      <c r="K82" s="70">
        <v>83</v>
      </c>
      <c r="L82" s="70">
        <v>85</v>
      </c>
      <c r="M82" s="70">
        <v>83</v>
      </c>
      <c r="N82" s="70">
        <v>84</v>
      </c>
      <c r="O82" s="70">
        <v>85</v>
      </c>
      <c r="P82" s="70">
        <v>77</v>
      </c>
      <c r="Q82" s="70">
        <v>85.8</v>
      </c>
      <c r="R82" s="70">
        <v>79.3</v>
      </c>
      <c r="S82" s="70">
        <v>41</v>
      </c>
      <c r="T82" s="70">
        <v>0</v>
      </c>
      <c r="U82" s="70">
        <v>61.7</v>
      </c>
      <c r="V82" s="70">
        <v>53.6</v>
      </c>
      <c r="W82" s="70">
        <v>53.6</v>
      </c>
      <c r="X82" s="70">
        <v>59</v>
      </c>
      <c r="Y82" s="70">
        <v>0</v>
      </c>
      <c r="Z82" s="70">
        <v>0</v>
      </c>
      <c r="AA82" s="70">
        <v>0</v>
      </c>
      <c r="AB82" s="70">
        <v>0</v>
      </c>
      <c r="AC82" s="70">
        <v>0</v>
      </c>
      <c r="AD82" s="70">
        <v>0</v>
      </c>
      <c r="AE82" s="70">
        <v>0</v>
      </c>
      <c r="AF82" s="70">
        <v>0</v>
      </c>
      <c r="AG82" s="86"/>
      <c r="AH82" s="12">
        <f t="shared" ref="AH82:AH125" si="45">MAX(B82:AF82)</f>
        <v>85.8</v>
      </c>
      <c r="AI82" s="11">
        <f t="shared" ref="AI82:AI125" si="46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25">
      <c r="A83" s="87" t="s">
        <v>181</v>
      </c>
      <c r="B83" s="70">
        <v>14.5</v>
      </c>
      <c r="C83" s="70">
        <v>10</v>
      </c>
      <c r="D83" s="70">
        <v>84.5</v>
      </c>
      <c r="E83" s="70">
        <v>101.7</v>
      </c>
      <c r="F83" s="70">
        <v>140</v>
      </c>
      <c r="G83" s="70">
        <v>170</v>
      </c>
      <c r="H83" s="70">
        <v>195.5</v>
      </c>
      <c r="I83" s="70">
        <v>254.7</v>
      </c>
      <c r="J83" s="70">
        <v>354.1</v>
      </c>
      <c r="K83" s="70">
        <v>430</v>
      </c>
      <c r="L83" s="70">
        <v>431.4</v>
      </c>
      <c r="M83" s="70">
        <v>457</v>
      </c>
      <c r="N83" s="70">
        <v>446.3</v>
      </c>
      <c r="O83" s="70">
        <v>472</v>
      </c>
      <c r="P83" s="70">
        <v>435.3</v>
      </c>
      <c r="Q83" s="70">
        <v>429</v>
      </c>
      <c r="R83" s="70">
        <v>430</v>
      </c>
      <c r="S83" s="70">
        <v>445</v>
      </c>
      <c r="T83" s="70">
        <v>452.2</v>
      </c>
      <c r="U83" s="70">
        <v>444.9</v>
      </c>
      <c r="V83" s="70">
        <v>413.9</v>
      </c>
      <c r="W83" s="70">
        <v>413.9</v>
      </c>
      <c r="X83" s="70">
        <v>360</v>
      </c>
      <c r="Y83" s="70">
        <v>103.1</v>
      </c>
      <c r="Z83" s="70">
        <v>81.599999999999994</v>
      </c>
      <c r="AA83" s="70">
        <v>112</v>
      </c>
      <c r="AB83" s="70">
        <v>186.1</v>
      </c>
      <c r="AC83" s="70">
        <v>181.8</v>
      </c>
      <c r="AD83" s="70">
        <v>188.9</v>
      </c>
      <c r="AE83" s="70">
        <v>0</v>
      </c>
      <c r="AF83" s="70">
        <v>0</v>
      </c>
      <c r="AG83" s="96"/>
      <c r="AH83" s="12">
        <f t="shared" si="45"/>
        <v>472</v>
      </c>
      <c r="AI83" s="11">
        <f t="shared" si="46"/>
        <v>0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25">
      <c r="A84" s="87" t="s">
        <v>161</v>
      </c>
      <c r="B84" s="70"/>
      <c r="C84" s="70"/>
      <c r="D84" s="70"/>
      <c r="E84" s="85"/>
      <c r="F84" s="85"/>
      <c r="G84" s="85"/>
      <c r="H84" s="85"/>
      <c r="I84" s="85"/>
      <c r="J84" s="85">
        <v>40.5</v>
      </c>
      <c r="K84" s="85">
        <v>51.6</v>
      </c>
      <c r="L84" s="85">
        <v>50.6</v>
      </c>
      <c r="M84" s="85">
        <v>56</v>
      </c>
      <c r="N84" s="85">
        <v>53.4</v>
      </c>
      <c r="O84" s="85">
        <v>47.9</v>
      </c>
      <c r="P84" s="85">
        <v>50</v>
      </c>
      <c r="Q84" s="85">
        <v>42.8</v>
      </c>
      <c r="R84" s="85">
        <v>52.3</v>
      </c>
      <c r="S84" s="85">
        <v>52</v>
      </c>
      <c r="T84" s="85">
        <v>53.3</v>
      </c>
      <c r="U84" s="85">
        <v>53.2</v>
      </c>
      <c r="V84" s="85">
        <v>50.3</v>
      </c>
      <c r="W84" s="85">
        <v>50.3</v>
      </c>
      <c r="X84" s="85">
        <v>30</v>
      </c>
      <c r="Y84" s="85">
        <v>24.4</v>
      </c>
      <c r="Z84" s="85">
        <v>24.3</v>
      </c>
      <c r="AA84" s="85">
        <v>23</v>
      </c>
      <c r="AB84" s="85">
        <v>0</v>
      </c>
      <c r="AC84" s="85">
        <v>0</v>
      </c>
      <c r="AD84" s="85">
        <v>0</v>
      </c>
      <c r="AE84" s="85">
        <v>0</v>
      </c>
      <c r="AF84" s="85">
        <v>0</v>
      </c>
      <c r="AG84" s="96"/>
      <c r="AH84" s="12">
        <f t="shared" si="45"/>
        <v>56</v>
      </c>
      <c r="AI84" s="11">
        <f t="shared" si="46"/>
        <v>0</v>
      </c>
      <c r="AK84" s="19"/>
      <c r="AY84" s="78"/>
      <c r="BF84" s="83"/>
      <c r="BG84" s="78">
        <f t="array" ref="BG84:BL107">TRANSPOSE(AZ68:BW73)</f>
        <v>11</v>
      </c>
      <c r="BH84" s="78">
        <v>0</v>
      </c>
      <c r="BI84" s="78">
        <v>10</v>
      </c>
      <c r="BJ84" s="78">
        <v>0</v>
      </c>
      <c r="BK84" s="78">
        <v>0</v>
      </c>
      <c r="BL84" s="78">
        <v>37</v>
      </c>
    </row>
    <row r="85" spans="1:64" x14ac:dyDescent="0.25">
      <c r="A85" s="87" t="s">
        <v>180</v>
      </c>
      <c r="B85" s="102"/>
      <c r="C85" s="102"/>
      <c r="D85" s="102"/>
      <c r="E85" s="102"/>
      <c r="F85" s="102"/>
      <c r="G85" s="102"/>
      <c r="H85" s="102"/>
      <c r="I85" s="102"/>
      <c r="J85" s="102">
        <v>73.099999999999994</v>
      </c>
      <c r="K85" s="102">
        <v>96.7</v>
      </c>
      <c r="L85" s="102">
        <v>110.1</v>
      </c>
      <c r="M85" s="102">
        <v>91</v>
      </c>
      <c r="N85" s="102">
        <v>104.2</v>
      </c>
      <c r="O85" s="102">
        <v>118.5</v>
      </c>
      <c r="P85" s="102">
        <v>116.7</v>
      </c>
      <c r="Q85" s="102">
        <v>135.30000000000001</v>
      </c>
      <c r="R85" s="102">
        <v>113.1</v>
      </c>
      <c r="S85" s="102">
        <v>119</v>
      </c>
      <c r="T85" s="102">
        <v>121</v>
      </c>
      <c r="U85" s="102">
        <v>119.1</v>
      </c>
      <c r="V85" s="102">
        <v>125.4</v>
      </c>
      <c r="W85" s="102">
        <v>125.4</v>
      </c>
      <c r="X85" s="102">
        <v>95</v>
      </c>
      <c r="Y85" s="102">
        <v>0</v>
      </c>
      <c r="Z85" s="102">
        <v>0</v>
      </c>
      <c r="AA85" s="102">
        <v>0</v>
      </c>
      <c r="AB85" s="102">
        <v>0</v>
      </c>
      <c r="AC85" s="102">
        <v>0</v>
      </c>
      <c r="AD85" s="102">
        <v>0</v>
      </c>
      <c r="AE85" s="102">
        <v>0</v>
      </c>
      <c r="AF85" s="102"/>
      <c r="AG85" s="96"/>
      <c r="AH85" s="12">
        <f t="shared" si="45"/>
        <v>135.30000000000001</v>
      </c>
      <c r="AI85" s="11">
        <f t="shared" si="46"/>
        <v>0</v>
      </c>
      <c r="AK85" s="19"/>
      <c r="AY85" s="78"/>
      <c r="BF85" s="83"/>
      <c r="BG85" s="78">
        <v>12.9</v>
      </c>
      <c r="BH85" s="78">
        <v>0</v>
      </c>
      <c r="BI85" s="78">
        <v>84.5</v>
      </c>
      <c r="BJ85" s="78">
        <v>0</v>
      </c>
      <c r="BK85" s="78">
        <v>0</v>
      </c>
      <c r="BL85" s="78">
        <v>38</v>
      </c>
    </row>
    <row r="86" spans="1:64" x14ac:dyDescent="0.25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45"/>
        <v>0</v>
      </c>
      <c r="AI86" s="11">
        <f t="shared" si="46"/>
        <v>0</v>
      </c>
      <c r="AK86" s="19"/>
      <c r="AY86" s="78"/>
      <c r="BF86" s="83"/>
      <c r="BG86" s="78">
        <v>30.6</v>
      </c>
      <c r="BH86" s="78">
        <v>0</v>
      </c>
      <c r="BI86" s="78">
        <v>101.7</v>
      </c>
      <c r="BJ86" s="78">
        <v>0</v>
      </c>
      <c r="BK86" s="78">
        <v>0</v>
      </c>
      <c r="BL86" s="78">
        <v>38.4</v>
      </c>
    </row>
    <row r="87" spans="1:64" ht="15.75" thickBot="1" x14ac:dyDescent="0.3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45"/>
        <v>0</v>
      </c>
      <c r="AI87" s="11">
        <f t="shared" si="46"/>
        <v>0</v>
      </c>
      <c r="AK87" s="19"/>
      <c r="AL87" s="108" t="s">
        <v>177</v>
      </c>
      <c r="AM87" s="108"/>
      <c r="AY87" s="78"/>
      <c r="BF87" s="78"/>
      <c r="BG87" s="78">
        <v>27.1</v>
      </c>
      <c r="BH87" s="78">
        <v>0</v>
      </c>
      <c r="BI87" s="78">
        <v>140</v>
      </c>
      <c r="BJ87" s="78">
        <v>0</v>
      </c>
      <c r="BK87" s="78">
        <v>0</v>
      </c>
      <c r="BL87" s="78">
        <v>34.299999999999997</v>
      </c>
    </row>
    <row r="88" spans="1:64" x14ac:dyDescent="0.25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45"/>
        <v>0</v>
      </c>
      <c r="AI88" s="11">
        <f t="shared" si="46"/>
        <v>0</v>
      </c>
      <c r="AK88" s="107"/>
      <c r="AL88" s="106"/>
      <c r="AM88" s="106"/>
      <c r="AN88" s="105"/>
      <c r="AY88" s="78"/>
      <c r="BF88" s="78"/>
      <c r="BG88" s="78">
        <v>23.4</v>
      </c>
      <c r="BH88" s="78">
        <v>0</v>
      </c>
      <c r="BI88" s="78">
        <v>170</v>
      </c>
      <c r="BJ88" s="78">
        <v>0</v>
      </c>
      <c r="BK88" s="78">
        <v>0</v>
      </c>
      <c r="BL88" s="78">
        <v>32.4</v>
      </c>
    </row>
    <row r="89" spans="1:64" x14ac:dyDescent="0.25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45"/>
        <v>0</v>
      </c>
      <c r="AI89" s="11">
        <f t="shared" si="46"/>
        <v>0</v>
      </c>
      <c r="AK89" s="104" t="s">
        <v>174</v>
      </c>
      <c r="AL89" s="70"/>
      <c r="AM89" s="85"/>
      <c r="AN89" s="103"/>
      <c r="AY89" s="78"/>
      <c r="BF89" s="78"/>
      <c r="BG89" s="78">
        <v>33.799999999999997</v>
      </c>
      <c r="BH89" s="78">
        <v>0</v>
      </c>
      <c r="BI89" s="78">
        <v>254.7</v>
      </c>
      <c r="BJ89" s="78">
        <v>0</v>
      </c>
      <c r="BK89" s="78">
        <v>0</v>
      </c>
      <c r="BL89" s="78">
        <v>33.6</v>
      </c>
    </row>
    <row r="90" spans="1:64" x14ac:dyDescent="0.25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45"/>
        <v>0</v>
      </c>
      <c r="AI90" s="11">
        <f t="shared" si="46"/>
        <v>0</v>
      </c>
      <c r="AK90" s="104" t="s">
        <v>172</v>
      </c>
      <c r="AL90" s="85"/>
      <c r="AM90" s="85"/>
      <c r="AN90" s="103"/>
      <c r="AY90" s="78"/>
      <c r="BF90" s="78"/>
      <c r="BG90" s="78">
        <v>69.8</v>
      </c>
      <c r="BH90" s="78">
        <v>83</v>
      </c>
      <c r="BI90" s="78">
        <v>430</v>
      </c>
      <c r="BJ90" s="78">
        <v>51.6</v>
      </c>
      <c r="BK90" s="78">
        <v>96.7</v>
      </c>
      <c r="BL90" s="78">
        <v>40.6</v>
      </c>
    </row>
    <row r="91" spans="1:64" ht="15.75" thickBot="1" x14ac:dyDescent="0.3">
      <c r="A91" s="82" t="s">
        <v>171</v>
      </c>
      <c r="B91" s="97">
        <v>37.9</v>
      </c>
      <c r="C91" s="97">
        <v>37</v>
      </c>
      <c r="D91" s="97">
        <v>38</v>
      </c>
      <c r="E91" s="97">
        <v>38.4</v>
      </c>
      <c r="F91" s="97">
        <v>34.299999999999997</v>
      </c>
      <c r="G91" s="97">
        <v>32.4</v>
      </c>
      <c r="H91" s="97">
        <v>29</v>
      </c>
      <c r="I91" s="97">
        <v>33.6</v>
      </c>
      <c r="J91" s="97">
        <v>36.700000000000003</v>
      </c>
      <c r="K91" s="97">
        <v>40.6</v>
      </c>
      <c r="L91" s="97">
        <v>43.7</v>
      </c>
      <c r="M91" s="97">
        <v>43.7</v>
      </c>
      <c r="N91" s="97">
        <v>48.3</v>
      </c>
      <c r="O91" s="97">
        <v>44.1</v>
      </c>
      <c r="P91" s="97">
        <v>46.7</v>
      </c>
      <c r="Q91" s="97">
        <v>51.9</v>
      </c>
      <c r="R91" s="97">
        <v>43.5</v>
      </c>
      <c r="S91" s="97">
        <v>48</v>
      </c>
      <c r="T91" s="97">
        <v>52</v>
      </c>
      <c r="U91" s="97">
        <v>38.5</v>
      </c>
      <c r="V91" s="97">
        <v>38.6</v>
      </c>
      <c r="W91" s="97">
        <v>38.6</v>
      </c>
      <c r="X91" s="97">
        <v>41</v>
      </c>
      <c r="Y91" s="97">
        <v>37.4</v>
      </c>
      <c r="Z91" s="97">
        <v>39</v>
      </c>
      <c r="AA91" s="97">
        <v>36.299999999999997</v>
      </c>
      <c r="AB91" s="97">
        <v>38.5</v>
      </c>
      <c r="AC91" s="97">
        <v>38.799999999999997</v>
      </c>
      <c r="AD91" s="97">
        <v>38.9</v>
      </c>
      <c r="AE91" s="97">
        <v>38.700000000000003</v>
      </c>
      <c r="AF91" s="97">
        <v>41.3</v>
      </c>
      <c r="AG91" s="80"/>
      <c r="AH91" s="12">
        <f t="shared" si="45"/>
        <v>52</v>
      </c>
      <c r="AI91" s="11">
        <f t="shared" si="46"/>
        <v>29</v>
      </c>
      <c r="AK91" s="98"/>
      <c r="AL91" s="102"/>
      <c r="AM91" s="102"/>
      <c r="AN91" s="101"/>
      <c r="AY91" s="78"/>
      <c r="BF91" s="78"/>
      <c r="BG91" s="78">
        <v>63.5</v>
      </c>
      <c r="BH91" s="78">
        <v>83</v>
      </c>
      <c r="BI91" s="78">
        <v>457</v>
      </c>
      <c r="BJ91" s="78">
        <v>56</v>
      </c>
      <c r="BK91" s="78">
        <v>91</v>
      </c>
      <c r="BL91" s="78">
        <v>43.7</v>
      </c>
    </row>
    <row r="92" spans="1:64" ht="15.75" thickBot="1" x14ac:dyDescent="0.3">
      <c r="A92" s="77" t="s">
        <v>170</v>
      </c>
      <c r="B92" s="76">
        <f t="shared" ref="B92" si="47">SUMIF(B81:B91,"&gt;0")</f>
        <v>58.7</v>
      </c>
      <c r="C92" s="76">
        <f t="shared" ref="C92:AF92" si="48">SUMIF(C81:C91,"&gt;0")</f>
        <v>58</v>
      </c>
      <c r="D92" s="76">
        <f t="shared" si="48"/>
        <v>135.4</v>
      </c>
      <c r="E92" s="76">
        <f t="shared" si="48"/>
        <v>170.70000000000002</v>
      </c>
      <c r="F92" s="76">
        <f t="shared" si="48"/>
        <v>201.39999999999998</v>
      </c>
      <c r="G92" s="76">
        <f t="shared" si="48"/>
        <v>225.8</v>
      </c>
      <c r="H92" s="76">
        <f t="shared" si="48"/>
        <v>246.9</v>
      </c>
      <c r="I92" s="76">
        <f t="shared" si="48"/>
        <v>322.10000000000002</v>
      </c>
      <c r="J92" s="76">
        <f t="shared" si="48"/>
        <v>647.30000000000007</v>
      </c>
      <c r="K92" s="76">
        <f t="shared" si="48"/>
        <v>771.7</v>
      </c>
      <c r="L92" s="76">
        <f t="shared" si="48"/>
        <v>788.10000000000014</v>
      </c>
      <c r="M92" s="76">
        <f t="shared" si="48"/>
        <v>794.2</v>
      </c>
      <c r="N92" s="76">
        <f t="shared" si="48"/>
        <v>793.3</v>
      </c>
      <c r="O92" s="76">
        <f t="shared" si="48"/>
        <v>832.1</v>
      </c>
      <c r="P92" s="76">
        <f t="shared" si="48"/>
        <v>801.00000000000011</v>
      </c>
      <c r="Q92" s="76">
        <f t="shared" si="48"/>
        <v>799.1</v>
      </c>
      <c r="R92" s="76">
        <f t="shared" si="48"/>
        <v>790.8</v>
      </c>
      <c r="S92" s="76">
        <f t="shared" si="48"/>
        <v>778.8</v>
      </c>
      <c r="T92" s="76">
        <f t="shared" si="48"/>
        <v>752.3</v>
      </c>
      <c r="U92" s="76">
        <f t="shared" si="48"/>
        <v>790.6</v>
      </c>
      <c r="V92" s="76">
        <f t="shared" si="48"/>
        <v>744</v>
      </c>
      <c r="W92" s="76">
        <f t="shared" ref="W92:X92" si="49">SUMIF(W81:W91,"&gt;0")</f>
        <v>744</v>
      </c>
      <c r="X92" s="76">
        <f t="shared" si="49"/>
        <v>645</v>
      </c>
      <c r="Y92" s="76">
        <f t="shared" si="48"/>
        <v>183</v>
      </c>
      <c r="Z92" s="76">
        <f>SUMIF(Z81:Z91,"&gt;0")</f>
        <v>164.2</v>
      </c>
      <c r="AA92" s="76">
        <f t="shared" si="48"/>
        <v>203.10000000000002</v>
      </c>
      <c r="AB92" s="76">
        <f t="shared" si="48"/>
        <v>252</v>
      </c>
      <c r="AC92" s="76">
        <f t="shared" si="48"/>
        <v>258.3</v>
      </c>
      <c r="AD92" s="76">
        <f t="shared" si="48"/>
        <v>261.5</v>
      </c>
      <c r="AE92" s="76">
        <f t="shared" si="48"/>
        <v>65.2</v>
      </c>
      <c r="AF92" s="76">
        <f t="shared" si="48"/>
        <v>61</v>
      </c>
      <c r="AG92" s="75">
        <f>SUM(AG81:AG91)</f>
        <v>0</v>
      </c>
      <c r="AH92" s="12">
        <f t="shared" si="45"/>
        <v>832.1</v>
      </c>
      <c r="AI92" s="11">
        <f t="shared" si="46"/>
        <v>58</v>
      </c>
      <c r="AK92" s="98"/>
      <c r="AL92" s="97"/>
      <c r="AM92" s="100"/>
      <c r="AN92" s="220"/>
      <c r="AY92" s="78"/>
      <c r="BF92" s="78"/>
      <c r="BG92" s="78">
        <v>57.1</v>
      </c>
      <c r="BH92" s="78">
        <v>84</v>
      </c>
      <c r="BI92" s="78">
        <v>446.3</v>
      </c>
      <c r="BJ92" s="78">
        <v>53.4</v>
      </c>
      <c r="BK92" s="78">
        <v>104.2</v>
      </c>
      <c r="BL92" s="78">
        <v>48.3</v>
      </c>
    </row>
    <row r="93" spans="1:64" x14ac:dyDescent="0.25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f>SUMIF(Z81:Z92,"&gt;0")</f>
        <v>328.4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45"/>
        <v>328.4</v>
      </c>
      <c r="AI93" s="11">
        <f t="shared" si="46"/>
        <v>0</v>
      </c>
      <c r="AK93" s="98"/>
      <c r="AL93" s="97"/>
      <c r="AM93" s="97"/>
      <c r="AN93" s="221"/>
      <c r="BF93" s="78"/>
      <c r="BG93" s="78">
        <v>64.599999999999994</v>
      </c>
      <c r="BH93" s="78">
        <v>85</v>
      </c>
      <c r="BI93" s="78">
        <v>472</v>
      </c>
      <c r="BJ93" s="78">
        <v>47.9</v>
      </c>
      <c r="BK93" s="78">
        <v>118.5</v>
      </c>
      <c r="BL93" s="78">
        <v>44.1</v>
      </c>
    </row>
    <row r="94" spans="1:64" ht="15.75" thickBot="1" x14ac:dyDescent="0.3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45"/>
        <v>0</v>
      </c>
      <c r="AI94" s="11">
        <f t="shared" si="46"/>
        <v>0</v>
      </c>
      <c r="AK94" s="95"/>
      <c r="AL94" s="67"/>
      <c r="AM94" s="67"/>
      <c r="AN94" s="94"/>
      <c r="BF94" s="78"/>
      <c r="BG94" s="78">
        <v>75.3</v>
      </c>
      <c r="BH94" s="78">
        <v>77</v>
      </c>
      <c r="BI94" s="78">
        <v>435.3</v>
      </c>
      <c r="BJ94" s="78">
        <v>50</v>
      </c>
      <c r="BK94" s="78">
        <v>116.7</v>
      </c>
      <c r="BL94" s="78">
        <v>46.7</v>
      </c>
    </row>
    <row r="95" spans="1:64" ht="15.75" thickBot="1" x14ac:dyDescent="0.3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45"/>
        <v>0</v>
      </c>
      <c r="AI95" s="11">
        <f t="shared" si="46"/>
        <v>0</v>
      </c>
      <c r="BF95" s="78"/>
      <c r="BG95" s="78">
        <v>54.3</v>
      </c>
      <c r="BH95" s="78">
        <v>85.8</v>
      </c>
      <c r="BI95" s="78">
        <v>429</v>
      </c>
      <c r="BJ95" s="78">
        <v>42.8</v>
      </c>
      <c r="BK95" s="78">
        <v>135.30000000000001</v>
      </c>
      <c r="BL95" s="78">
        <v>51.9</v>
      </c>
    </row>
    <row r="96" spans="1:64" ht="15.75" thickBot="1" x14ac:dyDescent="0.3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>
        <v>0</v>
      </c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45"/>
        <v>0</v>
      </c>
      <c r="AI96" s="11">
        <f t="shared" si="46"/>
        <v>0</v>
      </c>
      <c r="BF96" s="78"/>
      <c r="BG96" s="78">
        <v>72.599999999999994</v>
      </c>
      <c r="BH96" s="78">
        <v>79.3</v>
      </c>
      <c r="BI96" s="78">
        <v>430</v>
      </c>
      <c r="BJ96" s="78">
        <v>52.3</v>
      </c>
      <c r="BK96" s="78">
        <v>113.1</v>
      </c>
      <c r="BL96" s="78">
        <v>43.5</v>
      </c>
    </row>
    <row r="97" spans="1:64" ht="15.75" thickBot="1" x14ac:dyDescent="0.3">
      <c r="A97" s="77" t="s">
        <v>165</v>
      </c>
      <c r="B97" s="90">
        <f t="shared" ref="B97" si="50">B58+B62+B80+B76+B92+B96</f>
        <v>1081.6400000000001</v>
      </c>
      <c r="C97" s="90">
        <f t="shared" ref="C97:AG97" si="51">C58+C62+C80+C76+C92+C96</f>
        <v>1065.04</v>
      </c>
      <c r="D97" s="90">
        <f t="shared" si="51"/>
        <v>1068.6400000000001</v>
      </c>
      <c r="E97" s="90">
        <f t="shared" si="51"/>
        <v>1055.3400000000001</v>
      </c>
      <c r="F97" s="90">
        <f t="shared" si="51"/>
        <v>1058.6400000000001</v>
      </c>
      <c r="G97" s="90">
        <f t="shared" si="51"/>
        <v>1082.0400000000002</v>
      </c>
      <c r="H97" s="90">
        <f t="shared" si="51"/>
        <v>1149.1400000000001</v>
      </c>
      <c r="I97" s="90">
        <f t="shared" si="51"/>
        <v>1295.6400000000001</v>
      </c>
      <c r="J97" s="90">
        <f t="shared" si="51"/>
        <v>1425.2400000000002</v>
      </c>
      <c r="K97" s="90">
        <f t="shared" si="51"/>
        <v>1559.54</v>
      </c>
      <c r="L97" s="90">
        <f t="shared" si="51"/>
        <v>1626.3400000000001</v>
      </c>
      <c r="M97" s="90">
        <f t="shared" si="51"/>
        <v>1631.94</v>
      </c>
      <c r="N97" s="90">
        <f t="shared" si="51"/>
        <v>1591.3400000000001</v>
      </c>
      <c r="O97" s="90">
        <f t="shared" si="51"/>
        <v>1636.2400000000002</v>
      </c>
      <c r="P97" s="90">
        <f t="shared" si="51"/>
        <v>1614.94</v>
      </c>
      <c r="Q97" s="90">
        <f t="shared" si="51"/>
        <v>1596.7400000000002</v>
      </c>
      <c r="R97" s="90">
        <f t="shared" si="51"/>
        <v>1579.3400000000001</v>
      </c>
      <c r="S97" s="90">
        <f t="shared" si="51"/>
        <v>1596.4</v>
      </c>
      <c r="T97" s="90">
        <f t="shared" si="51"/>
        <v>1591.74</v>
      </c>
      <c r="U97" s="90">
        <f t="shared" si="51"/>
        <v>1590.04</v>
      </c>
      <c r="V97" s="90">
        <f t="shared" si="51"/>
        <v>1586.44</v>
      </c>
      <c r="W97" s="90">
        <f t="shared" ref="W97:X97" si="52">W58+W62+W80+W76+W92+W96</f>
        <v>1586.44</v>
      </c>
      <c r="X97" s="90">
        <f t="shared" si="52"/>
        <v>1464.54</v>
      </c>
      <c r="Y97" s="90">
        <f>Y58+Y62+Y80+Y76+Y92+Y96</f>
        <v>1381.2</v>
      </c>
      <c r="Z97" s="90">
        <f>Z58+Z62+Z80+Z76+Z92+Z96</f>
        <v>1501.2</v>
      </c>
      <c r="AA97" s="90">
        <f t="shared" si="51"/>
        <v>1497.54</v>
      </c>
      <c r="AB97" s="90">
        <f t="shared" si="51"/>
        <v>1395.64</v>
      </c>
      <c r="AC97" s="90">
        <f t="shared" si="51"/>
        <v>1363.04</v>
      </c>
      <c r="AD97" s="90">
        <f t="shared" si="51"/>
        <v>1328.54</v>
      </c>
      <c r="AE97" s="90">
        <f t="shared" si="51"/>
        <v>1164.44</v>
      </c>
      <c r="AF97" s="90">
        <f t="shared" si="51"/>
        <v>1107.04</v>
      </c>
      <c r="AG97" s="93">
        <f t="shared" si="51"/>
        <v>2231.81</v>
      </c>
      <c r="AH97" s="12">
        <f t="shared" si="45"/>
        <v>1636.2400000000002</v>
      </c>
      <c r="AI97" s="11">
        <f t="shared" si="46"/>
        <v>1055.3400000000001</v>
      </c>
      <c r="BF97" s="78"/>
      <c r="BG97" s="78">
        <v>73.8</v>
      </c>
      <c r="BH97" s="78">
        <v>41</v>
      </c>
      <c r="BI97" s="78">
        <v>445</v>
      </c>
      <c r="BJ97" s="78">
        <v>52</v>
      </c>
      <c r="BK97" s="78">
        <v>119</v>
      </c>
      <c r="BL97" s="78">
        <v>48</v>
      </c>
    </row>
    <row r="98" spans="1:64" ht="15.75" thickBot="1" x14ac:dyDescent="0.3">
      <c r="A98" s="92" t="s">
        <v>164</v>
      </c>
      <c r="B98" s="91">
        <v>180</v>
      </c>
      <c r="C98" s="91">
        <v>180</v>
      </c>
      <c r="D98" s="91">
        <v>180</v>
      </c>
      <c r="E98" s="91">
        <v>180</v>
      </c>
      <c r="F98" s="91">
        <v>180</v>
      </c>
      <c r="G98" s="91">
        <v>180</v>
      </c>
      <c r="H98" s="91">
        <v>180</v>
      </c>
      <c r="I98" s="91">
        <v>150</v>
      </c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>
        <v>250</v>
      </c>
      <c r="Z98" s="91">
        <v>250</v>
      </c>
      <c r="AA98" s="91">
        <v>250</v>
      </c>
      <c r="AB98" s="91">
        <v>250</v>
      </c>
      <c r="AC98" s="91">
        <v>200</v>
      </c>
      <c r="AD98" s="91">
        <v>200</v>
      </c>
      <c r="AE98" s="91">
        <v>300</v>
      </c>
      <c r="AF98" s="91">
        <v>300</v>
      </c>
      <c r="AG98" s="75"/>
      <c r="AH98" s="12">
        <f t="shared" si="45"/>
        <v>300</v>
      </c>
      <c r="AI98" s="11">
        <f t="shared" si="46"/>
        <v>150</v>
      </c>
      <c r="BF98" s="78"/>
      <c r="BG98" s="78">
        <v>73.8</v>
      </c>
      <c r="BH98" s="78">
        <v>0</v>
      </c>
      <c r="BI98" s="78">
        <v>452.2</v>
      </c>
      <c r="BJ98" s="78">
        <v>53.3</v>
      </c>
      <c r="BK98" s="78">
        <v>121</v>
      </c>
      <c r="BL98" s="78">
        <v>52</v>
      </c>
    </row>
    <row r="99" spans="1:64" ht="15.75" thickBot="1" x14ac:dyDescent="0.3">
      <c r="A99" s="77" t="s">
        <v>163</v>
      </c>
      <c r="B99" s="90">
        <f t="shared" ref="B99" si="53">B97+B98</f>
        <v>1261.6400000000001</v>
      </c>
      <c r="C99" s="90">
        <f t="shared" ref="C99:AF99" si="54">C97+C98</f>
        <v>1245.04</v>
      </c>
      <c r="D99" s="90">
        <f t="shared" si="54"/>
        <v>1248.6400000000001</v>
      </c>
      <c r="E99" s="90">
        <f t="shared" si="54"/>
        <v>1235.3400000000001</v>
      </c>
      <c r="F99" s="90">
        <f t="shared" si="54"/>
        <v>1238.6400000000001</v>
      </c>
      <c r="G99" s="90">
        <f t="shared" si="54"/>
        <v>1262.0400000000002</v>
      </c>
      <c r="H99" s="90">
        <f t="shared" si="54"/>
        <v>1329.14</v>
      </c>
      <c r="I99" s="90">
        <f t="shared" si="54"/>
        <v>1445.64</v>
      </c>
      <c r="J99" s="90">
        <f t="shared" si="54"/>
        <v>1425.2400000000002</v>
      </c>
      <c r="K99" s="90">
        <f t="shared" si="54"/>
        <v>1559.54</v>
      </c>
      <c r="L99" s="90">
        <f t="shared" si="54"/>
        <v>1626.3400000000001</v>
      </c>
      <c r="M99" s="90">
        <f t="shared" si="54"/>
        <v>1631.94</v>
      </c>
      <c r="N99" s="90">
        <f t="shared" si="54"/>
        <v>1591.3400000000001</v>
      </c>
      <c r="O99" s="90">
        <f t="shared" si="54"/>
        <v>1636.2400000000002</v>
      </c>
      <c r="P99" s="90">
        <f t="shared" si="54"/>
        <v>1614.94</v>
      </c>
      <c r="Q99" s="90">
        <f t="shared" si="54"/>
        <v>1596.7400000000002</v>
      </c>
      <c r="R99" s="90">
        <f t="shared" si="54"/>
        <v>1579.3400000000001</v>
      </c>
      <c r="S99" s="90">
        <f t="shared" si="54"/>
        <v>1596.4</v>
      </c>
      <c r="T99" s="90">
        <f t="shared" si="54"/>
        <v>1591.74</v>
      </c>
      <c r="U99" s="90">
        <f t="shared" si="54"/>
        <v>1590.04</v>
      </c>
      <c r="V99" s="90">
        <f t="shared" si="54"/>
        <v>1586.44</v>
      </c>
      <c r="W99" s="90">
        <f t="shared" ref="W99:X99" si="55">W97+W98</f>
        <v>1586.44</v>
      </c>
      <c r="X99" s="90">
        <f t="shared" si="55"/>
        <v>1464.54</v>
      </c>
      <c r="Y99" s="90">
        <f>Y97+Y98</f>
        <v>1631.2</v>
      </c>
      <c r="Z99" s="90">
        <f>Z97+Z98</f>
        <v>1751.2</v>
      </c>
      <c r="AA99" s="90">
        <f>AA97+AA98</f>
        <v>1747.54</v>
      </c>
      <c r="AB99" s="90">
        <f t="shared" si="54"/>
        <v>1645.64</v>
      </c>
      <c r="AC99" s="90">
        <f t="shared" si="54"/>
        <v>1563.04</v>
      </c>
      <c r="AD99" s="90">
        <f t="shared" si="54"/>
        <v>1528.54</v>
      </c>
      <c r="AE99" s="90">
        <f t="shared" si="54"/>
        <v>1464.44</v>
      </c>
      <c r="AF99" s="90">
        <f t="shared" si="54"/>
        <v>1407.04</v>
      </c>
      <c r="AG99" s="75">
        <f>AG96+AG92+AG80+AG76+AG58+AG98</f>
        <v>1693.71</v>
      </c>
      <c r="AH99" s="12">
        <f t="shared" si="45"/>
        <v>1751.2</v>
      </c>
      <c r="AI99" s="11">
        <f t="shared" si="46"/>
        <v>1235.3400000000001</v>
      </c>
      <c r="BF99" s="78"/>
      <c r="BG99" s="78">
        <v>73.2</v>
      </c>
      <c r="BH99" s="78">
        <v>61.7</v>
      </c>
      <c r="BI99" s="78">
        <v>444.9</v>
      </c>
      <c r="BJ99" s="78">
        <v>53.2</v>
      </c>
      <c r="BK99" s="78">
        <v>119.1</v>
      </c>
      <c r="BL99" s="78">
        <v>38.5</v>
      </c>
    </row>
    <row r="100" spans="1:64" ht="15.75" thickBot="1" x14ac:dyDescent="0.3">
      <c r="A100" s="77" t="s">
        <v>162</v>
      </c>
      <c r="B100" s="90">
        <f t="shared" ref="B100" si="56">B99-(B107)</f>
        <v>1261.6400000000001</v>
      </c>
      <c r="C100" s="90">
        <f t="shared" ref="C100:AF100" si="57">C99-(C107)</f>
        <v>1245.04</v>
      </c>
      <c r="D100" s="90">
        <f t="shared" si="57"/>
        <v>1248.6400000000001</v>
      </c>
      <c r="E100" s="90">
        <f t="shared" si="57"/>
        <v>1235.3400000000001</v>
      </c>
      <c r="F100" s="90">
        <f t="shared" si="57"/>
        <v>1238.6400000000001</v>
      </c>
      <c r="G100" s="90">
        <f t="shared" si="57"/>
        <v>1262.0400000000002</v>
      </c>
      <c r="H100" s="90">
        <f t="shared" si="57"/>
        <v>1329.14</v>
      </c>
      <c r="I100" s="90">
        <f t="shared" si="57"/>
        <v>1445.64</v>
      </c>
      <c r="J100" s="90">
        <f t="shared" si="57"/>
        <v>1425.2400000000002</v>
      </c>
      <c r="K100" s="90">
        <f t="shared" si="57"/>
        <v>1559.54</v>
      </c>
      <c r="L100" s="90">
        <f t="shared" si="57"/>
        <v>1626.3400000000001</v>
      </c>
      <c r="M100" s="90">
        <f t="shared" si="57"/>
        <v>1631.94</v>
      </c>
      <c r="N100" s="90">
        <f t="shared" si="57"/>
        <v>1591.3400000000001</v>
      </c>
      <c r="O100" s="90">
        <f t="shared" si="57"/>
        <v>1636.2400000000002</v>
      </c>
      <c r="P100" s="90">
        <f t="shared" si="57"/>
        <v>1614.94</v>
      </c>
      <c r="Q100" s="90">
        <f t="shared" si="57"/>
        <v>1596.7400000000002</v>
      </c>
      <c r="R100" s="90">
        <f t="shared" si="57"/>
        <v>1579.3400000000001</v>
      </c>
      <c r="S100" s="90">
        <f t="shared" si="57"/>
        <v>1596.4</v>
      </c>
      <c r="T100" s="90">
        <f t="shared" si="57"/>
        <v>1591.74</v>
      </c>
      <c r="U100" s="90">
        <f t="shared" si="57"/>
        <v>1590.04</v>
      </c>
      <c r="V100" s="90">
        <f t="shared" si="57"/>
        <v>1586.44</v>
      </c>
      <c r="W100" s="90">
        <f t="shared" ref="W100:X100" si="58">W99-(W107)</f>
        <v>1585.44</v>
      </c>
      <c r="X100" s="90">
        <f t="shared" si="58"/>
        <v>1464.54</v>
      </c>
      <c r="Y100" s="90">
        <f t="shared" si="57"/>
        <v>1631.2</v>
      </c>
      <c r="Z100" s="90">
        <f t="shared" si="57"/>
        <v>1751.2</v>
      </c>
      <c r="AA100" s="90">
        <f t="shared" si="57"/>
        <v>1747.54</v>
      </c>
      <c r="AB100" s="90">
        <f t="shared" si="57"/>
        <v>1645.64</v>
      </c>
      <c r="AC100" s="90">
        <f t="shared" si="57"/>
        <v>1563.04</v>
      </c>
      <c r="AD100" s="90">
        <f t="shared" si="57"/>
        <v>1528.54</v>
      </c>
      <c r="AE100" s="90">
        <f t="shared" si="57"/>
        <v>1464.44</v>
      </c>
      <c r="AF100" s="90">
        <f t="shared" si="57"/>
        <v>1407.04</v>
      </c>
      <c r="AG100" s="75"/>
      <c r="AH100" s="12">
        <f t="shared" si="45"/>
        <v>1751.2</v>
      </c>
      <c r="AI100" s="11">
        <f t="shared" si="46"/>
        <v>1235.3400000000001</v>
      </c>
      <c r="BF100" s="78"/>
      <c r="BG100" s="78">
        <v>62.2</v>
      </c>
      <c r="BH100" s="78">
        <v>53.6</v>
      </c>
      <c r="BI100" s="78">
        <v>413.9</v>
      </c>
      <c r="BJ100" s="78">
        <v>50.3</v>
      </c>
      <c r="BK100" s="78">
        <v>125.4</v>
      </c>
      <c r="BL100" s="78">
        <v>38.6</v>
      </c>
    </row>
    <row r="101" spans="1:64" x14ac:dyDescent="0.25">
      <c r="A101" s="89" t="s">
        <v>161</v>
      </c>
      <c r="B101" s="85">
        <f t="shared" ref="B101" si="59">IF(B84&lt;0,B84*-1,0)</f>
        <v>0</v>
      </c>
      <c r="C101" s="85">
        <f t="shared" ref="C101:AF101" si="60">IF(C84&lt;0,C84*-1,0)</f>
        <v>0</v>
      </c>
      <c r="D101" s="85">
        <f t="shared" si="60"/>
        <v>0</v>
      </c>
      <c r="E101" s="85">
        <f t="shared" si="60"/>
        <v>0</v>
      </c>
      <c r="F101" s="85">
        <f t="shared" si="60"/>
        <v>0</v>
      </c>
      <c r="G101" s="85">
        <f t="shared" si="60"/>
        <v>0</v>
      </c>
      <c r="H101" s="85">
        <f t="shared" si="60"/>
        <v>0</v>
      </c>
      <c r="I101" s="85">
        <f t="shared" si="60"/>
        <v>0</v>
      </c>
      <c r="J101" s="85">
        <f t="shared" si="60"/>
        <v>0</v>
      </c>
      <c r="K101" s="85">
        <f t="shared" si="60"/>
        <v>0</v>
      </c>
      <c r="L101" s="85">
        <f t="shared" si="60"/>
        <v>0</v>
      </c>
      <c r="M101" s="85">
        <f t="shared" si="60"/>
        <v>0</v>
      </c>
      <c r="N101" s="85">
        <f t="shared" si="60"/>
        <v>0</v>
      </c>
      <c r="O101" s="85">
        <f t="shared" si="60"/>
        <v>0</v>
      </c>
      <c r="P101" s="85">
        <f t="shared" si="60"/>
        <v>0</v>
      </c>
      <c r="Q101" s="85">
        <f t="shared" si="60"/>
        <v>0</v>
      </c>
      <c r="R101" s="85">
        <f t="shared" si="60"/>
        <v>0</v>
      </c>
      <c r="S101" s="85">
        <f t="shared" si="60"/>
        <v>0</v>
      </c>
      <c r="T101" s="85">
        <f t="shared" si="60"/>
        <v>0</v>
      </c>
      <c r="U101" s="85">
        <f t="shared" si="60"/>
        <v>0</v>
      </c>
      <c r="V101" s="85">
        <f t="shared" si="60"/>
        <v>0</v>
      </c>
      <c r="W101" s="85">
        <f t="shared" ref="W101:X101" si="61">IF(W84&lt;0,W84*-1,0)</f>
        <v>0</v>
      </c>
      <c r="X101" s="85">
        <f t="shared" si="61"/>
        <v>0</v>
      </c>
      <c r="Y101" s="85">
        <f t="shared" si="60"/>
        <v>0</v>
      </c>
      <c r="Z101" s="85">
        <f>Z100-(Z108)</f>
        <v>1587</v>
      </c>
      <c r="AA101" s="85">
        <f t="shared" si="60"/>
        <v>0</v>
      </c>
      <c r="AB101" s="85">
        <f t="shared" si="60"/>
        <v>0</v>
      </c>
      <c r="AC101" s="85">
        <f t="shared" si="60"/>
        <v>0</v>
      </c>
      <c r="AD101" s="85">
        <f t="shared" si="60"/>
        <v>0</v>
      </c>
      <c r="AE101" s="85">
        <f t="shared" si="60"/>
        <v>0</v>
      </c>
      <c r="AF101" s="85">
        <f t="shared" si="60"/>
        <v>0</v>
      </c>
      <c r="AG101" s="88"/>
      <c r="AH101" s="12">
        <f t="shared" si="45"/>
        <v>1587</v>
      </c>
      <c r="AI101" s="11">
        <f t="shared" si="46"/>
        <v>0</v>
      </c>
      <c r="BF101" s="83"/>
      <c r="BG101" s="78">
        <v>60</v>
      </c>
      <c r="BH101" s="78">
        <v>59</v>
      </c>
      <c r="BI101" s="78">
        <v>360</v>
      </c>
      <c r="BJ101" s="78">
        <v>30</v>
      </c>
      <c r="BK101" s="78">
        <v>95</v>
      </c>
      <c r="BL101" s="78">
        <v>41</v>
      </c>
    </row>
    <row r="102" spans="1:64" x14ac:dyDescent="0.25">
      <c r="A102" s="87" t="s">
        <v>160</v>
      </c>
      <c r="B102" s="85">
        <f t="shared" ref="B102" si="62">IF(B82&lt;0,B82*-1,0)</f>
        <v>0</v>
      </c>
      <c r="C102" s="85">
        <f t="shared" ref="C102:AF102" si="63">IF(C82&lt;0,C82*-1,0)</f>
        <v>0</v>
      </c>
      <c r="D102" s="85">
        <f t="shared" si="63"/>
        <v>0</v>
      </c>
      <c r="E102" s="85">
        <f t="shared" si="63"/>
        <v>0</v>
      </c>
      <c r="F102" s="85">
        <f t="shared" si="63"/>
        <v>0</v>
      </c>
      <c r="G102" s="85">
        <f t="shared" si="63"/>
        <v>0</v>
      </c>
      <c r="H102" s="85">
        <f t="shared" si="63"/>
        <v>0</v>
      </c>
      <c r="I102" s="85">
        <f t="shared" si="63"/>
        <v>0</v>
      </c>
      <c r="J102" s="85">
        <f t="shared" si="63"/>
        <v>0</v>
      </c>
      <c r="K102" s="85">
        <f t="shared" si="63"/>
        <v>0</v>
      </c>
      <c r="L102" s="85">
        <f t="shared" si="63"/>
        <v>0</v>
      </c>
      <c r="M102" s="85">
        <f t="shared" si="63"/>
        <v>0</v>
      </c>
      <c r="N102" s="85">
        <f t="shared" si="63"/>
        <v>0</v>
      </c>
      <c r="O102" s="85">
        <f t="shared" si="63"/>
        <v>0</v>
      </c>
      <c r="P102" s="85">
        <f t="shared" si="63"/>
        <v>0</v>
      </c>
      <c r="Q102" s="85">
        <f t="shared" si="63"/>
        <v>0</v>
      </c>
      <c r="R102" s="85">
        <f t="shared" si="63"/>
        <v>0</v>
      </c>
      <c r="S102" s="85">
        <f t="shared" si="63"/>
        <v>0</v>
      </c>
      <c r="T102" s="85">
        <f t="shared" si="63"/>
        <v>0</v>
      </c>
      <c r="U102" s="85">
        <f t="shared" si="63"/>
        <v>0</v>
      </c>
      <c r="V102" s="85">
        <f t="shared" si="63"/>
        <v>0</v>
      </c>
      <c r="W102" s="85">
        <f t="shared" ref="W102:X102" si="64">IF(W82&lt;0,W82*-1,0)</f>
        <v>0</v>
      </c>
      <c r="X102" s="85">
        <f t="shared" si="64"/>
        <v>0</v>
      </c>
      <c r="Y102" s="85">
        <f t="shared" si="63"/>
        <v>0</v>
      </c>
      <c r="Z102" s="85">
        <f>IF(Z84&lt;0,Z84*-1,0)</f>
        <v>0</v>
      </c>
      <c r="AA102" s="85">
        <f t="shared" si="63"/>
        <v>0</v>
      </c>
      <c r="AB102" s="85">
        <f t="shared" si="63"/>
        <v>0</v>
      </c>
      <c r="AC102" s="85">
        <f t="shared" si="63"/>
        <v>0</v>
      </c>
      <c r="AD102" s="85">
        <f t="shared" si="63"/>
        <v>0</v>
      </c>
      <c r="AE102" s="85">
        <f t="shared" si="63"/>
        <v>0</v>
      </c>
      <c r="AF102" s="85">
        <f t="shared" si="63"/>
        <v>0</v>
      </c>
      <c r="AG102" s="86"/>
      <c r="AH102" s="12">
        <f t="shared" si="45"/>
        <v>0</v>
      </c>
      <c r="AI102" s="11">
        <f t="shared" si="46"/>
        <v>0</v>
      </c>
      <c r="BF102" s="83"/>
      <c r="BG102" s="78">
        <v>19.3</v>
      </c>
      <c r="BH102" s="78">
        <v>0</v>
      </c>
      <c r="BI102" s="78">
        <v>81.599999999999994</v>
      </c>
      <c r="BJ102" s="78">
        <v>24.3</v>
      </c>
      <c r="BK102" s="78">
        <v>0</v>
      </c>
      <c r="BL102" s="78">
        <v>39</v>
      </c>
    </row>
    <row r="103" spans="1:64" x14ac:dyDescent="0.25">
      <c r="A103" s="82" t="s">
        <v>159</v>
      </c>
      <c r="B103" s="85">
        <f t="shared" ref="B103" si="65">IF(B85&lt;0,B85*-1,0)</f>
        <v>0</v>
      </c>
      <c r="C103" s="85">
        <f t="shared" ref="C103:AF103" si="66">IF(C85&lt;0,C85*-1,0)</f>
        <v>0</v>
      </c>
      <c r="D103" s="85">
        <f t="shared" si="66"/>
        <v>0</v>
      </c>
      <c r="E103" s="85">
        <f t="shared" si="66"/>
        <v>0</v>
      </c>
      <c r="F103" s="85">
        <f t="shared" si="66"/>
        <v>0</v>
      </c>
      <c r="G103" s="85">
        <f t="shared" si="66"/>
        <v>0</v>
      </c>
      <c r="H103" s="85">
        <f t="shared" si="66"/>
        <v>0</v>
      </c>
      <c r="I103" s="85">
        <f t="shared" si="66"/>
        <v>0</v>
      </c>
      <c r="J103" s="85">
        <f t="shared" si="66"/>
        <v>0</v>
      </c>
      <c r="K103" s="85">
        <f t="shared" si="66"/>
        <v>0</v>
      </c>
      <c r="L103" s="85">
        <f t="shared" si="66"/>
        <v>0</v>
      </c>
      <c r="M103" s="85">
        <f t="shared" si="66"/>
        <v>0</v>
      </c>
      <c r="N103" s="85">
        <f t="shared" si="66"/>
        <v>0</v>
      </c>
      <c r="O103" s="85">
        <f t="shared" si="66"/>
        <v>0</v>
      </c>
      <c r="P103" s="85">
        <f t="shared" si="66"/>
        <v>0</v>
      </c>
      <c r="Q103" s="85">
        <f t="shared" si="66"/>
        <v>0</v>
      </c>
      <c r="R103" s="85">
        <f t="shared" si="66"/>
        <v>0</v>
      </c>
      <c r="S103" s="85">
        <f t="shared" si="66"/>
        <v>0</v>
      </c>
      <c r="T103" s="85">
        <f t="shared" si="66"/>
        <v>0</v>
      </c>
      <c r="U103" s="85">
        <f t="shared" si="66"/>
        <v>0</v>
      </c>
      <c r="V103" s="85">
        <f t="shared" si="66"/>
        <v>0</v>
      </c>
      <c r="W103" s="85">
        <f t="shared" ref="W103:X103" si="67">IF(W85&lt;0,W85*-1,0)</f>
        <v>0</v>
      </c>
      <c r="X103" s="85">
        <f t="shared" si="67"/>
        <v>0</v>
      </c>
      <c r="Y103" s="85">
        <f t="shared" si="66"/>
        <v>0</v>
      </c>
      <c r="Z103" s="85">
        <f>IF(Z82&lt;0,Z82*-1,0)</f>
        <v>0</v>
      </c>
      <c r="AA103" s="85">
        <f t="shared" si="66"/>
        <v>0</v>
      </c>
      <c r="AB103" s="85">
        <f t="shared" si="66"/>
        <v>0</v>
      </c>
      <c r="AC103" s="85">
        <f t="shared" si="66"/>
        <v>0</v>
      </c>
      <c r="AD103" s="85">
        <f t="shared" si="66"/>
        <v>0</v>
      </c>
      <c r="AE103" s="85">
        <f t="shared" si="66"/>
        <v>0</v>
      </c>
      <c r="AF103" s="85">
        <f t="shared" si="66"/>
        <v>0</v>
      </c>
      <c r="AG103" s="84"/>
      <c r="AH103" s="12">
        <f t="shared" si="45"/>
        <v>0</v>
      </c>
      <c r="AI103" s="11">
        <f t="shared" si="46"/>
        <v>0</v>
      </c>
      <c r="BF103" s="83"/>
      <c r="BG103" s="78">
        <v>27.4</v>
      </c>
      <c r="BH103" s="78">
        <v>0</v>
      </c>
      <c r="BI103" s="78">
        <v>186.1</v>
      </c>
      <c r="BJ103" s="78">
        <v>0</v>
      </c>
      <c r="BK103" s="78">
        <v>0</v>
      </c>
      <c r="BL103" s="78">
        <v>38.5</v>
      </c>
    </row>
    <row r="104" spans="1:64" x14ac:dyDescent="0.25">
      <c r="A104" s="82" t="s">
        <v>158</v>
      </c>
      <c r="B104" s="85">
        <f t="shared" ref="B104" si="68">IF(B83&lt;0,B83*-1,0)</f>
        <v>0</v>
      </c>
      <c r="C104" s="85">
        <f t="shared" ref="C104:AF104" si="69">IF(C83&lt;0,C83*-1,0)</f>
        <v>0</v>
      </c>
      <c r="D104" s="85">
        <f t="shared" si="69"/>
        <v>0</v>
      </c>
      <c r="E104" s="85">
        <f t="shared" si="69"/>
        <v>0</v>
      </c>
      <c r="F104" s="85">
        <f t="shared" si="69"/>
        <v>0</v>
      </c>
      <c r="G104" s="85">
        <f t="shared" si="69"/>
        <v>0</v>
      </c>
      <c r="H104" s="85">
        <f t="shared" si="69"/>
        <v>0</v>
      </c>
      <c r="I104" s="85">
        <f t="shared" si="69"/>
        <v>0</v>
      </c>
      <c r="J104" s="85">
        <f t="shared" si="69"/>
        <v>0</v>
      </c>
      <c r="K104" s="85">
        <f t="shared" si="69"/>
        <v>0</v>
      </c>
      <c r="L104" s="85">
        <f t="shared" si="69"/>
        <v>0</v>
      </c>
      <c r="M104" s="85">
        <f t="shared" si="69"/>
        <v>0</v>
      </c>
      <c r="N104" s="85">
        <f t="shared" si="69"/>
        <v>0</v>
      </c>
      <c r="O104" s="85">
        <f t="shared" si="69"/>
        <v>0</v>
      </c>
      <c r="P104" s="85">
        <f t="shared" si="69"/>
        <v>0</v>
      </c>
      <c r="Q104" s="85">
        <f t="shared" si="69"/>
        <v>0</v>
      </c>
      <c r="R104" s="85">
        <f t="shared" si="69"/>
        <v>0</v>
      </c>
      <c r="S104" s="85">
        <f t="shared" si="69"/>
        <v>0</v>
      </c>
      <c r="T104" s="85">
        <f t="shared" si="69"/>
        <v>0</v>
      </c>
      <c r="U104" s="85">
        <f t="shared" si="69"/>
        <v>0</v>
      </c>
      <c r="V104" s="85">
        <f t="shared" si="69"/>
        <v>0</v>
      </c>
      <c r="W104" s="85">
        <f t="shared" ref="W104:X104" si="70">IF(W83&lt;0,W83*-1,0)</f>
        <v>0</v>
      </c>
      <c r="X104" s="85">
        <f t="shared" si="70"/>
        <v>0</v>
      </c>
      <c r="Y104" s="85">
        <f t="shared" si="69"/>
        <v>0</v>
      </c>
      <c r="Z104" s="85">
        <f>IF(Z85&lt;0,Z85*-1,0)</f>
        <v>0</v>
      </c>
      <c r="AA104" s="85">
        <f t="shared" si="69"/>
        <v>0</v>
      </c>
      <c r="AB104" s="85">
        <f t="shared" si="69"/>
        <v>0</v>
      </c>
      <c r="AC104" s="85">
        <f t="shared" si="69"/>
        <v>0</v>
      </c>
      <c r="AD104" s="85">
        <f t="shared" si="69"/>
        <v>0</v>
      </c>
      <c r="AE104" s="85">
        <f t="shared" si="69"/>
        <v>0</v>
      </c>
      <c r="AF104" s="85">
        <f t="shared" si="69"/>
        <v>0</v>
      </c>
      <c r="AG104" s="84"/>
      <c r="AH104" s="12">
        <f t="shared" si="45"/>
        <v>0</v>
      </c>
      <c r="AI104" s="11">
        <f t="shared" si="46"/>
        <v>0</v>
      </c>
      <c r="BF104" s="83"/>
      <c r="BG104" s="78">
        <v>33.700000000000003</v>
      </c>
      <c r="BH104" s="78">
        <v>0</v>
      </c>
      <c r="BI104" s="78">
        <v>188.9</v>
      </c>
      <c r="BJ104" s="78">
        <v>0</v>
      </c>
      <c r="BK104" s="78">
        <v>0</v>
      </c>
      <c r="BL104" s="78">
        <v>38.9</v>
      </c>
    </row>
    <row r="105" spans="1:64" x14ac:dyDescent="0.25">
      <c r="A105" s="82" t="s">
        <v>157</v>
      </c>
      <c r="B105" s="85">
        <f t="shared" ref="B105" si="71">IF(B81&lt;0,B81*-1,0)</f>
        <v>0</v>
      </c>
      <c r="C105" s="85">
        <f t="shared" ref="C105:AF105" si="72">IF(C81&lt;0,C81*-1,0)</f>
        <v>0</v>
      </c>
      <c r="D105" s="85">
        <f t="shared" si="72"/>
        <v>0</v>
      </c>
      <c r="E105" s="85">
        <f t="shared" si="72"/>
        <v>0</v>
      </c>
      <c r="F105" s="85">
        <f t="shared" si="72"/>
        <v>0</v>
      </c>
      <c r="G105" s="85">
        <f t="shared" si="72"/>
        <v>0</v>
      </c>
      <c r="H105" s="85">
        <f t="shared" si="72"/>
        <v>0</v>
      </c>
      <c r="I105" s="85">
        <f t="shared" si="72"/>
        <v>0</v>
      </c>
      <c r="J105" s="85">
        <f t="shared" si="72"/>
        <v>0</v>
      </c>
      <c r="K105" s="85">
        <f t="shared" si="72"/>
        <v>0</v>
      </c>
      <c r="L105" s="85">
        <f t="shared" si="72"/>
        <v>0</v>
      </c>
      <c r="M105" s="85">
        <f t="shared" si="72"/>
        <v>0</v>
      </c>
      <c r="N105" s="85">
        <f t="shared" si="72"/>
        <v>0</v>
      </c>
      <c r="O105" s="85">
        <f t="shared" si="72"/>
        <v>0</v>
      </c>
      <c r="P105" s="85">
        <f t="shared" si="72"/>
        <v>0</v>
      </c>
      <c r="Q105" s="85">
        <f t="shared" si="72"/>
        <v>0</v>
      </c>
      <c r="R105" s="85">
        <f t="shared" si="72"/>
        <v>0</v>
      </c>
      <c r="S105" s="85">
        <f t="shared" si="72"/>
        <v>0</v>
      </c>
      <c r="T105" s="85">
        <f t="shared" si="72"/>
        <v>0</v>
      </c>
      <c r="U105" s="85">
        <f t="shared" si="72"/>
        <v>0</v>
      </c>
      <c r="V105" s="85">
        <f t="shared" si="72"/>
        <v>0</v>
      </c>
      <c r="W105" s="85">
        <f t="shared" ref="W105:X105" si="73">IF(W81&lt;0,W81*-1,0)</f>
        <v>0</v>
      </c>
      <c r="X105" s="85">
        <f t="shared" si="73"/>
        <v>0</v>
      </c>
      <c r="Y105" s="85">
        <f t="shared" si="72"/>
        <v>0</v>
      </c>
      <c r="Z105" s="85">
        <f>IF(Z83&lt;0,Z83*-1,0)</f>
        <v>0</v>
      </c>
      <c r="AA105" s="85">
        <f t="shared" si="72"/>
        <v>0</v>
      </c>
      <c r="AB105" s="85">
        <f t="shared" si="72"/>
        <v>0</v>
      </c>
      <c r="AC105" s="85">
        <f t="shared" si="72"/>
        <v>0</v>
      </c>
      <c r="AD105" s="85">
        <f t="shared" si="72"/>
        <v>0</v>
      </c>
      <c r="AE105" s="85">
        <f t="shared" si="72"/>
        <v>0</v>
      </c>
      <c r="AF105" s="85">
        <f t="shared" si="72"/>
        <v>0</v>
      </c>
      <c r="AG105" s="84"/>
      <c r="AH105" s="12">
        <f t="shared" si="45"/>
        <v>0</v>
      </c>
      <c r="AI105" s="11">
        <f t="shared" si="46"/>
        <v>0</v>
      </c>
      <c r="BF105" s="83"/>
      <c r="BG105" s="78">
        <v>26.5</v>
      </c>
      <c r="BH105" s="78">
        <v>0</v>
      </c>
      <c r="BI105" s="78">
        <v>0</v>
      </c>
      <c r="BJ105" s="78">
        <v>0</v>
      </c>
      <c r="BK105" s="78">
        <v>0</v>
      </c>
      <c r="BL105" s="78">
        <v>38.700000000000003</v>
      </c>
    </row>
    <row r="106" spans="1:64" ht="15.75" thickBot="1" x14ac:dyDescent="0.3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1</v>
      </c>
      <c r="X106" s="81">
        <v>0</v>
      </c>
      <c r="Y106" s="81">
        <v>0</v>
      </c>
      <c r="Z106" s="81">
        <f>IF(Z81&lt;0,Z81*-1,0)</f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45"/>
        <v>1</v>
      </c>
      <c r="AI106" s="11">
        <f t="shared" si="46"/>
        <v>0</v>
      </c>
      <c r="BG106" s="78">
        <v>19.7</v>
      </c>
      <c r="BH106" s="78">
        <v>0</v>
      </c>
      <c r="BI106" s="78">
        <v>0</v>
      </c>
      <c r="BJ106" s="78">
        <v>0</v>
      </c>
      <c r="BK106" s="78">
        <v>0</v>
      </c>
      <c r="BL106" s="78">
        <v>41.3</v>
      </c>
    </row>
    <row r="107" spans="1:64" ht="15.75" thickBot="1" x14ac:dyDescent="0.3">
      <c r="A107" s="79" t="s">
        <v>155</v>
      </c>
      <c r="B107" s="76">
        <f t="shared" ref="B107" si="74">SUM(B101:B106)</f>
        <v>0</v>
      </c>
      <c r="C107" s="76">
        <f t="shared" ref="C107:AF107" si="75">SUM(C101:C106)</f>
        <v>0</v>
      </c>
      <c r="D107" s="76">
        <f t="shared" si="75"/>
        <v>0</v>
      </c>
      <c r="E107" s="76">
        <f t="shared" si="75"/>
        <v>0</v>
      </c>
      <c r="F107" s="76">
        <f t="shared" si="75"/>
        <v>0</v>
      </c>
      <c r="G107" s="76">
        <f t="shared" si="75"/>
        <v>0</v>
      </c>
      <c r="H107" s="76">
        <f t="shared" si="75"/>
        <v>0</v>
      </c>
      <c r="I107" s="76">
        <f t="shared" si="75"/>
        <v>0</v>
      </c>
      <c r="J107" s="76">
        <f t="shared" si="75"/>
        <v>0</v>
      </c>
      <c r="K107" s="76">
        <f t="shared" si="75"/>
        <v>0</v>
      </c>
      <c r="L107" s="76">
        <f t="shared" si="75"/>
        <v>0</v>
      </c>
      <c r="M107" s="76">
        <f t="shared" si="75"/>
        <v>0</v>
      </c>
      <c r="N107" s="76">
        <f t="shared" si="75"/>
        <v>0</v>
      </c>
      <c r="O107" s="76">
        <f t="shared" si="75"/>
        <v>0</v>
      </c>
      <c r="P107" s="76">
        <f t="shared" si="75"/>
        <v>0</v>
      </c>
      <c r="Q107" s="76">
        <f t="shared" si="75"/>
        <v>0</v>
      </c>
      <c r="R107" s="76">
        <f t="shared" si="75"/>
        <v>0</v>
      </c>
      <c r="S107" s="76">
        <f t="shared" si="75"/>
        <v>0</v>
      </c>
      <c r="T107" s="76">
        <f t="shared" si="75"/>
        <v>0</v>
      </c>
      <c r="U107" s="76">
        <f t="shared" si="75"/>
        <v>0</v>
      </c>
      <c r="V107" s="76">
        <f t="shared" si="75"/>
        <v>0</v>
      </c>
      <c r="W107" s="76">
        <f t="shared" ref="W107:X107" si="76">SUM(W101:W106)</f>
        <v>1</v>
      </c>
      <c r="X107" s="76">
        <f t="shared" si="76"/>
        <v>0</v>
      </c>
      <c r="Y107" s="76">
        <f t="shared" si="75"/>
        <v>0</v>
      </c>
      <c r="Z107" s="76">
        <v>0</v>
      </c>
      <c r="AA107" s="76">
        <f t="shared" si="75"/>
        <v>0</v>
      </c>
      <c r="AB107" s="76">
        <f t="shared" si="75"/>
        <v>0</v>
      </c>
      <c r="AC107" s="76">
        <f t="shared" si="75"/>
        <v>0</v>
      </c>
      <c r="AD107" s="76">
        <f t="shared" si="75"/>
        <v>0</v>
      </c>
      <c r="AE107" s="76">
        <f t="shared" si="75"/>
        <v>0</v>
      </c>
      <c r="AF107" s="76">
        <f t="shared" si="75"/>
        <v>0</v>
      </c>
      <c r="AG107" s="75"/>
      <c r="AH107" s="12">
        <f t="shared" si="45"/>
        <v>1</v>
      </c>
      <c r="AI107" s="11">
        <f t="shared" si="46"/>
        <v>0</v>
      </c>
      <c r="AK107" s="19"/>
      <c r="BG107" s="78">
        <v>6.3</v>
      </c>
      <c r="BH107" s="78">
        <v>0</v>
      </c>
      <c r="BI107" s="78">
        <v>14.5</v>
      </c>
      <c r="BJ107" s="78">
        <v>0</v>
      </c>
      <c r="BK107" s="78">
        <v>0</v>
      </c>
      <c r="BL107" s="78">
        <v>37.9</v>
      </c>
    </row>
    <row r="108" spans="1:64" ht="15.75" thickBot="1" x14ac:dyDescent="0.3">
      <c r="A108" s="77" t="s">
        <v>154</v>
      </c>
      <c r="B108" s="76">
        <f t="shared" ref="B108" si="77">B92-B107</f>
        <v>58.7</v>
      </c>
      <c r="C108" s="76">
        <f t="shared" ref="C108:AF108" si="78">C92-C107</f>
        <v>58</v>
      </c>
      <c r="D108" s="76">
        <f t="shared" si="78"/>
        <v>135.4</v>
      </c>
      <c r="E108" s="76">
        <f t="shared" si="78"/>
        <v>170.70000000000002</v>
      </c>
      <c r="F108" s="76">
        <f t="shared" si="78"/>
        <v>201.39999999999998</v>
      </c>
      <c r="G108" s="76">
        <f t="shared" si="78"/>
        <v>225.8</v>
      </c>
      <c r="H108" s="76">
        <f t="shared" si="78"/>
        <v>246.9</v>
      </c>
      <c r="I108" s="76">
        <f t="shared" si="78"/>
        <v>322.10000000000002</v>
      </c>
      <c r="J108" s="76">
        <f t="shared" si="78"/>
        <v>647.30000000000007</v>
      </c>
      <c r="K108" s="76">
        <f t="shared" si="78"/>
        <v>771.7</v>
      </c>
      <c r="L108" s="76">
        <f t="shared" si="78"/>
        <v>788.10000000000014</v>
      </c>
      <c r="M108" s="76">
        <f t="shared" si="78"/>
        <v>794.2</v>
      </c>
      <c r="N108" s="76">
        <f t="shared" si="78"/>
        <v>793.3</v>
      </c>
      <c r="O108" s="76">
        <f t="shared" si="78"/>
        <v>832.1</v>
      </c>
      <c r="P108" s="76">
        <f t="shared" si="78"/>
        <v>801.00000000000011</v>
      </c>
      <c r="Q108" s="76">
        <f t="shared" si="78"/>
        <v>799.1</v>
      </c>
      <c r="R108" s="76">
        <f t="shared" si="78"/>
        <v>790.8</v>
      </c>
      <c r="S108" s="76">
        <f t="shared" si="78"/>
        <v>778.8</v>
      </c>
      <c r="T108" s="76">
        <f t="shared" si="78"/>
        <v>752.3</v>
      </c>
      <c r="U108" s="76">
        <f t="shared" si="78"/>
        <v>790.6</v>
      </c>
      <c r="V108" s="76">
        <f t="shared" si="78"/>
        <v>744</v>
      </c>
      <c r="W108" s="76">
        <f t="shared" ref="W108:X108" si="79">W92-W107</f>
        <v>743</v>
      </c>
      <c r="X108" s="76">
        <f t="shared" si="79"/>
        <v>645</v>
      </c>
      <c r="Y108" s="76">
        <f t="shared" si="78"/>
        <v>183</v>
      </c>
      <c r="Z108" s="76">
        <f>Z92-Z107</f>
        <v>164.2</v>
      </c>
      <c r="AA108" s="76">
        <f t="shared" si="78"/>
        <v>203.10000000000002</v>
      </c>
      <c r="AB108" s="76">
        <f t="shared" si="78"/>
        <v>252</v>
      </c>
      <c r="AC108" s="76">
        <f t="shared" si="78"/>
        <v>258.3</v>
      </c>
      <c r="AD108" s="76">
        <f t="shared" si="78"/>
        <v>261.5</v>
      </c>
      <c r="AE108" s="76">
        <f t="shared" si="78"/>
        <v>65.2</v>
      </c>
      <c r="AF108" s="76">
        <f t="shared" si="78"/>
        <v>61</v>
      </c>
      <c r="AG108" s="75"/>
      <c r="AH108" s="12">
        <f t="shared" si="45"/>
        <v>832.1</v>
      </c>
      <c r="AI108" s="11">
        <f t="shared" si="46"/>
        <v>58</v>
      </c>
    </row>
    <row r="109" spans="1:64" x14ac:dyDescent="0.25">
      <c r="A109" s="25" t="s">
        <v>153</v>
      </c>
      <c r="B109" s="74">
        <v>50.08</v>
      </c>
      <c r="C109" s="74">
        <v>50.08</v>
      </c>
      <c r="D109" s="74">
        <v>49.996000000000002</v>
      </c>
      <c r="E109" s="74">
        <v>50.052</v>
      </c>
      <c r="F109" s="74">
        <v>50.116</v>
      </c>
      <c r="G109" s="74">
        <v>50.005000000000003</v>
      </c>
      <c r="H109" s="74">
        <v>49.98</v>
      </c>
      <c r="I109" s="74">
        <v>50.08</v>
      </c>
      <c r="J109" s="74">
        <v>49.966000000000001</v>
      </c>
      <c r="K109" s="74">
        <v>50.018000000000001</v>
      </c>
      <c r="L109" s="74">
        <v>49.947000000000003</v>
      </c>
      <c r="M109" s="74">
        <v>49.96</v>
      </c>
      <c r="N109" s="74">
        <v>49.970999999999997</v>
      </c>
      <c r="O109" s="74">
        <v>50.127000000000002</v>
      </c>
      <c r="P109" s="74">
        <v>50.029000000000003</v>
      </c>
      <c r="Q109" s="74">
        <v>50</v>
      </c>
      <c r="R109" s="74">
        <v>49.921999999999997</v>
      </c>
      <c r="S109" s="74">
        <v>49.938000000000002</v>
      </c>
      <c r="T109" s="74">
        <v>50.033999999999999</v>
      </c>
      <c r="U109" s="74">
        <v>50.048000000000002</v>
      </c>
      <c r="V109" s="74">
        <v>49.975999999999999</v>
      </c>
      <c r="W109" s="74">
        <v>49.975999999999999</v>
      </c>
      <c r="X109" s="74">
        <v>49.87</v>
      </c>
      <c r="Y109" s="74">
        <v>49.98</v>
      </c>
      <c r="Z109" s="70">
        <v>50.042999999999999</v>
      </c>
      <c r="AA109" s="74">
        <v>50.045200000000001</v>
      </c>
      <c r="AB109" s="74">
        <v>50.07</v>
      </c>
      <c r="AC109" s="74">
        <v>50.012999999999998</v>
      </c>
      <c r="AD109" s="74">
        <v>50.033999999999999</v>
      </c>
      <c r="AE109" s="74">
        <v>50.01</v>
      </c>
      <c r="AF109" s="74">
        <v>50.037999999999997</v>
      </c>
      <c r="AG109" s="73"/>
      <c r="AH109" s="12">
        <f t="shared" si="45"/>
        <v>50.127000000000002</v>
      </c>
      <c r="AI109" s="11">
        <f t="shared" si="46"/>
        <v>49.87</v>
      </c>
    </row>
    <row r="110" spans="1:64" x14ac:dyDescent="0.25">
      <c r="A110" s="22" t="s">
        <v>152</v>
      </c>
      <c r="B110" s="70">
        <v>129</v>
      </c>
      <c r="C110" s="70">
        <v>129</v>
      </c>
      <c r="D110" s="70">
        <v>130</v>
      </c>
      <c r="E110" s="70">
        <v>131.5</v>
      </c>
      <c r="F110" s="70"/>
      <c r="G110" s="70"/>
      <c r="H110" s="70"/>
      <c r="I110" s="70"/>
      <c r="J110" s="70"/>
      <c r="K110" s="70"/>
      <c r="L110" s="70">
        <v>125.4</v>
      </c>
      <c r="M110" s="70">
        <v>124.1</v>
      </c>
      <c r="N110" s="70">
        <v>123.9</v>
      </c>
      <c r="O110" s="70">
        <v>121.1</v>
      </c>
      <c r="P110" s="70">
        <v>124.9</v>
      </c>
      <c r="Q110" s="70">
        <v>123.8</v>
      </c>
      <c r="R110" s="70">
        <v>123.5</v>
      </c>
      <c r="S110" s="70">
        <v>123.6</v>
      </c>
      <c r="T110" s="70">
        <v>125.6</v>
      </c>
      <c r="U110" s="70">
        <v>124.9</v>
      </c>
      <c r="V110" s="70">
        <v>127.1</v>
      </c>
      <c r="W110" s="70">
        <v>127.1</v>
      </c>
      <c r="X110" s="70">
        <v>128</v>
      </c>
      <c r="Y110" s="70">
        <v>128</v>
      </c>
      <c r="Z110" s="70">
        <v>126.8</v>
      </c>
      <c r="AA110" s="70">
        <v>127.4</v>
      </c>
      <c r="AB110" s="70">
        <v>129.69999999999999</v>
      </c>
      <c r="AC110" s="70">
        <v>129.69999999999999</v>
      </c>
      <c r="AD110" s="70">
        <v>129.30000000000001</v>
      </c>
      <c r="AE110" s="70">
        <v>130.9</v>
      </c>
      <c r="AF110" s="70">
        <v>130.69999999999999</v>
      </c>
      <c r="AG110" s="69"/>
      <c r="AH110" s="12">
        <f t="shared" si="45"/>
        <v>131.5</v>
      </c>
      <c r="AI110" s="11">
        <f t="shared" si="46"/>
        <v>121.1</v>
      </c>
    </row>
    <row r="111" spans="1:64" x14ac:dyDescent="0.25">
      <c r="A111" s="22" t="s">
        <v>151</v>
      </c>
      <c r="B111" s="70">
        <v>132.6</v>
      </c>
      <c r="C111" s="70">
        <v>132.6</v>
      </c>
      <c r="D111" s="70">
        <v>133.5</v>
      </c>
      <c r="E111" s="70">
        <v>134.4</v>
      </c>
      <c r="F111" s="70"/>
      <c r="G111" s="70"/>
      <c r="H111" s="70"/>
      <c r="I111" s="70"/>
      <c r="J111" s="70"/>
      <c r="K111" s="70"/>
      <c r="L111" s="70">
        <v>127.7</v>
      </c>
      <c r="M111" s="70">
        <v>126.4</v>
      </c>
      <c r="N111" s="70">
        <v>126.8</v>
      </c>
      <c r="O111" s="70">
        <v>123.8</v>
      </c>
      <c r="P111" s="70">
        <v>127.3</v>
      </c>
      <c r="Q111" s="70">
        <v>126.9</v>
      </c>
      <c r="R111" s="70">
        <v>126.5</v>
      </c>
      <c r="S111" s="70">
        <v>126.6</v>
      </c>
      <c r="T111" s="70">
        <v>128.5</v>
      </c>
      <c r="U111" s="70">
        <v>127.4</v>
      </c>
      <c r="V111" s="70">
        <v>128.80000000000001</v>
      </c>
      <c r="W111" s="70">
        <v>128.80000000000001</v>
      </c>
      <c r="X111" s="70">
        <v>130</v>
      </c>
      <c r="Y111" s="70">
        <v>130</v>
      </c>
      <c r="Z111" s="70">
        <v>129.19999999999999</v>
      </c>
      <c r="AA111" s="70">
        <v>129.4</v>
      </c>
      <c r="AB111" s="70">
        <v>131.69999999999999</v>
      </c>
      <c r="AC111" s="70">
        <v>131.80000000000001</v>
      </c>
      <c r="AD111" s="70">
        <v>131.5</v>
      </c>
      <c r="AE111" s="70">
        <v>133.4</v>
      </c>
      <c r="AF111" s="70">
        <v>133.5</v>
      </c>
      <c r="AG111" s="69"/>
      <c r="AH111" s="12">
        <f t="shared" si="45"/>
        <v>134.4</v>
      </c>
      <c r="AI111" s="11">
        <f t="shared" si="46"/>
        <v>123.8</v>
      </c>
    </row>
    <row r="112" spans="1:64" x14ac:dyDescent="0.25">
      <c r="A112" s="22" t="s">
        <v>150</v>
      </c>
      <c r="B112" s="70">
        <v>131.80000000000001</v>
      </c>
      <c r="C112" s="70">
        <v>131.80000000000001</v>
      </c>
      <c r="D112" s="70">
        <v>132.80000000000001</v>
      </c>
      <c r="E112" s="70">
        <v>131.69999999999999</v>
      </c>
      <c r="F112" s="70">
        <v>130.19999999999999</v>
      </c>
      <c r="G112" s="70">
        <v>130.6</v>
      </c>
      <c r="H112" s="70">
        <v>129.1</v>
      </c>
      <c r="I112" s="70">
        <v>128</v>
      </c>
      <c r="J112" s="70">
        <v>134.30000000000001</v>
      </c>
      <c r="K112" s="70">
        <v>132.1</v>
      </c>
      <c r="L112" s="70">
        <v>129.69999999999999</v>
      </c>
      <c r="M112" s="70">
        <v>131</v>
      </c>
      <c r="N112" s="70">
        <v>129.80000000000001</v>
      </c>
      <c r="O112" s="70">
        <v>130.9</v>
      </c>
      <c r="P112" s="70">
        <v>129.30000000000001</v>
      </c>
      <c r="Q112" s="70">
        <v>132.80000000000001</v>
      </c>
      <c r="R112" s="70">
        <v>133.5</v>
      </c>
      <c r="S112" s="70">
        <v>125.4</v>
      </c>
      <c r="T112" s="70">
        <v>132.19999999999999</v>
      </c>
      <c r="U112" s="70"/>
      <c r="V112" s="70">
        <v>133.80000000000001</v>
      </c>
      <c r="W112" s="70">
        <v>133.80000000000001</v>
      </c>
      <c r="X112" s="70">
        <v>132</v>
      </c>
      <c r="Y112" s="70">
        <v>132</v>
      </c>
      <c r="Z112" s="70">
        <v>129</v>
      </c>
      <c r="AA112" s="70">
        <v>131.6</v>
      </c>
      <c r="AB112" s="70">
        <v>133.30000000000001</v>
      </c>
      <c r="AC112" s="70">
        <v>133.1</v>
      </c>
      <c r="AD112" s="70">
        <v>132.9</v>
      </c>
      <c r="AE112" s="70">
        <v>134.19999999999999</v>
      </c>
      <c r="AF112" s="70">
        <v>133.4</v>
      </c>
      <c r="AG112" s="69"/>
      <c r="AH112" s="12">
        <f t="shared" si="45"/>
        <v>134.30000000000001</v>
      </c>
      <c r="AI112" s="11">
        <f t="shared" si="46"/>
        <v>125.4</v>
      </c>
    </row>
    <row r="113" spans="1:35" x14ac:dyDescent="0.25">
      <c r="A113" s="72" t="s">
        <v>149</v>
      </c>
      <c r="B113" s="70">
        <v>132.19999999999999</v>
      </c>
      <c r="C113" s="70">
        <v>132.19999999999999</v>
      </c>
      <c r="D113" s="70">
        <v>133.5</v>
      </c>
      <c r="E113" s="70">
        <v>133.19999999999999</v>
      </c>
      <c r="F113" s="70">
        <v>132.5</v>
      </c>
      <c r="G113" s="70">
        <v>131.69999999999999</v>
      </c>
      <c r="H113" s="70">
        <v>129.6</v>
      </c>
      <c r="I113" s="70">
        <v>129.30000000000001</v>
      </c>
      <c r="J113" s="70">
        <v>134.4</v>
      </c>
      <c r="K113" s="70">
        <v>131.19999999999999</v>
      </c>
      <c r="L113" s="70">
        <v>128.30000000000001</v>
      </c>
      <c r="M113" s="70">
        <v>130.4</v>
      </c>
      <c r="N113" s="70">
        <v>129.4</v>
      </c>
      <c r="O113" s="70">
        <v>131.19999999999999</v>
      </c>
      <c r="P113" s="70">
        <v>128</v>
      </c>
      <c r="Q113" s="70">
        <v>131.80000000000001</v>
      </c>
      <c r="R113" s="70">
        <v>132.80000000000001</v>
      </c>
      <c r="S113" s="70">
        <v>131.19999999999999</v>
      </c>
      <c r="T113" s="70">
        <v>132.9</v>
      </c>
      <c r="U113" s="70">
        <v>132.80000000000001</v>
      </c>
      <c r="V113" s="70">
        <v>134</v>
      </c>
      <c r="W113" s="70">
        <v>134</v>
      </c>
      <c r="X113" s="70">
        <v>132</v>
      </c>
      <c r="Y113" s="70">
        <v>132</v>
      </c>
      <c r="Z113" s="56">
        <v>129.6</v>
      </c>
      <c r="AA113" s="70">
        <v>132.9</v>
      </c>
      <c r="AB113" s="70">
        <v>135.19999999999999</v>
      </c>
      <c r="AC113" s="70">
        <v>135.19999999999999</v>
      </c>
      <c r="AD113" s="70">
        <v>133.5</v>
      </c>
      <c r="AE113" s="70">
        <v>134.1</v>
      </c>
      <c r="AF113" s="70">
        <v>133.30000000000001</v>
      </c>
      <c r="AG113" s="69"/>
      <c r="AH113" s="12">
        <f t="shared" si="45"/>
        <v>135.19999999999999</v>
      </c>
      <c r="AI113" s="11">
        <f t="shared" si="46"/>
        <v>128</v>
      </c>
    </row>
    <row r="114" spans="1:35" x14ac:dyDescent="0.25">
      <c r="A114" s="72" t="s">
        <v>148</v>
      </c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>
        <v>133.5</v>
      </c>
      <c r="M114" s="56"/>
      <c r="N114" s="56">
        <v>132.69999999999999</v>
      </c>
      <c r="O114" s="56">
        <v>131.5</v>
      </c>
      <c r="P114" s="56">
        <v>131.9</v>
      </c>
      <c r="Q114" s="56">
        <v>132.6</v>
      </c>
      <c r="R114" s="56">
        <v>135.6</v>
      </c>
      <c r="S114" s="56">
        <v>134.4</v>
      </c>
      <c r="T114" s="56">
        <v>133.30000000000001</v>
      </c>
      <c r="U114" s="56">
        <v>131.80000000000001</v>
      </c>
      <c r="V114" s="56">
        <v>132.9</v>
      </c>
      <c r="W114" s="56">
        <v>132.9</v>
      </c>
      <c r="X114" s="56">
        <v>135</v>
      </c>
      <c r="Y114" s="56">
        <v>135</v>
      </c>
      <c r="Z114" s="70">
        <v>135.30000000000001</v>
      </c>
      <c r="AA114" s="56">
        <v>133.5</v>
      </c>
      <c r="AB114" s="56">
        <v>136.69999999999999</v>
      </c>
      <c r="AC114" s="56">
        <v>136.5</v>
      </c>
      <c r="AD114" s="56">
        <v>135.80000000000001</v>
      </c>
      <c r="AE114" s="56">
        <v>134.5</v>
      </c>
      <c r="AF114" s="56">
        <v>134.1</v>
      </c>
      <c r="AG114" s="71"/>
      <c r="AH114" s="12">
        <f t="shared" si="45"/>
        <v>136.69999999999999</v>
      </c>
      <c r="AI114" s="11">
        <f t="shared" si="46"/>
        <v>131.5</v>
      </c>
    </row>
    <row r="115" spans="1:35" ht="15.75" thickBot="1" x14ac:dyDescent="0.3">
      <c r="A115" s="22" t="s">
        <v>147</v>
      </c>
      <c r="B115" s="70">
        <v>132.4</v>
      </c>
      <c r="C115" s="70">
        <v>132.4</v>
      </c>
      <c r="D115" s="70">
        <v>132.69999999999999</v>
      </c>
      <c r="E115" s="70">
        <v>135.5</v>
      </c>
      <c r="F115" s="70">
        <v>136.9</v>
      </c>
      <c r="G115" s="70">
        <v>137.19999999999999</v>
      </c>
      <c r="H115" s="70">
        <v>135.1</v>
      </c>
      <c r="I115" s="70">
        <v>131.5</v>
      </c>
      <c r="J115" s="70">
        <v>130.80000000000001</v>
      </c>
      <c r="K115" s="70">
        <v>132.5</v>
      </c>
      <c r="L115" s="70">
        <v>131</v>
      </c>
      <c r="M115" s="70">
        <v>126.5</v>
      </c>
      <c r="N115" s="70">
        <v>127.5</v>
      </c>
      <c r="O115" s="70">
        <v>126.2</v>
      </c>
      <c r="P115" s="70">
        <v>124.6</v>
      </c>
      <c r="Q115" s="70">
        <v>133.6</v>
      </c>
      <c r="R115" s="70">
        <v>125.8</v>
      </c>
      <c r="S115" s="70">
        <v>124</v>
      </c>
      <c r="T115" s="70">
        <v>127.5</v>
      </c>
      <c r="U115" s="70">
        <v>124.5</v>
      </c>
      <c r="V115" s="70">
        <v>129.30000000000001</v>
      </c>
      <c r="W115" s="70">
        <v>129.30000000000001</v>
      </c>
      <c r="X115" s="70">
        <v>131</v>
      </c>
      <c r="Y115" s="70">
        <v>131</v>
      </c>
      <c r="Z115" s="67">
        <v>133.6</v>
      </c>
      <c r="AA115" s="70">
        <v>130.47</v>
      </c>
      <c r="AB115" s="70">
        <v>131.69999999999999</v>
      </c>
      <c r="AC115" s="70">
        <v>132.80000000000001</v>
      </c>
      <c r="AD115" s="70">
        <v>131.5</v>
      </c>
      <c r="AE115" s="70">
        <v>131.5</v>
      </c>
      <c r="AF115" s="70">
        <v>129</v>
      </c>
      <c r="AG115" s="69"/>
      <c r="AH115" s="12">
        <f t="shared" si="45"/>
        <v>137.19999999999999</v>
      </c>
      <c r="AI115" s="11">
        <f t="shared" si="46"/>
        <v>124</v>
      </c>
    </row>
    <row r="116" spans="1:35" ht="15.75" thickBot="1" x14ac:dyDescent="0.3">
      <c r="A116" s="22" t="s">
        <v>146</v>
      </c>
      <c r="B116" s="67">
        <v>67</v>
      </c>
      <c r="C116" s="67">
        <v>67</v>
      </c>
      <c r="D116" s="67">
        <v>67.3</v>
      </c>
      <c r="E116" s="67">
        <v>67.7</v>
      </c>
      <c r="F116" s="67"/>
      <c r="G116" s="67"/>
      <c r="H116" s="67"/>
      <c r="I116" s="67"/>
      <c r="J116" s="67"/>
      <c r="K116" s="67"/>
      <c r="L116" s="67">
        <v>64.599999999999994</v>
      </c>
      <c r="M116" s="67">
        <v>63.8</v>
      </c>
      <c r="N116" s="67">
        <v>64.099999999999994</v>
      </c>
      <c r="O116" s="67">
        <v>62.7</v>
      </c>
      <c r="P116" s="67">
        <v>64.2</v>
      </c>
      <c r="Q116" s="67">
        <v>64</v>
      </c>
      <c r="R116" s="67">
        <v>63.5</v>
      </c>
      <c r="S116" s="67">
        <v>63.8</v>
      </c>
      <c r="T116" s="67">
        <v>64.599999999999994</v>
      </c>
      <c r="U116" s="67">
        <v>64.5</v>
      </c>
      <c r="V116" s="67">
        <v>65.2</v>
      </c>
      <c r="W116" s="67">
        <v>65.2</v>
      </c>
      <c r="X116" s="67">
        <v>65.2</v>
      </c>
      <c r="Y116" s="67">
        <v>65.2</v>
      </c>
      <c r="Z116" s="67">
        <v>65.3</v>
      </c>
      <c r="AA116" s="67">
        <v>65.400000000000006</v>
      </c>
      <c r="AB116" s="67">
        <v>66.5</v>
      </c>
      <c r="AC116" s="67">
        <v>66.400000000000006</v>
      </c>
      <c r="AD116" s="67">
        <v>66.3</v>
      </c>
      <c r="AE116" s="67">
        <v>67</v>
      </c>
      <c r="AF116" s="67">
        <v>67.2</v>
      </c>
      <c r="AG116" s="66"/>
      <c r="AH116" s="12">
        <f t="shared" si="45"/>
        <v>67.7</v>
      </c>
      <c r="AI116" s="11">
        <f t="shared" si="46"/>
        <v>62.7</v>
      </c>
    </row>
    <row r="117" spans="1:35" ht="15.75" thickBot="1" x14ac:dyDescent="0.3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45"/>
        <v>0</v>
      </c>
      <c r="AI117" s="11">
        <f t="shared" si="46"/>
        <v>0</v>
      </c>
    </row>
    <row r="118" spans="1:35" ht="15.75" thickBot="1" x14ac:dyDescent="0.3">
      <c r="A118" s="65" t="s">
        <v>144</v>
      </c>
      <c r="B118" s="64">
        <f t="shared" ref="B118" si="80">SUM(B22,B28,B31:B32,B66,B68:B69,B71,B73,B119:B123,B155,B161,B167,B176,B178,B190,B197,B200:B201,B208,B210,B212,B216:B218,B220:B222,B227,B233:B234,B236:B238,B246,B251)</f>
        <v>135.04</v>
      </c>
      <c r="C118" s="64">
        <f t="shared" ref="C118:O118" si="81">SUM(C22,C28,C31:C32,C66,C68:C69,C71,C73,C119:C123,C155,C161,C167,C176,C178,C190,C197,C200:C201,C208,C210,C212,C216:C218,C220:C222,C227,C233:C234,C236:C238,C246,C251)</f>
        <v>139.04</v>
      </c>
      <c r="D118" s="64">
        <f t="shared" si="81"/>
        <v>113.13999999999999</v>
      </c>
      <c r="E118" s="64">
        <f t="shared" si="81"/>
        <v>109.63999999999997</v>
      </c>
      <c r="F118" s="64">
        <f t="shared" si="81"/>
        <v>149.94</v>
      </c>
      <c r="G118" s="64">
        <f t="shared" si="81"/>
        <v>163.44</v>
      </c>
      <c r="H118" s="64">
        <f t="shared" si="81"/>
        <v>173.64</v>
      </c>
      <c r="I118" s="64">
        <f t="shared" si="81"/>
        <v>217.94</v>
      </c>
      <c r="J118" s="64">
        <f t="shared" si="81"/>
        <v>211.14</v>
      </c>
      <c r="K118" s="64">
        <f t="shared" si="81"/>
        <v>241.64</v>
      </c>
      <c r="L118" s="64">
        <f t="shared" si="81"/>
        <v>296.64000000000004</v>
      </c>
      <c r="M118" s="64">
        <f t="shared" si="81"/>
        <v>320.75</v>
      </c>
      <c r="N118" s="64">
        <f t="shared" si="81"/>
        <v>309.64000000000004</v>
      </c>
      <c r="O118" s="64">
        <f t="shared" si="81"/>
        <v>343.54</v>
      </c>
      <c r="P118" s="64">
        <v>42</v>
      </c>
      <c r="Q118" s="64">
        <f t="shared" ref="Q118:V118" si="82">SUM(Q22,Q28,Q31:Q32,Q66,Q68:Q69,Q71,Q73,Q119:Q123,Q155,Q161,Q167,Q176,Q178,Q190,Q197,Q200:Q201,Q208,Q210,Q212,Q216:Q218,Q220:Q222,Q227,Q233:Q234,Q236:Q238,Q246,Q251)</f>
        <v>298.44</v>
      </c>
      <c r="R118" s="64">
        <f t="shared" si="82"/>
        <v>302.14</v>
      </c>
      <c r="S118" s="64">
        <f t="shared" si="82"/>
        <v>305.73999999999995</v>
      </c>
      <c r="T118" s="64">
        <f t="shared" si="82"/>
        <v>277.34000000000003</v>
      </c>
      <c r="U118" s="64">
        <f t="shared" si="82"/>
        <v>282.04000000000002</v>
      </c>
      <c r="V118" s="64">
        <f t="shared" si="82"/>
        <v>272.54000000000002</v>
      </c>
      <c r="W118" s="64">
        <f t="shared" ref="W118:X118" si="83">SUM(W22,W28,W31:W32,W66,W68:W69,W71,W73,W119:W123,W155,W161,W167,W176,W178,W190,W197,W200:W201,W208,W210,W212,W216:W218,W220:W222,W227,W233:W234,W236:W238,W246,W251)</f>
        <v>272.54000000000002</v>
      </c>
      <c r="X118" s="64">
        <f t="shared" si="83"/>
        <v>239.94</v>
      </c>
      <c r="Y118" s="64">
        <f>SUM(Y20,Y26,Y37:Y38,Y66,Y68:Y69,Y71,Y73,Y119:Y123,Y148,Y154,Y160,Y169,Y171,Y183,Y190,Y193:Y194,Y201,Y203,Y205,Y209:Y211,Y213:Y215,Y220,Y226:Y227,Y229:Y231,Y239,Y244)</f>
        <v>352.70000000000005</v>
      </c>
      <c r="Z118" s="64">
        <f>SUM(Z20,Z26,Z37:Z38,Z66,Z68:Z69,Z71,Z73,Z119:Z123,Z148,Z154,Z160,Z169,Z171,Z183,Z190,Z193:Z194,Z201,Z203,Z205,Z209:Z211,Z213:Z215,Z220,Z226:Z227,Z229:Z231,Z239,Z244)</f>
        <v>355.8</v>
      </c>
      <c r="AA118" s="64">
        <f t="shared" ref="AA118:AF118" si="84">SUM(AA22,AA28,AA31:AA32,AA66,AA68:AA69,AA71,AA73,AA119:AA123,AA155,AA161,AA167,AA176,AA178,AA190,AA197,AA200:AA201,AA208,AA210,AA212,AA216:AA218,AA220:AA222,AA227,AA233:AA234,AA236:AA238,AA246,AA251)</f>
        <v>326.53999999999996</v>
      </c>
      <c r="AB118" s="64">
        <f t="shared" si="84"/>
        <v>314.83999999999997</v>
      </c>
      <c r="AC118" s="64">
        <f t="shared" si="84"/>
        <v>305.54000000000002</v>
      </c>
      <c r="AD118" s="64">
        <f t="shared" si="84"/>
        <v>285.94</v>
      </c>
      <c r="AE118" s="64">
        <f t="shared" si="84"/>
        <v>204.24000000000004</v>
      </c>
      <c r="AF118" s="64">
        <f t="shared" si="84"/>
        <v>169.24</v>
      </c>
      <c r="AG118" s="63"/>
      <c r="AH118" s="12">
        <f t="shared" si="45"/>
        <v>355.8</v>
      </c>
      <c r="AI118" s="11">
        <f t="shared" si="46"/>
        <v>42</v>
      </c>
    </row>
    <row r="119" spans="1:35" x14ac:dyDescent="0.25">
      <c r="A119" s="59" t="s">
        <v>143</v>
      </c>
      <c r="B119" s="62">
        <v>40.799999999999997</v>
      </c>
      <c r="C119" s="62">
        <v>40.799999999999997</v>
      </c>
      <c r="D119" s="62">
        <v>28.7</v>
      </c>
      <c r="E119" s="62">
        <v>13.3</v>
      </c>
      <c r="F119" s="62"/>
      <c r="G119" s="62"/>
      <c r="H119" s="62"/>
      <c r="I119" s="62"/>
      <c r="J119" s="62"/>
      <c r="K119" s="62"/>
      <c r="L119" s="62">
        <v>17.5</v>
      </c>
      <c r="M119" s="62">
        <v>19</v>
      </c>
      <c r="N119" s="62">
        <v>19.5</v>
      </c>
      <c r="O119" s="62">
        <v>23.1</v>
      </c>
      <c r="P119" s="62">
        <v>12.9</v>
      </c>
      <c r="Q119" s="62">
        <v>17.100000000000001</v>
      </c>
      <c r="R119" s="62">
        <v>16.3</v>
      </c>
      <c r="S119" s="62">
        <v>15.5</v>
      </c>
      <c r="T119" s="62">
        <v>14</v>
      </c>
      <c r="U119" s="62">
        <v>8.1</v>
      </c>
      <c r="V119" s="62">
        <v>8.6</v>
      </c>
      <c r="W119" s="62">
        <v>8.6</v>
      </c>
      <c r="X119" s="62">
        <v>13</v>
      </c>
      <c r="Y119" s="62">
        <v>35.9</v>
      </c>
      <c r="Z119" s="61">
        <v>40.6</v>
      </c>
      <c r="AA119" s="62">
        <v>23.6</v>
      </c>
      <c r="AB119" s="62">
        <v>36.5</v>
      </c>
      <c r="AC119" s="62">
        <v>34</v>
      </c>
      <c r="AD119" s="62">
        <v>29.9</v>
      </c>
      <c r="AE119" s="62">
        <v>35.799999999999997</v>
      </c>
      <c r="AF119" s="62">
        <v>28.3</v>
      </c>
      <c r="AG119" s="55">
        <v>75</v>
      </c>
      <c r="AH119" s="12">
        <f t="shared" si="45"/>
        <v>40.799999999999997</v>
      </c>
      <c r="AI119" s="11">
        <f t="shared" si="46"/>
        <v>8.1</v>
      </c>
    </row>
    <row r="120" spans="1:35" x14ac:dyDescent="0.25">
      <c r="A120" s="57" t="s">
        <v>142</v>
      </c>
      <c r="B120" s="61">
        <v>63.1</v>
      </c>
      <c r="C120" s="61">
        <v>63.1</v>
      </c>
      <c r="D120" s="61">
        <v>47.6</v>
      </c>
      <c r="E120" s="61">
        <v>22.7</v>
      </c>
      <c r="F120" s="61"/>
      <c r="G120" s="61"/>
      <c r="H120" s="61"/>
      <c r="I120" s="61"/>
      <c r="J120" s="61"/>
      <c r="K120" s="61"/>
      <c r="L120" s="61">
        <v>16.5</v>
      </c>
      <c r="M120" s="61">
        <v>17.399999999999999</v>
      </c>
      <c r="N120" s="61">
        <v>19.5</v>
      </c>
      <c r="O120" s="61">
        <v>23.8</v>
      </c>
      <c r="P120" s="61">
        <v>14.2</v>
      </c>
      <c r="Q120" s="61">
        <v>19</v>
      </c>
      <c r="R120" s="61">
        <v>16.7</v>
      </c>
      <c r="S120" s="61">
        <v>16.7</v>
      </c>
      <c r="T120" s="61">
        <v>15.6</v>
      </c>
      <c r="U120" s="61">
        <v>9.5</v>
      </c>
      <c r="V120" s="61">
        <v>0</v>
      </c>
      <c r="W120" s="61">
        <v>0</v>
      </c>
      <c r="X120" s="61">
        <v>11</v>
      </c>
      <c r="Y120" s="61">
        <v>51.6</v>
      </c>
      <c r="Z120" s="61">
        <v>56.3</v>
      </c>
      <c r="AA120" s="61">
        <v>34.299999999999997</v>
      </c>
      <c r="AB120" s="61">
        <v>52.2</v>
      </c>
      <c r="AC120" s="61">
        <v>49.7</v>
      </c>
      <c r="AD120" s="61">
        <v>46</v>
      </c>
      <c r="AE120" s="61">
        <v>55.8</v>
      </c>
      <c r="AF120" s="61">
        <v>45</v>
      </c>
      <c r="AG120" s="55">
        <v>240</v>
      </c>
      <c r="AH120" s="12">
        <f t="shared" si="45"/>
        <v>63.1</v>
      </c>
      <c r="AI120" s="11">
        <f t="shared" si="46"/>
        <v>0</v>
      </c>
    </row>
    <row r="121" spans="1:35" x14ac:dyDescent="0.25">
      <c r="A121" s="57" t="s">
        <v>141</v>
      </c>
      <c r="B121" s="61">
        <v>-88.4</v>
      </c>
      <c r="C121" s="61">
        <v>-88.4</v>
      </c>
      <c r="D121" s="61">
        <v>-96</v>
      </c>
      <c r="E121" s="61">
        <v>-72</v>
      </c>
      <c r="F121" s="61"/>
      <c r="G121" s="61"/>
      <c r="H121" s="61"/>
      <c r="I121" s="61"/>
      <c r="J121" s="61"/>
      <c r="K121" s="61"/>
      <c r="L121" s="61">
        <v>10</v>
      </c>
      <c r="M121" s="61">
        <v>34</v>
      </c>
      <c r="N121" s="61">
        <v>22.2</v>
      </c>
      <c r="O121" s="61">
        <v>30</v>
      </c>
      <c r="P121" s="61">
        <v>23</v>
      </c>
      <c r="Q121" s="61">
        <v>16</v>
      </c>
      <c r="R121" s="61">
        <v>14.5</v>
      </c>
      <c r="S121" s="61">
        <v>12.6</v>
      </c>
      <c r="T121" s="61">
        <v>0.4</v>
      </c>
      <c r="U121" s="61">
        <v>10.3</v>
      </c>
      <c r="V121" s="61">
        <v>2.2999999999999998</v>
      </c>
      <c r="W121" s="61">
        <v>2.2999999999999998</v>
      </c>
      <c r="X121" s="61">
        <v>-32</v>
      </c>
      <c r="Y121" s="61">
        <v>-7.7</v>
      </c>
      <c r="Z121" s="61">
        <v>-20.6</v>
      </c>
      <c r="AA121" s="61">
        <v>-12.6</v>
      </c>
      <c r="AB121" s="61">
        <f>-7-AA133</f>
        <v>-7</v>
      </c>
      <c r="AC121" s="61">
        <v>-5</v>
      </c>
      <c r="AD121" s="61">
        <v>-0.5</v>
      </c>
      <c r="AE121" s="61">
        <f>-16-27</f>
        <v>-43</v>
      </c>
      <c r="AF121" s="61">
        <f>-22-29.8</f>
        <v>-51.8</v>
      </c>
      <c r="AG121" s="55">
        <v>240</v>
      </c>
      <c r="AH121" s="12">
        <f t="shared" si="45"/>
        <v>34</v>
      </c>
      <c r="AI121" s="11">
        <f t="shared" si="46"/>
        <v>-96</v>
      </c>
    </row>
    <row r="122" spans="1:35" ht="15.75" thickBot="1" x14ac:dyDescent="0.3">
      <c r="A122" s="57" t="s">
        <v>140</v>
      </c>
      <c r="B122" s="61">
        <v>14.5</v>
      </c>
      <c r="C122" s="61">
        <v>14.5</v>
      </c>
      <c r="D122" s="61">
        <v>12.3</v>
      </c>
      <c r="E122" s="61">
        <v>14.1</v>
      </c>
      <c r="F122" s="61"/>
      <c r="G122" s="61"/>
      <c r="H122" s="61"/>
      <c r="I122" s="61"/>
      <c r="J122" s="61"/>
      <c r="K122" s="61"/>
      <c r="L122" s="61">
        <v>23</v>
      </c>
      <c r="M122" s="61">
        <v>10.11</v>
      </c>
      <c r="N122" s="61">
        <v>9.8000000000000007</v>
      </c>
      <c r="O122" s="61">
        <v>10.3</v>
      </c>
      <c r="P122" s="61">
        <v>20.2</v>
      </c>
      <c r="Q122" s="61">
        <v>7</v>
      </c>
      <c r="R122" s="61">
        <v>0.6</v>
      </c>
      <c r="S122" s="61">
        <v>7</v>
      </c>
      <c r="T122" s="61">
        <v>12.4</v>
      </c>
      <c r="U122" s="61">
        <v>19.3</v>
      </c>
      <c r="V122" s="61">
        <v>37.6</v>
      </c>
      <c r="W122" s="61">
        <v>37.6</v>
      </c>
      <c r="X122" s="61">
        <v>33</v>
      </c>
      <c r="Y122" s="61">
        <v>31</v>
      </c>
      <c r="Z122" s="58">
        <v>33.299999999999997</v>
      </c>
      <c r="AA122" s="61">
        <v>44.3</v>
      </c>
      <c r="AB122" s="61">
        <v>41.9</v>
      </c>
      <c r="AC122" s="61">
        <v>41.2</v>
      </c>
      <c r="AD122" s="61">
        <v>38.5</v>
      </c>
      <c r="AE122" s="61">
        <v>31.9</v>
      </c>
      <c r="AF122" s="61">
        <v>18.600000000000001</v>
      </c>
      <c r="AG122" s="55">
        <v>60</v>
      </c>
      <c r="AH122" s="12">
        <f t="shared" si="45"/>
        <v>44.3</v>
      </c>
      <c r="AI122" s="11">
        <f t="shared" si="46"/>
        <v>0.6</v>
      </c>
    </row>
    <row r="123" spans="1:35" x14ac:dyDescent="0.25">
      <c r="A123" s="59" t="s">
        <v>139</v>
      </c>
      <c r="B123" s="58">
        <v>5.0999999999999996</v>
      </c>
      <c r="C123" s="58">
        <v>5.0999999999999996</v>
      </c>
      <c r="D123" s="58">
        <v>16.100000000000001</v>
      </c>
      <c r="E123" s="58">
        <v>31.7</v>
      </c>
      <c r="F123" s="58">
        <v>50.1</v>
      </c>
      <c r="G123" s="58">
        <v>63.6</v>
      </c>
      <c r="H123" s="58">
        <v>75.8</v>
      </c>
      <c r="I123" s="58">
        <v>120.1</v>
      </c>
      <c r="J123" s="58">
        <v>114.5</v>
      </c>
      <c r="K123" s="58">
        <v>142.6</v>
      </c>
      <c r="L123" s="58">
        <v>130.30000000000001</v>
      </c>
      <c r="M123" s="58">
        <v>139.30000000000001</v>
      </c>
      <c r="N123" s="58">
        <v>134.4</v>
      </c>
      <c r="O123" s="58">
        <v>154.5</v>
      </c>
      <c r="P123" s="58">
        <v>126.1</v>
      </c>
      <c r="Q123" s="58">
        <v>131</v>
      </c>
      <c r="R123" s="58">
        <v>140.19999999999999</v>
      </c>
      <c r="S123" s="58">
        <v>140.6</v>
      </c>
      <c r="T123" s="58">
        <v>127.7</v>
      </c>
      <c r="U123" s="58">
        <v>139.19999999999999</v>
      </c>
      <c r="V123" s="58">
        <v>128.1</v>
      </c>
      <c r="W123" s="58">
        <v>128.1</v>
      </c>
      <c r="X123" s="58">
        <v>119</v>
      </c>
      <c r="Y123" s="58">
        <v>124.5</v>
      </c>
      <c r="Z123" s="58">
        <v>134.5</v>
      </c>
      <c r="AA123" s="58">
        <v>140</v>
      </c>
      <c r="AB123" s="58">
        <v>95.1</v>
      </c>
      <c r="AC123" s="58">
        <v>89.9</v>
      </c>
      <c r="AD123" s="58">
        <v>76.099999999999994</v>
      </c>
      <c r="AE123" s="58">
        <v>26</v>
      </c>
      <c r="AF123" s="58">
        <v>27.6</v>
      </c>
      <c r="AG123" s="60">
        <v>120</v>
      </c>
      <c r="AH123" s="12">
        <f t="shared" si="45"/>
        <v>154.5</v>
      </c>
      <c r="AI123" s="11">
        <f t="shared" si="46"/>
        <v>5.0999999999999996</v>
      </c>
    </row>
    <row r="124" spans="1:35" x14ac:dyDescent="0.25">
      <c r="A124" s="57" t="s">
        <v>138</v>
      </c>
      <c r="B124" s="58">
        <v>20.6</v>
      </c>
      <c r="C124" s="58">
        <v>20.6</v>
      </c>
      <c r="D124" s="58">
        <v>26.5</v>
      </c>
      <c r="E124" s="58">
        <v>33.700000000000003</v>
      </c>
      <c r="F124" s="58"/>
      <c r="G124" s="58"/>
      <c r="H124" s="58"/>
      <c r="I124" s="58"/>
      <c r="J124" s="58"/>
      <c r="K124" s="58"/>
      <c r="L124" s="58">
        <v>80.5</v>
      </c>
      <c r="M124" s="58">
        <v>86.7</v>
      </c>
      <c r="N124" s="58">
        <v>83.7</v>
      </c>
      <c r="O124" s="58">
        <v>76.5</v>
      </c>
      <c r="P124" s="58">
        <v>81</v>
      </c>
      <c r="Q124" s="58">
        <v>81</v>
      </c>
      <c r="R124" s="58">
        <v>84.6</v>
      </c>
      <c r="S124" s="58">
        <v>85</v>
      </c>
      <c r="T124" s="58">
        <v>78.099999999999994</v>
      </c>
      <c r="U124" s="58">
        <v>85.1</v>
      </c>
      <c r="V124" s="58">
        <v>78.099999999999994</v>
      </c>
      <c r="W124" s="58">
        <v>78.099999999999994</v>
      </c>
      <c r="X124" s="58">
        <v>74</v>
      </c>
      <c r="Y124" s="58">
        <v>75.900000000000006</v>
      </c>
      <c r="Z124" s="58">
        <v>80.900000000000006</v>
      </c>
      <c r="AA124" s="58">
        <v>83.8</v>
      </c>
      <c r="AB124" s="58">
        <v>62.5</v>
      </c>
      <c r="AC124" s="58">
        <v>59.5</v>
      </c>
      <c r="AD124" s="58">
        <v>52</v>
      </c>
      <c r="AE124" s="58">
        <v>27</v>
      </c>
      <c r="AF124" s="58">
        <v>28.5</v>
      </c>
      <c r="AG124" s="60"/>
      <c r="AH124" s="12">
        <f t="shared" si="45"/>
        <v>86.7</v>
      </c>
      <c r="AI124" s="11">
        <f t="shared" si="46"/>
        <v>20.6</v>
      </c>
    </row>
    <row r="125" spans="1:35" x14ac:dyDescent="0.25">
      <c r="A125" s="57" t="s">
        <v>137</v>
      </c>
      <c r="B125" s="58">
        <v>-29.1</v>
      </c>
      <c r="C125" s="58">
        <v>-29.1</v>
      </c>
      <c r="D125" s="58">
        <v>-15.2</v>
      </c>
      <c r="E125" s="58">
        <v>0.1</v>
      </c>
      <c r="F125" s="58"/>
      <c r="G125" s="58"/>
      <c r="H125" s="58"/>
      <c r="I125" s="58"/>
      <c r="J125" s="58"/>
      <c r="K125" s="58"/>
      <c r="L125" s="58">
        <v>-11.4</v>
      </c>
      <c r="M125" s="58">
        <v>-6.3</v>
      </c>
      <c r="N125" s="58">
        <v>-3.4</v>
      </c>
      <c r="O125" s="58">
        <v>-15.3</v>
      </c>
      <c r="P125" s="58">
        <v>1.2</v>
      </c>
      <c r="Q125" s="58">
        <v>7</v>
      </c>
      <c r="R125" s="58">
        <v>20.8</v>
      </c>
      <c r="S125" s="58">
        <v>20</v>
      </c>
      <c r="T125" s="58">
        <v>11.5</v>
      </c>
      <c r="U125" s="58">
        <v>10.8</v>
      </c>
      <c r="V125" s="58">
        <v>-6</v>
      </c>
      <c r="W125" s="58">
        <v>-6</v>
      </c>
      <c r="X125" s="58">
        <v>-18</v>
      </c>
      <c r="Y125" s="58">
        <v>-33.5</v>
      </c>
      <c r="Z125" s="58">
        <v>-43.4</v>
      </c>
      <c r="AA125" s="58">
        <v>-39.200000000000003</v>
      </c>
      <c r="AB125" s="58">
        <v>-56.8</v>
      </c>
      <c r="AC125" s="58">
        <v>-55</v>
      </c>
      <c r="AD125" s="58">
        <v>-44</v>
      </c>
      <c r="AE125" s="58">
        <v>-50.5</v>
      </c>
      <c r="AF125" s="58">
        <v>-29.8</v>
      </c>
      <c r="AG125" s="60"/>
      <c r="AH125" s="12">
        <f t="shared" si="45"/>
        <v>20.8</v>
      </c>
      <c r="AI125" s="11">
        <f t="shared" si="46"/>
        <v>-56.8</v>
      </c>
    </row>
    <row r="126" spans="1:35" ht="15.75" thickBot="1" x14ac:dyDescent="0.3">
      <c r="A126" s="57" t="s">
        <v>136</v>
      </c>
      <c r="B126" s="58">
        <v>22.9</v>
      </c>
      <c r="C126" s="58">
        <v>22.9</v>
      </c>
      <c r="D126" s="58">
        <v>33.299999999999997</v>
      </c>
      <c r="E126" s="58">
        <v>38</v>
      </c>
      <c r="F126" s="58">
        <v>54</v>
      </c>
      <c r="G126" s="58">
        <v>58.2</v>
      </c>
      <c r="H126" s="58">
        <v>64.3</v>
      </c>
      <c r="I126" s="58">
        <v>86.5</v>
      </c>
      <c r="J126" s="58">
        <v>82.1</v>
      </c>
      <c r="K126" s="58">
        <v>101</v>
      </c>
      <c r="L126" s="58">
        <v>97.6</v>
      </c>
      <c r="M126" s="58">
        <v>99</v>
      </c>
      <c r="N126" s="58">
        <v>98</v>
      </c>
      <c r="O126" s="58">
        <v>97</v>
      </c>
      <c r="P126" s="58">
        <v>89</v>
      </c>
      <c r="Q126" s="58">
        <v>92.3</v>
      </c>
      <c r="R126" s="58">
        <v>110.3</v>
      </c>
      <c r="S126" s="58">
        <v>106</v>
      </c>
      <c r="T126" s="58">
        <v>89.8</v>
      </c>
      <c r="U126" s="58">
        <v>105</v>
      </c>
      <c r="V126" s="58">
        <v>93.1</v>
      </c>
      <c r="W126" s="58">
        <v>93.1</v>
      </c>
      <c r="X126" s="58">
        <v>81</v>
      </c>
      <c r="Y126" s="58">
        <v>73.7</v>
      </c>
      <c r="Z126" s="58">
        <v>79.400000000000006</v>
      </c>
      <c r="AA126" s="58">
        <v>84.1</v>
      </c>
      <c r="AB126" s="58">
        <v>60.1</v>
      </c>
      <c r="AC126" s="58">
        <v>56.6</v>
      </c>
      <c r="AD126" s="58">
        <v>54.9</v>
      </c>
      <c r="AE126" s="58">
        <v>25</v>
      </c>
      <c r="AF126" s="58">
        <v>28.8</v>
      </c>
      <c r="AG126" s="55"/>
      <c r="AH126" s="12">
        <f>MAX(B126:AF126)</f>
        <v>110.3</v>
      </c>
      <c r="AI126" s="11">
        <f>MIN(B126:AF126)</f>
        <v>22.9</v>
      </c>
    </row>
    <row r="127" spans="1:35" x14ac:dyDescent="0.25">
      <c r="A127" s="59" t="s">
        <v>135</v>
      </c>
      <c r="B127" s="58">
        <v>-98.5</v>
      </c>
      <c r="C127" s="58">
        <v>-98.5</v>
      </c>
      <c r="D127" s="58">
        <v>-71.2</v>
      </c>
      <c r="E127" s="58">
        <v>-64.599999999999994</v>
      </c>
      <c r="F127" s="58">
        <v>-54.6</v>
      </c>
      <c r="G127" s="58">
        <v>-46.5</v>
      </c>
      <c r="H127" s="58">
        <v>-39.1</v>
      </c>
      <c r="I127" s="58">
        <v>-43.7</v>
      </c>
      <c r="J127" s="58">
        <v>-30.3</v>
      </c>
      <c r="K127" s="58">
        <v>46.3</v>
      </c>
      <c r="L127" s="58">
        <v>40</v>
      </c>
      <c r="M127" s="58">
        <v>46</v>
      </c>
      <c r="N127" s="58">
        <v>42</v>
      </c>
      <c r="O127" s="58">
        <v>53</v>
      </c>
      <c r="P127" s="58">
        <v>38</v>
      </c>
      <c r="Q127" s="58">
        <v>40</v>
      </c>
      <c r="R127" s="58">
        <v>90</v>
      </c>
      <c r="S127" s="58">
        <v>45</v>
      </c>
      <c r="T127" s="58">
        <v>39.4</v>
      </c>
      <c r="U127" s="58">
        <v>44</v>
      </c>
      <c r="V127" s="58">
        <v>38.9</v>
      </c>
      <c r="W127" s="58">
        <v>38.9</v>
      </c>
      <c r="X127" s="58">
        <v>35</v>
      </c>
      <c r="Y127" s="58">
        <v>-149.30000000000001</v>
      </c>
      <c r="Z127" s="56">
        <v>-153.69999999999999</v>
      </c>
      <c r="AA127" s="58">
        <v>-126</v>
      </c>
      <c r="AB127" s="58">
        <v>-74</v>
      </c>
      <c r="AC127" s="58">
        <v>-81.2</v>
      </c>
      <c r="AD127" s="58">
        <v>-61.6</v>
      </c>
      <c r="AE127" s="58">
        <v>-90</v>
      </c>
      <c r="AF127" s="58">
        <v>-86</v>
      </c>
      <c r="AG127" s="55"/>
      <c r="AH127" s="12">
        <f>MAX(B127:AF127)</f>
        <v>90</v>
      </c>
      <c r="AI127" s="11">
        <f>MIN(B127:AF127)</f>
        <v>-153.69999999999999</v>
      </c>
    </row>
    <row r="128" spans="1:35" x14ac:dyDescent="0.25">
      <c r="A128" s="57" t="s">
        <v>134</v>
      </c>
      <c r="B128" s="56">
        <v>-27.8</v>
      </c>
      <c r="C128" s="56">
        <v>-27.8</v>
      </c>
      <c r="D128" s="56">
        <v>-24.3</v>
      </c>
      <c r="E128" s="56">
        <v>-19.899999999999999</v>
      </c>
      <c r="F128" s="56">
        <v>-18.7</v>
      </c>
      <c r="G128" s="56">
        <v>-20.8</v>
      </c>
      <c r="H128" s="56">
        <v>-25.9</v>
      </c>
      <c r="I128" s="56">
        <v>-30.5</v>
      </c>
      <c r="J128" s="56">
        <v>-35</v>
      </c>
      <c r="K128" s="56">
        <v>-38.799999999999997</v>
      </c>
      <c r="L128" s="56">
        <v>-39</v>
      </c>
      <c r="M128" s="56">
        <v>-35.200000000000003</v>
      </c>
      <c r="N128" s="56">
        <v>-34.5</v>
      </c>
      <c r="O128" s="56">
        <v>-24.4</v>
      </c>
      <c r="P128" s="56">
        <v>-32</v>
      </c>
      <c r="Q128" s="56">
        <v>-32.200000000000003</v>
      </c>
      <c r="R128" s="56">
        <v>-35</v>
      </c>
      <c r="S128" s="56">
        <v>-16.600000000000001</v>
      </c>
      <c r="T128" s="56">
        <v>-11.9</v>
      </c>
      <c r="U128" s="56"/>
      <c r="V128" s="56">
        <v>-12.3</v>
      </c>
      <c r="W128" s="56">
        <v>-12.3</v>
      </c>
      <c r="X128" s="56">
        <v>-19</v>
      </c>
      <c r="Y128" s="56">
        <v>32.700000000000003</v>
      </c>
      <c r="Z128" s="56">
        <v>-38.200000000000003</v>
      </c>
      <c r="AA128" s="56">
        <v>-33.9</v>
      </c>
      <c r="AB128" s="56">
        <v>-28.7</v>
      </c>
      <c r="AC128" s="56">
        <v>-26.1</v>
      </c>
      <c r="AD128" s="56">
        <v>-18.2</v>
      </c>
      <c r="AE128" s="56">
        <v>-8.6</v>
      </c>
      <c r="AF128" s="56">
        <v>-9.4</v>
      </c>
      <c r="AG128" s="55"/>
      <c r="AH128" s="12">
        <f>MAX(B128:AF128)</f>
        <v>32.700000000000003</v>
      </c>
      <c r="AI128" s="11">
        <f>MIN(B128:AF128)</f>
        <v>-39</v>
      </c>
    </row>
    <row r="129" spans="1:37" ht="15.75" thickBot="1" x14ac:dyDescent="0.3">
      <c r="A129" s="57" t="s">
        <v>133</v>
      </c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>
        <v>63.8</v>
      </c>
      <c r="M129" s="56">
        <v>68.2</v>
      </c>
      <c r="N129" s="56">
        <v>64.8</v>
      </c>
      <c r="O129" s="56">
        <v>71</v>
      </c>
      <c r="P129" s="56">
        <v>78</v>
      </c>
      <c r="Q129" s="56">
        <v>67</v>
      </c>
      <c r="R129" s="56">
        <v>55</v>
      </c>
      <c r="S129" s="56">
        <v>55</v>
      </c>
      <c r="T129" s="56">
        <v>77.3</v>
      </c>
      <c r="U129" s="56">
        <v>57.8</v>
      </c>
      <c r="V129" s="56">
        <v>55.7</v>
      </c>
      <c r="W129" s="56">
        <v>55.7</v>
      </c>
      <c r="X129" s="56">
        <v>42</v>
      </c>
      <c r="Y129" s="56">
        <v>73.3</v>
      </c>
      <c r="Z129" s="56">
        <v>82.5</v>
      </c>
      <c r="AA129" s="56">
        <v>80.7</v>
      </c>
      <c r="AB129" s="56">
        <v>77</v>
      </c>
      <c r="AC129" s="56">
        <v>77.8</v>
      </c>
      <c r="AD129" s="56">
        <v>68.7</v>
      </c>
      <c r="AE129" s="56">
        <v>41</v>
      </c>
      <c r="AF129" s="56">
        <v>44.6</v>
      </c>
      <c r="AG129" s="55"/>
      <c r="AH129" s="12">
        <f>MAX(B129:AF129)</f>
        <v>82.5</v>
      </c>
      <c r="AI129" s="11">
        <f>MIN(B129:AF129)</f>
        <v>41</v>
      </c>
    </row>
    <row r="130" spans="1:37" ht="15.75" thickBot="1" x14ac:dyDescent="0.3">
      <c r="A130" s="57" t="s">
        <v>132</v>
      </c>
      <c r="B130" s="56">
        <v>80.52</v>
      </c>
      <c r="C130" s="56">
        <v>80.52</v>
      </c>
      <c r="D130" s="56">
        <v>72.099999999999994</v>
      </c>
      <c r="E130" s="56">
        <v>68.599999999999994</v>
      </c>
      <c r="F130" s="56"/>
      <c r="G130" s="56"/>
      <c r="H130" s="56"/>
      <c r="I130" s="56"/>
      <c r="J130" s="56"/>
      <c r="K130" s="56"/>
      <c r="L130" s="56">
        <v>73.7</v>
      </c>
      <c r="M130" s="56">
        <v>71.400000000000006</v>
      </c>
      <c r="N130" s="56">
        <v>63.6</v>
      </c>
      <c r="O130" s="56">
        <v>74</v>
      </c>
      <c r="P130" s="56">
        <v>81.2</v>
      </c>
      <c r="Q130" s="56">
        <v>69</v>
      </c>
      <c r="R130" s="56">
        <v>61.4</v>
      </c>
      <c r="S130" s="56">
        <v>64</v>
      </c>
      <c r="T130" s="56">
        <v>82.3</v>
      </c>
      <c r="U130" s="56">
        <v>60.9</v>
      </c>
      <c r="V130" s="56">
        <v>58.7</v>
      </c>
      <c r="W130" s="56">
        <v>58.7</v>
      </c>
      <c r="X130" s="56">
        <v>44</v>
      </c>
      <c r="Y130" s="56">
        <v>83.3</v>
      </c>
      <c r="Z130" s="53">
        <v>93.1</v>
      </c>
      <c r="AA130" s="56">
        <v>96.4</v>
      </c>
      <c r="AB130" s="56">
        <v>87.1</v>
      </c>
      <c r="AC130" s="56">
        <v>90.7</v>
      </c>
      <c r="AD130" s="56">
        <v>83</v>
      </c>
      <c r="AE130" s="56">
        <v>60.5</v>
      </c>
      <c r="AF130" s="56">
        <v>56.4</v>
      </c>
      <c r="AG130" s="55"/>
      <c r="AH130" s="12">
        <f>MAX(B130:AF130)</f>
        <v>96.4</v>
      </c>
      <c r="AI130" s="11">
        <f>MIN(B130:AF130)</f>
        <v>44</v>
      </c>
    </row>
    <row r="131" spans="1:37" x14ac:dyDescent="0.25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25">
      <c r="A132" s="47" t="s">
        <v>130</v>
      </c>
      <c r="B132" s="51">
        <v>1983.41</v>
      </c>
      <c r="C132" s="51">
        <v>1983.23</v>
      </c>
      <c r="D132" s="51">
        <v>1983.05</v>
      </c>
      <c r="E132" s="51">
        <v>1983</v>
      </c>
      <c r="F132" s="51">
        <v>1982.98</v>
      </c>
      <c r="G132" s="51">
        <v>1982.95</v>
      </c>
      <c r="H132" s="51"/>
      <c r="I132" s="51">
        <v>1982.95</v>
      </c>
      <c r="J132" s="51"/>
      <c r="K132" s="51">
        <v>1982.96</v>
      </c>
      <c r="L132" s="51"/>
      <c r="M132" s="51">
        <v>1983.32</v>
      </c>
      <c r="N132" s="51">
        <v>1983.6</v>
      </c>
      <c r="O132" s="51">
        <v>1983.9</v>
      </c>
      <c r="P132" s="51">
        <v>1984.2</v>
      </c>
      <c r="Q132" s="51">
        <v>1984.49</v>
      </c>
      <c r="R132" s="51">
        <v>1984.72</v>
      </c>
      <c r="S132" s="51">
        <v>1984.98</v>
      </c>
      <c r="T132" s="51">
        <v>1985.2</v>
      </c>
      <c r="U132" s="51">
        <v>1985.48</v>
      </c>
      <c r="V132" s="51">
        <v>1985.7</v>
      </c>
      <c r="W132" s="51"/>
      <c r="X132" s="51">
        <v>1985.94</v>
      </c>
      <c r="Y132" s="51"/>
      <c r="Z132" s="51">
        <v>1985.55</v>
      </c>
      <c r="AA132" s="51"/>
      <c r="AB132" s="51">
        <v>1984.71</v>
      </c>
      <c r="AC132" s="51"/>
      <c r="AD132" s="51">
        <v>1984.39</v>
      </c>
      <c r="AE132" s="51">
        <v>1984.19</v>
      </c>
      <c r="AF132" s="50">
        <v>1984.01</v>
      </c>
      <c r="AG132" s="44"/>
      <c r="AH132" s="12"/>
      <c r="AI132" s="11"/>
    </row>
    <row r="133" spans="1:37" x14ac:dyDescent="0.25">
      <c r="A133" s="47" t="s">
        <v>129</v>
      </c>
      <c r="B133" s="49">
        <v>520.89</v>
      </c>
      <c r="C133" s="49">
        <v>520.84</v>
      </c>
      <c r="D133" s="49">
        <v>520.78</v>
      </c>
      <c r="E133" s="49">
        <v>520.76</v>
      </c>
      <c r="F133" s="49">
        <v>52.082000000000001</v>
      </c>
      <c r="G133" s="49">
        <v>520.88</v>
      </c>
      <c r="H133" s="49"/>
      <c r="I133" s="49">
        <v>520.88</v>
      </c>
      <c r="J133" s="49"/>
      <c r="K133" s="49">
        <v>520.79999999999995</v>
      </c>
      <c r="L133" s="49"/>
      <c r="M133" s="49">
        <v>520.71</v>
      </c>
      <c r="N133" s="49">
        <v>520.69000000000005</v>
      </c>
      <c r="O133" s="49">
        <v>520.76</v>
      </c>
      <c r="P133" s="49">
        <v>520.83000000000004</v>
      </c>
      <c r="Q133" s="49">
        <v>520.9</v>
      </c>
      <c r="R133" s="49">
        <v>520.95000000000005</v>
      </c>
      <c r="S133" s="49">
        <v>520.98</v>
      </c>
      <c r="T133" s="49">
        <v>521.08000000000004</v>
      </c>
      <c r="U133" s="49">
        <v>521.16</v>
      </c>
      <c r="V133" s="49">
        <v>521.22</v>
      </c>
      <c r="W133" s="49"/>
      <c r="X133" s="49">
        <v>521.29999999999995</v>
      </c>
      <c r="Y133" s="49"/>
      <c r="Z133" s="49">
        <v>521.16</v>
      </c>
      <c r="AA133" s="49"/>
      <c r="AB133" s="49">
        <v>520.86</v>
      </c>
      <c r="AC133" s="49"/>
      <c r="AD133" s="49">
        <v>520.62</v>
      </c>
      <c r="AE133" s="49">
        <v>520.44000000000005</v>
      </c>
      <c r="AF133" s="48">
        <v>520.28</v>
      </c>
      <c r="AG133" s="44"/>
      <c r="AH133" s="12"/>
      <c r="AI133" s="11"/>
    </row>
    <row r="134" spans="1:37" x14ac:dyDescent="0.25">
      <c r="A134" s="47" t="s">
        <v>128</v>
      </c>
      <c r="B134" s="49">
        <v>622.55999999999995</v>
      </c>
      <c r="C134" s="49">
        <v>622.15</v>
      </c>
      <c r="D134" s="49">
        <v>621.46</v>
      </c>
      <c r="E134" s="49"/>
      <c r="F134" s="49"/>
      <c r="G134" s="49">
        <v>623.71</v>
      </c>
      <c r="H134" s="49"/>
      <c r="I134" s="49">
        <v>623.76</v>
      </c>
      <c r="J134" s="49"/>
      <c r="K134" s="49">
        <v>623.86</v>
      </c>
      <c r="L134" s="49"/>
      <c r="M134" s="49">
        <v>624.15</v>
      </c>
      <c r="N134" s="49">
        <v>624.16999999999996</v>
      </c>
      <c r="O134" s="49">
        <v>624.35</v>
      </c>
      <c r="P134" s="49">
        <v>624.25</v>
      </c>
      <c r="Q134" s="49">
        <v>624.13</v>
      </c>
      <c r="R134" s="49">
        <v>624</v>
      </c>
      <c r="S134" s="49">
        <v>623.91</v>
      </c>
      <c r="T134" s="49">
        <v>623.80999999999995</v>
      </c>
      <c r="U134" s="49">
        <v>623.85</v>
      </c>
      <c r="V134" s="49">
        <v>623.95000000000005</v>
      </c>
      <c r="W134" s="49"/>
      <c r="X134" s="49">
        <v>624.12</v>
      </c>
      <c r="Y134" s="49"/>
      <c r="Z134" s="49">
        <v>623.99</v>
      </c>
      <c r="AA134" s="49"/>
      <c r="AB134" s="49">
        <v>623.86</v>
      </c>
      <c r="AC134" s="49"/>
      <c r="AD134" s="49">
        <v>623.75</v>
      </c>
      <c r="AE134" s="49">
        <v>623.59</v>
      </c>
      <c r="AF134" s="48">
        <v>623.49</v>
      </c>
      <c r="AG134" s="44"/>
      <c r="AH134" s="12"/>
      <c r="AI134" s="11"/>
    </row>
    <row r="135" spans="1:37" x14ac:dyDescent="0.25">
      <c r="A135" s="47" t="s">
        <v>127</v>
      </c>
      <c r="B135" s="49">
        <v>336.27</v>
      </c>
      <c r="C135" s="49">
        <v>336.26</v>
      </c>
      <c r="D135" s="49">
        <v>336.27</v>
      </c>
      <c r="E135" s="49">
        <v>336.25</v>
      </c>
      <c r="F135" s="49"/>
      <c r="G135" s="49"/>
      <c r="H135" s="49"/>
      <c r="I135" s="49">
        <v>336.85</v>
      </c>
      <c r="J135" s="49"/>
      <c r="K135" s="49">
        <v>336.97</v>
      </c>
      <c r="L135" s="49"/>
      <c r="M135" s="49">
        <v>337.01</v>
      </c>
      <c r="N135" s="49"/>
      <c r="O135" s="49">
        <v>336.76</v>
      </c>
      <c r="P135" s="49">
        <v>336.53</v>
      </c>
      <c r="Q135" s="49">
        <v>336.36</v>
      </c>
      <c r="R135" s="49">
        <v>336.17</v>
      </c>
      <c r="S135" s="49">
        <v>336.03</v>
      </c>
      <c r="T135" s="49">
        <v>336.17</v>
      </c>
      <c r="U135" s="49">
        <v>336.01</v>
      </c>
      <c r="V135" s="49">
        <v>336.14</v>
      </c>
      <c r="W135" s="49"/>
      <c r="X135" s="49">
        <v>336.25</v>
      </c>
      <c r="Y135" s="49"/>
      <c r="Z135" s="49">
        <v>336.25</v>
      </c>
      <c r="AA135" s="49"/>
      <c r="AB135" s="49">
        <v>336.09</v>
      </c>
      <c r="AC135" s="49"/>
      <c r="AD135" s="49">
        <v>335.85</v>
      </c>
      <c r="AE135" s="49"/>
      <c r="AF135" s="48">
        <v>335.42</v>
      </c>
      <c r="AG135" s="44"/>
      <c r="AH135" s="12"/>
      <c r="AI135" s="11"/>
    </row>
    <row r="136" spans="1:37" x14ac:dyDescent="0.25">
      <c r="A136" s="47" t="s">
        <v>126</v>
      </c>
      <c r="B136" s="49">
        <v>882.2</v>
      </c>
      <c r="C136" s="49">
        <v>882.4</v>
      </c>
      <c r="D136" s="49">
        <v>882.6</v>
      </c>
      <c r="E136" s="49">
        <v>883.5</v>
      </c>
      <c r="F136" s="49">
        <v>994.5</v>
      </c>
      <c r="G136" s="49">
        <v>885.2</v>
      </c>
      <c r="H136" s="49"/>
      <c r="I136" s="49">
        <v>885.9</v>
      </c>
      <c r="J136" s="49"/>
      <c r="K136" s="49">
        <v>886.6</v>
      </c>
      <c r="L136" s="49"/>
      <c r="M136" s="49">
        <v>886.9</v>
      </c>
      <c r="N136" s="49"/>
      <c r="O136" s="49">
        <v>887</v>
      </c>
      <c r="P136" s="49">
        <v>886.9</v>
      </c>
      <c r="Q136" s="49">
        <v>886.8</v>
      </c>
      <c r="R136" s="49">
        <v>886.8</v>
      </c>
      <c r="S136" s="49">
        <v>886.6</v>
      </c>
      <c r="T136" s="49">
        <v>885.7</v>
      </c>
      <c r="U136" s="49">
        <v>885.4</v>
      </c>
      <c r="V136" s="49">
        <v>886</v>
      </c>
      <c r="W136" s="49"/>
      <c r="X136" s="49">
        <v>886.5</v>
      </c>
      <c r="Y136" s="49"/>
      <c r="Z136" s="49">
        <v>885.9</v>
      </c>
      <c r="AA136" s="49"/>
      <c r="AB136" s="49">
        <v>885</v>
      </c>
      <c r="AC136" s="49"/>
      <c r="AD136" s="49">
        <v>884.6</v>
      </c>
      <c r="AE136" s="49">
        <v>884.7</v>
      </c>
      <c r="AF136" s="48">
        <v>884.8</v>
      </c>
      <c r="AG136" s="44"/>
      <c r="AH136" s="12"/>
      <c r="AI136" s="11"/>
    </row>
    <row r="137" spans="1:37" ht="15.75" thickBot="1" x14ac:dyDescent="0.3">
      <c r="A137" s="47" t="s">
        <v>125</v>
      </c>
      <c r="B137" s="46">
        <v>1501.11</v>
      </c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>
        <v>1500.98</v>
      </c>
      <c r="N137" s="46"/>
      <c r="O137" s="46"/>
      <c r="P137" s="46"/>
      <c r="Q137" s="46"/>
      <c r="R137" s="46"/>
      <c r="S137" s="46">
        <v>1500.95</v>
      </c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.75" thickBot="1" x14ac:dyDescent="0.3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25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25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25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25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25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25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25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25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25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25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25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25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25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25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25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25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25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25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25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25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25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25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25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25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25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25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25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25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25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25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25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25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25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25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25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25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25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25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25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25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25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25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25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25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25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25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25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25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25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25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25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25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25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25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25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25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25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25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25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25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25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25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25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25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25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25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25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25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25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25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25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25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25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25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25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25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25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25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25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25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25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25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25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25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25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25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25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25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25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25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25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25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25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25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25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25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25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25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25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25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25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25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25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25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.75" thickBot="1" x14ac:dyDescent="0.3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.75" thickBot="1" x14ac:dyDescent="0.3">
      <c r="A244" s="31" t="s">
        <v>17</v>
      </c>
      <c r="B244" s="30">
        <f t="shared" ref="B244:AG244" si="85">SUM(B139:B243)</f>
        <v>0</v>
      </c>
      <c r="C244" s="14">
        <f t="shared" si="85"/>
        <v>0</v>
      </c>
      <c r="D244" s="14">
        <f t="shared" si="85"/>
        <v>0</v>
      </c>
      <c r="E244" s="14">
        <f t="shared" si="85"/>
        <v>0</v>
      </c>
      <c r="F244" s="14">
        <f t="shared" si="85"/>
        <v>0</v>
      </c>
      <c r="G244" s="14">
        <f t="shared" si="85"/>
        <v>0</v>
      </c>
      <c r="H244" s="14">
        <f t="shared" si="85"/>
        <v>0</v>
      </c>
      <c r="I244" s="14">
        <f t="shared" si="85"/>
        <v>0</v>
      </c>
      <c r="J244" s="14">
        <f t="shared" si="85"/>
        <v>0</v>
      </c>
      <c r="K244" s="14">
        <f t="shared" si="85"/>
        <v>0</v>
      </c>
      <c r="L244" s="14">
        <f t="shared" si="85"/>
        <v>0</v>
      </c>
      <c r="M244" s="14">
        <f t="shared" si="85"/>
        <v>0</v>
      </c>
      <c r="N244" s="14">
        <f t="shared" si="85"/>
        <v>0</v>
      </c>
      <c r="O244" s="14">
        <f t="shared" si="85"/>
        <v>0</v>
      </c>
      <c r="P244" s="14">
        <f t="shared" si="85"/>
        <v>0</v>
      </c>
      <c r="Q244" s="14">
        <f t="shared" si="85"/>
        <v>0</v>
      </c>
      <c r="R244" s="14">
        <f t="shared" si="85"/>
        <v>0</v>
      </c>
      <c r="S244" s="14">
        <f t="shared" si="85"/>
        <v>0</v>
      </c>
      <c r="T244" s="14">
        <f t="shared" si="85"/>
        <v>0</v>
      </c>
      <c r="U244" s="14">
        <f t="shared" si="85"/>
        <v>0</v>
      </c>
      <c r="V244" s="14">
        <f t="shared" si="85"/>
        <v>0</v>
      </c>
      <c r="W244" s="14">
        <f t="shared" si="85"/>
        <v>0</v>
      </c>
      <c r="X244" s="14">
        <f t="shared" si="85"/>
        <v>0</v>
      </c>
      <c r="Y244" s="14">
        <f t="shared" si="85"/>
        <v>0</v>
      </c>
      <c r="Z244" s="14">
        <f t="shared" si="85"/>
        <v>0</v>
      </c>
      <c r="AA244" s="14">
        <f t="shared" si="85"/>
        <v>0</v>
      </c>
      <c r="AB244" s="14">
        <f t="shared" si="85"/>
        <v>0</v>
      </c>
      <c r="AC244" s="14">
        <f t="shared" si="85"/>
        <v>0</v>
      </c>
      <c r="AD244" s="14">
        <f t="shared" si="85"/>
        <v>0</v>
      </c>
      <c r="AE244" s="14">
        <f t="shared" si="85"/>
        <v>0</v>
      </c>
      <c r="AF244" s="29">
        <f t="shared" si="85"/>
        <v>0</v>
      </c>
      <c r="AG244" s="28">
        <f t="shared" si="85"/>
        <v>412.72299999999984</v>
      </c>
      <c r="AH244" s="12"/>
      <c r="AI244" s="11"/>
      <c r="AK244" s="19"/>
    </row>
    <row r="245" spans="1:37" ht="15.75" thickBot="1" x14ac:dyDescent="0.3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25">
      <c r="A246" s="25" t="s">
        <v>16</v>
      </c>
      <c r="B246" s="24">
        <f t="shared" ref="B246:B251" si="86">AF246</f>
        <v>0.3</v>
      </c>
      <c r="C246" s="24">
        <v>0.3</v>
      </c>
      <c r="D246" s="24">
        <f t="shared" ref="D246:AF251" si="87">C246</f>
        <v>0.3</v>
      </c>
      <c r="E246" s="24">
        <f t="shared" si="87"/>
        <v>0.3</v>
      </c>
      <c r="F246" s="24">
        <f t="shared" si="87"/>
        <v>0.3</v>
      </c>
      <c r="G246" s="24">
        <f t="shared" si="87"/>
        <v>0.3</v>
      </c>
      <c r="H246" s="24">
        <f t="shared" si="87"/>
        <v>0.3</v>
      </c>
      <c r="I246" s="24">
        <f t="shared" si="87"/>
        <v>0.3</v>
      </c>
      <c r="J246" s="24">
        <f t="shared" si="87"/>
        <v>0.3</v>
      </c>
      <c r="K246" s="24">
        <f t="shared" si="87"/>
        <v>0.3</v>
      </c>
      <c r="L246" s="24">
        <f t="shared" si="87"/>
        <v>0.3</v>
      </c>
      <c r="M246" s="24">
        <f t="shared" si="87"/>
        <v>0.3</v>
      </c>
      <c r="N246" s="24">
        <f t="shared" si="87"/>
        <v>0.3</v>
      </c>
      <c r="O246" s="24">
        <f t="shared" si="87"/>
        <v>0.3</v>
      </c>
      <c r="P246" s="24">
        <f t="shared" si="87"/>
        <v>0.3</v>
      </c>
      <c r="Q246" s="24">
        <f t="shared" si="87"/>
        <v>0.3</v>
      </c>
      <c r="R246" s="24">
        <f t="shared" si="87"/>
        <v>0.3</v>
      </c>
      <c r="S246" s="24">
        <f t="shared" si="87"/>
        <v>0.3</v>
      </c>
      <c r="T246" s="24">
        <f t="shared" si="87"/>
        <v>0.3</v>
      </c>
      <c r="U246" s="24">
        <f t="shared" si="87"/>
        <v>0.3</v>
      </c>
      <c r="V246" s="24">
        <f t="shared" si="87"/>
        <v>0.3</v>
      </c>
      <c r="W246" s="24">
        <f t="shared" si="87"/>
        <v>0.3</v>
      </c>
      <c r="X246" s="24">
        <f t="shared" si="87"/>
        <v>0.3</v>
      </c>
      <c r="Y246" s="24">
        <f t="shared" si="87"/>
        <v>0.3</v>
      </c>
      <c r="Z246" s="24">
        <f t="shared" si="87"/>
        <v>0.3</v>
      </c>
      <c r="AA246" s="24">
        <f t="shared" si="87"/>
        <v>0.3</v>
      </c>
      <c r="AB246" s="24">
        <f t="shared" si="87"/>
        <v>0.3</v>
      </c>
      <c r="AC246" s="24">
        <f t="shared" si="87"/>
        <v>0.3</v>
      </c>
      <c r="AD246" s="24">
        <f t="shared" si="87"/>
        <v>0.3</v>
      </c>
      <c r="AE246" s="24">
        <f t="shared" si="87"/>
        <v>0.3</v>
      </c>
      <c r="AF246" s="24">
        <f t="shared" si="87"/>
        <v>0.3</v>
      </c>
      <c r="AG246" s="23">
        <v>2.4</v>
      </c>
      <c r="AH246" s="12"/>
      <c r="AI246" s="11"/>
      <c r="AK246" s="19"/>
    </row>
    <row r="247" spans="1:37" x14ac:dyDescent="0.25">
      <c r="A247" s="22" t="s">
        <v>15</v>
      </c>
      <c r="B247" s="21">
        <f t="shared" si="86"/>
        <v>0.4</v>
      </c>
      <c r="C247" s="21">
        <v>0.4</v>
      </c>
      <c r="D247" s="21">
        <f t="shared" si="87"/>
        <v>0.4</v>
      </c>
      <c r="E247" s="21">
        <f t="shared" si="87"/>
        <v>0.4</v>
      </c>
      <c r="F247" s="21">
        <f t="shared" si="87"/>
        <v>0.4</v>
      </c>
      <c r="G247" s="21">
        <f t="shared" si="87"/>
        <v>0.4</v>
      </c>
      <c r="H247" s="21">
        <f t="shared" si="87"/>
        <v>0.4</v>
      </c>
      <c r="I247" s="21">
        <f t="shared" si="87"/>
        <v>0.4</v>
      </c>
      <c r="J247" s="21">
        <f t="shared" si="87"/>
        <v>0.4</v>
      </c>
      <c r="K247" s="21">
        <f t="shared" si="87"/>
        <v>0.4</v>
      </c>
      <c r="L247" s="21">
        <f t="shared" si="87"/>
        <v>0.4</v>
      </c>
      <c r="M247" s="21">
        <f t="shared" si="87"/>
        <v>0.4</v>
      </c>
      <c r="N247" s="21">
        <f t="shared" si="87"/>
        <v>0.4</v>
      </c>
      <c r="O247" s="21">
        <f t="shared" si="87"/>
        <v>0.4</v>
      </c>
      <c r="P247" s="21">
        <f t="shared" si="87"/>
        <v>0.4</v>
      </c>
      <c r="Q247" s="21">
        <f t="shared" si="87"/>
        <v>0.4</v>
      </c>
      <c r="R247" s="21">
        <f t="shared" si="87"/>
        <v>0.4</v>
      </c>
      <c r="S247" s="21">
        <f t="shared" si="87"/>
        <v>0.4</v>
      </c>
      <c r="T247" s="21">
        <f t="shared" si="87"/>
        <v>0.4</v>
      </c>
      <c r="U247" s="21">
        <f t="shared" si="87"/>
        <v>0.4</v>
      </c>
      <c r="V247" s="21">
        <f t="shared" si="87"/>
        <v>0.4</v>
      </c>
      <c r="W247" s="21">
        <f t="shared" si="87"/>
        <v>0.4</v>
      </c>
      <c r="X247" s="21">
        <f t="shared" si="87"/>
        <v>0.4</v>
      </c>
      <c r="Y247" s="21">
        <f t="shared" si="87"/>
        <v>0.4</v>
      </c>
      <c r="Z247" s="21">
        <f t="shared" si="87"/>
        <v>0.4</v>
      </c>
      <c r="AA247" s="21">
        <f t="shared" si="87"/>
        <v>0.4</v>
      </c>
      <c r="AB247" s="21">
        <f t="shared" si="87"/>
        <v>0.4</v>
      </c>
      <c r="AC247" s="21">
        <f t="shared" si="87"/>
        <v>0.4</v>
      </c>
      <c r="AD247" s="21">
        <f t="shared" si="87"/>
        <v>0.4</v>
      </c>
      <c r="AE247" s="21">
        <f t="shared" si="87"/>
        <v>0.4</v>
      </c>
      <c r="AF247" s="21">
        <f t="shared" si="87"/>
        <v>0.4</v>
      </c>
      <c r="AG247" s="20">
        <v>2</v>
      </c>
      <c r="AH247" s="12"/>
      <c r="AI247" s="11"/>
      <c r="AK247" s="19"/>
    </row>
    <row r="248" spans="1:37" x14ac:dyDescent="0.25">
      <c r="A248" s="22" t="s">
        <v>14</v>
      </c>
      <c r="B248" s="21">
        <f t="shared" si="86"/>
        <v>1.5</v>
      </c>
      <c r="C248" s="21">
        <v>1.5</v>
      </c>
      <c r="D248" s="21">
        <f t="shared" si="87"/>
        <v>1.5</v>
      </c>
      <c r="E248" s="21">
        <f t="shared" si="87"/>
        <v>1.5</v>
      </c>
      <c r="F248" s="21">
        <f t="shared" si="87"/>
        <v>1.5</v>
      </c>
      <c r="G248" s="21">
        <f t="shared" si="87"/>
        <v>1.5</v>
      </c>
      <c r="H248" s="21">
        <f t="shared" si="87"/>
        <v>1.5</v>
      </c>
      <c r="I248" s="21">
        <f t="shared" si="87"/>
        <v>1.5</v>
      </c>
      <c r="J248" s="21">
        <f t="shared" si="87"/>
        <v>1.5</v>
      </c>
      <c r="K248" s="21">
        <f t="shared" si="87"/>
        <v>1.5</v>
      </c>
      <c r="L248" s="21">
        <f t="shared" si="87"/>
        <v>1.5</v>
      </c>
      <c r="M248" s="21">
        <f t="shared" si="87"/>
        <v>1.5</v>
      </c>
      <c r="N248" s="21">
        <f t="shared" si="87"/>
        <v>1.5</v>
      </c>
      <c r="O248" s="21">
        <f t="shared" si="87"/>
        <v>1.5</v>
      </c>
      <c r="P248" s="21">
        <f t="shared" si="87"/>
        <v>1.5</v>
      </c>
      <c r="Q248" s="21">
        <f t="shared" si="87"/>
        <v>1.5</v>
      </c>
      <c r="R248" s="21">
        <f t="shared" si="87"/>
        <v>1.5</v>
      </c>
      <c r="S248" s="21">
        <f t="shared" si="87"/>
        <v>1.5</v>
      </c>
      <c r="T248" s="21">
        <f t="shared" si="87"/>
        <v>1.5</v>
      </c>
      <c r="U248" s="21">
        <f t="shared" si="87"/>
        <v>1.5</v>
      </c>
      <c r="V248" s="21">
        <f t="shared" si="87"/>
        <v>1.5</v>
      </c>
      <c r="W248" s="21">
        <f t="shared" si="87"/>
        <v>1.5</v>
      </c>
      <c r="X248" s="21">
        <f t="shared" si="87"/>
        <v>1.5</v>
      </c>
      <c r="Y248" s="21">
        <f t="shared" si="87"/>
        <v>1.5</v>
      </c>
      <c r="Z248" s="21">
        <f t="shared" si="87"/>
        <v>1.5</v>
      </c>
      <c r="AA248" s="21">
        <f t="shared" si="87"/>
        <v>1.5</v>
      </c>
      <c r="AB248" s="21">
        <f t="shared" si="87"/>
        <v>1.5</v>
      </c>
      <c r="AC248" s="21">
        <f t="shared" si="87"/>
        <v>1.5</v>
      </c>
      <c r="AD248" s="21">
        <f t="shared" si="87"/>
        <v>1.5</v>
      </c>
      <c r="AE248" s="21">
        <f t="shared" si="87"/>
        <v>1.5</v>
      </c>
      <c r="AF248" s="21">
        <f t="shared" si="87"/>
        <v>1.5</v>
      </c>
      <c r="AG248" s="20">
        <v>1.5</v>
      </c>
      <c r="AH248" s="12"/>
      <c r="AI248" s="11"/>
      <c r="AK248" s="19"/>
    </row>
    <row r="249" spans="1:37" x14ac:dyDescent="0.25">
      <c r="A249" s="22" t="s">
        <v>13</v>
      </c>
      <c r="B249" s="21">
        <f t="shared" si="86"/>
        <v>0.3</v>
      </c>
      <c r="C249" s="21">
        <v>0.3</v>
      </c>
      <c r="D249" s="21">
        <f t="shared" si="87"/>
        <v>0.3</v>
      </c>
      <c r="E249" s="21">
        <f t="shared" si="87"/>
        <v>0.3</v>
      </c>
      <c r="F249" s="21">
        <f t="shared" si="87"/>
        <v>0.3</v>
      </c>
      <c r="G249" s="21">
        <f t="shared" si="87"/>
        <v>0.3</v>
      </c>
      <c r="H249" s="21">
        <f t="shared" si="87"/>
        <v>0.3</v>
      </c>
      <c r="I249" s="21">
        <f t="shared" si="87"/>
        <v>0.3</v>
      </c>
      <c r="J249" s="21">
        <f t="shared" si="87"/>
        <v>0.3</v>
      </c>
      <c r="K249" s="21">
        <f t="shared" si="87"/>
        <v>0.3</v>
      </c>
      <c r="L249" s="21">
        <f t="shared" si="87"/>
        <v>0.3</v>
      </c>
      <c r="M249" s="21">
        <f t="shared" si="87"/>
        <v>0.3</v>
      </c>
      <c r="N249" s="21">
        <f t="shared" si="87"/>
        <v>0.3</v>
      </c>
      <c r="O249" s="21">
        <f t="shared" si="87"/>
        <v>0.3</v>
      </c>
      <c r="P249" s="21">
        <f t="shared" si="87"/>
        <v>0.3</v>
      </c>
      <c r="Q249" s="21">
        <f t="shared" si="87"/>
        <v>0.3</v>
      </c>
      <c r="R249" s="21">
        <f t="shared" si="87"/>
        <v>0.3</v>
      </c>
      <c r="S249" s="21">
        <f t="shared" si="87"/>
        <v>0.3</v>
      </c>
      <c r="T249" s="21">
        <f t="shared" si="87"/>
        <v>0.3</v>
      </c>
      <c r="U249" s="21">
        <f t="shared" si="87"/>
        <v>0.3</v>
      </c>
      <c r="V249" s="21">
        <f t="shared" si="87"/>
        <v>0.3</v>
      </c>
      <c r="W249" s="21">
        <f t="shared" si="87"/>
        <v>0.3</v>
      </c>
      <c r="X249" s="21">
        <f t="shared" si="87"/>
        <v>0.3</v>
      </c>
      <c r="Y249" s="21">
        <f t="shared" si="87"/>
        <v>0.3</v>
      </c>
      <c r="Z249" s="21">
        <f t="shared" si="87"/>
        <v>0.3</v>
      </c>
      <c r="AA249" s="21">
        <f t="shared" si="87"/>
        <v>0.3</v>
      </c>
      <c r="AB249" s="21">
        <f t="shared" si="87"/>
        <v>0.3</v>
      </c>
      <c r="AC249" s="21">
        <f t="shared" si="87"/>
        <v>0.3</v>
      </c>
      <c r="AD249" s="21">
        <f t="shared" si="87"/>
        <v>0.3</v>
      </c>
      <c r="AE249" s="21">
        <f t="shared" si="87"/>
        <v>0.3</v>
      </c>
      <c r="AF249" s="21">
        <f t="shared" si="87"/>
        <v>0.3</v>
      </c>
      <c r="AG249" s="20">
        <v>1</v>
      </c>
      <c r="AH249" s="12"/>
      <c r="AI249" s="11"/>
      <c r="AK249" s="19"/>
    </row>
    <row r="250" spans="1:37" x14ac:dyDescent="0.25">
      <c r="A250" s="22" t="s">
        <v>12</v>
      </c>
      <c r="B250" s="21">
        <f t="shared" si="86"/>
        <v>0.4</v>
      </c>
      <c r="C250" s="21">
        <v>0.4</v>
      </c>
      <c r="D250" s="21">
        <f t="shared" si="87"/>
        <v>0.4</v>
      </c>
      <c r="E250" s="21">
        <f t="shared" si="87"/>
        <v>0.4</v>
      </c>
      <c r="F250" s="21">
        <f t="shared" si="87"/>
        <v>0.4</v>
      </c>
      <c r="G250" s="21">
        <f t="shared" si="87"/>
        <v>0.4</v>
      </c>
      <c r="H250" s="21">
        <f t="shared" si="87"/>
        <v>0.4</v>
      </c>
      <c r="I250" s="21">
        <f t="shared" si="87"/>
        <v>0.4</v>
      </c>
      <c r="J250" s="21">
        <f t="shared" si="87"/>
        <v>0.4</v>
      </c>
      <c r="K250" s="21">
        <f t="shared" si="87"/>
        <v>0.4</v>
      </c>
      <c r="L250" s="21">
        <f t="shared" si="87"/>
        <v>0.4</v>
      </c>
      <c r="M250" s="21">
        <f t="shared" si="87"/>
        <v>0.4</v>
      </c>
      <c r="N250" s="21">
        <f t="shared" si="87"/>
        <v>0.4</v>
      </c>
      <c r="O250" s="21">
        <f t="shared" si="87"/>
        <v>0.4</v>
      </c>
      <c r="P250" s="21">
        <f t="shared" si="87"/>
        <v>0.4</v>
      </c>
      <c r="Q250" s="21">
        <f t="shared" si="87"/>
        <v>0.4</v>
      </c>
      <c r="R250" s="21">
        <f t="shared" si="87"/>
        <v>0.4</v>
      </c>
      <c r="S250" s="21">
        <f t="shared" si="87"/>
        <v>0.4</v>
      </c>
      <c r="T250" s="21">
        <f t="shared" si="87"/>
        <v>0.4</v>
      </c>
      <c r="U250" s="21">
        <f t="shared" si="87"/>
        <v>0.4</v>
      </c>
      <c r="V250" s="21">
        <f t="shared" si="87"/>
        <v>0.4</v>
      </c>
      <c r="W250" s="21">
        <f t="shared" si="87"/>
        <v>0.4</v>
      </c>
      <c r="X250" s="21">
        <f t="shared" si="87"/>
        <v>0.4</v>
      </c>
      <c r="Y250" s="21">
        <f t="shared" si="87"/>
        <v>0.4</v>
      </c>
      <c r="Z250" s="21">
        <f t="shared" si="87"/>
        <v>0.4</v>
      </c>
      <c r="AA250" s="21">
        <f t="shared" si="87"/>
        <v>0.4</v>
      </c>
      <c r="AB250" s="21">
        <f t="shared" si="87"/>
        <v>0.4</v>
      </c>
      <c r="AC250" s="21">
        <f t="shared" si="87"/>
        <v>0.4</v>
      </c>
      <c r="AD250" s="21">
        <f t="shared" si="87"/>
        <v>0.4</v>
      </c>
      <c r="AE250" s="21">
        <f t="shared" si="87"/>
        <v>0.4</v>
      </c>
      <c r="AF250" s="21">
        <f t="shared" si="87"/>
        <v>0.4</v>
      </c>
      <c r="AG250" s="20">
        <v>1</v>
      </c>
      <c r="AH250" s="12"/>
      <c r="AI250" s="11"/>
      <c r="AK250" s="19"/>
    </row>
    <row r="251" spans="1:37" ht="15.75" thickBot="1" x14ac:dyDescent="0.3">
      <c r="A251" s="18" t="s">
        <v>11</v>
      </c>
      <c r="B251" s="17">
        <f t="shared" si="86"/>
        <v>0.64</v>
      </c>
      <c r="C251" s="17">
        <v>0.64</v>
      </c>
      <c r="D251" s="17">
        <f t="shared" si="87"/>
        <v>0.64</v>
      </c>
      <c r="E251" s="17">
        <f t="shared" si="87"/>
        <v>0.64</v>
      </c>
      <c r="F251" s="17">
        <f t="shared" si="87"/>
        <v>0.64</v>
      </c>
      <c r="G251" s="17">
        <f t="shared" si="87"/>
        <v>0.64</v>
      </c>
      <c r="H251" s="17">
        <f t="shared" si="87"/>
        <v>0.64</v>
      </c>
      <c r="I251" s="17">
        <f t="shared" si="87"/>
        <v>0.64</v>
      </c>
      <c r="J251" s="17">
        <f t="shared" si="87"/>
        <v>0.64</v>
      </c>
      <c r="K251" s="17">
        <f t="shared" si="87"/>
        <v>0.64</v>
      </c>
      <c r="L251" s="17">
        <f t="shared" si="87"/>
        <v>0.64</v>
      </c>
      <c r="M251" s="17">
        <f t="shared" si="87"/>
        <v>0.64</v>
      </c>
      <c r="N251" s="17">
        <f t="shared" si="87"/>
        <v>0.64</v>
      </c>
      <c r="O251" s="17">
        <f t="shared" si="87"/>
        <v>0.64</v>
      </c>
      <c r="P251" s="17">
        <f t="shared" si="87"/>
        <v>0.64</v>
      </c>
      <c r="Q251" s="17">
        <f t="shared" si="87"/>
        <v>0.64</v>
      </c>
      <c r="R251" s="17">
        <f t="shared" si="87"/>
        <v>0.64</v>
      </c>
      <c r="S251" s="17">
        <f t="shared" si="87"/>
        <v>0.64</v>
      </c>
      <c r="T251" s="17">
        <f t="shared" si="87"/>
        <v>0.64</v>
      </c>
      <c r="U251" s="17">
        <f t="shared" si="87"/>
        <v>0.64</v>
      </c>
      <c r="V251" s="17">
        <f t="shared" si="87"/>
        <v>0.64</v>
      </c>
      <c r="W251" s="17">
        <f t="shared" si="87"/>
        <v>0.64</v>
      </c>
      <c r="X251" s="17">
        <f t="shared" si="87"/>
        <v>0.64</v>
      </c>
      <c r="Y251" s="17">
        <f t="shared" si="87"/>
        <v>0.64</v>
      </c>
      <c r="Z251" s="17">
        <f t="shared" si="87"/>
        <v>0.64</v>
      </c>
      <c r="AA251" s="17">
        <f t="shared" si="87"/>
        <v>0.64</v>
      </c>
      <c r="AB251" s="17">
        <f t="shared" si="87"/>
        <v>0.64</v>
      </c>
      <c r="AC251" s="17">
        <f t="shared" si="87"/>
        <v>0.64</v>
      </c>
      <c r="AD251" s="17">
        <f t="shared" si="87"/>
        <v>0.64</v>
      </c>
      <c r="AE251" s="17">
        <f t="shared" si="87"/>
        <v>0.64</v>
      </c>
      <c r="AF251" s="17">
        <f t="shared" si="87"/>
        <v>0.64</v>
      </c>
      <c r="AG251" s="16">
        <v>0.66</v>
      </c>
      <c r="AH251" s="12"/>
      <c r="AI251" s="11"/>
    </row>
    <row r="252" spans="1:37" ht="15.75" thickBot="1" x14ac:dyDescent="0.3">
      <c r="A252" s="15" t="s">
        <v>10</v>
      </c>
      <c r="B252" s="14">
        <f t="shared" ref="B252:AG252" si="88">SUM(B246:B251)</f>
        <v>3.54</v>
      </c>
      <c r="C252" s="14">
        <f t="shared" si="88"/>
        <v>3.54</v>
      </c>
      <c r="D252" s="14">
        <f t="shared" si="88"/>
        <v>3.54</v>
      </c>
      <c r="E252" s="14">
        <f t="shared" si="88"/>
        <v>3.54</v>
      </c>
      <c r="F252" s="14">
        <f t="shared" si="88"/>
        <v>3.54</v>
      </c>
      <c r="G252" s="14">
        <f t="shared" si="88"/>
        <v>3.54</v>
      </c>
      <c r="H252" s="14">
        <f t="shared" si="88"/>
        <v>3.54</v>
      </c>
      <c r="I252" s="14">
        <f t="shared" si="88"/>
        <v>3.54</v>
      </c>
      <c r="J252" s="14">
        <f t="shared" si="88"/>
        <v>3.54</v>
      </c>
      <c r="K252" s="14">
        <f t="shared" si="88"/>
        <v>3.54</v>
      </c>
      <c r="L252" s="14">
        <f t="shared" si="88"/>
        <v>3.54</v>
      </c>
      <c r="M252" s="14">
        <f t="shared" si="88"/>
        <v>3.54</v>
      </c>
      <c r="N252" s="14">
        <f t="shared" si="88"/>
        <v>3.54</v>
      </c>
      <c r="O252" s="14">
        <f t="shared" si="88"/>
        <v>3.54</v>
      </c>
      <c r="P252" s="14">
        <f t="shared" si="88"/>
        <v>3.54</v>
      </c>
      <c r="Q252" s="14">
        <f t="shared" si="88"/>
        <v>3.54</v>
      </c>
      <c r="R252" s="14">
        <f t="shared" si="88"/>
        <v>3.54</v>
      </c>
      <c r="S252" s="14">
        <f t="shared" si="88"/>
        <v>3.54</v>
      </c>
      <c r="T252" s="14">
        <f t="shared" si="88"/>
        <v>3.54</v>
      </c>
      <c r="U252" s="14">
        <f t="shared" si="88"/>
        <v>3.54</v>
      </c>
      <c r="V252" s="14">
        <f t="shared" si="88"/>
        <v>3.54</v>
      </c>
      <c r="W252" s="14">
        <f t="shared" si="88"/>
        <v>3.54</v>
      </c>
      <c r="X252" s="14">
        <f t="shared" si="88"/>
        <v>3.54</v>
      </c>
      <c r="Y252" s="14">
        <f t="shared" si="88"/>
        <v>3.54</v>
      </c>
      <c r="Z252" s="14">
        <f t="shared" si="88"/>
        <v>3.54</v>
      </c>
      <c r="AA252" s="14">
        <f t="shared" si="88"/>
        <v>3.54</v>
      </c>
      <c r="AB252" s="14">
        <f t="shared" si="88"/>
        <v>3.54</v>
      </c>
      <c r="AC252" s="14">
        <f t="shared" si="88"/>
        <v>3.54</v>
      </c>
      <c r="AD252" s="14">
        <f t="shared" si="88"/>
        <v>3.54</v>
      </c>
      <c r="AE252" s="14">
        <f t="shared" si="88"/>
        <v>3.54</v>
      </c>
      <c r="AF252" s="14">
        <f t="shared" si="88"/>
        <v>3.54</v>
      </c>
      <c r="AG252" s="13">
        <f t="shared" si="88"/>
        <v>8.56</v>
      </c>
      <c r="AH252" s="12"/>
      <c r="AI252" s="11"/>
    </row>
    <row r="253" spans="1:37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25">
      <c r="A256" s="9" t="s">
        <v>9</v>
      </c>
      <c r="B256" s="8">
        <f>MAX(G99:N99)</f>
        <v>1631.94</v>
      </c>
      <c r="C256" s="7">
        <f>INDEX(G9:N9,1,MATCH(MAX(G99:N99),G99:N99,0))</f>
        <v>0.33333333333333331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25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2080/10/27)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25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25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25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25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25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25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25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25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25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25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25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25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25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25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130">
    <cfRule type="expression" dxfId="788" priority="89">
      <formula>$AH11=0</formula>
    </cfRule>
  </conditionalFormatting>
  <conditionalFormatting sqref="A132:A253">
    <cfRule type="expression" dxfId="787" priority="90">
      <formula>$AH132=0</formula>
    </cfRule>
  </conditionalFormatting>
  <conditionalFormatting sqref="B8">
    <cfRule type="expression" dxfId="786" priority="146">
      <formula>C$9&lt;8/24</formula>
    </cfRule>
    <cfRule type="expression" dxfId="785" priority="145">
      <formula>AND(C$9&gt;=8/24,C$9&lt;14/24)</formula>
    </cfRule>
    <cfRule type="expression" dxfId="784" priority="144">
      <formula>AND(C$9&gt;=14/24,C$9&lt;20/24)</formula>
    </cfRule>
    <cfRule type="expression" dxfId="783" priority="147">
      <formula>C$9&gt;=20/24</formula>
    </cfRule>
  </conditionalFormatting>
  <conditionalFormatting sqref="B11:T50 U12:Y50 B51:Y52 E59:F61 B59:D68 B69:AF74 B77:AF99 B9:AF10 B101:AF117 B119:AF137 B244:AF244 B246:B252">
    <cfRule type="expression" dxfId="782" priority="41">
      <formula>B$9&gt;=20/24</formula>
    </cfRule>
  </conditionalFormatting>
  <conditionalFormatting sqref="B9:AF10 B11:T50 U12:Y50 B51:Y52 E59:F61 B59:D68 B69:AF74 B77:AF99 B101:AF117 B119:AF137 B244:AF244 B246:B252">
    <cfRule type="expression" dxfId="781" priority="44">
      <formula>B$9&lt;8/24</formula>
    </cfRule>
    <cfRule type="expression" dxfId="780" priority="43">
      <formula>AND(B$9&gt;=8/24,B$9&lt;14/24)</formula>
    </cfRule>
    <cfRule type="expression" dxfId="779" priority="42">
      <formula>AND(B$9&gt;=14/24,B$9&lt;20/24)</formula>
    </cfRule>
  </conditionalFormatting>
  <conditionalFormatting sqref="D246:AF252">
    <cfRule type="expression" dxfId="778" priority="129">
      <formula>D$9&gt;=20/24</formula>
    </cfRule>
    <cfRule type="expression" dxfId="777" priority="131">
      <formula>AND(D$9&gt;=8/24,D$9&lt;14/24)</formula>
    </cfRule>
    <cfRule type="expression" dxfId="776" priority="132">
      <formula>D$9&lt;8/24</formula>
    </cfRule>
    <cfRule type="expression" dxfId="775" priority="130">
      <formula>AND(D$9&gt;=14/24,D$9&lt;20/24)</formula>
    </cfRule>
  </conditionalFormatting>
  <conditionalFormatting sqref="E63:I67 J64:J67 J67:K67">
    <cfRule type="expression" dxfId="774" priority="56">
      <formula>AND(E$9&gt;=8/24,E$9&lt;14/24)</formula>
    </cfRule>
    <cfRule type="expression" dxfId="773" priority="57">
      <formula>E$9&lt;8/24</formula>
    </cfRule>
    <cfRule type="expression" dxfId="772" priority="54">
      <formula>E$9&gt;=20/24</formula>
    </cfRule>
    <cfRule type="expression" dxfId="771" priority="55">
      <formula>AND(E$9&gt;=14/24,E$9&lt;20/24)</formula>
    </cfRule>
  </conditionalFormatting>
  <conditionalFormatting sqref="E68:K68">
    <cfRule type="expression" dxfId="770" priority="52">
      <formula>E$9&lt;8/24</formula>
    </cfRule>
    <cfRule type="expression" dxfId="769" priority="51">
      <formula>AND(E$9&gt;=8/24,E$9&lt;14/24)</formula>
    </cfRule>
    <cfRule type="expression" dxfId="768" priority="50">
      <formula>AND(E$9&gt;=14/24,E$9&lt;20/24)</formula>
    </cfRule>
    <cfRule type="expression" dxfId="767" priority="49">
      <formula>E$9&gt;=20/24</formula>
    </cfRule>
  </conditionalFormatting>
  <conditionalFormatting sqref="E59:AF62">
    <cfRule type="expression" dxfId="766" priority="67">
      <formula>E$9&gt;=20/24</formula>
    </cfRule>
    <cfRule type="expression" dxfId="765" priority="68">
      <formula>AND(E$9&gt;=14/24,E$9&lt;20/24)</formula>
    </cfRule>
    <cfRule type="expression" dxfId="764" priority="70">
      <formula>E$9&lt;8/24</formula>
    </cfRule>
    <cfRule type="expression" dxfId="763" priority="69">
      <formula>AND(E$9&gt;=8/24,E$9&lt;14/24)</formula>
    </cfRule>
  </conditionalFormatting>
  <conditionalFormatting sqref="F63:O65">
    <cfRule type="expression" dxfId="762" priority="83">
      <formula>AND(F$9&gt;=8/24,F$9&lt;14/24)</formula>
    </cfRule>
    <cfRule type="expression" dxfId="761" priority="81">
      <formula>F$9&gt;=20/24</formula>
    </cfRule>
    <cfRule type="expression" dxfId="760" priority="82">
      <formula>AND(F$9&gt;=14/24,F$9&lt;20/24)</formula>
    </cfRule>
    <cfRule type="expression" dxfId="759" priority="84">
      <formula>F$9&lt;8/24</formula>
    </cfRule>
  </conditionalFormatting>
  <conditionalFormatting sqref="L68:Y68">
    <cfRule type="expression" dxfId="758" priority="80">
      <formula>L$9&lt;8/24</formula>
    </cfRule>
    <cfRule type="expression" dxfId="757" priority="78">
      <formula>AND(L$9&gt;=14/24,L$9&lt;20/24)</formula>
    </cfRule>
    <cfRule type="expression" dxfId="756" priority="79">
      <formula>AND(L$9&gt;=8/24,L$9&lt;14/24)</formula>
    </cfRule>
    <cfRule type="expression" dxfId="755" priority="77">
      <formula>L$9&gt;=20/24</formula>
    </cfRule>
  </conditionalFormatting>
  <conditionalFormatting sqref="M8 S8 AB8">
    <cfRule type="expression" dxfId="754" priority="136">
      <formula>AND(N$9&gt;=14/24,N$9&lt;20/24)</formula>
    </cfRule>
    <cfRule type="expression" dxfId="753" priority="137">
      <formula>AND(N$9&gt;=8/24,N$9&lt;14/24)</formula>
    </cfRule>
    <cfRule type="expression" dxfId="752" priority="138">
      <formula>N$9&lt;8/24</formula>
    </cfRule>
  </conditionalFormatting>
  <conditionalFormatting sqref="N63:X67 Y66:Y67 M67">
    <cfRule type="expression" dxfId="751" priority="88">
      <formula>M$9&lt;8/24</formula>
    </cfRule>
    <cfRule type="expression" dxfId="750" priority="87">
      <formula>AND(M$9&gt;=8/24,M$9&lt;14/24)</formula>
    </cfRule>
    <cfRule type="expression" dxfId="749" priority="85">
      <formula>M$9&gt;=20/24</formula>
    </cfRule>
    <cfRule type="expression" dxfId="748" priority="86">
      <formula>AND(M$9&gt;=14/24,M$9&lt;20/24)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747" priority="135">
      <formula>N$9&gt;=20/24</formula>
    </cfRule>
  </conditionalFormatting>
  <conditionalFormatting sqref="S8">
    <cfRule type="expression" dxfId="746" priority="125">
      <formula>U$9&lt;8/24</formula>
    </cfRule>
    <cfRule type="expression" dxfId="745" priority="124">
      <formula>AND(U$9&gt;=8/24,U$9&lt;14/24)</formula>
    </cfRule>
    <cfRule type="expression" dxfId="744" priority="123">
      <formula>AND(U$9&gt;=14/24,U$9&lt;20/24)</formula>
    </cfRule>
    <cfRule type="expression" dxfId="743" priority="122">
      <formula>U$9&gt;=20/24</formula>
    </cfRule>
  </conditionalFormatting>
  <conditionalFormatting sqref="T63:AF68">
    <cfRule type="expression" dxfId="742" priority="73">
      <formula>AND(T$9&gt;=8/24,T$9&lt;14/24)</formula>
    </cfRule>
    <cfRule type="expression" dxfId="741" priority="72">
      <formula>AND(T$9&gt;=14/24,T$9&lt;20/24)</formula>
    </cfRule>
    <cfRule type="expression" dxfId="740" priority="71">
      <formula>T$9&gt;=20/24</formula>
    </cfRule>
    <cfRule type="expression" dxfId="739" priority="74">
      <formula>T$9&lt;8/24</formula>
    </cfRule>
  </conditionalFormatting>
  <conditionalFormatting sqref="U11:AF11 Z12:AF52">
    <cfRule type="expression" dxfId="738" priority="59">
      <formula>U$9&gt;=20/24</formula>
    </cfRule>
    <cfRule type="expression" dxfId="737" priority="58">
      <formula>U11&gt;$AG11</formula>
    </cfRule>
    <cfRule type="expression" dxfId="736" priority="60">
      <formula>AND(U$9&gt;=14/24,U$9&lt;20/24)</formula>
    </cfRule>
    <cfRule type="expression" dxfId="735" priority="61">
      <formula>AND(U$9&gt;=8/24,U$9&lt;14/24)</formula>
    </cfRule>
  </conditionalFormatting>
  <conditionalFormatting sqref="U11:AF11 Z12:AF55">
    <cfRule type="expression" dxfId="734" priority="62">
      <formula>U$9&lt;8/24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Y52:Y55 N52:X57 B52:M80 B11:T50 U12:Y50 B51:Y51 Y56:AF57 W58:AF61 N58:V80 W62:AG62 W63:AF80 AG80">
    <cfRule type="expression" dxfId="733" priority="40">
      <formula>B11&gt;$AG11</formula>
    </cfRule>
  </conditionalFormatting>
  <conditionalFormatting sqref="Y53:Y55 B53:X57">
    <cfRule type="expression" dxfId="732" priority="53">
      <formula>B$9&lt;8/24</formula>
    </cfRule>
  </conditionalFormatting>
  <conditionalFormatting sqref="Y53:AF55 B53:X57">
    <cfRule type="expression" dxfId="731" priority="39">
      <formula>AND(B$9&gt;=8/24,B$9&lt;14/24)</formula>
    </cfRule>
    <cfRule type="expression" dxfId="730" priority="37">
      <formula>B$9&gt;=20/24</formula>
    </cfRule>
    <cfRule type="expression" dxfId="729" priority="38">
      <formula>AND(B$9&gt;=14/24,B$9&lt;20/24)</formula>
    </cfRule>
  </conditionalFormatting>
  <conditionalFormatting sqref="Y56:AF57">
    <cfRule type="expression" dxfId="728" priority="65">
      <formula>AND(Y$9&gt;=14/24,Y$9&lt;20/24)</formula>
    </cfRule>
    <cfRule type="expression" dxfId="727" priority="64">
      <formula>Y$9&gt;=20/24</formula>
    </cfRule>
    <cfRule type="expression" dxfId="726" priority="75">
      <formula>Y$9&lt;8/24</formula>
    </cfRule>
    <cfRule type="expression" dxfId="725" priority="66">
      <formula>AND(Y$9&gt;=8/24,Y$9&lt;14/24)</formula>
    </cfRule>
  </conditionalFormatting>
  <conditionalFormatting sqref="Z53:AF55">
    <cfRule type="expression" dxfId="724" priority="76">
      <formula>Z53&gt;$AG53</formula>
    </cfRule>
  </conditionalFormatting>
  <conditionalFormatting sqref="AB8">
    <cfRule type="expression" dxfId="723" priority="118">
      <formula>AD$9&gt;=20/24</formula>
    </cfRule>
    <cfRule type="expression" dxfId="722" priority="119">
      <formula>AND(AD$9&gt;=14/24,AD$9&lt;20/24)</formula>
    </cfRule>
    <cfRule type="expression" dxfId="721" priority="120">
      <formula>AND(AD$9&gt;=8/24,AD$9&lt;14/24)</formula>
    </cfRule>
    <cfRule type="expression" dxfId="720" priority="121">
      <formula>AD$9&lt;8/24</formula>
    </cfRule>
  </conditionalFormatting>
  <conditionalFormatting sqref="AG58">
    <cfRule type="expression" dxfId="719" priority="113">
      <formula>AG58&gt;$AG58</formula>
    </cfRule>
  </conditionalFormatting>
  <conditionalFormatting sqref="AG62">
    <cfRule type="expression" dxfId="718" priority="97">
      <formula>AND(AG$9&gt;=14/24,AG$9&lt;20/24)</formula>
    </cfRule>
    <cfRule type="expression" dxfId="717" priority="98">
      <formula>AND(AG$9&gt;=8/24,AG$9&lt;14/24)</formula>
    </cfRule>
    <cfRule type="expression" dxfId="716" priority="99">
      <formula>AG$9&lt;8/24</formula>
    </cfRule>
    <cfRule type="expression" dxfId="715" priority="96">
      <formula>AG$9&gt;=20/24</formula>
    </cfRule>
  </conditionalFormatting>
  <conditionalFormatting sqref="AG75:AG76">
    <cfRule type="expression" dxfId="714" priority="91">
      <formula>AG75&gt;$AG75</formula>
    </cfRule>
  </conditionalFormatting>
  <conditionalFormatting sqref="AG80">
    <cfRule type="expression" dxfId="713" priority="92">
      <formula>AG$9&gt;=20/24</formula>
    </cfRule>
    <cfRule type="expression" dxfId="712" priority="93">
      <formula>AND(AG$9&gt;=14/24,AG$9&lt;20/24)</formula>
    </cfRule>
    <cfRule type="expression" dxfId="711" priority="94">
      <formula>AND(AG$9&gt;=8/24,AG$9&lt;14/24)</formula>
    </cfRule>
    <cfRule type="expression" dxfId="710" priority="95">
      <formula>AG$9&lt;8/24</formula>
    </cfRule>
  </conditionalFormatting>
  <conditionalFormatting sqref="AG97">
    <cfRule type="expression" dxfId="709" priority="114">
      <formula>AG$9&gt;=20/24</formula>
    </cfRule>
    <cfRule type="expression" dxfId="708" priority="117">
      <formula>AG$9&lt;8/24</formula>
    </cfRule>
    <cfRule type="expression" dxfId="707" priority="116">
      <formula>AND(AG$9&gt;=8/24,AG$9&lt;14/24)</formula>
    </cfRule>
    <cfRule type="expression" dxfId="706" priority="115">
      <formula>AND(AG$9&gt;=14/24,AG$9&lt;20/24)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705" priority="139">
      <formula>AJ$9&gt;=20/24</formula>
    </cfRule>
    <cfRule type="expression" dxfId="704" priority="141">
      <formula>AND(AJ$9&gt;=8/24,AJ$9&lt;14/24)</formula>
    </cfRule>
    <cfRule type="expression" dxfId="703" priority="140">
      <formula>AND(AJ$9&gt;=14/24,AJ$9&lt;20/24)</formula>
    </cfRule>
    <cfRule type="expression" dxfId="702" priority="142">
      <formula>AJ$9&lt;8/24</formula>
    </cfRule>
  </conditionalFormatting>
  <conditionalFormatting sqref="AL88:AN88 AL94:AN94">
    <cfRule type="expression" dxfId="701" priority="106">
      <formula>AL$9&gt;=20/24</formula>
    </cfRule>
    <cfRule type="expression" dxfId="700" priority="107">
      <formula>AND(AL$9&gt;=14/24,AL$9&lt;20/24)</formula>
    </cfRule>
    <cfRule type="expression" dxfId="699" priority="108">
      <formula>AND(AL$9&gt;=8/24,AL$9&lt;14/24)</formula>
    </cfRule>
    <cfRule type="expression" dxfId="698" priority="109">
      <formula>AL$9&lt;8/24</formula>
    </cfRule>
  </conditionalFormatting>
  <conditionalFormatting sqref="AM15:AM21 AN16:AR21">
    <cfRule type="expression" dxfId="697" priority="13">
      <formula>AX$9&gt;=20/24</formula>
    </cfRule>
    <cfRule type="expression" dxfId="696" priority="16">
      <formula>AX$9&lt;8/24</formula>
    </cfRule>
    <cfRule type="expression" dxfId="695" priority="15">
      <formula>AND(AX$9&gt;=8/24,AX$9&lt;14/24)</formula>
    </cfRule>
    <cfRule type="expression" dxfId="694" priority="14">
      <formula>AND(AX$9&gt;=14/24,AX$9&lt;20/24)</formula>
    </cfRule>
  </conditionalFormatting>
  <conditionalFormatting sqref="AN89:AN92">
    <cfRule type="expression" dxfId="693" priority="103">
      <formula>AND(AN$9&gt;=14/24,AN$9&lt;20/24)</formula>
    </cfRule>
    <cfRule type="expression" dxfId="692" priority="105">
      <formula>AN$9&lt;8/24</formula>
    </cfRule>
    <cfRule type="expression" dxfId="691" priority="102">
      <formula>AN$9&gt;=20/24</formula>
    </cfRule>
    <cfRule type="expression" dxfId="690" priority="104">
      <formula>AND(AN$9&gt;=8/24,AN$9&lt;14/24)</formula>
    </cfRule>
  </conditionalFormatting>
  <conditionalFormatting sqref="AN15:AR15">
    <cfRule type="expression" dxfId="689" priority="3">
      <formula>AND(U$9&gt;=8/24,U$9&lt;14/24)</formula>
    </cfRule>
    <cfRule type="expression" dxfId="688" priority="4">
      <formula>U$9&lt;8/24</formula>
    </cfRule>
    <cfRule type="expression" dxfId="687" priority="1">
      <formula>U$9&gt;=20/24</formula>
    </cfRule>
    <cfRule type="expression" dxfId="686" priority="2">
      <formula>AND(U$9&gt;=14/24,U$9&lt;20/24)</formula>
    </cfRule>
  </conditionalFormatting>
  <conditionalFormatting sqref="AS15">
    <cfRule type="expression" dxfId="685" priority="10">
      <formula>AND(AA$9&gt;=14/24,AA$9&lt;20/24)</formula>
    </cfRule>
    <cfRule type="expression" dxfId="684" priority="12">
      <formula>AA$9&lt;8/24</formula>
    </cfRule>
    <cfRule type="expression" dxfId="683" priority="11">
      <formula>AND(AA$9&gt;=8/24,AA$9&lt;14/24)</formula>
    </cfRule>
    <cfRule type="expression" dxfId="682" priority="9">
      <formula>AA$9&gt;=20/24</formula>
    </cfRule>
  </conditionalFormatting>
  <conditionalFormatting sqref="AS16:AS21">
    <cfRule type="expression" dxfId="681" priority="18">
      <formula>AND(BE$9&gt;=14/24,BE$9&lt;20/24)</formula>
    </cfRule>
    <cfRule type="expression" dxfId="680" priority="17">
      <formula>BE$9&gt;=20/24</formula>
    </cfRule>
    <cfRule type="expression" dxfId="679" priority="20">
      <formula>BE$9&lt;8/24</formula>
    </cfRule>
    <cfRule type="expression" dxfId="678" priority="19">
      <formula>AND(BE$9&gt;=8/24,BE$9&lt;14/24)</formula>
    </cfRule>
  </conditionalFormatting>
  <conditionalFormatting sqref="AT15 AX15:BJ15">
    <cfRule type="expression" dxfId="677" priority="22">
      <formula>AND(AC$9&gt;=14/24,AC$9&lt;20/24)</formula>
    </cfRule>
    <cfRule type="expression" dxfId="676" priority="21">
      <formula>AC$9&gt;=20/24</formula>
    </cfRule>
    <cfRule type="expression" dxfId="675" priority="23">
      <formula>AND(AC$9&gt;=8/24,AC$9&lt;14/24)</formula>
    </cfRule>
    <cfRule type="expression" dxfId="674" priority="24">
      <formula>AC$9&lt;8/24</formula>
    </cfRule>
  </conditionalFormatting>
  <conditionalFormatting sqref="AT16:AT21">
    <cfRule type="expression" dxfId="673" priority="27">
      <formula>AND(BG$9&gt;=8/24,BG$9&lt;14/24)</formula>
    </cfRule>
    <cfRule type="expression" dxfId="672" priority="26">
      <formula>AND(BG$9&gt;=14/24,BG$9&lt;20/24)</formula>
    </cfRule>
    <cfRule type="expression" dxfId="671" priority="28">
      <formula>BG$9&lt;8/24</formula>
    </cfRule>
    <cfRule type="expression" dxfId="670" priority="25">
      <formula>BG$9&gt;=20/24</formula>
    </cfRule>
  </conditionalFormatting>
  <conditionalFormatting sqref="AU15:AV15">
    <cfRule type="expression" dxfId="669" priority="31">
      <formula>AND(AE$9&gt;=8/24,AE$9&lt;14/24)</formula>
    </cfRule>
    <cfRule type="expression" dxfId="668" priority="30">
      <formula>AND(AE$9&gt;=14/24,AE$9&lt;20/24)</formula>
    </cfRule>
    <cfRule type="expression" dxfId="667" priority="32">
      <formula>AE$9&lt;8/24</formula>
    </cfRule>
    <cfRule type="expression" dxfId="666" priority="29">
      <formula>AE$9&gt;=20/24</formula>
    </cfRule>
  </conditionalFormatting>
  <conditionalFormatting sqref="AU16:BJ21">
    <cfRule type="expression" dxfId="665" priority="33">
      <formula>BI$9&gt;=20/24</formula>
    </cfRule>
    <cfRule type="expression" dxfId="664" priority="36">
      <formula>BI$9&lt;8/24</formula>
    </cfRule>
    <cfRule type="expression" dxfId="663" priority="35">
      <formula>AND(BI$9&gt;=8/24,BI$9&lt;14/24)</formula>
    </cfRule>
    <cfRule type="expression" dxfId="662" priority="34">
      <formula>AND(BI$9&gt;=14/24,BI$9&lt;20/24)</formula>
    </cfRule>
  </conditionalFormatting>
  <conditionalFormatting sqref="AW15">
    <cfRule type="expression" dxfId="661" priority="8">
      <formula>B$9&lt;8/24</formula>
    </cfRule>
    <cfRule type="expression" dxfId="660" priority="7">
      <formula>AND(B$9&gt;=8/24,B$9&lt;14/24)</formula>
    </cfRule>
    <cfRule type="expression" dxfId="659" priority="6">
      <formula>AND(B$9&gt;=14/24,B$9&lt;20/24)</formula>
    </cfRule>
    <cfRule type="expression" dxfId="658" priority="5">
      <formula>B$9&gt;=20/24</formula>
    </cfRule>
  </conditionalFormatting>
  <pageMargins left="0.7" right="0.7" top="0.75" bottom="0.75" header="0.3" footer="0.3"/>
  <drawing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5C3A-D142-45E4-B35D-989004A770A1}">
  <dimension ref="A1:CJ294"/>
  <sheetViews>
    <sheetView zoomScale="106" workbookViewId="0">
      <pane xSplit="1" ySplit="10" topLeftCell="B68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D132" sqref="D132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20.25" hidden="1" x14ac:dyDescent="0.2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9.5" hidden="1" thickBot="1" x14ac:dyDescent="0.3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3">
      <c r="A4" s="162" t="s">
        <v>273</v>
      </c>
      <c r="B4" s="205" t="str">
        <f ca="1">"2080/"&amp;"10/"&amp;INT(MID(CELL("filename",D6),FIND("]",CELL("filename",D6))+1,200))</f>
        <v>2080/10/28</v>
      </c>
      <c r="C4" s="205"/>
      <c r="D4" s="205"/>
      <c r="E4" s="206" t="str">
        <f ca="1">"2080/"&amp;"10/"&amp;INT(MID(CELL("filename",G6),FIND("]",CELL("filename",G6))+1,200))</f>
        <v>2080/10/28</v>
      </c>
      <c r="F4" s="206"/>
      <c r="G4" s="206"/>
      <c r="H4" s="206" t="str">
        <f ca="1">TEXT(E4,"dddd")</f>
        <v>Monday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3">
      <c r="A5" s="158"/>
      <c r="B5" s="161">
        <f t="shared" ref="B5:AE5" si="0">C92</f>
        <v>40.6</v>
      </c>
      <c r="C5" s="161">
        <f t="shared" si="0"/>
        <v>37.200000000000003</v>
      </c>
      <c r="D5" s="161">
        <f t="shared" si="0"/>
        <v>145.6</v>
      </c>
      <c r="E5" s="161">
        <f t="shared" si="0"/>
        <v>109.9</v>
      </c>
      <c r="F5" s="161">
        <f t="shared" si="0"/>
        <v>135.4</v>
      </c>
      <c r="G5" s="161">
        <f t="shared" si="0"/>
        <v>172</v>
      </c>
      <c r="H5" s="161">
        <f t="shared" si="0"/>
        <v>264.39999999999998</v>
      </c>
      <c r="I5" s="161">
        <f t="shared" si="0"/>
        <v>653.90000000000009</v>
      </c>
      <c r="J5" s="161">
        <f t="shared" si="0"/>
        <v>719.2</v>
      </c>
      <c r="K5" s="161">
        <f t="shared" si="0"/>
        <v>759.80000000000007</v>
      </c>
      <c r="L5" s="161">
        <f t="shared" si="0"/>
        <v>760.1</v>
      </c>
      <c r="M5" s="161">
        <f t="shared" si="0"/>
        <v>761</v>
      </c>
      <c r="N5" s="161">
        <f t="shared" si="0"/>
        <v>790</v>
      </c>
      <c r="O5" s="161">
        <f t="shared" si="0"/>
        <v>839</v>
      </c>
      <c r="P5" s="161">
        <f t="shared" si="0"/>
        <v>802.7</v>
      </c>
      <c r="Q5" s="161">
        <f t="shared" si="0"/>
        <v>785</v>
      </c>
      <c r="R5" s="161">
        <f t="shared" si="0"/>
        <v>851.5</v>
      </c>
      <c r="S5" s="161">
        <f t="shared" si="0"/>
        <v>844.6</v>
      </c>
      <c r="T5" s="161">
        <f t="shared" si="0"/>
        <v>808.2</v>
      </c>
      <c r="U5" s="161">
        <f t="shared" si="0"/>
        <v>721.30000000000007</v>
      </c>
      <c r="V5" s="161">
        <f t="shared" si="0"/>
        <v>754.69999999999993</v>
      </c>
      <c r="W5" s="161">
        <f t="shared" si="0"/>
        <v>658.8</v>
      </c>
      <c r="X5" s="161">
        <f t="shared" si="0"/>
        <v>264</v>
      </c>
      <c r="Y5" s="161">
        <f t="shared" si="0"/>
        <v>287.59999999999997</v>
      </c>
      <c r="Z5" s="161">
        <f t="shared" si="0"/>
        <v>288.2</v>
      </c>
      <c r="AA5" s="161">
        <f t="shared" si="0"/>
        <v>251</v>
      </c>
      <c r="AB5" s="161">
        <f t="shared" si="0"/>
        <v>239</v>
      </c>
      <c r="AC5" s="161">
        <f t="shared" si="0"/>
        <v>244</v>
      </c>
      <c r="AD5" s="161">
        <f t="shared" si="0"/>
        <v>112</v>
      </c>
      <c r="AE5" s="161">
        <f t="shared" si="0"/>
        <v>150</v>
      </c>
      <c r="AF5" s="161">
        <f>B92</f>
        <v>51.7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3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1608MW at 7:30hr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5" thickBot="1" x14ac:dyDescent="0.3">
      <c r="A7" s="151" t="str">
        <f>"Base Load="&amp;ROUND(MIN($B$7:$AF$7),0)</f>
        <v>Base Load=1237</v>
      </c>
      <c r="B7" s="150">
        <f t="shared" ref="B7:AF7" si="1">B100</f>
        <v>1407.04</v>
      </c>
      <c r="C7" s="150">
        <f t="shared" si="1"/>
        <v>1295.04</v>
      </c>
      <c r="D7" s="150">
        <f t="shared" si="1"/>
        <v>1271.5400000000002</v>
      </c>
      <c r="E7" s="150">
        <f t="shared" si="1"/>
        <v>1273.44</v>
      </c>
      <c r="F7" s="150">
        <f t="shared" si="1"/>
        <v>1237.04</v>
      </c>
      <c r="G7" s="150">
        <f t="shared" si="1"/>
        <v>1266.94</v>
      </c>
      <c r="H7" s="150">
        <f t="shared" si="1"/>
        <v>1278.54</v>
      </c>
      <c r="I7" s="150">
        <f t="shared" si="1"/>
        <v>1366.8400000000001</v>
      </c>
      <c r="J7" s="150">
        <f t="shared" si="1"/>
        <v>1467.5400000000002</v>
      </c>
      <c r="K7" s="150">
        <f t="shared" si="1"/>
        <v>1545.3400000000001</v>
      </c>
      <c r="L7" s="150">
        <f t="shared" si="1"/>
        <v>1607.5400000000002</v>
      </c>
      <c r="M7" s="150">
        <f t="shared" si="1"/>
        <v>1592.64</v>
      </c>
      <c r="N7" s="150">
        <f t="shared" si="1"/>
        <v>1544.74</v>
      </c>
      <c r="O7" s="150">
        <f t="shared" si="1"/>
        <v>1594.0400000000002</v>
      </c>
      <c r="P7" s="150">
        <f t="shared" si="1"/>
        <v>1689.84</v>
      </c>
      <c r="Q7" s="150">
        <f t="shared" si="1"/>
        <v>1637.94</v>
      </c>
      <c r="R7" s="150">
        <f t="shared" si="1"/>
        <v>1648.3400000000001</v>
      </c>
      <c r="S7" s="150">
        <f t="shared" si="1"/>
        <v>1708.04</v>
      </c>
      <c r="T7" s="150">
        <f t="shared" si="1"/>
        <v>1705.74</v>
      </c>
      <c r="U7" s="150">
        <f t="shared" si="1"/>
        <v>1679.3400000000001</v>
      </c>
      <c r="V7" s="150">
        <f t="shared" si="1"/>
        <v>1575.54</v>
      </c>
      <c r="W7" s="150">
        <f t="shared" si="1"/>
        <v>1591.54</v>
      </c>
      <c r="X7" s="150">
        <f t="shared" si="1"/>
        <v>1520.7400000000002</v>
      </c>
      <c r="Y7" s="150">
        <f t="shared" si="1"/>
        <v>1583.8000000000002</v>
      </c>
      <c r="Z7" s="150">
        <f t="shared" si="1"/>
        <v>1779.7</v>
      </c>
      <c r="AA7" s="150">
        <f t="shared" si="1"/>
        <v>1757.8400000000004</v>
      </c>
      <c r="AB7" s="150">
        <f t="shared" si="1"/>
        <v>1706.1400000000003</v>
      </c>
      <c r="AC7" s="150">
        <f t="shared" si="1"/>
        <v>1694.1400000000003</v>
      </c>
      <c r="AD7" s="150">
        <f t="shared" si="1"/>
        <v>1651.1400000000003</v>
      </c>
      <c r="AE7" s="150">
        <f t="shared" si="1"/>
        <v>1591.8400000000001</v>
      </c>
      <c r="AF7" s="150">
        <f t="shared" si="1"/>
        <v>1623.8400000000001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7.25" thickTop="1" thickBot="1" x14ac:dyDescent="0.3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1779.7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2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1779.7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.75" thickBot="1" x14ac:dyDescent="0.3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25">
      <c r="A11" s="89" t="s">
        <v>264</v>
      </c>
      <c r="B11" s="102">
        <v>22.2</v>
      </c>
      <c r="C11" s="102">
        <v>21.1</v>
      </c>
      <c r="D11" s="102">
        <v>21.6</v>
      </c>
      <c r="E11" s="102">
        <v>21.6</v>
      </c>
      <c r="F11" s="102">
        <v>22.2</v>
      </c>
      <c r="G11" s="102">
        <v>22.2</v>
      </c>
      <c r="H11" s="102">
        <v>22.2</v>
      </c>
      <c r="I11" s="102">
        <v>22.2</v>
      </c>
      <c r="J11" s="102">
        <v>22.2</v>
      </c>
      <c r="K11" s="102">
        <v>22.2</v>
      </c>
      <c r="L11" s="102">
        <v>22.2</v>
      </c>
      <c r="M11" s="102">
        <v>22.2</v>
      </c>
      <c r="N11" s="102">
        <v>22.2</v>
      </c>
      <c r="O11" s="102">
        <v>22.2</v>
      </c>
      <c r="P11" s="102">
        <v>24.9</v>
      </c>
      <c r="Q11" s="102">
        <v>24.9</v>
      </c>
      <c r="R11" s="102">
        <v>24.9</v>
      </c>
      <c r="S11" s="102">
        <v>27.4</v>
      </c>
      <c r="T11" s="102">
        <v>21.9</v>
      </c>
      <c r="U11" s="102">
        <v>24.1</v>
      </c>
      <c r="V11" s="102">
        <v>24.9</v>
      </c>
      <c r="W11" s="102">
        <v>24.9</v>
      </c>
      <c r="X11" s="102">
        <v>24.9</v>
      </c>
      <c r="Y11" s="102">
        <v>22.5</v>
      </c>
      <c r="Z11" s="102">
        <v>22.5</v>
      </c>
      <c r="AA11" s="102">
        <v>22.5</v>
      </c>
      <c r="AB11" s="102">
        <v>22.5</v>
      </c>
      <c r="AC11" s="102">
        <v>22.5</v>
      </c>
      <c r="AD11" s="102">
        <v>22.5</v>
      </c>
      <c r="AE11" s="102">
        <v>22.5</v>
      </c>
      <c r="AF11" s="102">
        <v>22.5</v>
      </c>
      <c r="AG11" s="140">
        <v>86</v>
      </c>
      <c r="AH11" s="12">
        <f t="shared" ref="AH11:AH16" si="2">MAX(B11:AF11)</f>
        <v>27.4</v>
      </c>
      <c r="AI11" s="11">
        <f t="shared" ref="AI11:AI16" si="3">MIN(B11:AF11)</f>
        <v>21.1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25">
      <c r="A12" s="89" t="s">
        <v>263</v>
      </c>
      <c r="B12" s="102">
        <v>8.6</v>
      </c>
      <c r="C12" s="102">
        <v>8.6</v>
      </c>
      <c r="D12" s="102">
        <v>8.6</v>
      </c>
      <c r="E12" s="102">
        <v>8.6</v>
      </c>
      <c r="F12" s="102">
        <v>8.6</v>
      </c>
      <c r="G12" s="102">
        <v>8.6</v>
      </c>
      <c r="H12" s="102">
        <v>8.6</v>
      </c>
      <c r="I12" s="102">
        <v>8.6</v>
      </c>
      <c r="J12" s="102">
        <v>8.6</v>
      </c>
      <c r="K12" s="102">
        <v>8.6</v>
      </c>
      <c r="L12" s="102">
        <v>8.6</v>
      </c>
      <c r="M12" s="102">
        <v>8.6</v>
      </c>
      <c r="N12" s="102">
        <v>8.6</v>
      </c>
      <c r="O12" s="102">
        <v>8.6</v>
      </c>
      <c r="P12" s="102">
        <v>8.6</v>
      </c>
      <c r="Q12" s="102">
        <v>8.6</v>
      </c>
      <c r="R12" s="102">
        <v>8.6</v>
      </c>
      <c r="S12" s="102">
        <v>8.6</v>
      </c>
      <c r="T12" s="102">
        <v>8.6</v>
      </c>
      <c r="U12" s="102">
        <v>8.6</v>
      </c>
      <c r="V12" s="102">
        <v>8.6</v>
      </c>
      <c r="W12" s="102">
        <v>8.6</v>
      </c>
      <c r="X12" s="102">
        <v>8.6</v>
      </c>
      <c r="Y12" s="102">
        <v>8.6</v>
      </c>
      <c r="Z12" s="102">
        <v>8.6</v>
      </c>
      <c r="AA12" s="102">
        <v>8.6</v>
      </c>
      <c r="AB12" s="102">
        <v>8.6</v>
      </c>
      <c r="AC12" s="102">
        <v>8.6</v>
      </c>
      <c r="AD12" s="102">
        <v>8.6</v>
      </c>
      <c r="AE12" s="102">
        <v>8.6</v>
      </c>
      <c r="AF12" s="102">
        <v>8.6</v>
      </c>
      <c r="AG12" s="130">
        <v>54</v>
      </c>
      <c r="AH12" s="12">
        <f t="shared" si="2"/>
        <v>8.6</v>
      </c>
      <c r="AI12" s="11">
        <f t="shared" si="3"/>
        <v>8.6</v>
      </c>
      <c r="AK12" s="19"/>
      <c r="AL12" s="6" t="str">
        <f ca="1">MID(CELL("filename",C7),FIND("]",CELL("filename",C7))+1,600)</f>
        <v>28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25">
      <c r="A13" s="89" t="s">
        <v>262</v>
      </c>
      <c r="B13" s="102">
        <v>0</v>
      </c>
      <c r="C13" s="102">
        <v>14.5</v>
      </c>
      <c r="D13" s="102">
        <v>14.5</v>
      </c>
      <c r="E13" s="102">
        <v>14.5</v>
      </c>
      <c r="F13" s="102">
        <v>14.5</v>
      </c>
      <c r="G13" s="102">
        <v>14.5</v>
      </c>
      <c r="H13" s="102">
        <v>14.5</v>
      </c>
      <c r="I13" s="102">
        <v>14.5</v>
      </c>
      <c r="J13" s="102">
        <v>14.5</v>
      </c>
      <c r="K13" s="102">
        <v>14.5</v>
      </c>
      <c r="L13" s="102">
        <v>14.5</v>
      </c>
      <c r="M13" s="102">
        <v>14.5</v>
      </c>
      <c r="N13" s="102">
        <v>14.5</v>
      </c>
      <c r="O13" s="102">
        <v>14.5</v>
      </c>
      <c r="P13" s="102">
        <v>12.9</v>
      </c>
      <c r="Q13" s="102">
        <v>12.9</v>
      </c>
      <c r="R13" s="102">
        <v>12.9</v>
      </c>
      <c r="S13" s="102">
        <v>13</v>
      </c>
      <c r="T13" s="102">
        <v>13</v>
      </c>
      <c r="U13" s="102">
        <v>13</v>
      </c>
      <c r="V13" s="102">
        <v>13</v>
      </c>
      <c r="W13" s="102">
        <v>13</v>
      </c>
      <c r="X13" s="102">
        <v>13</v>
      </c>
      <c r="Y13" s="102">
        <v>13.9</v>
      </c>
      <c r="Z13" s="102">
        <v>13.9</v>
      </c>
      <c r="AA13" s="102">
        <v>13.9</v>
      </c>
      <c r="AB13" s="102">
        <v>13.9</v>
      </c>
      <c r="AC13" s="102">
        <v>13.9</v>
      </c>
      <c r="AD13" s="102">
        <v>13.9</v>
      </c>
      <c r="AE13" s="102">
        <v>13.9</v>
      </c>
      <c r="AF13" s="102">
        <v>13.9</v>
      </c>
      <c r="AG13" s="130">
        <v>54</v>
      </c>
      <c r="AH13" s="12">
        <f t="shared" si="2"/>
        <v>14.5</v>
      </c>
      <c r="AI13" s="11">
        <f t="shared" si="3"/>
        <v>0</v>
      </c>
      <c r="AK13" s="19"/>
      <c r="AL13" s="6" t="str">
        <f ca="1">"Daily Load Curve(Excluding of Export) of Nepal ("&amp;A4&amp;" "&amp;B4&amp;")"</f>
        <v>Daily Load Curve(Excluding of Export) of Nepal (Nepali Date: 2080/10/28)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.75" thickBot="1" x14ac:dyDescent="0.3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.75" thickTop="1" x14ac:dyDescent="0.25">
      <c r="A15" s="89" t="s">
        <v>260</v>
      </c>
      <c r="B15" s="102">
        <v>40.1</v>
      </c>
      <c r="C15" s="102">
        <v>42.1</v>
      </c>
      <c r="D15" s="102">
        <v>42.1</v>
      </c>
      <c r="E15" s="102">
        <v>42.1</v>
      </c>
      <c r="F15" s="102">
        <v>42.1</v>
      </c>
      <c r="G15" s="102">
        <v>42.1</v>
      </c>
      <c r="H15" s="102">
        <v>42.1</v>
      </c>
      <c r="I15" s="102">
        <v>42.1</v>
      </c>
      <c r="J15" s="102">
        <v>42.1</v>
      </c>
      <c r="K15" s="102">
        <v>42.1</v>
      </c>
      <c r="L15" s="102">
        <v>42.1</v>
      </c>
      <c r="M15" s="102">
        <v>42.1</v>
      </c>
      <c r="N15" s="102">
        <v>42.1</v>
      </c>
      <c r="O15" s="102">
        <v>42.1</v>
      </c>
      <c r="P15" s="102">
        <v>42.1</v>
      </c>
      <c r="Q15" s="102">
        <v>42.1</v>
      </c>
      <c r="R15" s="102">
        <v>42.1</v>
      </c>
      <c r="S15" s="102">
        <v>39.6</v>
      </c>
      <c r="T15" s="102">
        <v>39.6</v>
      </c>
      <c r="U15" s="102">
        <v>39.6</v>
      </c>
      <c r="V15" s="102">
        <v>38.4</v>
      </c>
      <c r="W15" s="102">
        <v>38.4</v>
      </c>
      <c r="X15" s="102">
        <v>38.4</v>
      </c>
      <c r="Y15" s="123">
        <v>38.4</v>
      </c>
      <c r="Z15" s="123">
        <v>38.4</v>
      </c>
      <c r="AA15" s="123">
        <v>38.4</v>
      </c>
      <c r="AB15" s="123">
        <v>38.4</v>
      </c>
      <c r="AC15" s="123">
        <v>38.4</v>
      </c>
      <c r="AD15" s="123">
        <v>38.4</v>
      </c>
      <c r="AE15" s="123">
        <v>38.4</v>
      </c>
      <c r="AF15" s="123">
        <v>38.4</v>
      </c>
      <c r="AG15" s="130">
        <v>50</v>
      </c>
      <c r="AH15" s="12">
        <f t="shared" si="2"/>
        <v>42.1</v>
      </c>
      <c r="AI15" s="11">
        <f t="shared" si="3"/>
        <v>38.4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25">
      <c r="A16" s="89" t="s">
        <v>258</v>
      </c>
      <c r="B16" s="102">
        <v>16</v>
      </c>
      <c r="C16" s="102">
        <v>15.1</v>
      </c>
      <c r="D16" s="102">
        <v>15.1</v>
      </c>
      <c r="E16" s="102">
        <v>15.1</v>
      </c>
      <c r="F16" s="102">
        <v>15.1</v>
      </c>
      <c r="G16" s="102">
        <v>15.1</v>
      </c>
      <c r="H16" s="102">
        <v>15.1</v>
      </c>
      <c r="I16" s="102">
        <v>15.1</v>
      </c>
      <c r="J16" s="102">
        <v>15.1</v>
      </c>
      <c r="K16" s="102">
        <v>15.1</v>
      </c>
      <c r="L16" s="102">
        <v>15.1</v>
      </c>
      <c r="M16" s="102">
        <v>15.1</v>
      </c>
      <c r="N16" s="102">
        <v>15.1</v>
      </c>
      <c r="O16" s="102">
        <v>15.1</v>
      </c>
      <c r="P16" s="102">
        <v>15.1</v>
      </c>
      <c r="Q16" s="102">
        <v>15.1</v>
      </c>
      <c r="R16" s="102">
        <v>15.1</v>
      </c>
      <c r="S16" s="102">
        <v>15.2</v>
      </c>
      <c r="T16" s="102">
        <v>15.2</v>
      </c>
      <c r="U16" s="102">
        <v>15.2</v>
      </c>
      <c r="V16" s="102">
        <v>15.2</v>
      </c>
      <c r="W16" s="102">
        <v>15.2</v>
      </c>
      <c r="X16" s="102">
        <v>15.2</v>
      </c>
      <c r="Y16" s="102">
        <v>15.2</v>
      </c>
      <c r="Z16" s="102">
        <v>15.2</v>
      </c>
      <c r="AA16" s="102">
        <v>15.2</v>
      </c>
      <c r="AB16" s="102">
        <v>15.2</v>
      </c>
      <c r="AC16" s="102">
        <v>15.2</v>
      </c>
      <c r="AD16" s="102">
        <v>15.2</v>
      </c>
      <c r="AE16" s="102">
        <v>15.2</v>
      </c>
      <c r="AF16" s="102">
        <v>15.2</v>
      </c>
      <c r="AG16" s="130">
        <v>45</v>
      </c>
      <c r="AH16" s="12">
        <f t="shared" si="2"/>
        <v>16</v>
      </c>
      <c r="AI16" s="11">
        <f t="shared" si="3"/>
        <v>15.1</v>
      </c>
      <c r="AK16" s="19"/>
      <c r="AL16" s="135" t="s">
        <v>7</v>
      </c>
      <c r="AM16" s="134">
        <f t="shared" ref="AM16:AR16" si="4">B58</f>
        <v>456.00000000000006</v>
      </c>
      <c r="AN16" s="134">
        <f t="shared" si="4"/>
        <v>482.40000000000009</v>
      </c>
      <c r="AO16" s="134">
        <f t="shared" si="4"/>
        <v>486.10000000000008</v>
      </c>
      <c r="AP16" s="134">
        <f t="shared" si="4"/>
        <v>486.10000000000008</v>
      </c>
      <c r="AQ16" s="134">
        <f t="shared" si="4"/>
        <v>486.70000000000005</v>
      </c>
      <c r="AR16" s="134">
        <f t="shared" si="4"/>
        <v>486.70000000000005</v>
      </c>
      <c r="AS16" s="134">
        <f>I58</f>
        <v>486.70000000000005</v>
      </c>
      <c r="AT16" s="134">
        <f>K58</f>
        <v>486.70000000000005</v>
      </c>
      <c r="AU16" s="134">
        <f t="shared" ref="AU16:BD16" si="5">M58</f>
        <v>478.70000000000005</v>
      </c>
      <c r="AV16" s="134">
        <f t="shared" si="5"/>
        <v>478.70000000000005</v>
      </c>
      <c r="AW16" s="134">
        <f t="shared" si="5"/>
        <v>478.70000000000005</v>
      </c>
      <c r="AX16" s="134">
        <f t="shared" si="5"/>
        <v>490.00000000000006</v>
      </c>
      <c r="AY16" s="134">
        <f t="shared" si="5"/>
        <v>490.00000000000006</v>
      </c>
      <c r="AZ16" s="134">
        <f t="shared" si="5"/>
        <v>490.00000000000006</v>
      </c>
      <c r="BA16" s="134">
        <f t="shared" si="5"/>
        <v>492.40000000000009</v>
      </c>
      <c r="BB16" s="134">
        <f t="shared" si="5"/>
        <v>486.90000000000009</v>
      </c>
      <c r="BC16" s="134">
        <f t="shared" si="5"/>
        <v>489.10000000000008</v>
      </c>
      <c r="BD16" s="134">
        <f t="shared" si="5"/>
        <v>487.00000000000011</v>
      </c>
      <c r="BE16" s="133">
        <f>X58</f>
        <v>487.00000000000011</v>
      </c>
      <c r="BF16" s="133">
        <f>Z58</f>
        <v>485.00000000000011</v>
      </c>
      <c r="BG16" s="133">
        <f>AB58</f>
        <v>485.00000000000011</v>
      </c>
      <c r="BH16" s="133">
        <f>AD58</f>
        <v>485.00000000000011</v>
      </c>
      <c r="BI16" s="133">
        <f>AE58</f>
        <v>485.00000000000011</v>
      </c>
      <c r="BJ16" s="133">
        <f>AF58</f>
        <v>485.00000000000011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25">
      <c r="A17" s="89" t="s">
        <v>257</v>
      </c>
      <c r="B17" s="102">
        <v>20</v>
      </c>
      <c r="C17" s="102">
        <v>20</v>
      </c>
      <c r="D17" s="102">
        <v>20</v>
      </c>
      <c r="E17" s="102">
        <v>20</v>
      </c>
      <c r="F17" s="102">
        <v>20</v>
      </c>
      <c r="G17" s="102">
        <v>20</v>
      </c>
      <c r="H17" s="102">
        <v>20</v>
      </c>
      <c r="I17" s="102">
        <v>20</v>
      </c>
      <c r="J17" s="102">
        <v>20</v>
      </c>
      <c r="K17" s="102">
        <v>20</v>
      </c>
      <c r="L17" s="102">
        <v>20</v>
      </c>
      <c r="M17" s="102">
        <v>20</v>
      </c>
      <c r="N17" s="102">
        <v>20</v>
      </c>
      <c r="O17" s="102">
        <v>20</v>
      </c>
      <c r="P17" s="102">
        <v>20</v>
      </c>
      <c r="Q17" s="102">
        <v>20</v>
      </c>
      <c r="R17" s="102">
        <v>20</v>
      </c>
      <c r="S17" s="102">
        <v>20</v>
      </c>
      <c r="T17" s="102">
        <v>20</v>
      </c>
      <c r="U17" s="102">
        <v>20</v>
      </c>
      <c r="V17" s="102">
        <v>20</v>
      </c>
      <c r="W17" s="102">
        <v>20</v>
      </c>
      <c r="X17" s="102">
        <v>20</v>
      </c>
      <c r="Y17" s="102">
        <v>16.5</v>
      </c>
      <c r="Z17" s="102">
        <v>16.5</v>
      </c>
      <c r="AA17" s="102">
        <v>16.5</v>
      </c>
      <c r="AB17" s="102">
        <v>16.5</v>
      </c>
      <c r="AC17" s="102">
        <v>16.5</v>
      </c>
      <c r="AD17" s="102">
        <v>16.5</v>
      </c>
      <c r="AE17" s="102">
        <v>16.5</v>
      </c>
      <c r="AF17" s="102">
        <v>16.5</v>
      </c>
      <c r="AG17" s="130">
        <v>44</v>
      </c>
      <c r="AH17" s="12">
        <f>MAX(B17:AG17)</f>
        <v>44</v>
      </c>
      <c r="AI17" s="11">
        <f>MIN(B17:AG17)</f>
        <v>16.5</v>
      </c>
      <c r="AK17" s="19"/>
      <c r="AL17" s="135" t="s">
        <v>256</v>
      </c>
      <c r="AM17" s="134">
        <f t="shared" ref="AM17:AR17" si="6">B62</f>
        <v>170.9</v>
      </c>
      <c r="AN17" s="134">
        <f t="shared" si="6"/>
        <v>180.9</v>
      </c>
      <c r="AO17" s="134">
        <f t="shared" si="6"/>
        <v>204</v>
      </c>
      <c r="AP17" s="134">
        <f t="shared" si="6"/>
        <v>158.6</v>
      </c>
      <c r="AQ17" s="134">
        <f t="shared" si="6"/>
        <v>145.19999999999999</v>
      </c>
      <c r="AR17" s="134">
        <f t="shared" si="6"/>
        <v>164.3</v>
      </c>
      <c r="AS17" s="134">
        <f>I62</f>
        <v>143.4</v>
      </c>
      <c r="AT17" s="134">
        <f>K62</f>
        <v>31.1</v>
      </c>
      <c r="AU17" s="134">
        <f t="shared" ref="AU17:BD17" si="7">M62</f>
        <v>28</v>
      </c>
      <c r="AV17" s="134">
        <f t="shared" si="7"/>
        <v>28</v>
      </c>
      <c r="AW17" s="134">
        <f t="shared" si="7"/>
        <v>28</v>
      </c>
      <c r="AX17" s="134">
        <f t="shared" si="7"/>
        <v>28</v>
      </c>
      <c r="AY17" s="134">
        <f t="shared" si="7"/>
        <v>28</v>
      </c>
      <c r="AZ17" s="134">
        <f t="shared" si="7"/>
        <v>24</v>
      </c>
      <c r="BA17" s="134">
        <f t="shared" si="7"/>
        <v>29.3</v>
      </c>
      <c r="BB17" s="134">
        <f t="shared" si="7"/>
        <v>27.8</v>
      </c>
      <c r="BC17" s="134">
        <f t="shared" si="7"/>
        <v>49.3</v>
      </c>
      <c r="BD17" s="134">
        <f t="shared" si="7"/>
        <v>48.5</v>
      </c>
      <c r="BE17" s="133">
        <f>X62</f>
        <v>48.5</v>
      </c>
      <c r="BF17" s="133">
        <f>Z62</f>
        <v>336</v>
      </c>
      <c r="BG17" s="133">
        <f>AB62</f>
        <v>296</v>
      </c>
      <c r="BH17" s="133">
        <f>AD62</f>
        <v>256</v>
      </c>
      <c r="BI17" s="133">
        <f>AE62</f>
        <v>315</v>
      </c>
      <c r="BJ17" s="133">
        <f>AF62</f>
        <v>315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25">
      <c r="A18" s="89" t="s">
        <v>255</v>
      </c>
      <c r="B18" s="102">
        <v>10</v>
      </c>
      <c r="C18" s="102">
        <v>10</v>
      </c>
      <c r="D18" s="102">
        <v>10</v>
      </c>
      <c r="E18" s="102">
        <v>10</v>
      </c>
      <c r="F18" s="102">
        <v>10</v>
      </c>
      <c r="G18" s="102">
        <v>10</v>
      </c>
      <c r="H18" s="102">
        <v>10</v>
      </c>
      <c r="I18" s="102">
        <v>10</v>
      </c>
      <c r="J18" s="102">
        <v>10</v>
      </c>
      <c r="K18" s="102">
        <v>10</v>
      </c>
      <c r="L18" s="102">
        <v>10</v>
      </c>
      <c r="M18" s="102">
        <v>10</v>
      </c>
      <c r="N18" s="102">
        <v>10</v>
      </c>
      <c r="O18" s="102">
        <v>10</v>
      </c>
      <c r="P18" s="102">
        <v>9.5</v>
      </c>
      <c r="Q18" s="102">
        <v>9.5</v>
      </c>
      <c r="R18" s="102">
        <v>9.5</v>
      </c>
      <c r="S18" s="102">
        <v>9.5</v>
      </c>
      <c r="T18" s="102">
        <v>9.5</v>
      </c>
      <c r="U18" s="102">
        <v>9.5</v>
      </c>
      <c r="V18" s="102">
        <v>9.5</v>
      </c>
      <c r="W18" s="102">
        <v>9.5</v>
      </c>
      <c r="X18" s="102">
        <v>9.5</v>
      </c>
      <c r="Y18" s="102">
        <v>13</v>
      </c>
      <c r="Z18" s="102">
        <v>14</v>
      </c>
      <c r="AA18" s="102">
        <v>14</v>
      </c>
      <c r="AB18" s="102">
        <v>14</v>
      </c>
      <c r="AC18" s="102">
        <v>14</v>
      </c>
      <c r="AD18" s="102">
        <v>14</v>
      </c>
      <c r="AE18" s="102">
        <v>14</v>
      </c>
      <c r="AF18" s="102">
        <v>14</v>
      </c>
      <c r="AG18" s="130">
        <v>42</v>
      </c>
      <c r="AH18" s="12">
        <f t="shared" ref="AH18:AH81" si="8">MAX(B18:AF18)</f>
        <v>14</v>
      </c>
      <c r="AI18" s="11">
        <f t="shared" ref="AI18:AI81" si="9">MIN(B18:AF18)</f>
        <v>9.5</v>
      </c>
      <c r="AK18" s="19"/>
      <c r="AL18" s="135" t="s">
        <v>254</v>
      </c>
      <c r="AM18" s="134">
        <f t="shared" ref="AM18:AR18" si="10">B76</f>
        <v>245.03999999999996</v>
      </c>
      <c r="AN18" s="134">
        <f t="shared" si="10"/>
        <v>239.23999999999998</v>
      </c>
      <c r="AO18" s="134">
        <f t="shared" si="10"/>
        <v>240.94</v>
      </c>
      <c r="AP18" s="134">
        <f t="shared" si="10"/>
        <v>194.23999999999998</v>
      </c>
      <c r="AQ18" s="134">
        <f t="shared" si="10"/>
        <v>196.34</v>
      </c>
      <c r="AR18" s="134">
        <f t="shared" si="10"/>
        <v>216.14</v>
      </c>
      <c r="AS18" s="134">
        <f>I76</f>
        <v>223.84</v>
      </c>
      <c r="AT18" s="134">
        <f>K76</f>
        <v>308.33999999999997</v>
      </c>
      <c r="AU18" s="134">
        <f t="shared" ref="AU18:BD18" si="11">M76</f>
        <v>299.94000000000005</v>
      </c>
      <c r="AV18" s="134">
        <f t="shared" si="11"/>
        <v>256.04000000000002</v>
      </c>
      <c r="AW18" s="134">
        <f t="shared" si="11"/>
        <v>265.64000000000004</v>
      </c>
      <c r="AX18" s="134">
        <f t="shared" si="11"/>
        <v>271.44</v>
      </c>
      <c r="AY18" s="134">
        <f t="shared" si="11"/>
        <v>269.24</v>
      </c>
      <c r="AZ18" s="134">
        <f t="shared" si="11"/>
        <v>269.24</v>
      </c>
      <c r="BA18" s="134">
        <f t="shared" si="11"/>
        <v>237.84</v>
      </c>
      <c r="BB18" s="134">
        <f t="shared" si="11"/>
        <v>249.43999999999997</v>
      </c>
      <c r="BC18" s="134">
        <f t="shared" si="11"/>
        <v>235.74</v>
      </c>
      <c r="BD18" s="134">
        <f t="shared" si="11"/>
        <v>220.94</v>
      </c>
      <c r="BE18" s="133">
        <f>X76</f>
        <v>203.73999999999998</v>
      </c>
      <c r="BF18" s="133">
        <f>Z76</f>
        <v>312.8</v>
      </c>
      <c r="BG18" s="133">
        <f>AB76</f>
        <v>326.84000000000003</v>
      </c>
      <c r="BH18" s="133">
        <f>AD76</f>
        <v>317.84000000000003</v>
      </c>
      <c r="BI18" s="133">
        <f>AE76</f>
        <v>331.54</v>
      </c>
      <c r="BJ18" s="133">
        <f>AF76</f>
        <v>325.54000000000002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25">
      <c r="A19" s="89" t="s">
        <v>253</v>
      </c>
      <c r="B19" s="102">
        <v>16.8</v>
      </c>
      <c r="C19" s="102">
        <v>16.8</v>
      </c>
      <c r="D19" s="102">
        <v>16.8</v>
      </c>
      <c r="E19" s="102">
        <v>16.8</v>
      </c>
      <c r="F19" s="102">
        <v>16.8</v>
      </c>
      <c r="G19" s="102">
        <v>16.8</v>
      </c>
      <c r="H19" s="102">
        <v>16.8</v>
      </c>
      <c r="I19" s="102">
        <v>16.8</v>
      </c>
      <c r="J19" s="102">
        <v>16.8</v>
      </c>
      <c r="K19" s="102">
        <v>16.8</v>
      </c>
      <c r="L19" s="102">
        <v>16.8</v>
      </c>
      <c r="M19" s="102">
        <v>16.8</v>
      </c>
      <c r="N19" s="102">
        <v>16.8</v>
      </c>
      <c r="O19" s="102">
        <v>16.8</v>
      </c>
      <c r="P19" s="102">
        <v>22.2</v>
      </c>
      <c r="Q19" s="102">
        <v>22.2</v>
      </c>
      <c r="R19" s="102">
        <v>22.2</v>
      </c>
      <c r="S19" s="102">
        <v>19.399999999999999</v>
      </c>
      <c r="T19" s="102">
        <v>19.399999999999999</v>
      </c>
      <c r="U19" s="102">
        <v>19.399999999999999</v>
      </c>
      <c r="V19" s="102">
        <v>19.5</v>
      </c>
      <c r="W19" s="102">
        <v>19.5</v>
      </c>
      <c r="X19" s="102">
        <v>19.5</v>
      </c>
      <c r="Y19" s="102">
        <v>19.5</v>
      </c>
      <c r="Z19" s="102">
        <v>19.5</v>
      </c>
      <c r="AA19" s="102">
        <v>19.5</v>
      </c>
      <c r="AB19" s="102">
        <v>19.5</v>
      </c>
      <c r="AC19" s="102">
        <v>19.5</v>
      </c>
      <c r="AD19" s="102">
        <v>19.5</v>
      </c>
      <c r="AE19" s="102">
        <v>19.5</v>
      </c>
      <c r="AF19" s="102">
        <v>19.5</v>
      </c>
      <c r="AG19" s="130">
        <v>38.46</v>
      </c>
      <c r="AH19" s="12">
        <f t="shared" si="8"/>
        <v>22.2</v>
      </c>
      <c r="AI19" s="11">
        <f t="shared" si="9"/>
        <v>16.8</v>
      </c>
      <c r="AK19" s="19"/>
      <c r="AL19" s="135" t="s">
        <v>252</v>
      </c>
      <c r="AM19" s="134">
        <f t="shared" ref="AM19:AR19" si="12">B92</f>
        <v>51.7</v>
      </c>
      <c r="AN19" s="134">
        <f t="shared" si="12"/>
        <v>40.6</v>
      </c>
      <c r="AO19" s="134">
        <f t="shared" si="12"/>
        <v>37.200000000000003</v>
      </c>
      <c r="AP19" s="134">
        <f t="shared" si="12"/>
        <v>145.6</v>
      </c>
      <c r="AQ19" s="134">
        <f t="shared" si="12"/>
        <v>109.9</v>
      </c>
      <c r="AR19" s="134">
        <f t="shared" si="12"/>
        <v>135.4</v>
      </c>
      <c r="AS19" s="134">
        <f>I92</f>
        <v>264.39999999999998</v>
      </c>
      <c r="AT19" s="134">
        <f>K92</f>
        <v>719.2</v>
      </c>
      <c r="AU19" s="134">
        <f t="shared" ref="AU19:BD19" si="13">M92</f>
        <v>760.1</v>
      </c>
      <c r="AV19" s="134">
        <f t="shared" si="13"/>
        <v>761</v>
      </c>
      <c r="AW19" s="134">
        <f t="shared" si="13"/>
        <v>790</v>
      </c>
      <c r="AX19" s="134">
        <f t="shared" si="13"/>
        <v>839</v>
      </c>
      <c r="AY19" s="134">
        <f t="shared" si="13"/>
        <v>802.7</v>
      </c>
      <c r="AZ19" s="134">
        <f t="shared" si="13"/>
        <v>785</v>
      </c>
      <c r="BA19" s="134">
        <f t="shared" si="13"/>
        <v>851.5</v>
      </c>
      <c r="BB19" s="134">
        <f t="shared" si="13"/>
        <v>844.6</v>
      </c>
      <c r="BC19" s="134">
        <f t="shared" si="13"/>
        <v>808.2</v>
      </c>
      <c r="BD19" s="134">
        <f t="shared" si="13"/>
        <v>721.30000000000007</v>
      </c>
      <c r="BE19" s="133">
        <f>X92</f>
        <v>658.8</v>
      </c>
      <c r="BF19" s="133">
        <f>Z92</f>
        <v>287.59999999999997</v>
      </c>
      <c r="BG19" s="133">
        <f>AB92</f>
        <v>251</v>
      </c>
      <c r="BH19" s="133">
        <f>AD92</f>
        <v>244</v>
      </c>
      <c r="BI19" s="133">
        <f>AE92</f>
        <v>112</v>
      </c>
      <c r="BJ19" s="133">
        <f>AF92</f>
        <v>150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25">
      <c r="A20" s="89" t="s">
        <v>251</v>
      </c>
      <c r="B20" s="102">
        <v>14</v>
      </c>
      <c r="C20" s="102">
        <v>14</v>
      </c>
      <c r="D20" s="102">
        <v>14</v>
      </c>
      <c r="E20" s="102">
        <v>14</v>
      </c>
      <c r="F20" s="102">
        <v>14</v>
      </c>
      <c r="G20" s="102">
        <v>14</v>
      </c>
      <c r="H20" s="102">
        <v>14</v>
      </c>
      <c r="I20" s="102">
        <v>14</v>
      </c>
      <c r="J20" s="102">
        <v>14</v>
      </c>
      <c r="K20" s="102">
        <v>14</v>
      </c>
      <c r="L20" s="102">
        <v>14</v>
      </c>
      <c r="M20" s="102">
        <v>14</v>
      </c>
      <c r="N20" s="102">
        <v>14</v>
      </c>
      <c r="O20" s="102">
        <v>14</v>
      </c>
      <c r="P20" s="102">
        <v>14</v>
      </c>
      <c r="Q20" s="102">
        <v>14</v>
      </c>
      <c r="R20" s="102">
        <v>14</v>
      </c>
      <c r="S20" s="102">
        <v>10</v>
      </c>
      <c r="T20" s="102">
        <v>10</v>
      </c>
      <c r="U20" s="102">
        <v>10</v>
      </c>
      <c r="V20" s="102">
        <v>10</v>
      </c>
      <c r="W20" s="102">
        <v>10</v>
      </c>
      <c r="X20" s="102">
        <v>10</v>
      </c>
      <c r="Y20" s="102">
        <v>10</v>
      </c>
      <c r="Z20" s="102">
        <v>10</v>
      </c>
      <c r="AA20" s="102">
        <v>10</v>
      </c>
      <c r="AB20" s="102">
        <v>10</v>
      </c>
      <c r="AC20" s="102">
        <v>10</v>
      </c>
      <c r="AD20" s="102">
        <v>10</v>
      </c>
      <c r="AE20" s="102">
        <v>10</v>
      </c>
      <c r="AF20" s="102">
        <v>10</v>
      </c>
      <c r="AG20" s="130">
        <v>38.46</v>
      </c>
      <c r="AH20" s="12">
        <f t="shared" si="8"/>
        <v>14</v>
      </c>
      <c r="AI20" s="11">
        <f t="shared" si="9"/>
        <v>10</v>
      </c>
      <c r="AK20" s="19"/>
      <c r="AL20" s="135" t="s">
        <v>250</v>
      </c>
      <c r="AM20" s="134">
        <f t="shared" ref="AM20:AR20" si="14">B80</f>
        <v>58.9</v>
      </c>
      <c r="AN20" s="134">
        <f t="shared" si="14"/>
        <v>52.900000000000006</v>
      </c>
      <c r="AO20" s="134">
        <f t="shared" si="14"/>
        <v>53.300000000000004</v>
      </c>
      <c r="AP20" s="134">
        <f t="shared" si="14"/>
        <v>38.900000000000006</v>
      </c>
      <c r="AQ20" s="134">
        <f t="shared" si="14"/>
        <v>48.900000000000006</v>
      </c>
      <c r="AR20" s="134">
        <f t="shared" si="14"/>
        <v>14.399999999999999</v>
      </c>
      <c r="AS20" s="134">
        <f>I80</f>
        <v>48.5</v>
      </c>
      <c r="AT20" s="134">
        <f>K80</f>
        <v>0</v>
      </c>
      <c r="AU20" s="134">
        <f t="shared" ref="AU20:BD20" si="15">M80</f>
        <v>25.9</v>
      </c>
      <c r="AV20" s="134">
        <f t="shared" si="15"/>
        <v>21</v>
      </c>
      <c r="AW20" s="134">
        <f t="shared" si="15"/>
        <v>31.700000000000003</v>
      </c>
      <c r="AX20" s="134">
        <f t="shared" si="15"/>
        <v>61.400000000000006</v>
      </c>
      <c r="AY20" s="134">
        <f t="shared" si="15"/>
        <v>48</v>
      </c>
      <c r="AZ20" s="134">
        <f t="shared" si="15"/>
        <v>80.099999999999994</v>
      </c>
      <c r="BA20" s="134">
        <f t="shared" si="15"/>
        <v>97</v>
      </c>
      <c r="BB20" s="134">
        <f t="shared" si="15"/>
        <v>97</v>
      </c>
      <c r="BC20" s="134">
        <f t="shared" si="15"/>
        <v>97</v>
      </c>
      <c r="BD20" s="134">
        <f t="shared" si="15"/>
        <v>97.8</v>
      </c>
      <c r="BE20" s="133">
        <f>X80</f>
        <v>72.7</v>
      </c>
      <c r="BF20" s="133">
        <f>Z80</f>
        <v>98.300000000000011</v>
      </c>
      <c r="BG20" s="133">
        <f>AB80</f>
        <v>98.300000000000011</v>
      </c>
      <c r="BH20" s="133">
        <f>AD80</f>
        <v>98.300000000000011</v>
      </c>
      <c r="BI20" s="133">
        <f>AE80</f>
        <v>98.300000000000011</v>
      </c>
      <c r="BJ20" s="133">
        <f>AF80</f>
        <v>98.300000000000011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25">
      <c r="A21" s="89" t="s">
        <v>249</v>
      </c>
      <c r="B21" s="102">
        <v>0</v>
      </c>
      <c r="C21" s="102">
        <v>0</v>
      </c>
      <c r="D21" s="102">
        <v>0</v>
      </c>
      <c r="E21" s="102">
        <v>0</v>
      </c>
      <c r="F21" s="102">
        <v>0</v>
      </c>
      <c r="G21" s="102">
        <v>0</v>
      </c>
      <c r="H21" s="102">
        <v>0</v>
      </c>
      <c r="I21" s="102">
        <v>0</v>
      </c>
      <c r="J21" s="102">
        <v>0</v>
      </c>
      <c r="K21" s="102">
        <v>0</v>
      </c>
      <c r="L21" s="102">
        <v>0</v>
      </c>
      <c r="M21" s="102">
        <v>0</v>
      </c>
      <c r="N21" s="102">
        <v>0</v>
      </c>
      <c r="O21" s="102">
        <v>0</v>
      </c>
      <c r="P21" s="102">
        <v>12</v>
      </c>
      <c r="Q21" s="102">
        <v>12</v>
      </c>
      <c r="R21" s="102">
        <v>12</v>
      </c>
      <c r="S21" s="102">
        <v>12</v>
      </c>
      <c r="T21" s="102">
        <v>12</v>
      </c>
      <c r="U21" s="102">
        <v>12</v>
      </c>
      <c r="V21" s="102">
        <v>12</v>
      </c>
      <c r="W21" s="102">
        <v>12</v>
      </c>
      <c r="X21" s="102">
        <v>12</v>
      </c>
      <c r="Y21" s="102">
        <v>12</v>
      </c>
      <c r="Z21" s="102">
        <v>12</v>
      </c>
      <c r="AA21" s="102">
        <v>12</v>
      </c>
      <c r="AB21" s="102">
        <v>12</v>
      </c>
      <c r="AC21" s="102">
        <v>12</v>
      </c>
      <c r="AD21" s="102">
        <v>12</v>
      </c>
      <c r="AE21" s="102">
        <v>12</v>
      </c>
      <c r="AF21" s="102">
        <v>12</v>
      </c>
      <c r="AG21" s="130">
        <v>36</v>
      </c>
      <c r="AH21" s="12">
        <f t="shared" si="8"/>
        <v>12</v>
      </c>
      <c r="AI21" s="11">
        <f t="shared" si="9"/>
        <v>0</v>
      </c>
      <c r="AK21" s="19"/>
      <c r="AL21" s="135" t="s">
        <v>248</v>
      </c>
      <c r="AM21" s="134">
        <f t="shared" ref="AM21:AR21" si="16">B98</f>
        <v>300</v>
      </c>
      <c r="AN21" s="134">
        <f t="shared" si="16"/>
        <v>300</v>
      </c>
      <c r="AO21" s="134">
        <f t="shared" si="16"/>
        <v>250</v>
      </c>
      <c r="AP21" s="134">
        <f t="shared" si="16"/>
        <v>250</v>
      </c>
      <c r="AQ21" s="134">
        <f t="shared" si="16"/>
        <v>250</v>
      </c>
      <c r="AR21" s="134">
        <f t="shared" si="16"/>
        <v>250</v>
      </c>
      <c r="AS21" s="134">
        <f>I98</f>
        <v>200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50</v>
      </c>
      <c r="BF21" s="133">
        <f>Z98</f>
        <v>260</v>
      </c>
      <c r="BG21" s="133">
        <f>AB98</f>
        <v>250</v>
      </c>
      <c r="BH21" s="133">
        <f>AD98</f>
        <v>250</v>
      </c>
      <c r="BI21" s="133">
        <f>AE98</f>
        <v>251</v>
      </c>
      <c r="BJ21" s="133">
        <f>AF98</f>
        <v>250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25">
      <c r="A22" s="89" t="s">
        <v>247</v>
      </c>
      <c r="B22" s="102">
        <v>11.5</v>
      </c>
      <c r="C22" s="102">
        <v>11.5</v>
      </c>
      <c r="D22" s="102">
        <v>11.5</v>
      </c>
      <c r="E22" s="102">
        <v>11.5</v>
      </c>
      <c r="F22" s="102">
        <v>11.5</v>
      </c>
      <c r="G22" s="102">
        <v>11.5</v>
      </c>
      <c r="H22" s="102">
        <v>11.5</v>
      </c>
      <c r="I22" s="102">
        <v>11.5</v>
      </c>
      <c r="J22" s="102">
        <v>11.5</v>
      </c>
      <c r="K22" s="102">
        <v>11.5</v>
      </c>
      <c r="L22" s="102">
        <v>11.5</v>
      </c>
      <c r="M22" s="102">
        <v>11.5</v>
      </c>
      <c r="N22" s="102">
        <v>11.5</v>
      </c>
      <c r="O22" s="102">
        <v>11.5</v>
      </c>
      <c r="P22" s="102">
        <v>8.8000000000000007</v>
      </c>
      <c r="Q22" s="102">
        <v>8.8000000000000007</v>
      </c>
      <c r="R22" s="102">
        <v>8.8000000000000007</v>
      </c>
      <c r="S22" s="102">
        <v>8.8000000000000007</v>
      </c>
      <c r="T22" s="102">
        <v>8.8000000000000007</v>
      </c>
      <c r="U22" s="102">
        <v>8.8000000000000007</v>
      </c>
      <c r="V22" s="102">
        <v>8.8000000000000007</v>
      </c>
      <c r="W22" s="102">
        <v>8.8000000000000007</v>
      </c>
      <c r="X22" s="102">
        <v>8.8000000000000007</v>
      </c>
      <c r="Y22" s="102">
        <v>8.8000000000000007</v>
      </c>
      <c r="Z22" s="102">
        <v>8.8000000000000007</v>
      </c>
      <c r="AA22" s="102">
        <v>8.8000000000000007</v>
      </c>
      <c r="AB22" s="102">
        <v>8.8000000000000007</v>
      </c>
      <c r="AC22" s="102">
        <v>8.8000000000000007</v>
      </c>
      <c r="AD22" s="102">
        <v>8.8000000000000007</v>
      </c>
      <c r="AE22" s="102">
        <v>8.8000000000000007</v>
      </c>
      <c r="AF22" s="102">
        <v>8.8000000000000007</v>
      </c>
      <c r="AG22" s="88">
        <v>30</v>
      </c>
      <c r="AH22" s="12">
        <f t="shared" si="8"/>
        <v>11.5</v>
      </c>
      <c r="AI22" s="11">
        <f t="shared" si="9"/>
        <v>8.8000000000000007</v>
      </c>
      <c r="AK22" s="19"/>
      <c r="AL22" s="132" t="s">
        <v>246</v>
      </c>
      <c r="AM22" s="131">
        <f t="shared" ref="AM22:BJ22" si="18">SUM(AM16:AM21)</f>
        <v>1282.54</v>
      </c>
      <c r="AN22" s="131">
        <f t="shared" si="18"/>
        <v>1296.04</v>
      </c>
      <c r="AO22" s="131">
        <f t="shared" si="18"/>
        <v>1271.5400000000002</v>
      </c>
      <c r="AP22" s="131">
        <f t="shared" si="18"/>
        <v>1273.44</v>
      </c>
      <c r="AQ22" s="131">
        <f t="shared" si="18"/>
        <v>1237.04</v>
      </c>
      <c r="AR22" s="131">
        <f t="shared" si="18"/>
        <v>1266.94</v>
      </c>
      <c r="AS22" s="131">
        <f t="shared" si="18"/>
        <v>1366.8400000000001</v>
      </c>
      <c r="AT22" s="131">
        <f t="shared" si="18"/>
        <v>1545.3400000000001</v>
      </c>
      <c r="AU22" s="131">
        <f t="shared" si="18"/>
        <v>1592.6400000000003</v>
      </c>
      <c r="AV22" s="131">
        <f t="shared" si="18"/>
        <v>1544.74</v>
      </c>
      <c r="AW22" s="131">
        <f t="shared" si="18"/>
        <v>1594.0400000000002</v>
      </c>
      <c r="AX22" s="131">
        <f t="shared" si="18"/>
        <v>1689.8400000000001</v>
      </c>
      <c r="AY22" s="131">
        <f t="shared" si="18"/>
        <v>1637.94</v>
      </c>
      <c r="AZ22" s="131">
        <f t="shared" si="18"/>
        <v>1648.34</v>
      </c>
      <c r="BA22" s="131">
        <f t="shared" si="18"/>
        <v>1708.04</v>
      </c>
      <c r="BB22" s="131">
        <f t="shared" si="18"/>
        <v>1705.74</v>
      </c>
      <c r="BC22" s="131">
        <f t="shared" si="18"/>
        <v>1679.3400000000001</v>
      </c>
      <c r="BD22" s="131">
        <f t="shared" si="18"/>
        <v>1575.5400000000002</v>
      </c>
      <c r="BE22" s="131">
        <f t="shared" si="18"/>
        <v>1520.74</v>
      </c>
      <c r="BF22" s="131">
        <f t="shared" si="18"/>
        <v>1779.7</v>
      </c>
      <c r="BG22" s="131">
        <f t="shared" si="18"/>
        <v>1707.14</v>
      </c>
      <c r="BH22" s="131">
        <f t="shared" si="18"/>
        <v>1651.14</v>
      </c>
      <c r="BI22" s="131">
        <f t="shared" si="18"/>
        <v>1592.8400000000001</v>
      </c>
      <c r="BJ22" s="131">
        <f t="shared" si="18"/>
        <v>1623.8400000000001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25">
      <c r="A23" s="89" t="s">
        <v>245</v>
      </c>
      <c r="B23" s="102">
        <v>7</v>
      </c>
      <c r="C23" s="102">
        <v>7</v>
      </c>
      <c r="D23" s="102">
        <v>7</v>
      </c>
      <c r="E23" s="102">
        <v>7</v>
      </c>
      <c r="F23" s="102">
        <v>7</v>
      </c>
      <c r="G23" s="102">
        <v>7</v>
      </c>
      <c r="H23" s="102">
        <v>7</v>
      </c>
      <c r="I23" s="102">
        <v>7</v>
      </c>
      <c r="J23" s="102">
        <v>7</v>
      </c>
      <c r="K23" s="102">
        <v>7</v>
      </c>
      <c r="L23" s="102">
        <v>7</v>
      </c>
      <c r="M23" s="102">
        <v>7</v>
      </c>
      <c r="N23" s="102">
        <v>7</v>
      </c>
      <c r="O23" s="102">
        <v>7</v>
      </c>
      <c r="P23" s="102">
        <v>7</v>
      </c>
      <c r="Q23" s="102">
        <v>7</v>
      </c>
      <c r="R23" s="102">
        <v>7</v>
      </c>
      <c r="S23" s="102">
        <v>8</v>
      </c>
      <c r="T23" s="102">
        <v>8</v>
      </c>
      <c r="U23" s="102">
        <v>8</v>
      </c>
      <c r="V23" s="102">
        <v>8</v>
      </c>
      <c r="W23" s="102">
        <v>8</v>
      </c>
      <c r="X23" s="102">
        <v>8</v>
      </c>
      <c r="Y23" s="102">
        <v>8</v>
      </c>
      <c r="Z23" s="102">
        <v>8</v>
      </c>
      <c r="AA23" s="102">
        <v>8</v>
      </c>
      <c r="AB23" s="102">
        <v>8</v>
      </c>
      <c r="AC23" s="102">
        <v>8</v>
      </c>
      <c r="AD23" s="102">
        <v>8</v>
      </c>
      <c r="AE23" s="102">
        <v>8</v>
      </c>
      <c r="AF23" s="102">
        <v>8</v>
      </c>
      <c r="AG23" s="130">
        <v>24.2</v>
      </c>
      <c r="AH23" s="12">
        <f t="shared" si="8"/>
        <v>8</v>
      </c>
      <c r="AI23" s="11">
        <f t="shared" si="9"/>
        <v>7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-1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-1</v>
      </c>
      <c r="BH23" s="131">
        <f>AD107*-1</f>
        <v>0</v>
      </c>
      <c r="BI23" s="131">
        <f>AE107*-1</f>
        <v>-1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25">
      <c r="A24" s="89" t="s">
        <v>244</v>
      </c>
      <c r="B24" s="102">
        <v>6.2</v>
      </c>
      <c r="C24" s="102">
        <v>6.2</v>
      </c>
      <c r="D24" s="102">
        <v>6.2</v>
      </c>
      <c r="E24" s="102">
        <v>6.2</v>
      </c>
      <c r="F24" s="102">
        <v>6.2</v>
      </c>
      <c r="G24" s="102">
        <v>6.2</v>
      </c>
      <c r="H24" s="102">
        <v>6.2</v>
      </c>
      <c r="I24" s="102">
        <v>6.2</v>
      </c>
      <c r="J24" s="102">
        <v>6.2</v>
      </c>
      <c r="K24" s="102">
        <v>6.2</v>
      </c>
      <c r="L24" s="102">
        <v>6.2</v>
      </c>
      <c r="M24" s="102">
        <v>6.2</v>
      </c>
      <c r="N24" s="102">
        <v>6.2</v>
      </c>
      <c r="O24" s="102">
        <v>6.2</v>
      </c>
      <c r="P24" s="102">
        <v>8.1999999999999993</v>
      </c>
      <c r="Q24" s="102">
        <v>8.1999999999999993</v>
      </c>
      <c r="R24" s="102">
        <v>8.1999999999999993</v>
      </c>
      <c r="S24" s="102">
        <v>8.5</v>
      </c>
      <c r="T24" s="102">
        <v>8.5</v>
      </c>
      <c r="U24" s="102">
        <v>8.5</v>
      </c>
      <c r="V24" s="102">
        <v>8.5</v>
      </c>
      <c r="W24" s="102">
        <v>8.5</v>
      </c>
      <c r="X24" s="102">
        <v>8.5</v>
      </c>
      <c r="Y24" s="102">
        <v>8.5</v>
      </c>
      <c r="Z24" s="102">
        <v>8.5</v>
      </c>
      <c r="AA24" s="102">
        <v>8.5</v>
      </c>
      <c r="AB24" s="102">
        <v>8.5</v>
      </c>
      <c r="AC24" s="102">
        <v>8.5</v>
      </c>
      <c r="AD24" s="102">
        <v>8.5</v>
      </c>
      <c r="AE24" s="102">
        <v>8.5</v>
      </c>
      <c r="AF24" s="102">
        <v>8.5</v>
      </c>
      <c r="AG24" s="130">
        <v>28</v>
      </c>
      <c r="AH24" s="12">
        <f t="shared" si="8"/>
        <v>8.5</v>
      </c>
      <c r="AI24" s="11">
        <f t="shared" si="9"/>
        <v>6.2</v>
      </c>
      <c r="AK24" s="19"/>
      <c r="AL24" s="132" t="s">
        <v>243</v>
      </c>
      <c r="AM24" s="131">
        <f t="shared" ref="AM24:BJ24" si="21">AM22+AM23</f>
        <v>1282.54</v>
      </c>
      <c r="AN24" s="131">
        <f t="shared" si="21"/>
        <v>1295.04</v>
      </c>
      <c r="AO24" s="131">
        <f t="shared" si="21"/>
        <v>1271.5400000000002</v>
      </c>
      <c r="AP24" s="131">
        <f t="shared" si="21"/>
        <v>1273.44</v>
      </c>
      <c r="AQ24" s="131">
        <f t="shared" si="21"/>
        <v>1237.04</v>
      </c>
      <c r="AR24" s="131">
        <f t="shared" si="21"/>
        <v>1266.94</v>
      </c>
      <c r="AS24" s="131">
        <f t="shared" si="21"/>
        <v>1366.8400000000001</v>
      </c>
      <c r="AT24" s="131">
        <f t="shared" si="21"/>
        <v>1545.3400000000001</v>
      </c>
      <c r="AU24" s="131">
        <f t="shared" si="21"/>
        <v>1592.6400000000003</v>
      </c>
      <c r="AV24" s="131">
        <f t="shared" si="21"/>
        <v>1544.74</v>
      </c>
      <c r="AW24" s="131">
        <f t="shared" si="21"/>
        <v>1594.0400000000002</v>
      </c>
      <c r="AX24" s="131">
        <f t="shared" si="21"/>
        <v>1689.8400000000001</v>
      </c>
      <c r="AY24" s="131">
        <f t="shared" si="21"/>
        <v>1637.94</v>
      </c>
      <c r="AZ24" s="131">
        <f t="shared" si="21"/>
        <v>1648.34</v>
      </c>
      <c r="BA24" s="131">
        <f t="shared" si="21"/>
        <v>1708.04</v>
      </c>
      <c r="BB24" s="131">
        <f t="shared" si="21"/>
        <v>1705.74</v>
      </c>
      <c r="BC24" s="131">
        <f t="shared" si="21"/>
        <v>1679.3400000000001</v>
      </c>
      <c r="BD24" s="131">
        <f t="shared" si="21"/>
        <v>1575.5400000000002</v>
      </c>
      <c r="BE24" s="131">
        <f t="shared" si="21"/>
        <v>1520.74</v>
      </c>
      <c r="BF24" s="131">
        <f t="shared" si="21"/>
        <v>1779.7</v>
      </c>
      <c r="BG24" s="131">
        <f t="shared" si="21"/>
        <v>1706.14</v>
      </c>
      <c r="BH24" s="131">
        <f t="shared" si="21"/>
        <v>1651.14</v>
      </c>
      <c r="BI24" s="131">
        <f t="shared" si="21"/>
        <v>1591.8400000000001</v>
      </c>
      <c r="BJ24" s="131">
        <f t="shared" si="21"/>
        <v>1623.8400000000001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25">
      <c r="A25" s="89" t="s">
        <v>242</v>
      </c>
      <c r="B25" s="102">
        <v>9</v>
      </c>
      <c r="C25" s="102">
        <v>9</v>
      </c>
      <c r="D25" s="102">
        <v>9</v>
      </c>
      <c r="E25" s="102">
        <v>9</v>
      </c>
      <c r="F25" s="102">
        <v>9</v>
      </c>
      <c r="G25" s="102">
        <v>9</v>
      </c>
      <c r="H25" s="102">
        <v>9</v>
      </c>
      <c r="I25" s="102">
        <v>9</v>
      </c>
      <c r="J25" s="102">
        <v>9</v>
      </c>
      <c r="K25" s="102">
        <v>9</v>
      </c>
      <c r="L25" s="102">
        <v>9</v>
      </c>
      <c r="M25" s="102">
        <v>9</v>
      </c>
      <c r="N25" s="102">
        <v>9</v>
      </c>
      <c r="O25" s="102">
        <v>9</v>
      </c>
      <c r="P25" s="102">
        <v>6.3</v>
      </c>
      <c r="Q25" s="102">
        <v>6.3</v>
      </c>
      <c r="R25" s="102">
        <v>6.3</v>
      </c>
      <c r="S25" s="102">
        <v>5.8</v>
      </c>
      <c r="T25" s="102">
        <v>5.8</v>
      </c>
      <c r="U25" s="102">
        <v>5.8</v>
      </c>
      <c r="V25" s="102">
        <v>7.7</v>
      </c>
      <c r="W25" s="102">
        <v>7.7</v>
      </c>
      <c r="X25" s="102">
        <v>7.7</v>
      </c>
      <c r="Y25" s="102">
        <v>6.5</v>
      </c>
      <c r="Z25" s="102">
        <v>6.5</v>
      </c>
      <c r="AA25" s="102">
        <v>6.5</v>
      </c>
      <c r="AB25" s="102">
        <v>6.5</v>
      </c>
      <c r="AC25" s="102">
        <v>6.5</v>
      </c>
      <c r="AD25" s="102">
        <v>6.5</v>
      </c>
      <c r="AE25" s="102">
        <v>6.5</v>
      </c>
      <c r="AF25" s="102">
        <v>6.5</v>
      </c>
      <c r="AG25" s="88">
        <v>30</v>
      </c>
      <c r="AH25" s="12">
        <f t="shared" si="8"/>
        <v>9</v>
      </c>
      <c r="AI25" s="11">
        <f t="shared" si="9"/>
        <v>5.8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25">
      <c r="A26" s="89" t="s">
        <v>241</v>
      </c>
      <c r="B26" s="102">
        <v>11.3</v>
      </c>
      <c r="C26" s="102">
        <v>11.3</v>
      </c>
      <c r="D26" s="102">
        <v>11.3</v>
      </c>
      <c r="E26" s="102">
        <v>11.3</v>
      </c>
      <c r="F26" s="102">
        <v>11.3</v>
      </c>
      <c r="G26" s="102">
        <v>11.3</v>
      </c>
      <c r="H26" s="102">
        <v>11.3</v>
      </c>
      <c r="I26" s="102">
        <v>11.3</v>
      </c>
      <c r="J26" s="102">
        <v>11.3</v>
      </c>
      <c r="K26" s="102">
        <v>11.3</v>
      </c>
      <c r="L26" s="102">
        <v>11.3</v>
      </c>
      <c r="M26" s="102">
        <v>11.3</v>
      </c>
      <c r="N26" s="102">
        <v>11.3</v>
      </c>
      <c r="O26" s="102">
        <v>11.3</v>
      </c>
      <c r="P26" s="102">
        <v>10.9</v>
      </c>
      <c r="Q26" s="102">
        <v>10.9</v>
      </c>
      <c r="R26" s="102">
        <v>10.9</v>
      </c>
      <c r="S26" s="102">
        <v>10.6</v>
      </c>
      <c r="T26" s="102">
        <v>10.6</v>
      </c>
      <c r="U26" s="102">
        <v>10.6</v>
      </c>
      <c r="V26" s="102">
        <v>9.6</v>
      </c>
      <c r="W26" s="102">
        <v>9.6</v>
      </c>
      <c r="X26" s="102">
        <v>9.6</v>
      </c>
      <c r="Y26" s="102">
        <v>9.6</v>
      </c>
      <c r="Z26" s="102">
        <v>9.6</v>
      </c>
      <c r="AA26" s="102">
        <v>9.6</v>
      </c>
      <c r="AB26" s="102">
        <v>9.6</v>
      </c>
      <c r="AC26" s="102">
        <v>9.6</v>
      </c>
      <c r="AD26" s="102">
        <v>9.6</v>
      </c>
      <c r="AE26" s="102">
        <v>9.6</v>
      </c>
      <c r="AF26" s="102">
        <v>9.6</v>
      </c>
      <c r="AG26" s="130">
        <v>25</v>
      </c>
      <c r="AH26" s="12">
        <f t="shared" si="8"/>
        <v>11.3</v>
      </c>
      <c r="AI26" s="11">
        <f t="shared" si="9"/>
        <v>9.6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25">
      <c r="A27" s="89" t="s">
        <v>240</v>
      </c>
      <c r="B27" s="102">
        <v>8</v>
      </c>
      <c r="C27" s="102">
        <v>8</v>
      </c>
      <c r="D27" s="102">
        <v>8</v>
      </c>
      <c r="E27" s="102">
        <v>8</v>
      </c>
      <c r="F27" s="102">
        <v>8</v>
      </c>
      <c r="G27" s="102">
        <v>8</v>
      </c>
      <c r="H27" s="102">
        <v>8</v>
      </c>
      <c r="I27" s="102">
        <v>8</v>
      </c>
      <c r="J27" s="102">
        <v>8</v>
      </c>
      <c r="K27" s="102">
        <v>8</v>
      </c>
      <c r="L27" s="102">
        <v>8</v>
      </c>
      <c r="M27" s="102">
        <v>8</v>
      </c>
      <c r="N27" s="102">
        <v>8</v>
      </c>
      <c r="O27" s="102">
        <v>8</v>
      </c>
      <c r="P27" s="102">
        <v>8</v>
      </c>
      <c r="Q27" s="102">
        <v>8</v>
      </c>
      <c r="R27" s="102">
        <v>8</v>
      </c>
      <c r="S27" s="102">
        <v>5</v>
      </c>
      <c r="T27" s="102">
        <v>5</v>
      </c>
      <c r="U27" s="102">
        <v>5</v>
      </c>
      <c r="V27" s="102">
        <v>5</v>
      </c>
      <c r="W27" s="102">
        <v>5</v>
      </c>
      <c r="X27" s="102">
        <v>5</v>
      </c>
      <c r="Y27" s="102">
        <v>5</v>
      </c>
      <c r="Z27" s="102">
        <v>5</v>
      </c>
      <c r="AA27" s="102">
        <v>5</v>
      </c>
      <c r="AB27" s="102">
        <v>5</v>
      </c>
      <c r="AC27" s="102">
        <v>5</v>
      </c>
      <c r="AD27" s="102">
        <v>5</v>
      </c>
      <c r="AE27" s="102">
        <v>5</v>
      </c>
      <c r="AF27" s="102">
        <v>5</v>
      </c>
      <c r="AG27" s="130">
        <v>25</v>
      </c>
      <c r="AH27" s="12">
        <f t="shared" si="8"/>
        <v>8</v>
      </c>
      <c r="AI27" s="11">
        <f t="shared" si="9"/>
        <v>5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25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25">
      <c r="A29" s="89" t="s">
        <v>238</v>
      </c>
      <c r="B29" s="102">
        <v>0</v>
      </c>
      <c r="C29" s="102">
        <v>11.9</v>
      </c>
      <c r="D29" s="102">
        <v>11.9</v>
      </c>
      <c r="E29" s="102">
        <v>11.9</v>
      </c>
      <c r="F29" s="102">
        <v>11.9</v>
      </c>
      <c r="G29" s="102">
        <v>11.9</v>
      </c>
      <c r="H29" s="102">
        <v>11.9</v>
      </c>
      <c r="I29" s="102">
        <v>11.9</v>
      </c>
      <c r="J29" s="102">
        <v>11.9</v>
      </c>
      <c r="K29" s="102">
        <v>11.9</v>
      </c>
      <c r="L29" s="102">
        <v>11.9</v>
      </c>
      <c r="M29" s="102">
        <v>11.9</v>
      </c>
      <c r="N29" s="102">
        <v>11.9</v>
      </c>
      <c r="O29" s="102">
        <v>11.9</v>
      </c>
      <c r="P29" s="102">
        <v>8.5</v>
      </c>
      <c r="Q29" s="102">
        <v>8.5</v>
      </c>
      <c r="R29" s="102">
        <v>8.5</v>
      </c>
      <c r="S29" s="102">
        <v>8.3000000000000007</v>
      </c>
      <c r="T29" s="102">
        <v>8.3000000000000007</v>
      </c>
      <c r="U29" s="102">
        <v>8.3000000000000007</v>
      </c>
      <c r="V29" s="102">
        <v>8.3000000000000007</v>
      </c>
      <c r="W29" s="102">
        <v>8.3000000000000007</v>
      </c>
      <c r="X29" s="102">
        <v>8.3000000000000007</v>
      </c>
      <c r="Y29" s="102">
        <v>8</v>
      </c>
      <c r="Z29" s="102">
        <v>8</v>
      </c>
      <c r="AA29" s="102">
        <v>8</v>
      </c>
      <c r="AB29" s="102">
        <v>8</v>
      </c>
      <c r="AC29" s="102">
        <v>8</v>
      </c>
      <c r="AD29" s="102">
        <v>8</v>
      </c>
      <c r="AE29" s="102">
        <v>8</v>
      </c>
      <c r="AF29" s="102">
        <v>8</v>
      </c>
      <c r="AG29" s="130">
        <v>25</v>
      </c>
      <c r="AH29" s="12">
        <f t="shared" si="8"/>
        <v>11.9</v>
      </c>
      <c r="AI29" s="11">
        <f t="shared" si="9"/>
        <v>0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25">
      <c r="A30" s="89" t="s">
        <v>237</v>
      </c>
      <c r="B30" s="102">
        <v>5.0999999999999996</v>
      </c>
      <c r="C30" s="102">
        <v>5.0999999999999996</v>
      </c>
      <c r="D30" s="102">
        <v>5.0999999999999996</v>
      </c>
      <c r="E30" s="102">
        <v>5.0999999999999996</v>
      </c>
      <c r="F30" s="102">
        <v>5.0999999999999996</v>
      </c>
      <c r="G30" s="102">
        <v>5.0999999999999996</v>
      </c>
      <c r="H30" s="102">
        <v>5.0999999999999996</v>
      </c>
      <c r="I30" s="102">
        <v>5.0999999999999996</v>
      </c>
      <c r="J30" s="102">
        <v>5.0999999999999996</v>
      </c>
      <c r="K30" s="102">
        <v>5.0999999999999996</v>
      </c>
      <c r="L30" s="102">
        <v>5.0999999999999996</v>
      </c>
      <c r="M30" s="102">
        <v>5.0999999999999996</v>
      </c>
      <c r="N30" s="102">
        <v>5.0999999999999996</v>
      </c>
      <c r="O30" s="102">
        <v>5.0999999999999996</v>
      </c>
      <c r="P30" s="102">
        <v>6.5</v>
      </c>
      <c r="Q30" s="102">
        <v>6.5</v>
      </c>
      <c r="R30" s="102">
        <v>6.5</v>
      </c>
      <c r="S30" s="102">
        <v>6</v>
      </c>
      <c r="T30" s="102">
        <v>6</v>
      </c>
      <c r="U30" s="102">
        <v>6</v>
      </c>
      <c r="V30" s="102">
        <v>6</v>
      </c>
      <c r="W30" s="102">
        <v>6</v>
      </c>
      <c r="X30" s="102">
        <v>6</v>
      </c>
      <c r="Y30" s="102">
        <v>6</v>
      </c>
      <c r="Z30" s="102">
        <v>6</v>
      </c>
      <c r="AA30" s="102">
        <v>6</v>
      </c>
      <c r="AB30" s="102">
        <v>6</v>
      </c>
      <c r="AC30" s="102">
        <v>6</v>
      </c>
      <c r="AD30" s="102">
        <v>6</v>
      </c>
      <c r="AE30" s="102">
        <v>6</v>
      </c>
      <c r="AF30" s="102">
        <v>6</v>
      </c>
      <c r="AG30" s="130">
        <v>23.5</v>
      </c>
      <c r="AH30" s="12">
        <f t="shared" si="8"/>
        <v>6.5</v>
      </c>
      <c r="AI30" s="11">
        <f t="shared" si="9"/>
        <v>5.0999999999999996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25">
      <c r="A31" s="89" t="s">
        <v>236</v>
      </c>
      <c r="B31" s="102">
        <v>2.2999999999999998</v>
      </c>
      <c r="C31" s="102">
        <v>2.2999999999999998</v>
      </c>
      <c r="D31" s="102">
        <v>2.2999999999999998</v>
      </c>
      <c r="E31" s="102">
        <v>2.2999999999999998</v>
      </c>
      <c r="F31" s="102">
        <v>2.2999999999999998</v>
      </c>
      <c r="G31" s="102">
        <v>2.2999999999999998</v>
      </c>
      <c r="H31" s="102">
        <v>2.2999999999999998</v>
      </c>
      <c r="I31" s="102">
        <v>2.2999999999999998</v>
      </c>
      <c r="J31" s="102">
        <v>2.2999999999999998</v>
      </c>
      <c r="K31" s="102">
        <v>2.2999999999999998</v>
      </c>
      <c r="L31" s="102">
        <v>2.2999999999999998</v>
      </c>
      <c r="M31" s="102">
        <v>2.2999999999999998</v>
      </c>
      <c r="N31" s="102">
        <v>2.2999999999999998</v>
      </c>
      <c r="O31" s="102">
        <v>2.2999999999999998</v>
      </c>
      <c r="P31" s="102">
        <v>2.2999999999999998</v>
      </c>
      <c r="Q31" s="102">
        <v>2.2999999999999998</v>
      </c>
      <c r="R31" s="102">
        <v>2.2999999999999998</v>
      </c>
      <c r="S31" s="102">
        <v>2.2999999999999998</v>
      </c>
      <c r="T31" s="102">
        <v>2.2999999999999998</v>
      </c>
      <c r="U31" s="102">
        <v>2.2999999999999998</v>
      </c>
      <c r="V31" s="102">
        <v>2.2999999999999998</v>
      </c>
      <c r="W31" s="102">
        <v>2.2999999999999998</v>
      </c>
      <c r="X31" s="102">
        <v>2.2999999999999998</v>
      </c>
      <c r="Y31" s="102">
        <v>2.2999999999999998</v>
      </c>
      <c r="Z31" s="102">
        <v>2.2999999999999998</v>
      </c>
      <c r="AA31" s="102">
        <v>2.2999999999999998</v>
      </c>
      <c r="AB31" s="102">
        <v>2.2999999999999998</v>
      </c>
      <c r="AC31" s="102">
        <v>2.2999999999999998</v>
      </c>
      <c r="AD31" s="102">
        <v>2.2999999999999998</v>
      </c>
      <c r="AE31" s="102">
        <v>2.2999999999999998</v>
      </c>
      <c r="AF31" s="102">
        <v>2.2999999999999998</v>
      </c>
      <c r="AG31" s="130">
        <v>22.2</v>
      </c>
      <c r="AH31" s="12">
        <f t="shared" si="8"/>
        <v>2.2999999999999998</v>
      </c>
      <c r="AI31" s="11">
        <f t="shared" si="9"/>
        <v>2.2999999999999998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25">
      <c r="A32" s="89" t="s">
        <v>235</v>
      </c>
      <c r="B32" s="102">
        <v>3</v>
      </c>
      <c r="C32" s="102">
        <v>3</v>
      </c>
      <c r="D32" s="102">
        <v>3</v>
      </c>
      <c r="E32" s="102">
        <v>3</v>
      </c>
      <c r="F32" s="102">
        <v>3</v>
      </c>
      <c r="G32" s="102">
        <v>3</v>
      </c>
      <c r="H32" s="102">
        <v>3</v>
      </c>
      <c r="I32" s="102">
        <v>3</v>
      </c>
      <c r="J32" s="102">
        <v>3</v>
      </c>
      <c r="K32" s="102">
        <v>3</v>
      </c>
      <c r="L32" s="102">
        <v>3</v>
      </c>
      <c r="M32" s="102">
        <v>3</v>
      </c>
      <c r="N32" s="102">
        <v>3</v>
      </c>
      <c r="O32" s="102">
        <v>3</v>
      </c>
      <c r="P32" s="102">
        <v>3</v>
      </c>
      <c r="Q32" s="102">
        <v>3</v>
      </c>
      <c r="R32" s="102">
        <v>3</v>
      </c>
      <c r="S32" s="102">
        <v>3</v>
      </c>
      <c r="T32" s="102">
        <v>3</v>
      </c>
      <c r="U32" s="102">
        <v>3</v>
      </c>
      <c r="V32" s="102">
        <v>3</v>
      </c>
      <c r="W32" s="102">
        <v>3</v>
      </c>
      <c r="X32" s="102">
        <v>3</v>
      </c>
      <c r="Y32" s="102">
        <v>3</v>
      </c>
      <c r="Z32" s="102">
        <v>3</v>
      </c>
      <c r="AA32" s="102">
        <v>3</v>
      </c>
      <c r="AB32" s="102">
        <v>3</v>
      </c>
      <c r="AC32" s="102">
        <v>3</v>
      </c>
      <c r="AD32" s="102">
        <v>3</v>
      </c>
      <c r="AE32" s="102">
        <v>3</v>
      </c>
      <c r="AF32" s="102">
        <v>3</v>
      </c>
      <c r="AG32" s="130">
        <v>22.1</v>
      </c>
      <c r="AH32" s="12">
        <f t="shared" si="8"/>
        <v>3</v>
      </c>
      <c r="AI32" s="11">
        <f t="shared" si="9"/>
        <v>3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25">
      <c r="A33" s="89" t="s">
        <v>234</v>
      </c>
      <c r="B33" s="102">
        <v>5.3</v>
      </c>
      <c r="C33" s="102">
        <v>5.3</v>
      </c>
      <c r="D33" s="102">
        <v>5.3</v>
      </c>
      <c r="E33" s="102">
        <v>5.3</v>
      </c>
      <c r="F33" s="102">
        <v>5.3</v>
      </c>
      <c r="G33" s="102">
        <v>5.3</v>
      </c>
      <c r="H33" s="102">
        <v>5.3</v>
      </c>
      <c r="I33" s="102">
        <v>5.3</v>
      </c>
      <c r="J33" s="102">
        <v>5.3</v>
      </c>
      <c r="K33" s="102">
        <v>5.3</v>
      </c>
      <c r="L33" s="102">
        <v>5.3</v>
      </c>
      <c r="M33" s="102">
        <v>5.3</v>
      </c>
      <c r="N33" s="102">
        <v>5.3</v>
      </c>
      <c r="O33" s="102">
        <v>5.3</v>
      </c>
      <c r="P33" s="102">
        <v>5.3</v>
      </c>
      <c r="Q33" s="102">
        <v>5.3</v>
      </c>
      <c r="R33" s="102">
        <v>5.3</v>
      </c>
      <c r="S33" s="102">
        <v>5.4</v>
      </c>
      <c r="T33" s="102">
        <v>5.4</v>
      </c>
      <c r="U33" s="102">
        <v>5.4</v>
      </c>
      <c r="V33" s="102">
        <v>5.4</v>
      </c>
      <c r="W33" s="102">
        <v>5.4</v>
      </c>
      <c r="X33" s="102">
        <v>5.4</v>
      </c>
      <c r="Y33" s="102">
        <v>5.4</v>
      </c>
      <c r="Z33" s="102">
        <v>5.4</v>
      </c>
      <c r="AA33" s="102">
        <v>5.4</v>
      </c>
      <c r="AB33" s="102">
        <v>5.4</v>
      </c>
      <c r="AC33" s="102">
        <v>5.4</v>
      </c>
      <c r="AD33" s="102">
        <v>5.4</v>
      </c>
      <c r="AE33" s="102">
        <v>5.4</v>
      </c>
      <c r="AF33" s="102">
        <v>5.4</v>
      </c>
      <c r="AG33" s="130">
        <v>22</v>
      </c>
      <c r="AH33" s="12">
        <f t="shared" si="8"/>
        <v>5.4</v>
      </c>
      <c r="AI33" s="11">
        <f t="shared" si="9"/>
        <v>5.3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25">
      <c r="A34" s="89" t="s">
        <v>233</v>
      </c>
      <c r="B34" s="102">
        <v>8.5</v>
      </c>
      <c r="C34" s="102">
        <v>8.5</v>
      </c>
      <c r="D34" s="102">
        <v>8.5</v>
      </c>
      <c r="E34" s="102">
        <v>8.5</v>
      </c>
      <c r="F34" s="102">
        <v>8.5</v>
      </c>
      <c r="G34" s="102">
        <v>8.5</v>
      </c>
      <c r="H34" s="102">
        <v>8.5</v>
      </c>
      <c r="I34" s="102">
        <v>8.5</v>
      </c>
      <c r="J34" s="102">
        <v>8.5</v>
      </c>
      <c r="K34" s="102">
        <v>8.5</v>
      </c>
      <c r="L34" s="102">
        <v>8.5</v>
      </c>
      <c r="M34" s="102">
        <v>8.5</v>
      </c>
      <c r="N34" s="102">
        <v>8.5</v>
      </c>
      <c r="O34" s="102">
        <v>8.5</v>
      </c>
      <c r="P34" s="102">
        <v>7.4</v>
      </c>
      <c r="Q34" s="102">
        <v>7.4</v>
      </c>
      <c r="R34" s="102">
        <v>7.4</v>
      </c>
      <c r="S34" s="102">
        <v>22.1</v>
      </c>
      <c r="T34" s="102">
        <v>22.1</v>
      </c>
      <c r="U34" s="102">
        <v>22.1</v>
      </c>
      <c r="V34" s="102">
        <v>17.7</v>
      </c>
      <c r="W34" s="102">
        <v>17.7</v>
      </c>
      <c r="X34" s="102">
        <v>17.7</v>
      </c>
      <c r="Y34" s="102">
        <v>17.7</v>
      </c>
      <c r="Z34" s="102">
        <v>17.7</v>
      </c>
      <c r="AA34" s="102">
        <v>17.7</v>
      </c>
      <c r="AB34" s="102">
        <v>17.7</v>
      </c>
      <c r="AC34" s="102">
        <v>17.7</v>
      </c>
      <c r="AD34" s="102">
        <v>17.7</v>
      </c>
      <c r="AE34" s="102">
        <v>17.7</v>
      </c>
      <c r="AF34" s="102">
        <v>17.7</v>
      </c>
      <c r="AG34" s="130">
        <v>22</v>
      </c>
      <c r="AH34" s="12">
        <f t="shared" si="8"/>
        <v>22.1</v>
      </c>
      <c r="AI34" s="11">
        <f t="shared" si="9"/>
        <v>7.4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25">
      <c r="A35" s="89" t="s">
        <v>232</v>
      </c>
      <c r="B35" s="102">
        <v>7.4</v>
      </c>
      <c r="C35" s="102">
        <v>7.4</v>
      </c>
      <c r="D35" s="102">
        <v>7.4</v>
      </c>
      <c r="E35" s="102">
        <v>7.4</v>
      </c>
      <c r="F35" s="102">
        <v>7.4</v>
      </c>
      <c r="G35" s="102">
        <v>7.4</v>
      </c>
      <c r="H35" s="102">
        <v>7.4</v>
      </c>
      <c r="I35" s="102">
        <v>7.4</v>
      </c>
      <c r="J35" s="102">
        <v>7.4</v>
      </c>
      <c r="K35" s="102">
        <v>7.4</v>
      </c>
      <c r="L35" s="102">
        <v>7.4</v>
      </c>
      <c r="M35" s="102">
        <v>7.4</v>
      </c>
      <c r="N35" s="102">
        <v>7.4</v>
      </c>
      <c r="O35" s="102">
        <v>7.4</v>
      </c>
      <c r="P35" s="102">
        <v>7.6</v>
      </c>
      <c r="Q35" s="102">
        <v>7.6</v>
      </c>
      <c r="R35" s="102">
        <v>7.6</v>
      </c>
      <c r="S35" s="102">
        <v>5.4</v>
      </c>
      <c r="T35" s="102">
        <v>5.4</v>
      </c>
      <c r="U35" s="102">
        <v>5.4</v>
      </c>
      <c r="V35" s="102">
        <v>7.1</v>
      </c>
      <c r="W35" s="102">
        <v>7.1</v>
      </c>
      <c r="X35" s="102">
        <v>7.1</v>
      </c>
      <c r="Y35" s="102">
        <v>7.1</v>
      </c>
      <c r="Z35" s="102">
        <v>7.1</v>
      </c>
      <c r="AA35" s="102">
        <v>7.1</v>
      </c>
      <c r="AB35" s="102">
        <v>7.1</v>
      </c>
      <c r="AC35" s="102">
        <v>7.1</v>
      </c>
      <c r="AD35" s="102">
        <v>7.1</v>
      </c>
      <c r="AE35" s="102">
        <v>7.1</v>
      </c>
      <c r="AF35" s="102">
        <v>7.1</v>
      </c>
      <c r="AG35" s="130">
        <v>20</v>
      </c>
      <c r="AH35" s="12">
        <f t="shared" si="8"/>
        <v>7.6</v>
      </c>
      <c r="AI35" s="11">
        <f t="shared" si="9"/>
        <v>5.4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25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25">
      <c r="A37" s="89" t="s">
        <v>230</v>
      </c>
      <c r="B37" s="102">
        <v>5.8</v>
      </c>
      <c r="C37" s="102">
        <v>5.8</v>
      </c>
      <c r="D37" s="102">
        <v>5.8</v>
      </c>
      <c r="E37" s="102">
        <v>5.8</v>
      </c>
      <c r="F37" s="102">
        <v>5.8</v>
      </c>
      <c r="G37" s="102">
        <v>5.8</v>
      </c>
      <c r="H37" s="102">
        <v>5.8</v>
      </c>
      <c r="I37" s="102">
        <v>5.8</v>
      </c>
      <c r="J37" s="102">
        <v>5.8</v>
      </c>
      <c r="K37" s="102">
        <v>5.8</v>
      </c>
      <c r="L37" s="102">
        <v>5.8</v>
      </c>
      <c r="M37" s="102">
        <v>5.8</v>
      </c>
      <c r="N37" s="102">
        <v>5.8</v>
      </c>
      <c r="O37" s="102">
        <v>5.8</v>
      </c>
      <c r="P37" s="102">
        <v>5.8</v>
      </c>
      <c r="Q37" s="102">
        <v>5.8</v>
      </c>
      <c r="R37" s="102">
        <v>5.8</v>
      </c>
      <c r="S37" s="102">
        <v>5.8</v>
      </c>
      <c r="T37" s="102">
        <v>5.8</v>
      </c>
      <c r="U37" s="102">
        <v>5.8</v>
      </c>
      <c r="V37" s="102">
        <v>5.8</v>
      </c>
      <c r="W37" s="102">
        <v>5.8</v>
      </c>
      <c r="X37" s="102">
        <v>5.8</v>
      </c>
      <c r="Y37" s="102">
        <v>5.8</v>
      </c>
      <c r="Z37" s="102">
        <v>5.8</v>
      </c>
      <c r="AA37" s="102">
        <v>5.8</v>
      </c>
      <c r="AB37" s="102">
        <v>5.8</v>
      </c>
      <c r="AC37" s="102">
        <v>5.8</v>
      </c>
      <c r="AD37" s="102">
        <v>5.8</v>
      </c>
      <c r="AE37" s="102">
        <v>5.8</v>
      </c>
      <c r="AF37" s="102">
        <v>5.8</v>
      </c>
      <c r="AG37" s="130">
        <v>18</v>
      </c>
      <c r="AH37" s="12">
        <f t="shared" si="8"/>
        <v>5.8</v>
      </c>
      <c r="AI37" s="11">
        <f t="shared" si="9"/>
        <v>5.8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25">
      <c r="A38" s="89" t="s">
        <v>229</v>
      </c>
      <c r="B38" s="102">
        <v>5.0999999999999996</v>
      </c>
      <c r="C38" s="102">
        <v>5.0999999999999996</v>
      </c>
      <c r="D38" s="102">
        <v>5.0999999999999996</v>
      </c>
      <c r="E38" s="102">
        <v>5.0999999999999996</v>
      </c>
      <c r="F38" s="102">
        <v>5.0999999999999996</v>
      </c>
      <c r="G38" s="102">
        <v>5.0999999999999996</v>
      </c>
      <c r="H38" s="102">
        <v>5.0999999999999996</v>
      </c>
      <c r="I38" s="102">
        <v>5.0999999999999996</v>
      </c>
      <c r="J38" s="102">
        <v>5.0999999999999996</v>
      </c>
      <c r="K38" s="102">
        <v>5.0999999999999996</v>
      </c>
      <c r="L38" s="102">
        <v>5.0999999999999996</v>
      </c>
      <c r="M38" s="102">
        <v>5.0999999999999996</v>
      </c>
      <c r="N38" s="102">
        <v>5.0999999999999996</v>
      </c>
      <c r="O38" s="102">
        <v>5.0999999999999996</v>
      </c>
      <c r="P38" s="102">
        <v>5.0999999999999996</v>
      </c>
      <c r="Q38" s="102">
        <v>5.0999999999999996</v>
      </c>
      <c r="R38" s="102">
        <v>5.0999999999999996</v>
      </c>
      <c r="S38" s="102">
        <v>5.0999999999999996</v>
      </c>
      <c r="T38" s="102">
        <v>5.0999999999999996</v>
      </c>
      <c r="U38" s="102">
        <v>5.0999999999999996</v>
      </c>
      <c r="V38" s="102">
        <v>5.0999999999999996</v>
      </c>
      <c r="W38" s="102">
        <v>5.0999999999999996</v>
      </c>
      <c r="X38" s="102">
        <v>5.0999999999999996</v>
      </c>
      <c r="Y38" s="102">
        <v>5.0999999999999996</v>
      </c>
      <c r="Z38" s="102">
        <v>5.0999999999999996</v>
      </c>
      <c r="AA38" s="102">
        <v>5.0999999999999996</v>
      </c>
      <c r="AB38" s="102">
        <v>5.0999999999999996</v>
      </c>
      <c r="AC38" s="102">
        <v>5.0999999999999996</v>
      </c>
      <c r="AD38" s="102">
        <v>5.0999999999999996</v>
      </c>
      <c r="AE38" s="102">
        <v>5.0999999999999996</v>
      </c>
      <c r="AF38" s="102">
        <v>5.0999999999999996</v>
      </c>
      <c r="AG38" s="130">
        <v>14.9</v>
      </c>
      <c r="AH38" s="12">
        <f t="shared" si="8"/>
        <v>5.0999999999999996</v>
      </c>
      <c r="AI38" s="11">
        <f t="shared" si="9"/>
        <v>5.0999999999999996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25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25">
      <c r="A40" s="89" t="s">
        <v>227</v>
      </c>
      <c r="B40" s="102">
        <v>8</v>
      </c>
      <c r="C40" s="102">
        <v>8</v>
      </c>
      <c r="D40" s="102">
        <v>8</v>
      </c>
      <c r="E40" s="102">
        <v>8</v>
      </c>
      <c r="F40" s="102">
        <v>8</v>
      </c>
      <c r="G40" s="102">
        <v>8</v>
      </c>
      <c r="H40" s="102">
        <v>8</v>
      </c>
      <c r="I40" s="102">
        <v>8</v>
      </c>
      <c r="J40" s="102">
        <v>8</v>
      </c>
      <c r="K40" s="102">
        <v>8</v>
      </c>
      <c r="L40" s="102">
        <v>8</v>
      </c>
      <c r="M40" s="102">
        <v>0</v>
      </c>
      <c r="N40" s="102">
        <v>0</v>
      </c>
      <c r="O40" s="102">
        <v>0</v>
      </c>
      <c r="P40" s="102">
        <v>0</v>
      </c>
      <c r="Q40" s="102">
        <v>0</v>
      </c>
      <c r="R40" s="102">
        <v>0</v>
      </c>
      <c r="S40" s="102">
        <v>0</v>
      </c>
      <c r="T40" s="102">
        <v>0</v>
      </c>
      <c r="U40" s="102">
        <v>0</v>
      </c>
      <c r="V40" s="102">
        <v>0</v>
      </c>
      <c r="W40" s="102">
        <v>0</v>
      </c>
      <c r="X40" s="102">
        <v>0</v>
      </c>
      <c r="Y40" s="102">
        <v>0</v>
      </c>
      <c r="Z40" s="102">
        <v>0</v>
      </c>
      <c r="AA40" s="102">
        <v>0</v>
      </c>
      <c r="AB40" s="102">
        <v>0</v>
      </c>
      <c r="AC40" s="102">
        <v>0</v>
      </c>
      <c r="AD40" s="102">
        <v>0</v>
      </c>
      <c r="AE40" s="102">
        <v>0</v>
      </c>
      <c r="AF40" s="102">
        <v>0</v>
      </c>
      <c r="AG40" s="130">
        <v>14.9</v>
      </c>
      <c r="AH40" s="12">
        <f t="shared" si="8"/>
        <v>8</v>
      </c>
      <c r="AI40" s="11">
        <f t="shared" si="9"/>
        <v>0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25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25">
      <c r="A42" s="89" t="s">
        <v>225</v>
      </c>
      <c r="B42" s="102">
        <v>5.2</v>
      </c>
      <c r="C42" s="102">
        <v>5.2</v>
      </c>
      <c r="D42" s="102">
        <v>5.2</v>
      </c>
      <c r="E42" s="102">
        <v>5.2</v>
      </c>
      <c r="F42" s="102">
        <v>5.2</v>
      </c>
      <c r="G42" s="102">
        <v>5.2</v>
      </c>
      <c r="H42" s="102">
        <v>5.2</v>
      </c>
      <c r="I42" s="102">
        <v>5.2</v>
      </c>
      <c r="J42" s="102">
        <v>5.2</v>
      </c>
      <c r="K42" s="102">
        <v>5.2</v>
      </c>
      <c r="L42" s="102">
        <v>5.2</v>
      </c>
      <c r="M42" s="102">
        <v>5.2</v>
      </c>
      <c r="N42" s="102">
        <v>5.2</v>
      </c>
      <c r="O42" s="102">
        <v>5.2</v>
      </c>
      <c r="P42" s="102">
        <v>5.2</v>
      </c>
      <c r="Q42" s="102">
        <v>5.2</v>
      </c>
      <c r="R42" s="102">
        <v>5.2</v>
      </c>
      <c r="S42" s="102">
        <v>5</v>
      </c>
      <c r="T42" s="102">
        <v>5</v>
      </c>
      <c r="U42" s="102">
        <v>5</v>
      </c>
      <c r="V42" s="102">
        <v>5</v>
      </c>
      <c r="W42" s="102">
        <v>5</v>
      </c>
      <c r="X42" s="102">
        <v>5</v>
      </c>
      <c r="Y42" s="102">
        <v>5</v>
      </c>
      <c r="Z42" s="102">
        <v>5</v>
      </c>
      <c r="AA42" s="102">
        <v>5</v>
      </c>
      <c r="AB42" s="102">
        <v>5</v>
      </c>
      <c r="AC42" s="102">
        <v>5</v>
      </c>
      <c r="AD42" s="102">
        <v>5</v>
      </c>
      <c r="AE42" s="102">
        <v>5</v>
      </c>
      <c r="AF42" s="102">
        <v>5</v>
      </c>
      <c r="AG42" s="130">
        <v>13.6</v>
      </c>
      <c r="AH42" s="12">
        <f t="shared" si="8"/>
        <v>5.2</v>
      </c>
      <c r="AI42" s="11">
        <f t="shared" si="9"/>
        <v>5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25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25">
      <c r="A44" s="89" t="s">
        <v>223</v>
      </c>
      <c r="B44" s="102">
        <v>0</v>
      </c>
      <c r="C44" s="102">
        <v>0</v>
      </c>
      <c r="D44" s="102">
        <v>3.2</v>
      </c>
      <c r="E44" s="102">
        <v>3.2</v>
      </c>
      <c r="F44" s="102">
        <v>3.2</v>
      </c>
      <c r="G44" s="102">
        <v>3.2</v>
      </c>
      <c r="H44" s="102">
        <v>3.2</v>
      </c>
      <c r="I44" s="102">
        <v>3.2</v>
      </c>
      <c r="J44" s="102">
        <v>3.2</v>
      </c>
      <c r="K44" s="102">
        <v>3.2</v>
      </c>
      <c r="L44" s="102">
        <v>3.2</v>
      </c>
      <c r="M44" s="102">
        <v>3.2</v>
      </c>
      <c r="N44" s="102">
        <v>3.2</v>
      </c>
      <c r="O44" s="102">
        <v>3.2</v>
      </c>
      <c r="P44" s="102">
        <v>3.2</v>
      </c>
      <c r="Q44" s="102">
        <v>3.2</v>
      </c>
      <c r="R44" s="102">
        <v>3.2</v>
      </c>
      <c r="S44" s="102">
        <v>3</v>
      </c>
      <c r="T44" s="102">
        <v>3</v>
      </c>
      <c r="U44" s="102">
        <v>3</v>
      </c>
      <c r="V44" s="102">
        <v>3</v>
      </c>
      <c r="W44" s="102">
        <v>3</v>
      </c>
      <c r="X44" s="102">
        <v>3</v>
      </c>
      <c r="Y44" s="102">
        <v>3</v>
      </c>
      <c r="Z44" s="102">
        <v>3</v>
      </c>
      <c r="AA44" s="102">
        <v>3</v>
      </c>
      <c r="AB44" s="102">
        <v>3</v>
      </c>
      <c r="AC44" s="102">
        <v>3</v>
      </c>
      <c r="AD44" s="102">
        <v>3</v>
      </c>
      <c r="AE44" s="102">
        <v>3</v>
      </c>
      <c r="AF44" s="102">
        <v>3</v>
      </c>
      <c r="AG44" s="130">
        <v>12</v>
      </c>
      <c r="AH44" s="12">
        <f t="shared" si="8"/>
        <v>3.2</v>
      </c>
      <c r="AI44" s="11">
        <f t="shared" si="9"/>
        <v>0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25">
      <c r="A45" s="89" t="s">
        <v>222</v>
      </c>
      <c r="B45" s="102">
        <v>3.5</v>
      </c>
      <c r="C45" s="102">
        <v>3.5</v>
      </c>
      <c r="D45" s="102">
        <v>3.5</v>
      </c>
      <c r="E45" s="102">
        <v>3.5</v>
      </c>
      <c r="F45" s="102">
        <v>3.5</v>
      </c>
      <c r="G45" s="102">
        <v>3.5</v>
      </c>
      <c r="H45" s="102">
        <v>3.5</v>
      </c>
      <c r="I45" s="102">
        <v>3.5</v>
      </c>
      <c r="J45" s="102">
        <v>3.5</v>
      </c>
      <c r="K45" s="102">
        <v>3.5</v>
      </c>
      <c r="L45" s="102">
        <v>3.5</v>
      </c>
      <c r="M45" s="102">
        <v>3.5</v>
      </c>
      <c r="N45" s="102">
        <v>3.5</v>
      </c>
      <c r="O45" s="102">
        <v>3.5</v>
      </c>
      <c r="P45" s="102">
        <v>3.5</v>
      </c>
      <c r="Q45" s="102">
        <v>3.5</v>
      </c>
      <c r="R45" s="102">
        <v>3.5</v>
      </c>
      <c r="S45" s="102">
        <v>3.5</v>
      </c>
      <c r="T45" s="102">
        <v>3.5</v>
      </c>
      <c r="U45" s="102">
        <v>3.5</v>
      </c>
      <c r="V45" s="102">
        <v>3.5</v>
      </c>
      <c r="W45" s="102">
        <v>3.5</v>
      </c>
      <c r="X45" s="102">
        <v>3.5</v>
      </c>
      <c r="Y45" s="102">
        <v>3.5</v>
      </c>
      <c r="Z45" s="102">
        <v>3.5</v>
      </c>
      <c r="AA45" s="102">
        <v>3.5</v>
      </c>
      <c r="AB45" s="102">
        <v>3.5</v>
      </c>
      <c r="AC45" s="102">
        <v>3.5</v>
      </c>
      <c r="AD45" s="102">
        <v>3.5</v>
      </c>
      <c r="AE45" s="102">
        <v>3.5</v>
      </c>
      <c r="AF45" s="102">
        <v>3.5</v>
      </c>
      <c r="AG45" s="130">
        <v>12</v>
      </c>
      <c r="AH45" s="12">
        <f t="shared" si="8"/>
        <v>3.5</v>
      </c>
      <c r="AI45" s="11">
        <f t="shared" si="9"/>
        <v>3.5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25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25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25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25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25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25">
      <c r="A51" s="87" t="s">
        <v>216</v>
      </c>
      <c r="B51" s="102">
        <v>1.6</v>
      </c>
      <c r="C51" s="102">
        <v>1.6</v>
      </c>
      <c r="D51" s="102">
        <v>1.6</v>
      </c>
      <c r="E51" s="102">
        <v>1.6</v>
      </c>
      <c r="F51" s="102">
        <v>1.6</v>
      </c>
      <c r="G51" s="102">
        <v>1.6</v>
      </c>
      <c r="H51" s="102">
        <v>1.6</v>
      </c>
      <c r="I51" s="102">
        <v>1.6</v>
      </c>
      <c r="J51" s="102">
        <v>1.6</v>
      </c>
      <c r="K51" s="102">
        <v>1.6</v>
      </c>
      <c r="L51" s="102">
        <v>1.6</v>
      </c>
      <c r="M51" s="102">
        <v>1.6</v>
      </c>
      <c r="N51" s="102">
        <v>1.6</v>
      </c>
      <c r="O51" s="102">
        <v>1.6</v>
      </c>
      <c r="P51" s="102">
        <v>1.6</v>
      </c>
      <c r="Q51" s="102">
        <v>1.6</v>
      </c>
      <c r="R51" s="102">
        <v>1.6</v>
      </c>
      <c r="S51" s="102">
        <v>1.6</v>
      </c>
      <c r="T51" s="102">
        <v>1.6</v>
      </c>
      <c r="U51" s="102">
        <v>1.6</v>
      </c>
      <c r="V51" s="102">
        <v>1.6</v>
      </c>
      <c r="W51" s="102">
        <v>1.6</v>
      </c>
      <c r="X51" s="102">
        <v>1.6</v>
      </c>
      <c r="Y51" s="102">
        <v>1.6</v>
      </c>
      <c r="Z51" s="102">
        <v>1.6</v>
      </c>
      <c r="AA51" s="102">
        <v>1.6</v>
      </c>
      <c r="AB51" s="102">
        <v>1.6</v>
      </c>
      <c r="AC51" s="102">
        <v>1.6</v>
      </c>
      <c r="AD51" s="102">
        <v>1.6</v>
      </c>
      <c r="AE51" s="102">
        <v>1.6</v>
      </c>
      <c r="AF51" s="102">
        <v>1.6</v>
      </c>
      <c r="AG51" s="86">
        <v>11</v>
      </c>
      <c r="AH51" s="12">
        <f t="shared" si="8"/>
        <v>1.6</v>
      </c>
      <c r="AI51" s="11">
        <f t="shared" si="9"/>
        <v>1.6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25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25">
      <c r="A53" s="87" t="s">
        <v>214</v>
      </c>
      <c r="B53" s="102">
        <v>5</v>
      </c>
      <c r="C53" s="102">
        <v>5</v>
      </c>
      <c r="D53" s="102">
        <v>5</v>
      </c>
      <c r="E53" s="102">
        <v>5</v>
      </c>
      <c r="F53" s="102">
        <v>5</v>
      </c>
      <c r="G53" s="102">
        <v>5</v>
      </c>
      <c r="H53" s="102">
        <v>5</v>
      </c>
      <c r="I53" s="102">
        <v>5</v>
      </c>
      <c r="J53" s="102">
        <v>5</v>
      </c>
      <c r="K53" s="102">
        <v>5</v>
      </c>
      <c r="L53" s="102">
        <v>5</v>
      </c>
      <c r="M53" s="102">
        <v>5</v>
      </c>
      <c r="N53" s="102">
        <v>5</v>
      </c>
      <c r="O53" s="102">
        <v>5</v>
      </c>
      <c r="P53" s="102">
        <v>5</v>
      </c>
      <c r="Q53" s="102">
        <v>5</v>
      </c>
      <c r="R53" s="102">
        <v>5</v>
      </c>
      <c r="S53" s="102">
        <v>5</v>
      </c>
      <c r="T53" s="102">
        <v>5</v>
      </c>
      <c r="U53" s="102">
        <v>5</v>
      </c>
      <c r="V53" s="102">
        <v>5</v>
      </c>
      <c r="W53" s="102">
        <v>5</v>
      </c>
      <c r="X53" s="102">
        <v>5</v>
      </c>
      <c r="Y53" s="102">
        <v>5</v>
      </c>
      <c r="Z53" s="102">
        <v>5</v>
      </c>
      <c r="AA53" s="102">
        <v>5</v>
      </c>
      <c r="AB53" s="102">
        <v>5</v>
      </c>
      <c r="AC53" s="102">
        <v>5</v>
      </c>
      <c r="AD53" s="102">
        <v>5</v>
      </c>
      <c r="AE53" s="102">
        <v>5</v>
      </c>
      <c r="AF53" s="102">
        <v>5</v>
      </c>
      <c r="AG53" s="86">
        <v>10</v>
      </c>
      <c r="AH53" s="12">
        <f t="shared" si="8"/>
        <v>5</v>
      </c>
      <c r="AI53" s="11">
        <f t="shared" si="9"/>
        <v>5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25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25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25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.75" thickBot="1" x14ac:dyDescent="0.3">
      <c r="A57" s="124" t="s">
        <v>210</v>
      </c>
      <c r="B57" s="122">
        <v>40.5</v>
      </c>
      <c r="C57" s="122">
        <f>26.9+13.7</f>
        <v>40.599999999999994</v>
      </c>
      <c r="D57" s="122">
        <f>24.9+13.2</f>
        <v>38.099999999999994</v>
      </c>
      <c r="E57" s="122">
        <f>13.1+23.6</f>
        <v>36.700000000000003</v>
      </c>
      <c r="F57" s="122">
        <f>13+23.4</f>
        <v>36.4</v>
      </c>
      <c r="G57" s="122">
        <f>12.5+22.2</f>
        <v>34.700000000000003</v>
      </c>
      <c r="H57" s="122">
        <f>12.3+21.9</f>
        <v>34.200000000000003</v>
      </c>
      <c r="I57" s="122">
        <f>11.7+20.3</f>
        <v>32</v>
      </c>
      <c r="J57" s="122">
        <f>11.5+20.1</f>
        <v>31.6</v>
      </c>
      <c r="K57" s="123">
        <f>11.7+20.1</f>
        <v>31.8</v>
      </c>
      <c r="L57" s="123">
        <f>11.5+18.9</f>
        <v>30.4</v>
      </c>
      <c r="M57" s="123">
        <f>11.5+18.9</f>
        <v>30.4</v>
      </c>
      <c r="N57" s="123">
        <f>11.5+18.9</f>
        <v>30.4</v>
      </c>
      <c r="O57" s="123">
        <f>11.5+18.9</f>
        <v>30.4</v>
      </c>
      <c r="P57" s="123">
        <f>11.8+20.9</f>
        <v>32.700000000000003</v>
      </c>
      <c r="Q57" s="123">
        <f>11.8+20.9</f>
        <v>32.700000000000003</v>
      </c>
      <c r="R57" s="123">
        <f>11.8+20.9</f>
        <v>32.700000000000003</v>
      </c>
      <c r="S57" s="123">
        <v>36.799999999999997</v>
      </c>
      <c r="T57" s="123">
        <v>37</v>
      </c>
      <c r="U57" s="123">
        <v>54.7</v>
      </c>
      <c r="V57" s="123">
        <v>54.7</v>
      </c>
      <c r="W57" s="123">
        <v>66.8</v>
      </c>
      <c r="X57" s="123">
        <v>66.8</v>
      </c>
      <c r="Y57" s="123">
        <v>50.8</v>
      </c>
      <c r="Z57" s="122">
        <v>65.3</v>
      </c>
      <c r="AA57" s="122">
        <v>65.7</v>
      </c>
      <c r="AB57" s="122">
        <v>69</v>
      </c>
      <c r="AC57" s="122">
        <v>69</v>
      </c>
      <c r="AD57" s="122">
        <v>69</v>
      </c>
      <c r="AE57" s="122">
        <v>69</v>
      </c>
      <c r="AF57" s="122">
        <v>68</v>
      </c>
      <c r="AG57" s="86">
        <v>240</v>
      </c>
      <c r="AH57" s="12">
        <f t="shared" si="8"/>
        <v>69</v>
      </c>
      <c r="AI57" s="11">
        <f t="shared" si="9"/>
        <v>30.4</v>
      </c>
      <c r="AK57" s="19"/>
    </row>
    <row r="58" spans="1:88" ht="15.75" thickBot="1" x14ac:dyDescent="0.3">
      <c r="A58" s="121" t="s">
        <v>209</v>
      </c>
      <c r="B58" s="76">
        <f t="shared" ref="B58:AA58" si="22">SUM(B11:B56)</f>
        <v>456.00000000000006</v>
      </c>
      <c r="C58" s="76">
        <f t="shared" si="22"/>
        <v>482.40000000000009</v>
      </c>
      <c r="D58" s="76">
        <f t="shared" si="22"/>
        <v>486.10000000000008</v>
      </c>
      <c r="E58" s="76">
        <f t="shared" si="22"/>
        <v>486.10000000000008</v>
      </c>
      <c r="F58" s="76">
        <f t="shared" si="22"/>
        <v>486.70000000000005</v>
      </c>
      <c r="G58" s="76">
        <f t="shared" si="22"/>
        <v>486.70000000000005</v>
      </c>
      <c r="H58" s="76">
        <f t="shared" si="22"/>
        <v>486.70000000000005</v>
      </c>
      <c r="I58" s="76">
        <f t="shared" si="22"/>
        <v>486.70000000000005</v>
      </c>
      <c r="J58" s="76">
        <f t="shared" si="22"/>
        <v>486.70000000000005</v>
      </c>
      <c r="K58" s="76">
        <f t="shared" si="22"/>
        <v>486.70000000000005</v>
      </c>
      <c r="L58" s="76">
        <f t="shared" si="22"/>
        <v>486.70000000000005</v>
      </c>
      <c r="M58" s="76">
        <f t="shared" si="22"/>
        <v>478.70000000000005</v>
      </c>
      <c r="N58" s="76">
        <f t="shared" si="22"/>
        <v>478.70000000000005</v>
      </c>
      <c r="O58" s="76">
        <f t="shared" si="22"/>
        <v>478.70000000000005</v>
      </c>
      <c r="P58" s="76">
        <f t="shared" ref="P58" si="23">SUM(P11:P56)</f>
        <v>490.00000000000006</v>
      </c>
      <c r="Q58" s="76">
        <f t="shared" si="22"/>
        <v>490.00000000000006</v>
      </c>
      <c r="R58" s="76">
        <f t="shared" si="22"/>
        <v>490.00000000000006</v>
      </c>
      <c r="S58" s="76">
        <f t="shared" si="22"/>
        <v>492.40000000000009</v>
      </c>
      <c r="T58" s="76">
        <f t="shared" si="22"/>
        <v>486.90000000000009</v>
      </c>
      <c r="U58" s="76">
        <f t="shared" si="22"/>
        <v>489.10000000000008</v>
      </c>
      <c r="V58" s="76">
        <f t="shared" si="22"/>
        <v>487.00000000000011</v>
      </c>
      <c r="W58" s="76">
        <f t="shared" si="22"/>
        <v>487.00000000000011</v>
      </c>
      <c r="X58" s="76">
        <f t="shared" ref="X58" si="24">SUM(X11:X56)</f>
        <v>487.00000000000011</v>
      </c>
      <c r="Y58" s="76">
        <f t="shared" si="22"/>
        <v>484.00000000000011</v>
      </c>
      <c r="Z58" s="76">
        <f>SUM(Z11:Z56)</f>
        <v>485.00000000000011</v>
      </c>
      <c r="AA58" s="76">
        <f t="shared" si="22"/>
        <v>485.00000000000011</v>
      </c>
      <c r="AB58" s="76">
        <f t="shared" ref="AB58:AC58" si="25">SUM(AB11:AB56)</f>
        <v>485.00000000000011</v>
      </c>
      <c r="AC58" s="76">
        <f t="shared" si="25"/>
        <v>485.00000000000011</v>
      </c>
      <c r="AD58" s="76">
        <f t="shared" ref="AD58:AE58" si="26">SUM(AD11:AD56)</f>
        <v>485.00000000000011</v>
      </c>
      <c r="AE58" s="76">
        <f t="shared" si="26"/>
        <v>485.00000000000011</v>
      </c>
      <c r="AF58" s="76">
        <f t="shared" ref="AF58" si="27">SUM(AF11:AF56)</f>
        <v>485.00000000000011</v>
      </c>
      <c r="AG58" s="93">
        <f>SUM(AG14:AG56)</f>
        <v>1042.4000000000001</v>
      </c>
      <c r="AH58" s="12">
        <f t="shared" si="8"/>
        <v>492.40000000000009</v>
      </c>
      <c r="AI58" s="11">
        <f t="shared" si="9"/>
        <v>456.00000000000006</v>
      </c>
      <c r="AK58" s="19"/>
    </row>
    <row r="59" spans="1:88" x14ac:dyDescent="0.25">
      <c r="A59" s="120" t="s">
        <v>208</v>
      </c>
      <c r="B59" s="102">
        <v>150</v>
      </c>
      <c r="C59" s="102">
        <v>160</v>
      </c>
      <c r="D59" s="102">
        <v>170</v>
      </c>
      <c r="E59" s="102">
        <v>110</v>
      </c>
      <c r="F59" s="102">
        <v>110.7</v>
      </c>
      <c r="G59" s="102">
        <v>130.9</v>
      </c>
      <c r="H59" s="102">
        <v>110.6</v>
      </c>
      <c r="I59" s="102">
        <v>110.9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19">
        <v>0</v>
      </c>
      <c r="T59" s="119">
        <v>0</v>
      </c>
      <c r="U59" s="119">
        <v>0</v>
      </c>
      <c r="V59" s="119">
        <v>0</v>
      </c>
      <c r="W59" s="119">
        <v>0</v>
      </c>
      <c r="X59" s="119">
        <v>0</v>
      </c>
      <c r="Y59" s="102">
        <v>230</v>
      </c>
      <c r="Z59" s="102">
        <v>291</v>
      </c>
      <c r="AA59" s="102">
        <v>261</v>
      </c>
      <c r="AB59" s="102">
        <v>251</v>
      </c>
      <c r="AC59" s="102">
        <v>251</v>
      </c>
      <c r="AD59" s="102">
        <v>211</v>
      </c>
      <c r="AE59" s="102">
        <v>270</v>
      </c>
      <c r="AF59" s="102">
        <v>270</v>
      </c>
      <c r="AG59" s="88">
        <v>456</v>
      </c>
      <c r="AH59" s="12">
        <f t="shared" si="8"/>
        <v>291</v>
      </c>
      <c r="AI59" s="11">
        <f t="shared" si="9"/>
        <v>0</v>
      </c>
      <c r="AK59" s="19"/>
    </row>
    <row r="60" spans="1:88" x14ac:dyDescent="0.25">
      <c r="A60" s="118" t="s">
        <v>207</v>
      </c>
      <c r="B60" s="70">
        <v>20.9</v>
      </c>
      <c r="C60" s="70">
        <v>20.9</v>
      </c>
      <c r="D60" s="70">
        <v>34</v>
      </c>
      <c r="E60" s="70">
        <v>48.6</v>
      </c>
      <c r="F60" s="70">
        <v>34.5</v>
      </c>
      <c r="G60" s="70">
        <v>33.4</v>
      </c>
      <c r="H60" s="70">
        <v>29.2</v>
      </c>
      <c r="I60" s="70">
        <v>32.5</v>
      </c>
      <c r="J60" s="70">
        <v>32.4</v>
      </c>
      <c r="K60" s="70">
        <v>31.1</v>
      </c>
      <c r="L60" s="70">
        <v>30</v>
      </c>
      <c r="M60" s="70">
        <v>28</v>
      </c>
      <c r="N60" s="70">
        <v>28</v>
      </c>
      <c r="O60" s="70">
        <v>28</v>
      </c>
      <c r="P60" s="70">
        <v>28</v>
      </c>
      <c r="Q60" s="70">
        <v>28</v>
      </c>
      <c r="R60" s="70">
        <v>24</v>
      </c>
      <c r="S60" s="70">
        <v>29.3</v>
      </c>
      <c r="T60" s="70">
        <v>27.8</v>
      </c>
      <c r="U60" s="70">
        <v>26.6</v>
      </c>
      <c r="V60" s="70">
        <v>25.9</v>
      </c>
      <c r="W60" s="70">
        <v>25.9</v>
      </c>
      <c r="X60" s="70">
        <v>25.9</v>
      </c>
      <c r="Y60" s="70">
        <v>24.4</v>
      </c>
      <c r="Z60" s="70">
        <v>25</v>
      </c>
      <c r="AA60" s="70">
        <v>25</v>
      </c>
      <c r="AB60" s="70">
        <v>25</v>
      </c>
      <c r="AC60" s="70">
        <v>25</v>
      </c>
      <c r="AD60" s="70">
        <v>25</v>
      </c>
      <c r="AE60" s="70">
        <v>25</v>
      </c>
      <c r="AF60" s="70">
        <v>25</v>
      </c>
      <c r="AG60" s="86">
        <v>60</v>
      </c>
      <c r="AH60" s="12">
        <f t="shared" si="8"/>
        <v>48.6</v>
      </c>
      <c r="AI60" s="11">
        <f t="shared" si="9"/>
        <v>20.9</v>
      </c>
      <c r="AK60" s="19"/>
    </row>
    <row r="61" spans="1:88" ht="15.75" thickBot="1" x14ac:dyDescent="0.3">
      <c r="A61" s="117" t="s">
        <v>206</v>
      </c>
      <c r="B61" s="110">
        <v>0</v>
      </c>
      <c r="C61" s="110">
        <v>0</v>
      </c>
      <c r="D61" s="110">
        <v>0</v>
      </c>
      <c r="E61" s="110">
        <v>0</v>
      </c>
      <c r="F61" s="110">
        <v>0</v>
      </c>
      <c r="G61" s="110">
        <v>0</v>
      </c>
      <c r="H61" s="110">
        <v>0</v>
      </c>
      <c r="I61" s="110">
        <v>0</v>
      </c>
      <c r="J61" s="110">
        <v>0</v>
      </c>
      <c r="K61" s="110">
        <v>0</v>
      </c>
      <c r="L61" s="110">
        <v>0</v>
      </c>
      <c r="M61" s="110">
        <v>0</v>
      </c>
      <c r="N61" s="110">
        <v>0</v>
      </c>
      <c r="O61" s="110">
        <v>0</v>
      </c>
      <c r="P61" s="110">
        <v>0</v>
      </c>
      <c r="Q61" s="110">
        <v>0</v>
      </c>
      <c r="R61" s="110">
        <v>0</v>
      </c>
      <c r="S61" s="110">
        <v>0</v>
      </c>
      <c r="T61" s="110">
        <v>0</v>
      </c>
      <c r="U61" s="110">
        <v>22.7</v>
      </c>
      <c r="V61" s="110">
        <v>22.6</v>
      </c>
      <c r="W61" s="110">
        <v>22.6</v>
      </c>
      <c r="X61" s="110">
        <v>22.6</v>
      </c>
      <c r="Y61" s="110">
        <v>20</v>
      </c>
      <c r="Z61" s="110">
        <v>20</v>
      </c>
      <c r="AA61" s="110">
        <v>20</v>
      </c>
      <c r="AB61" s="110">
        <v>20</v>
      </c>
      <c r="AC61" s="110">
        <v>20</v>
      </c>
      <c r="AD61" s="110">
        <v>20</v>
      </c>
      <c r="AE61" s="110">
        <v>20</v>
      </c>
      <c r="AF61" s="110">
        <v>20</v>
      </c>
      <c r="AG61" s="109">
        <v>22.1</v>
      </c>
      <c r="AH61" s="12">
        <f t="shared" si="8"/>
        <v>22.7</v>
      </c>
      <c r="AI61" s="11">
        <f t="shared" si="9"/>
        <v>0</v>
      </c>
      <c r="AK61" s="19"/>
    </row>
    <row r="62" spans="1:88" ht="15.75" thickBot="1" x14ac:dyDescent="0.3">
      <c r="A62" s="116" t="s">
        <v>205</v>
      </c>
      <c r="B62" s="76">
        <f t="shared" ref="B62:AG62" si="28">SUM(B59:B61)</f>
        <v>170.9</v>
      </c>
      <c r="C62" s="76">
        <f t="shared" si="28"/>
        <v>180.9</v>
      </c>
      <c r="D62" s="76">
        <f t="shared" si="28"/>
        <v>204</v>
      </c>
      <c r="E62" s="76">
        <f t="shared" si="28"/>
        <v>158.6</v>
      </c>
      <c r="F62" s="76">
        <f t="shared" si="28"/>
        <v>145.19999999999999</v>
      </c>
      <c r="G62" s="76">
        <f t="shared" si="28"/>
        <v>164.3</v>
      </c>
      <c r="H62" s="76">
        <f t="shared" si="28"/>
        <v>139.79999999999998</v>
      </c>
      <c r="I62" s="76">
        <f t="shared" si="28"/>
        <v>143.4</v>
      </c>
      <c r="J62" s="76">
        <f t="shared" si="28"/>
        <v>32.4</v>
      </c>
      <c r="K62" s="76">
        <f t="shared" si="28"/>
        <v>31.1</v>
      </c>
      <c r="L62" s="76">
        <f t="shared" si="28"/>
        <v>30</v>
      </c>
      <c r="M62" s="76">
        <f t="shared" si="28"/>
        <v>28</v>
      </c>
      <c r="N62" s="76">
        <f t="shared" si="28"/>
        <v>28</v>
      </c>
      <c r="O62" s="76">
        <f t="shared" si="28"/>
        <v>28</v>
      </c>
      <c r="P62" s="76">
        <f t="shared" ref="P62" si="29">SUM(P59:P61)</f>
        <v>28</v>
      </c>
      <c r="Q62" s="76">
        <f t="shared" si="28"/>
        <v>28</v>
      </c>
      <c r="R62" s="76">
        <f t="shared" si="28"/>
        <v>24</v>
      </c>
      <c r="S62" s="76">
        <f t="shared" si="28"/>
        <v>29.3</v>
      </c>
      <c r="T62" s="76">
        <f t="shared" si="28"/>
        <v>27.8</v>
      </c>
      <c r="U62" s="76">
        <f t="shared" si="28"/>
        <v>49.3</v>
      </c>
      <c r="V62" s="76">
        <f t="shared" si="28"/>
        <v>48.5</v>
      </c>
      <c r="W62" s="76">
        <f t="shared" si="28"/>
        <v>48.5</v>
      </c>
      <c r="X62" s="76">
        <f t="shared" ref="X62" si="30">SUM(X59:X61)</f>
        <v>48.5</v>
      </c>
      <c r="Y62" s="76">
        <f t="shared" si="28"/>
        <v>274.39999999999998</v>
      </c>
      <c r="Z62" s="76">
        <f>SUM(Z59:Z61)</f>
        <v>336</v>
      </c>
      <c r="AA62" s="76">
        <f t="shared" si="28"/>
        <v>306</v>
      </c>
      <c r="AB62" s="76">
        <f t="shared" ref="AB62:AC62" si="31">SUM(AB59:AB61)</f>
        <v>296</v>
      </c>
      <c r="AC62" s="76">
        <f t="shared" si="31"/>
        <v>296</v>
      </c>
      <c r="AD62" s="76">
        <f t="shared" ref="AD62:AE62" si="32">SUM(AD59:AD61)</f>
        <v>256</v>
      </c>
      <c r="AE62" s="76">
        <f t="shared" si="32"/>
        <v>315</v>
      </c>
      <c r="AF62" s="76">
        <f t="shared" ref="AF62" si="33">SUM(AF59:AF61)</f>
        <v>315</v>
      </c>
      <c r="AG62" s="93">
        <f t="shared" si="28"/>
        <v>538.1</v>
      </c>
      <c r="AH62" s="12">
        <f t="shared" si="8"/>
        <v>336</v>
      </c>
      <c r="AI62" s="11">
        <f t="shared" si="9"/>
        <v>24</v>
      </c>
      <c r="AK62" s="19"/>
    </row>
    <row r="63" spans="1:88" x14ac:dyDescent="0.25">
      <c r="A63" s="89" t="s">
        <v>204</v>
      </c>
      <c r="B63" s="102">
        <v>91.4</v>
      </c>
      <c r="C63" s="102">
        <v>60</v>
      </c>
      <c r="D63" s="102">
        <v>61.2</v>
      </c>
      <c r="E63" s="102">
        <v>40.200000000000003</v>
      </c>
      <c r="F63" s="102">
        <v>40.1</v>
      </c>
      <c r="G63" s="102">
        <v>40.700000000000003</v>
      </c>
      <c r="H63" s="102">
        <v>40.9</v>
      </c>
      <c r="I63" s="102">
        <v>48.9</v>
      </c>
      <c r="J63" s="102">
        <v>64</v>
      </c>
      <c r="K63" s="102">
        <v>96.2</v>
      </c>
      <c r="L63" s="102">
        <v>90.6</v>
      </c>
      <c r="M63" s="102">
        <v>90.6</v>
      </c>
      <c r="N63" s="102">
        <v>60.9</v>
      </c>
      <c r="O63" s="102">
        <v>61</v>
      </c>
      <c r="P63" s="102">
        <v>60.4</v>
      </c>
      <c r="Q63" s="102">
        <v>60.4</v>
      </c>
      <c r="R63" s="102">
        <v>60.4</v>
      </c>
      <c r="S63" s="102">
        <v>60.4</v>
      </c>
      <c r="T63" s="102">
        <v>70.599999999999994</v>
      </c>
      <c r="U63" s="102">
        <v>81</v>
      </c>
      <c r="V63" s="102">
        <v>60.5</v>
      </c>
      <c r="W63" s="102">
        <v>60.7</v>
      </c>
      <c r="X63" s="102">
        <v>60.7</v>
      </c>
      <c r="Y63" s="102">
        <v>96</v>
      </c>
      <c r="Z63" s="102">
        <v>112</v>
      </c>
      <c r="AA63" s="102">
        <v>121.7</v>
      </c>
      <c r="AB63" s="102">
        <v>111</v>
      </c>
      <c r="AC63" s="102">
        <v>111</v>
      </c>
      <c r="AD63" s="102">
        <v>101</v>
      </c>
      <c r="AE63" s="102">
        <v>101</v>
      </c>
      <c r="AF63" s="102">
        <v>101</v>
      </c>
      <c r="AG63" s="88">
        <v>144</v>
      </c>
      <c r="AH63" s="12">
        <f t="shared" si="8"/>
        <v>121.7</v>
      </c>
      <c r="AI63" s="11">
        <f t="shared" si="9"/>
        <v>40.1</v>
      </c>
      <c r="AK63" s="19"/>
    </row>
    <row r="64" spans="1:88" x14ac:dyDescent="0.25">
      <c r="A64" s="87" t="s">
        <v>203</v>
      </c>
      <c r="B64" s="70">
        <v>50.1</v>
      </c>
      <c r="C64" s="70">
        <v>49</v>
      </c>
      <c r="D64" s="70">
        <v>49</v>
      </c>
      <c r="E64" s="70">
        <v>33.4</v>
      </c>
      <c r="F64" s="70">
        <v>34.4</v>
      </c>
      <c r="G64" s="70">
        <v>23.9</v>
      </c>
      <c r="H64" s="70">
        <v>23.7</v>
      </c>
      <c r="I64" s="70">
        <v>24</v>
      </c>
      <c r="J64" s="70">
        <v>23.9</v>
      </c>
      <c r="K64" s="70">
        <v>48.4</v>
      </c>
      <c r="L64" s="70">
        <v>48</v>
      </c>
      <c r="M64" s="70">
        <v>48</v>
      </c>
      <c r="N64" s="70">
        <v>46.4</v>
      </c>
      <c r="O64" s="70">
        <v>47</v>
      </c>
      <c r="P64" s="70">
        <v>46.7</v>
      </c>
      <c r="Q64" s="70">
        <v>47</v>
      </c>
      <c r="R64" s="70">
        <v>47</v>
      </c>
      <c r="S64" s="70">
        <v>24.5</v>
      </c>
      <c r="T64" s="70">
        <v>35.1</v>
      </c>
      <c r="U64" s="70">
        <v>27.6</v>
      </c>
      <c r="V64" s="70">
        <v>34.700000000000003</v>
      </c>
      <c r="W64" s="102">
        <v>31.8</v>
      </c>
      <c r="X64" s="102">
        <v>31.8</v>
      </c>
      <c r="Y64" s="102">
        <v>35</v>
      </c>
      <c r="Z64" s="102">
        <v>54</v>
      </c>
      <c r="AA64" s="102">
        <v>53</v>
      </c>
      <c r="AB64" s="102">
        <v>54</v>
      </c>
      <c r="AC64" s="102">
        <v>54</v>
      </c>
      <c r="AD64" s="102">
        <v>55</v>
      </c>
      <c r="AE64" s="102">
        <v>55</v>
      </c>
      <c r="AF64" s="102">
        <v>55</v>
      </c>
      <c r="AG64" s="86">
        <v>70</v>
      </c>
      <c r="AH64" s="12">
        <f t="shared" si="8"/>
        <v>55</v>
      </c>
      <c r="AI64" s="11">
        <f t="shared" si="9"/>
        <v>23.7</v>
      </c>
      <c r="AK64" s="19"/>
    </row>
    <row r="65" spans="1:75" x14ac:dyDescent="0.25">
      <c r="A65" s="87" t="s">
        <v>202</v>
      </c>
      <c r="B65" s="70">
        <v>0</v>
      </c>
      <c r="C65" s="70">
        <v>32.1</v>
      </c>
      <c r="D65" s="70">
        <v>32.5</v>
      </c>
      <c r="E65" s="70">
        <v>32.1</v>
      </c>
      <c r="F65" s="70">
        <v>32.5</v>
      </c>
      <c r="G65" s="70">
        <v>46.2</v>
      </c>
      <c r="H65" s="70">
        <v>45.9</v>
      </c>
      <c r="I65" s="70">
        <v>45.8</v>
      </c>
      <c r="J65" s="70">
        <v>45.7</v>
      </c>
      <c r="K65" s="70">
        <v>46.2</v>
      </c>
      <c r="L65" s="70">
        <v>45.7</v>
      </c>
      <c r="M65" s="70">
        <v>45.7</v>
      </c>
      <c r="N65" s="70">
        <v>32.1</v>
      </c>
      <c r="O65" s="70">
        <v>41</v>
      </c>
      <c r="P65" s="70">
        <v>35.5</v>
      </c>
      <c r="Q65" s="70">
        <v>33</v>
      </c>
      <c r="R65" s="70">
        <v>33</v>
      </c>
      <c r="S65" s="70">
        <v>45.8</v>
      </c>
      <c r="T65" s="70">
        <v>45.6</v>
      </c>
      <c r="U65" s="70">
        <v>45.9</v>
      </c>
      <c r="V65" s="70">
        <v>46.1</v>
      </c>
      <c r="W65" s="102">
        <v>33.299999999999997</v>
      </c>
      <c r="X65" s="102">
        <v>33.299999999999997</v>
      </c>
      <c r="Y65" s="102">
        <v>46</v>
      </c>
      <c r="Z65" s="102">
        <v>45.3</v>
      </c>
      <c r="AA65" s="102">
        <v>54.4</v>
      </c>
      <c r="AB65" s="102">
        <v>61</v>
      </c>
      <c r="AC65" s="102">
        <v>61</v>
      </c>
      <c r="AD65" s="102">
        <v>61</v>
      </c>
      <c r="AE65" s="102">
        <v>61</v>
      </c>
      <c r="AF65" s="102">
        <v>61</v>
      </c>
      <c r="AG65" s="86">
        <v>69</v>
      </c>
      <c r="AH65" s="12">
        <f t="shared" si="8"/>
        <v>61</v>
      </c>
      <c r="AI65" s="11">
        <f t="shared" si="9"/>
        <v>0</v>
      </c>
      <c r="AK65" s="19"/>
    </row>
    <row r="66" spans="1:75" x14ac:dyDescent="0.25">
      <c r="A66" s="87" t="s">
        <v>201</v>
      </c>
      <c r="B66" s="70">
        <v>53.2</v>
      </c>
      <c r="C66" s="70">
        <v>48.3</v>
      </c>
      <c r="D66" s="70">
        <v>48.3</v>
      </c>
      <c r="E66" s="70">
        <v>48.6</v>
      </c>
      <c r="F66" s="70">
        <v>49.4</v>
      </c>
      <c r="G66" s="70">
        <v>50.4</v>
      </c>
      <c r="H66" s="70">
        <v>50.2</v>
      </c>
      <c r="I66" s="70">
        <v>50.2</v>
      </c>
      <c r="J66" s="70">
        <v>50.6</v>
      </c>
      <c r="K66" s="70">
        <v>50.6</v>
      </c>
      <c r="L66" s="122">
        <v>50.2</v>
      </c>
      <c r="M66" s="122">
        <v>50.2</v>
      </c>
      <c r="N66" s="122">
        <v>50.4</v>
      </c>
      <c r="O66" s="122">
        <v>50.4</v>
      </c>
      <c r="P66" s="122">
        <v>48.6</v>
      </c>
      <c r="Q66" s="122">
        <v>48.6</v>
      </c>
      <c r="R66" s="122">
        <v>48.6</v>
      </c>
      <c r="S66" s="70">
        <v>48.3</v>
      </c>
      <c r="T66" s="70">
        <v>48.3</v>
      </c>
      <c r="U66" s="70">
        <v>48.3</v>
      </c>
      <c r="V66" s="70">
        <v>44.1</v>
      </c>
      <c r="W66" s="102">
        <v>44.3</v>
      </c>
      <c r="X66" s="102">
        <v>44.3</v>
      </c>
      <c r="Y66" s="102">
        <v>58.5</v>
      </c>
      <c r="Z66" s="102">
        <v>56.2</v>
      </c>
      <c r="AA66" s="102">
        <v>56.2</v>
      </c>
      <c r="AB66" s="102">
        <v>56.2</v>
      </c>
      <c r="AC66" s="102">
        <v>56.2</v>
      </c>
      <c r="AD66" s="102">
        <v>56.2</v>
      </c>
      <c r="AE66" s="102">
        <v>56.2</v>
      </c>
      <c r="AF66" s="102">
        <v>56.2</v>
      </c>
      <c r="AG66" s="86">
        <v>60</v>
      </c>
      <c r="AH66" s="12">
        <f t="shared" si="8"/>
        <v>58.5</v>
      </c>
      <c r="AI66" s="11">
        <f t="shared" si="9"/>
        <v>44.1</v>
      </c>
      <c r="AK66" s="19"/>
    </row>
    <row r="67" spans="1:75" x14ac:dyDescent="0.25">
      <c r="A67" s="87" t="s">
        <v>200</v>
      </c>
      <c r="B67" s="102">
        <v>10.7</v>
      </c>
      <c r="C67" s="102">
        <v>10.4</v>
      </c>
      <c r="D67" s="102">
        <v>10.5</v>
      </c>
      <c r="E67" s="70">
        <v>0</v>
      </c>
      <c r="F67" s="70">
        <v>0</v>
      </c>
      <c r="G67" s="70">
        <v>15</v>
      </c>
      <c r="H67" s="70">
        <v>15</v>
      </c>
      <c r="I67" s="70">
        <v>15</v>
      </c>
      <c r="J67" s="70">
        <v>14.9</v>
      </c>
      <c r="K67" s="70">
        <v>22.8</v>
      </c>
      <c r="L67" s="122">
        <v>23</v>
      </c>
      <c r="M67" s="122">
        <v>23</v>
      </c>
      <c r="N67" s="122">
        <v>23.8</v>
      </c>
      <c r="O67" s="122">
        <v>23.8</v>
      </c>
      <c r="P67" s="122">
        <v>23.1</v>
      </c>
      <c r="Q67" s="122">
        <v>23.1</v>
      </c>
      <c r="R67" s="122">
        <v>23.1</v>
      </c>
      <c r="S67" s="70">
        <v>14</v>
      </c>
      <c r="T67" s="70">
        <v>14</v>
      </c>
      <c r="U67" s="70">
        <v>0</v>
      </c>
      <c r="V67" s="70">
        <v>0</v>
      </c>
      <c r="W67" s="102">
        <v>0</v>
      </c>
      <c r="X67" s="102">
        <v>0</v>
      </c>
      <c r="Y67" s="102">
        <v>0</v>
      </c>
      <c r="Z67" s="102">
        <v>14.7</v>
      </c>
      <c r="AA67" s="102">
        <v>14.7</v>
      </c>
      <c r="AB67" s="102">
        <v>14.3</v>
      </c>
      <c r="AC67" s="102">
        <v>14.3</v>
      </c>
      <c r="AD67" s="102">
        <v>14.3</v>
      </c>
      <c r="AE67" s="102">
        <v>28</v>
      </c>
      <c r="AF67" s="102">
        <v>22</v>
      </c>
      <c r="AG67" s="86">
        <v>30</v>
      </c>
      <c r="AH67" s="12">
        <f t="shared" si="8"/>
        <v>28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25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1</v>
      </c>
      <c r="K68" s="102">
        <v>4.2</v>
      </c>
      <c r="L68" s="70">
        <v>3.8</v>
      </c>
      <c r="M68" s="70">
        <v>3.8</v>
      </c>
      <c r="N68" s="70">
        <v>3.8</v>
      </c>
      <c r="O68" s="70">
        <v>3.8</v>
      </c>
      <c r="P68" s="70">
        <v>18.5</v>
      </c>
      <c r="Q68" s="70">
        <v>18.5</v>
      </c>
      <c r="R68" s="70">
        <v>18.5</v>
      </c>
      <c r="S68" s="70">
        <v>15.8</v>
      </c>
      <c r="T68" s="70">
        <v>6.8</v>
      </c>
      <c r="U68" s="70">
        <v>3.9</v>
      </c>
      <c r="V68" s="70">
        <v>2.6</v>
      </c>
      <c r="W68" s="102">
        <v>1</v>
      </c>
      <c r="X68" s="102">
        <v>1</v>
      </c>
      <c r="Y68" s="102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18.5</v>
      </c>
      <c r="AI68" s="11">
        <f t="shared" si="9"/>
        <v>0</v>
      </c>
      <c r="AK68" s="19"/>
      <c r="AY68" s="1" t="s">
        <v>198</v>
      </c>
      <c r="AZ68" s="78">
        <f>ROUND(C81,0)</f>
        <v>-1</v>
      </c>
      <c r="BA68" s="83">
        <f t="shared" ref="BA68:BD72" si="34">D81</f>
        <v>0</v>
      </c>
      <c r="BB68" s="83">
        <f t="shared" si="34"/>
        <v>7.6</v>
      </c>
      <c r="BC68" s="83">
        <f t="shared" si="34"/>
        <v>3.8</v>
      </c>
      <c r="BD68" s="83">
        <f t="shared" si="34"/>
        <v>10</v>
      </c>
      <c r="BE68" s="78">
        <f>I81</f>
        <v>11.9</v>
      </c>
      <c r="BF68" s="78">
        <f>K81</f>
        <v>57.3</v>
      </c>
      <c r="BG68" s="78">
        <f t="shared" ref="BG68:BP72" si="35">M81</f>
        <v>66.7</v>
      </c>
      <c r="BH68" s="78">
        <f t="shared" si="35"/>
        <v>55</v>
      </c>
      <c r="BI68" s="78">
        <f t="shared" si="35"/>
        <v>56</v>
      </c>
      <c r="BJ68" s="78">
        <f t="shared" si="35"/>
        <v>68.3</v>
      </c>
      <c r="BK68" s="78">
        <f t="shared" si="35"/>
        <v>68.5</v>
      </c>
      <c r="BL68" s="78">
        <f t="shared" si="35"/>
        <v>54</v>
      </c>
      <c r="BM68" s="78">
        <f t="shared" si="35"/>
        <v>79</v>
      </c>
      <c r="BN68" s="78">
        <f t="shared" si="35"/>
        <v>74.5</v>
      </c>
      <c r="BO68" s="78">
        <f t="shared" si="35"/>
        <v>64.599999999999994</v>
      </c>
      <c r="BP68" s="78">
        <f t="shared" si="35"/>
        <v>61.5</v>
      </c>
      <c r="BQ68" s="78">
        <f>X81</f>
        <v>53.2</v>
      </c>
      <c r="BR68" s="78">
        <f>Z81</f>
        <v>51.1</v>
      </c>
      <c r="BS68" s="83">
        <f>AB81</f>
        <v>60</v>
      </c>
      <c r="BT68" s="83">
        <f t="shared" ref="BT68:BV72" si="36">AD81</f>
        <v>57</v>
      </c>
      <c r="BU68" s="83">
        <f t="shared" si="36"/>
        <v>41</v>
      </c>
      <c r="BV68" s="83">
        <f t="shared" si="36"/>
        <v>43</v>
      </c>
      <c r="BW68" s="83">
        <f>B81</f>
        <v>19.7</v>
      </c>
    </row>
    <row r="69" spans="1:75" x14ac:dyDescent="0.25">
      <c r="A69" s="87" t="s">
        <v>197</v>
      </c>
      <c r="B69" s="70">
        <v>12.9</v>
      </c>
      <c r="C69" s="70">
        <v>12.9</v>
      </c>
      <c r="D69" s="70">
        <v>12.9</v>
      </c>
      <c r="E69" s="70">
        <v>13.4</v>
      </c>
      <c r="F69" s="70">
        <v>13.4</v>
      </c>
      <c r="G69" s="70">
        <v>13.4</v>
      </c>
      <c r="H69" s="70">
        <v>13.4</v>
      </c>
      <c r="I69" s="70">
        <v>13.4</v>
      </c>
      <c r="J69" s="70">
        <v>13.4</v>
      </c>
      <c r="K69" s="70">
        <v>13.4</v>
      </c>
      <c r="L69" s="70">
        <v>12.1</v>
      </c>
      <c r="M69" s="70">
        <v>12.1</v>
      </c>
      <c r="N69" s="70">
        <v>12.1</v>
      </c>
      <c r="O69" s="70">
        <v>12.1</v>
      </c>
      <c r="P69" s="70">
        <v>12.1</v>
      </c>
      <c r="Q69" s="70">
        <v>12.1</v>
      </c>
      <c r="R69" s="70">
        <v>12.1</v>
      </c>
      <c r="S69" s="70">
        <v>8.9</v>
      </c>
      <c r="T69" s="70">
        <v>8.9</v>
      </c>
      <c r="U69" s="70">
        <v>8.9</v>
      </c>
      <c r="V69" s="70">
        <v>8.8000000000000007</v>
      </c>
      <c r="W69" s="70">
        <v>8.9</v>
      </c>
      <c r="X69" s="70">
        <v>8.9</v>
      </c>
      <c r="Y69" s="70">
        <v>8.9</v>
      </c>
      <c r="Z69" s="70">
        <v>8.8000000000000007</v>
      </c>
      <c r="AA69" s="70">
        <v>8.9</v>
      </c>
      <c r="AB69" s="70">
        <v>8.9</v>
      </c>
      <c r="AC69" s="70">
        <v>8.9</v>
      </c>
      <c r="AD69" s="70">
        <v>8.9</v>
      </c>
      <c r="AE69" s="70">
        <v>8.9</v>
      </c>
      <c r="AF69" s="70">
        <v>8.9</v>
      </c>
      <c r="AG69" s="86">
        <v>24</v>
      </c>
      <c r="AH69" s="12">
        <f t="shared" si="8"/>
        <v>13.4</v>
      </c>
      <c r="AI69" s="11">
        <f t="shared" si="9"/>
        <v>8.8000000000000007</v>
      </c>
      <c r="AK69" s="19"/>
      <c r="AY69" s="1" t="s">
        <v>196</v>
      </c>
      <c r="AZ69" s="78">
        <f>ROUND(C82,0)</f>
        <v>0</v>
      </c>
      <c r="BA69" s="83">
        <f t="shared" si="34"/>
        <v>0</v>
      </c>
      <c r="BB69" s="83">
        <f t="shared" si="34"/>
        <v>0</v>
      </c>
      <c r="BC69" s="83">
        <f t="shared" si="34"/>
        <v>0</v>
      </c>
      <c r="BD69" s="83">
        <f t="shared" si="34"/>
        <v>0</v>
      </c>
      <c r="BE69" s="78">
        <f>I82</f>
        <v>0</v>
      </c>
      <c r="BF69" s="78">
        <f>K82</f>
        <v>140</v>
      </c>
      <c r="BG69" s="78">
        <f t="shared" si="35"/>
        <v>92</v>
      </c>
      <c r="BH69" s="78">
        <f t="shared" si="35"/>
        <v>81</v>
      </c>
      <c r="BI69" s="78">
        <f t="shared" si="35"/>
        <v>85</v>
      </c>
      <c r="BJ69" s="78">
        <f t="shared" si="35"/>
        <v>94.2</v>
      </c>
      <c r="BK69" s="78">
        <f t="shared" si="35"/>
        <v>81</v>
      </c>
      <c r="BL69" s="78">
        <f t="shared" si="35"/>
        <v>90</v>
      </c>
      <c r="BM69" s="78">
        <f t="shared" si="35"/>
        <v>81.400000000000006</v>
      </c>
      <c r="BN69" s="78">
        <f t="shared" si="35"/>
        <v>85.4</v>
      </c>
      <c r="BO69" s="78">
        <f t="shared" si="35"/>
        <v>68.400000000000006</v>
      </c>
      <c r="BP69" s="78">
        <f t="shared" si="35"/>
        <v>35.200000000000003</v>
      </c>
      <c r="BQ69" s="78">
        <f>X82</f>
        <v>0</v>
      </c>
      <c r="BR69" s="78">
        <f>Z82</f>
        <v>0</v>
      </c>
      <c r="BS69" s="83">
        <f>AB82</f>
        <v>0</v>
      </c>
      <c r="BT69" s="83">
        <f t="shared" si="36"/>
        <v>0</v>
      </c>
      <c r="BU69" s="83">
        <f t="shared" si="36"/>
        <v>0</v>
      </c>
      <c r="BV69" s="83">
        <f t="shared" si="36"/>
        <v>0</v>
      </c>
      <c r="BW69" s="83">
        <f>B82</f>
        <v>0</v>
      </c>
    </row>
    <row r="70" spans="1:75" x14ac:dyDescent="0.25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5</v>
      </c>
      <c r="BA70" s="83">
        <f t="shared" si="34"/>
        <v>2</v>
      </c>
      <c r="BB70" s="83">
        <f t="shared" si="34"/>
        <v>102.3</v>
      </c>
      <c r="BC70" s="83">
        <f t="shared" si="34"/>
        <v>72</v>
      </c>
      <c r="BD70" s="83">
        <f t="shared" si="34"/>
        <v>92.9</v>
      </c>
      <c r="BE70" s="78">
        <f>I83</f>
        <v>216</v>
      </c>
      <c r="BF70" s="78">
        <f>K83</f>
        <v>322</v>
      </c>
      <c r="BG70" s="78">
        <f t="shared" si="35"/>
        <v>366</v>
      </c>
      <c r="BH70" s="78">
        <f t="shared" si="35"/>
        <v>429</v>
      </c>
      <c r="BI70" s="78">
        <f t="shared" si="35"/>
        <v>433</v>
      </c>
      <c r="BJ70" s="78">
        <f t="shared" si="35"/>
        <v>435</v>
      </c>
      <c r="BK70" s="78">
        <f t="shared" si="35"/>
        <v>423</v>
      </c>
      <c r="BL70" s="78">
        <f t="shared" si="35"/>
        <v>414</v>
      </c>
      <c r="BM70" s="78">
        <f t="shared" si="35"/>
        <v>466</v>
      </c>
      <c r="BN70" s="78">
        <f t="shared" si="35"/>
        <v>440.9</v>
      </c>
      <c r="BO70" s="78">
        <f t="shared" si="35"/>
        <v>444</v>
      </c>
      <c r="BP70" s="78">
        <f t="shared" si="35"/>
        <v>426</v>
      </c>
      <c r="BQ70" s="78">
        <f>X83</f>
        <v>424</v>
      </c>
      <c r="BR70" s="78">
        <f>Z83</f>
        <v>176</v>
      </c>
      <c r="BS70" s="83">
        <f>AB83</f>
        <v>134</v>
      </c>
      <c r="BT70" s="83">
        <f t="shared" si="36"/>
        <v>146</v>
      </c>
      <c r="BU70" s="83">
        <f t="shared" si="36"/>
        <v>30</v>
      </c>
      <c r="BV70" s="83">
        <f t="shared" si="36"/>
        <v>65</v>
      </c>
      <c r="BW70" s="83">
        <f>B83</f>
        <v>0</v>
      </c>
    </row>
    <row r="71" spans="1:75" s="115" customFormat="1" x14ac:dyDescent="0.25">
      <c r="A71" s="87" t="s">
        <v>193</v>
      </c>
      <c r="B71" s="70">
        <v>10</v>
      </c>
      <c r="C71" s="70">
        <v>10</v>
      </c>
      <c r="D71" s="70">
        <v>10</v>
      </c>
      <c r="E71" s="70">
        <v>10</v>
      </c>
      <c r="F71" s="70">
        <v>10</v>
      </c>
      <c r="G71" s="70">
        <v>10</v>
      </c>
      <c r="H71" s="70">
        <v>10</v>
      </c>
      <c r="I71" s="70">
        <v>10</v>
      </c>
      <c r="J71" s="70">
        <v>10</v>
      </c>
      <c r="K71" s="70">
        <v>10</v>
      </c>
      <c r="L71" s="70">
        <v>10</v>
      </c>
      <c r="M71" s="70">
        <v>10</v>
      </c>
      <c r="N71" s="70">
        <v>10</v>
      </c>
      <c r="O71" s="70">
        <v>10</v>
      </c>
      <c r="P71" s="70">
        <v>10</v>
      </c>
      <c r="Q71" s="70">
        <v>10</v>
      </c>
      <c r="R71" s="70">
        <v>10</v>
      </c>
      <c r="S71" s="70">
        <v>4.7</v>
      </c>
      <c r="T71" s="70">
        <v>4.7</v>
      </c>
      <c r="U71" s="70">
        <v>4.7</v>
      </c>
      <c r="V71" s="70">
        <v>8.6999999999999993</v>
      </c>
      <c r="W71" s="70">
        <v>8.5</v>
      </c>
      <c r="X71" s="70">
        <v>8.5</v>
      </c>
      <c r="Y71" s="70">
        <v>7</v>
      </c>
      <c r="Z71" s="70">
        <v>6.5</v>
      </c>
      <c r="AA71" s="70">
        <v>6.1</v>
      </c>
      <c r="AB71" s="70">
        <v>6.1</v>
      </c>
      <c r="AC71" s="70">
        <v>6.1</v>
      </c>
      <c r="AD71" s="70">
        <v>6.1</v>
      </c>
      <c r="AE71" s="70">
        <v>6.1</v>
      </c>
      <c r="AF71" s="70">
        <v>6.1</v>
      </c>
      <c r="AG71" s="86">
        <v>14.1</v>
      </c>
      <c r="AH71" s="12">
        <f t="shared" si="8"/>
        <v>10</v>
      </c>
      <c r="AI71" s="11">
        <f t="shared" si="9"/>
        <v>4.7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34"/>
        <v>0</v>
      </c>
      <c r="BB71" s="83">
        <f t="shared" si="34"/>
        <v>0</v>
      </c>
      <c r="BC71" s="83">
        <f t="shared" si="34"/>
        <v>0</v>
      </c>
      <c r="BD71" s="83">
        <f t="shared" si="34"/>
        <v>0</v>
      </c>
      <c r="BE71" s="78">
        <f>I84</f>
        <v>0</v>
      </c>
      <c r="BF71" s="78">
        <f>K84</f>
        <v>54.1</v>
      </c>
      <c r="BG71" s="78">
        <f t="shared" si="35"/>
        <v>61.5</v>
      </c>
      <c r="BH71" s="78">
        <f t="shared" si="35"/>
        <v>40</v>
      </c>
      <c r="BI71" s="78">
        <f t="shared" si="35"/>
        <v>47</v>
      </c>
      <c r="BJ71" s="78">
        <f t="shared" si="35"/>
        <v>57.4</v>
      </c>
      <c r="BK71" s="78">
        <f t="shared" si="35"/>
        <v>50</v>
      </c>
      <c r="BL71" s="78">
        <f t="shared" si="35"/>
        <v>48</v>
      </c>
      <c r="BM71" s="78">
        <f t="shared" si="35"/>
        <v>43</v>
      </c>
      <c r="BN71" s="78">
        <f t="shared" si="35"/>
        <v>52.7</v>
      </c>
      <c r="BO71" s="78">
        <f t="shared" si="35"/>
        <v>46.2</v>
      </c>
      <c r="BP71" s="78">
        <f t="shared" si="35"/>
        <v>37</v>
      </c>
      <c r="BQ71" s="78">
        <f>X84</f>
        <v>27.9</v>
      </c>
      <c r="BR71" s="78">
        <f>Z84</f>
        <v>20.6</v>
      </c>
      <c r="BS71" s="83">
        <f>AB84</f>
        <v>18</v>
      </c>
      <c r="BT71" s="83">
        <f t="shared" si="36"/>
        <v>0</v>
      </c>
      <c r="BU71" s="83">
        <f t="shared" si="36"/>
        <v>0</v>
      </c>
      <c r="BV71" s="83">
        <f t="shared" si="36"/>
        <v>0</v>
      </c>
      <c r="BW71" s="83">
        <f>B84</f>
        <v>0</v>
      </c>
    </row>
    <row r="72" spans="1:75" x14ac:dyDescent="0.25">
      <c r="A72" s="111" t="s">
        <v>191</v>
      </c>
      <c r="B72" s="70">
        <v>7.2</v>
      </c>
      <c r="C72" s="70">
        <v>7</v>
      </c>
      <c r="D72" s="70">
        <v>7</v>
      </c>
      <c r="E72" s="70">
        <v>7</v>
      </c>
      <c r="F72" s="70">
        <v>7</v>
      </c>
      <c r="G72" s="70">
        <v>7</v>
      </c>
      <c r="H72" s="70">
        <v>7</v>
      </c>
      <c r="I72" s="70">
        <v>7</v>
      </c>
      <c r="J72" s="70">
        <v>7</v>
      </c>
      <c r="K72" s="70">
        <v>7</v>
      </c>
      <c r="L72" s="70">
        <v>7</v>
      </c>
      <c r="M72" s="70">
        <v>7</v>
      </c>
      <c r="N72" s="70">
        <v>7</v>
      </c>
      <c r="O72" s="70">
        <v>7</v>
      </c>
      <c r="P72" s="70">
        <v>7</v>
      </c>
      <c r="Q72" s="70">
        <v>7</v>
      </c>
      <c r="R72" s="70">
        <v>7</v>
      </c>
      <c r="S72" s="70">
        <v>5.9</v>
      </c>
      <c r="T72" s="70">
        <v>5.9</v>
      </c>
      <c r="U72" s="70">
        <v>5.9</v>
      </c>
      <c r="V72" s="70">
        <v>5.9</v>
      </c>
      <c r="W72" s="70">
        <v>5.7</v>
      </c>
      <c r="X72" s="70">
        <v>5.7</v>
      </c>
      <c r="Y72" s="70">
        <v>5.8</v>
      </c>
      <c r="Z72" s="70">
        <v>5.8</v>
      </c>
      <c r="AA72" s="70">
        <v>5.8</v>
      </c>
      <c r="AB72" s="70">
        <v>5.8</v>
      </c>
      <c r="AC72" s="70">
        <v>5.8</v>
      </c>
      <c r="AD72" s="70">
        <v>5.8</v>
      </c>
      <c r="AE72" s="70">
        <v>5.8</v>
      </c>
      <c r="AF72" s="70">
        <v>5.8</v>
      </c>
      <c r="AG72" s="86">
        <v>14</v>
      </c>
      <c r="AH72" s="12">
        <f t="shared" si="8"/>
        <v>7.2</v>
      </c>
      <c r="AI72" s="11">
        <f t="shared" si="9"/>
        <v>5.7</v>
      </c>
      <c r="AK72" s="19"/>
      <c r="AY72" s="1" t="s">
        <v>190</v>
      </c>
      <c r="AZ72" s="78">
        <f>ROUND(C85,0)</f>
        <v>0</v>
      </c>
      <c r="BA72" s="83">
        <f t="shared" si="34"/>
        <v>0</v>
      </c>
      <c r="BB72" s="83">
        <f t="shared" si="34"/>
        <v>0</v>
      </c>
      <c r="BC72" s="83">
        <f t="shared" si="34"/>
        <v>0</v>
      </c>
      <c r="BD72" s="83">
        <f t="shared" si="34"/>
        <v>0</v>
      </c>
      <c r="BE72" s="78">
        <f>I85</f>
        <v>0</v>
      </c>
      <c r="BF72" s="78">
        <f>K85</f>
        <v>96.2</v>
      </c>
      <c r="BG72" s="78">
        <f t="shared" si="35"/>
        <v>126</v>
      </c>
      <c r="BH72" s="78">
        <f t="shared" si="35"/>
        <v>105</v>
      </c>
      <c r="BI72" s="78">
        <f t="shared" si="35"/>
        <v>123</v>
      </c>
      <c r="BJ72" s="78">
        <f t="shared" si="35"/>
        <v>132.5</v>
      </c>
      <c r="BK72" s="78">
        <f t="shared" si="35"/>
        <v>134</v>
      </c>
      <c r="BL72" s="78">
        <f t="shared" si="35"/>
        <v>131</v>
      </c>
      <c r="BM72" s="78">
        <f t="shared" si="35"/>
        <v>132</v>
      </c>
      <c r="BN72" s="78">
        <f t="shared" si="35"/>
        <v>136.4</v>
      </c>
      <c r="BO72" s="78">
        <f t="shared" si="35"/>
        <v>129.9</v>
      </c>
      <c r="BP72" s="78">
        <f t="shared" si="35"/>
        <v>116.5</v>
      </c>
      <c r="BQ72" s="78">
        <f>X85</f>
        <v>113.7</v>
      </c>
      <c r="BR72" s="78">
        <f>Z85</f>
        <v>0</v>
      </c>
      <c r="BS72" s="83">
        <f>AB85</f>
        <v>0</v>
      </c>
      <c r="BT72" s="83">
        <f t="shared" si="36"/>
        <v>0</v>
      </c>
      <c r="BU72" s="83">
        <f t="shared" si="36"/>
        <v>0</v>
      </c>
      <c r="BV72" s="83">
        <f t="shared" si="36"/>
        <v>0</v>
      </c>
      <c r="BW72" s="83">
        <f>B85</f>
        <v>0</v>
      </c>
    </row>
    <row r="73" spans="1:75" x14ac:dyDescent="0.25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8"/>
        <v>4</v>
      </c>
      <c r="AI73" s="11">
        <f t="shared" si="9"/>
        <v>4</v>
      </c>
      <c r="AK73" s="19"/>
      <c r="AY73" s="1" t="s">
        <v>188</v>
      </c>
      <c r="AZ73" s="78">
        <f>ROUND(C91,0)</f>
        <v>36</v>
      </c>
      <c r="BA73" s="78">
        <f>D91</f>
        <v>35.200000000000003</v>
      </c>
      <c r="BB73" s="78">
        <f>E91</f>
        <v>35.700000000000003</v>
      </c>
      <c r="BC73" s="78">
        <f>F91</f>
        <v>34.1</v>
      </c>
      <c r="BD73" s="78">
        <f>G91</f>
        <v>32.5</v>
      </c>
      <c r="BE73" s="78">
        <f>I91</f>
        <v>36.5</v>
      </c>
      <c r="BF73" s="78">
        <f>K91</f>
        <v>49.6</v>
      </c>
      <c r="BG73" s="78">
        <f t="shared" ref="BG73:BP73" si="37">M91</f>
        <v>47.9</v>
      </c>
      <c r="BH73" s="78">
        <f t="shared" si="37"/>
        <v>51</v>
      </c>
      <c r="BI73" s="78">
        <f t="shared" si="37"/>
        <v>46</v>
      </c>
      <c r="BJ73" s="78">
        <f t="shared" si="37"/>
        <v>51.6</v>
      </c>
      <c r="BK73" s="78">
        <f t="shared" si="37"/>
        <v>46.2</v>
      </c>
      <c r="BL73" s="78">
        <f t="shared" si="37"/>
        <v>48</v>
      </c>
      <c r="BM73" s="78">
        <f t="shared" si="37"/>
        <v>50.1</v>
      </c>
      <c r="BN73" s="78">
        <f t="shared" si="37"/>
        <v>54.7</v>
      </c>
      <c r="BO73" s="78">
        <f t="shared" si="37"/>
        <v>55.1</v>
      </c>
      <c r="BP73" s="78">
        <f t="shared" si="37"/>
        <v>45.1</v>
      </c>
      <c r="BQ73" s="78">
        <f>X91</f>
        <v>40</v>
      </c>
      <c r="BR73" s="78">
        <f>Z91</f>
        <v>39.9</v>
      </c>
      <c r="BS73" s="78">
        <f>AB91</f>
        <v>39</v>
      </c>
      <c r="BT73" s="78">
        <f>AD91</f>
        <v>41</v>
      </c>
      <c r="BU73" s="78">
        <f>AE91</f>
        <v>41</v>
      </c>
      <c r="BV73" s="78">
        <f>AF91</f>
        <v>42</v>
      </c>
      <c r="BW73" s="78">
        <f>B91</f>
        <v>32</v>
      </c>
    </row>
    <row r="74" spans="1:75" x14ac:dyDescent="0.25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.75" thickBot="1" x14ac:dyDescent="0.3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3.5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</v>
      </c>
      <c r="AK75" s="19"/>
      <c r="AZ75" s="78">
        <f t="shared" ref="AZ75:BW80" si="38">VALUE(AZ68)</f>
        <v>-1</v>
      </c>
      <c r="BA75" s="78">
        <f t="shared" si="38"/>
        <v>0</v>
      </c>
      <c r="BB75" s="78">
        <f t="shared" si="38"/>
        <v>7.6</v>
      </c>
      <c r="BC75" s="78">
        <f t="shared" si="38"/>
        <v>3.8</v>
      </c>
      <c r="BD75" s="78">
        <f t="shared" si="38"/>
        <v>10</v>
      </c>
      <c r="BE75" s="78">
        <f t="shared" si="38"/>
        <v>11.9</v>
      </c>
      <c r="BF75" s="78">
        <f t="shared" si="38"/>
        <v>57.3</v>
      </c>
      <c r="BG75" s="78">
        <f t="shared" si="38"/>
        <v>66.7</v>
      </c>
      <c r="BH75" s="78">
        <f t="shared" si="38"/>
        <v>55</v>
      </c>
      <c r="BI75" s="78">
        <f t="shared" si="38"/>
        <v>56</v>
      </c>
      <c r="BJ75" s="78">
        <f t="shared" si="38"/>
        <v>68.3</v>
      </c>
      <c r="BK75" s="78">
        <f t="shared" si="38"/>
        <v>68.5</v>
      </c>
      <c r="BL75" s="78">
        <f t="shared" si="38"/>
        <v>54</v>
      </c>
      <c r="BM75" s="78">
        <f t="shared" si="38"/>
        <v>79</v>
      </c>
      <c r="BN75" s="78">
        <f t="shared" si="38"/>
        <v>74.5</v>
      </c>
      <c r="BO75" s="78">
        <f t="shared" si="38"/>
        <v>64.599999999999994</v>
      </c>
      <c r="BP75" s="78">
        <f t="shared" si="38"/>
        <v>61.5</v>
      </c>
      <c r="BQ75" s="78">
        <f t="shared" si="38"/>
        <v>53.2</v>
      </c>
      <c r="BR75" s="78">
        <f t="shared" si="38"/>
        <v>51.1</v>
      </c>
      <c r="BS75" s="78">
        <f t="shared" si="38"/>
        <v>60</v>
      </c>
      <c r="BT75" s="78">
        <f t="shared" si="38"/>
        <v>57</v>
      </c>
      <c r="BU75" s="78">
        <f t="shared" si="38"/>
        <v>41</v>
      </c>
      <c r="BV75" s="78">
        <f t="shared" si="38"/>
        <v>43</v>
      </c>
      <c r="BW75" s="78">
        <f t="shared" si="38"/>
        <v>19.7</v>
      </c>
    </row>
    <row r="76" spans="1:75" ht="15.75" thickBot="1" x14ac:dyDescent="0.3">
      <c r="A76" s="77" t="s">
        <v>186</v>
      </c>
      <c r="B76" s="76">
        <f t="shared" ref="B76:AG76" si="39">SUM(B63:B75)</f>
        <v>245.03999999999996</v>
      </c>
      <c r="C76" s="76">
        <f t="shared" si="39"/>
        <v>239.23999999999998</v>
      </c>
      <c r="D76" s="76">
        <f t="shared" si="39"/>
        <v>240.94</v>
      </c>
      <c r="E76" s="76">
        <f t="shared" si="39"/>
        <v>194.23999999999998</v>
      </c>
      <c r="F76" s="76">
        <f t="shared" si="39"/>
        <v>196.34</v>
      </c>
      <c r="G76" s="76">
        <f t="shared" si="39"/>
        <v>216.14</v>
      </c>
      <c r="H76" s="76">
        <f t="shared" si="39"/>
        <v>215.64</v>
      </c>
      <c r="I76" s="76">
        <f t="shared" si="39"/>
        <v>223.84</v>
      </c>
      <c r="J76" s="76">
        <f t="shared" si="39"/>
        <v>240.04000000000002</v>
      </c>
      <c r="K76" s="76">
        <f t="shared" si="39"/>
        <v>308.33999999999997</v>
      </c>
      <c r="L76" s="76">
        <f t="shared" si="39"/>
        <v>299.94000000000005</v>
      </c>
      <c r="M76" s="76">
        <f t="shared" si="39"/>
        <v>299.94000000000005</v>
      </c>
      <c r="N76" s="76">
        <f t="shared" si="39"/>
        <v>256.04000000000002</v>
      </c>
      <c r="O76" s="76">
        <f t="shared" si="39"/>
        <v>265.64000000000004</v>
      </c>
      <c r="P76" s="76">
        <f t="shared" ref="P76" si="40">SUM(P63:P75)</f>
        <v>271.44</v>
      </c>
      <c r="Q76" s="76">
        <f t="shared" si="39"/>
        <v>269.24</v>
      </c>
      <c r="R76" s="76">
        <f t="shared" si="39"/>
        <v>269.24</v>
      </c>
      <c r="S76" s="76">
        <f t="shared" si="39"/>
        <v>237.84</v>
      </c>
      <c r="T76" s="76">
        <f t="shared" si="39"/>
        <v>249.43999999999997</v>
      </c>
      <c r="U76" s="76">
        <f t="shared" si="39"/>
        <v>235.74</v>
      </c>
      <c r="V76" s="76">
        <f t="shared" si="39"/>
        <v>220.94</v>
      </c>
      <c r="W76" s="76">
        <f t="shared" si="39"/>
        <v>203.73999999999998</v>
      </c>
      <c r="X76" s="76">
        <f t="shared" si="39"/>
        <v>203.73999999999998</v>
      </c>
      <c r="Y76" s="76">
        <f t="shared" si="39"/>
        <v>266.7</v>
      </c>
      <c r="Z76" s="76">
        <f>SUM(Z63:Z75)</f>
        <v>312.8</v>
      </c>
      <c r="AA76" s="76">
        <f t="shared" si="39"/>
        <v>330.34000000000003</v>
      </c>
      <c r="AB76" s="76">
        <f t="shared" ref="AB76:AC76" si="41">SUM(AB63:AB75)</f>
        <v>326.84000000000003</v>
      </c>
      <c r="AC76" s="76">
        <f t="shared" si="41"/>
        <v>326.84000000000003</v>
      </c>
      <c r="AD76" s="76">
        <f t="shared" ref="AD76:AE76" si="42">SUM(AD63:AD75)</f>
        <v>317.84000000000003</v>
      </c>
      <c r="AE76" s="76">
        <f t="shared" si="42"/>
        <v>331.54</v>
      </c>
      <c r="AF76" s="76">
        <f t="shared" ref="AF76" si="43">SUM(AF63:AF75)</f>
        <v>325.54000000000002</v>
      </c>
      <c r="AG76" s="93">
        <f t="shared" si="39"/>
        <v>489.91</v>
      </c>
      <c r="AH76" s="12">
        <f t="shared" si="8"/>
        <v>331.54</v>
      </c>
      <c r="AI76" s="11">
        <f t="shared" si="9"/>
        <v>194.23999999999998</v>
      </c>
      <c r="AK76" s="19"/>
      <c r="AZ76" s="78">
        <f t="shared" si="38"/>
        <v>0</v>
      </c>
      <c r="BA76" s="78">
        <f t="shared" si="38"/>
        <v>0</v>
      </c>
      <c r="BB76" s="78">
        <f t="shared" si="38"/>
        <v>0</v>
      </c>
      <c r="BC76" s="78">
        <f t="shared" si="38"/>
        <v>0</v>
      </c>
      <c r="BD76" s="78">
        <f t="shared" si="38"/>
        <v>0</v>
      </c>
      <c r="BE76" s="78">
        <f t="shared" si="38"/>
        <v>0</v>
      </c>
      <c r="BF76" s="78">
        <f t="shared" si="38"/>
        <v>140</v>
      </c>
      <c r="BG76" s="78">
        <f t="shared" si="38"/>
        <v>92</v>
      </c>
      <c r="BH76" s="78">
        <f t="shared" si="38"/>
        <v>81</v>
      </c>
      <c r="BI76" s="78">
        <f t="shared" si="38"/>
        <v>85</v>
      </c>
      <c r="BJ76" s="78">
        <f t="shared" si="38"/>
        <v>94.2</v>
      </c>
      <c r="BK76" s="78">
        <f t="shared" si="38"/>
        <v>81</v>
      </c>
      <c r="BL76" s="78">
        <f t="shared" si="38"/>
        <v>90</v>
      </c>
      <c r="BM76" s="78">
        <f t="shared" si="38"/>
        <v>81.400000000000006</v>
      </c>
      <c r="BN76" s="78">
        <f t="shared" si="38"/>
        <v>85.4</v>
      </c>
      <c r="BO76" s="78">
        <f t="shared" si="38"/>
        <v>68.400000000000006</v>
      </c>
      <c r="BP76" s="78">
        <f t="shared" si="38"/>
        <v>35.200000000000003</v>
      </c>
      <c r="BQ76" s="78">
        <f t="shared" si="38"/>
        <v>0</v>
      </c>
      <c r="BR76" s="78">
        <f t="shared" si="38"/>
        <v>0</v>
      </c>
      <c r="BS76" s="78">
        <f t="shared" si="38"/>
        <v>0</v>
      </c>
      <c r="BT76" s="78">
        <f t="shared" si="38"/>
        <v>0</v>
      </c>
      <c r="BU76" s="78">
        <f t="shared" si="38"/>
        <v>0</v>
      </c>
      <c r="BV76" s="78">
        <f t="shared" si="38"/>
        <v>0</v>
      </c>
      <c r="BW76" s="78">
        <f t="shared" si="38"/>
        <v>0</v>
      </c>
    </row>
    <row r="77" spans="1:75" x14ac:dyDescent="0.25">
      <c r="A77" s="89" t="s">
        <v>185</v>
      </c>
      <c r="B77" s="102">
        <v>58.9</v>
      </c>
      <c r="C77" s="102">
        <v>39.700000000000003</v>
      </c>
      <c r="D77" s="102">
        <v>34</v>
      </c>
      <c r="E77" s="102">
        <v>29.1</v>
      </c>
      <c r="F77" s="102">
        <v>29.5</v>
      </c>
      <c r="G77" s="102">
        <v>10.6</v>
      </c>
      <c r="H77" s="102">
        <v>10.6</v>
      </c>
      <c r="I77" s="102">
        <v>29.8</v>
      </c>
      <c r="J77" s="102">
        <v>10</v>
      </c>
      <c r="K77" s="102">
        <v>0</v>
      </c>
      <c r="L77" s="102">
        <v>20.2</v>
      </c>
      <c r="M77" s="102">
        <v>10</v>
      </c>
      <c r="N77" s="102">
        <v>10</v>
      </c>
      <c r="O77" s="102">
        <v>20</v>
      </c>
      <c r="P77" s="102">
        <v>40</v>
      </c>
      <c r="Q77" s="102">
        <v>30</v>
      </c>
      <c r="R77" s="102">
        <v>50</v>
      </c>
      <c r="S77" s="102">
        <v>59.3</v>
      </c>
      <c r="T77" s="102">
        <v>59.3</v>
      </c>
      <c r="U77" s="102">
        <v>59.3</v>
      </c>
      <c r="V77" s="102">
        <v>59.2</v>
      </c>
      <c r="W77" s="102">
        <v>59</v>
      </c>
      <c r="X77" s="102">
        <v>45</v>
      </c>
      <c r="Y77" s="102">
        <v>46.2</v>
      </c>
      <c r="Z77" s="102">
        <v>59.5</v>
      </c>
      <c r="AA77" s="102">
        <v>59.5</v>
      </c>
      <c r="AB77" s="102">
        <v>59.5</v>
      </c>
      <c r="AC77" s="102">
        <v>59.5</v>
      </c>
      <c r="AD77" s="102">
        <v>59.5</v>
      </c>
      <c r="AE77" s="102">
        <v>59.5</v>
      </c>
      <c r="AF77" s="102">
        <v>59.5</v>
      </c>
      <c r="AG77" s="88">
        <v>60</v>
      </c>
      <c r="AH77" s="12">
        <f t="shared" si="8"/>
        <v>59.5</v>
      </c>
      <c r="AI77" s="11">
        <f t="shared" si="9"/>
        <v>0</v>
      </c>
      <c r="AK77" s="19"/>
      <c r="AZ77" s="78">
        <f t="shared" si="38"/>
        <v>5</v>
      </c>
      <c r="BA77" s="78">
        <f t="shared" si="38"/>
        <v>2</v>
      </c>
      <c r="BB77" s="78">
        <f t="shared" si="38"/>
        <v>102.3</v>
      </c>
      <c r="BC77" s="78">
        <f t="shared" si="38"/>
        <v>72</v>
      </c>
      <c r="BD77" s="78">
        <f t="shared" si="38"/>
        <v>92.9</v>
      </c>
      <c r="BE77" s="78">
        <f t="shared" si="38"/>
        <v>216</v>
      </c>
      <c r="BF77" s="78">
        <f t="shared" si="38"/>
        <v>322</v>
      </c>
      <c r="BG77" s="78">
        <f t="shared" si="38"/>
        <v>366</v>
      </c>
      <c r="BH77" s="78">
        <f t="shared" si="38"/>
        <v>429</v>
      </c>
      <c r="BI77" s="78">
        <f t="shared" si="38"/>
        <v>433</v>
      </c>
      <c r="BJ77" s="78">
        <f t="shared" si="38"/>
        <v>435</v>
      </c>
      <c r="BK77" s="78">
        <f t="shared" si="38"/>
        <v>423</v>
      </c>
      <c r="BL77" s="78">
        <f t="shared" si="38"/>
        <v>414</v>
      </c>
      <c r="BM77" s="78">
        <f t="shared" si="38"/>
        <v>466</v>
      </c>
      <c r="BN77" s="78">
        <f t="shared" si="38"/>
        <v>440.9</v>
      </c>
      <c r="BO77" s="78">
        <f t="shared" si="38"/>
        <v>444</v>
      </c>
      <c r="BP77" s="78">
        <f t="shared" si="38"/>
        <v>426</v>
      </c>
      <c r="BQ77" s="78">
        <f t="shared" si="38"/>
        <v>424</v>
      </c>
      <c r="BR77" s="78">
        <f t="shared" si="38"/>
        <v>176</v>
      </c>
      <c r="BS77" s="78">
        <f t="shared" si="38"/>
        <v>134</v>
      </c>
      <c r="BT77" s="78">
        <f t="shared" si="38"/>
        <v>146</v>
      </c>
      <c r="BU77" s="78">
        <f t="shared" si="38"/>
        <v>30</v>
      </c>
      <c r="BV77" s="78">
        <f t="shared" si="38"/>
        <v>65</v>
      </c>
      <c r="BW77" s="78">
        <f t="shared" si="38"/>
        <v>0</v>
      </c>
    </row>
    <row r="78" spans="1:75" x14ac:dyDescent="0.25">
      <c r="A78" s="87" t="s">
        <v>184</v>
      </c>
      <c r="B78" s="70">
        <v>0</v>
      </c>
      <c r="C78" s="70">
        <v>9.6999999999999993</v>
      </c>
      <c r="D78" s="70">
        <v>14.1</v>
      </c>
      <c r="E78" s="70">
        <v>7.2</v>
      </c>
      <c r="F78" s="70">
        <v>14.2</v>
      </c>
      <c r="G78" s="70">
        <v>2.8</v>
      </c>
      <c r="H78" s="70">
        <v>2.8</v>
      </c>
      <c r="I78" s="70">
        <v>13.7</v>
      </c>
      <c r="J78" s="70">
        <v>3.3</v>
      </c>
      <c r="K78" s="70">
        <v>0</v>
      </c>
      <c r="L78" s="70">
        <v>8</v>
      </c>
      <c r="M78" s="70">
        <v>13</v>
      </c>
      <c r="N78" s="70">
        <v>8</v>
      </c>
      <c r="O78" s="70">
        <v>8.6</v>
      </c>
      <c r="P78" s="70">
        <v>15.7</v>
      </c>
      <c r="Q78" s="70">
        <v>13</v>
      </c>
      <c r="R78" s="70">
        <v>22</v>
      </c>
      <c r="S78" s="70">
        <v>27.6</v>
      </c>
      <c r="T78" s="70">
        <v>27.6</v>
      </c>
      <c r="U78" s="70">
        <v>27.6</v>
      </c>
      <c r="V78" s="70">
        <v>28.3</v>
      </c>
      <c r="W78" s="70">
        <v>28.2</v>
      </c>
      <c r="X78" s="70">
        <v>20.3</v>
      </c>
      <c r="Y78" s="70">
        <v>20.9</v>
      </c>
      <c r="Z78" s="70">
        <v>28.4</v>
      </c>
      <c r="AA78" s="70">
        <v>28.4</v>
      </c>
      <c r="AB78" s="70">
        <v>28.4</v>
      </c>
      <c r="AC78" s="70">
        <v>28.4</v>
      </c>
      <c r="AD78" s="70">
        <v>28.4</v>
      </c>
      <c r="AE78" s="70">
        <v>28.4</v>
      </c>
      <c r="AF78" s="70">
        <v>28.4</v>
      </c>
      <c r="AG78" s="86">
        <v>32</v>
      </c>
      <c r="AH78" s="12">
        <f t="shared" si="8"/>
        <v>28.4</v>
      </c>
      <c r="AI78" s="11">
        <f t="shared" si="9"/>
        <v>0</v>
      </c>
      <c r="AK78" s="19"/>
      <c r="AZ78" s="78">
        <f t="shared" si="38"/>
        <v>0</v>
      </c>
      <c r="BA78" s="78">
        <f t="shared" si="38"/>
        <v>0</v>
      </c>
      <c r="BB78" s="78">
        <f t="shared" si="38"/>
        <v>0</v>
      </c>
      <c r="BC78" s="78">
        <f t="shared" si="38"/>
        <v>0</v>
      </c>
      <c r="BD78" s="78">
        <f t="shared" si="38"/>
        <v>0</v>
      </c>
      <c r="BE78" s="78">
        <f t="shared" si="38"/>
        <v>0</v>
      </c>
      <c r="BF78" s="78">
        <f t="shared" si="38"/>
        <v>54.1</v>
      </c>
      <c r="BG78" s="78">
        <f t="shared" si="38"/>
        <v>61.5</v>
      </c>
      <c r="BH78" s="78">
        <f t="shared" si="38"/>
        <v>40</v>
      </c>
      <c r="BI78" s="78">
        <f t="shared" si="38"/>
        <v>47</v>
      </c>
      <c r="BJ78" s="78">
        <f t="shared" si="38"/>
        <v>57.4</v>
      </c>
      <c r="BK78" s="78">
        <f t="shared" si="38"/>
        <v>50</v>
      </c>
      <c r="BL78" s="78">
        <f t="shared" si="38"/>
        <v>48</v>
      </c>
      <c r="BM78" s="78">
        <f t="shared" si="38"/>
        <v>43</v>
      </c>
      <c r="BN78" s="78">
        <f t="shared" si="38"/>
        <v>52.7</v>
      </c>
      <c r="BO78" s="78">
        <f t="shared" si="38"/>
        <v>46.2</v>
      </c>
      <c r="BP78" s="78">
        <f t="shared" si="38"/>
        <v>37</v>
      </c>
      <c r="BQ78" s="78">
        <f t="shared" si="38"/>
        <v>27.9</v>
      </c>
      <c r="BR78" s="78">
        <f t="shared" si="38"/>
        <v>20.6</v>
      </c>
      <c r="BS78" s="78">
        <f t="shared" si="38"/>
        <v>18</v>
      </c>
      <c r="BT78" s="78">
        <f t="shared" si="38"/>
        <v>0</v>
      </c>
      <c r="BU78" s="78">
        <f t="shared" si="38"/>
        <v>0</v>
      </c>
      <c r="BV78" s="78">
        <f t="shared" si="38"/>
        <v>0</v>
      </c>
      <c r="BW78" s="78">
        <f t="shared" si="38"/>
        <v>0</v>
      </c>
    </row>
    <row r="79" spans="1:75" ht="15.75" thickBot="1" x14ac:dyDescent="0.3">
      <c r="A79" s="111" t="s">
        <v>183</v>
      </c>
      <c r="B79" s="110">
        <v>0</v>
      </c>
      <c r="C79" s="110">
        <v>3.5</v>
      </c>
      <c r="D79" s="110">
        <v>5.2</v>
      </c>
      <c r="E79" s="110">
        <v>2.6</v>
      </c>
      <c r="F79" s="110">
        <v>5.2</v>
      </c>
      <c r="G79" s="110">
        <v>1</v>
      </c>
      <c r="H79" s="110">
        <v>1</v>
      </c>
      <c r="I79" s="110">
        <v>5</v>
      </c>
      <c r="J79" s="110">
        <v>1.2</v>
      </c>
      <c r="K79" s="110">
        <v>0</v>
      </c>
      <c r="L79" s="110">
        <v>2.9</v>
      </c>
      <c r="M79" s="110">
        <v>2.9</v>
      </c>
      <c r="N79" s="110">
        <v>3</v>
      </c>
      <c r="O79" s="110">
        <v>3.1</v>
      </c>
      <c r="P79" s="110">
        <v>5.7</v>
      </c>
      <c r="Q79" s="110">
        <v>5</v>
      </c>
      <c r="R79" s="110">
        <v>8.1</v>
      </c>
      <c r="S79" s="110">
        <v>10.1</v>
      </c>
      <c r="T79" s="110">
        <v>10.1</v>
      </c>
      <c r="U79" s="110">
        <v>10.1</v>
      </c>
      <c r="V79" s="110">
        <v>10.3</v>
      </c>
      <c r="W79" s="110">
        <v>10.4</v>
      </c>
      <c r="X79" s="110">
        <v>7.4</v>
      </c>
      <c r="Y79" s="110">
        <v>7.6</v>
      </c>
      <c r="Z79" s="110">
        <v>10.4</v>
      </c>
      <c r="AA79" s="110">
        <v>10.4</v>
      </c>
      <c r="AB79" s="110">
        <v>10.4</v>
      </c>
      <c r="AC79" s="110">
        <v>10.4</v>
      </c>
      <c r="AD79" s="110">
        <v>10.4</v>
      </c>
      <c r="AE79" s="110">
        <v>10.4</v>
      </c>
      <c r="AF79" s="110">
        <v>10.4</v>
      </c>
      <c r="AG79" s="109">
        <v>14</v>
      </c>
      <c r="AH79" s="12">
        <f t="shared" si="8"/>
        <v>10.4</v>
      </c>
      <c r="AI79" s="11">
        <f t="shared" si="9"/>
        <v>0</v>
      </c>
      <c r="AK79" s="19"/>
      <c r="AZ79" s="78">
        <f t="shared" si="38"/>
        <v>0</v>
      </c>
      <c r="BA79" s="78">
        <f t="shared" si="38"/>
        <v>0</v>
      </c>
      <c r="BB79" s="78">
        <f t="shared" si="38"/>
        <v>0</v>
      </c>
      <c r="BC79" s="78">
        <f t="shared" si="38"/>
        <v>0</v>
      </c>
      <c r="BD79" s="78">
        <f t="shared" si="38"/>
        <v>0</v>
      </c>
      <c r="BE79" s="78">
        <f t="shared" si="38"/>
        <v>0</v>
      </c>
      <c r="BF79" s="78">
        <f t="shared" si="38"/>
        <v>96.2</v>
      </c>
      <c r="BG79" s="78">
        <f t="shared" si="38"/>
        <v>126</v>
      </c>
      <c r="BH79" s="78">
        <f t="shared" si="38"/>
        <v>105</v>
      </c>
      <c r="BI79" s="78">
        <f t="shared" si="38"/>
        <v>123</v>
      </c>
      <c r="BJ79" s="78">
        <f t="shared" si="38"/>
        <v>132.5</v>
      </c>
      <c r="BK79" s="78">
        <f t="shared" si="38"/>
        <v>134</v>
      </c>
      <c r="BL79" s="78">
        <f t="shared" si="38"/>
        <v>131</v>
      </c>
      <c r="BM79" s="78">
        <f t="shared" si="38"/>
        <v>132</v>
      </c>
      <c r="BN79" s="78">
        <f t="shared" si="38"/>
        <v>136.4</v>
      </c>
      <c r="BO79" s="78">
        <f t="shared" si="38"/>
        <v>129.9</v>
      </c>
      <c r="BP79" s="78">
        <f t="shared" si="38"/>
        <v>116.5</v>
      </c>
      <c r="BQ79" s="78">
        <f t="shared" si="38"/>
        <v>113.7</v>
      </c>
      <c r="BR79" s="78">
        <f t="shared" si="38"/>
        <v>0</v>
      </c>
      <c r="BS79" s="78">
        <f t="shared" si="38"/>
        <v>0</v>
      </c>
      <c r="BT79" s="78">
        <f t="shared" si="38"/>
        <v>0</v>
      </c>
      <c r="BU79" s="78">
        <f t="shared" si="38"/>
        <v>0</v>
      </c>
      <c r="BV79" s="78">
        <f t="shared" si="38"/>
        <v>0</v>
      </c>
      <c r="BW79" s="78">
        <f t="shared" si="38"/>
        <v>0</v>
      </c>
    </row>
    <row r="80" spans="1:75" ht="15.75" thickBot="1" x14ac:dyDescent="0.3">
      <c r="A80" s="77" t="s">
        <v>182</v>
      </c>
      <c r="B80" s="76">
        <f t="shared" ref="B80:AA80" si="44">B77+B78+B79</f>
        <v>58.9</v>
      </c>
      <c r="C80" s="76">
        <f t="shared" si="44"/>
        <v>52.900000000000006</v>
      </c>
      <c r="D80" s="76">
        <f t="shared" si="44"/>
        <v>53.300000000000004</v>
      </c>
      <c r="E80" s="76">
        <f t="shared" si="44"/>
        <v>38.900000000000006</v>
      </c>
      <c r="F80" s="76">
        <f t="shared" si="44"/>
        <v>48.900000000000006</v>
      </c>
      <c r="G80" s="76">
        <f t="shared" si="44"/>
        <v>14.399999999999999</v>
      </c>
      <c r="H80" s="76">
        <f t="shared" si="44"/>
        <v>14.399999999999999</v>
      </c>
      <c r="I80" s="76">
        <f t="shared" si="44"/>
        <v>48.5</v>
      </c>
      <c r="J80" s="76">
        <f t="shared" si="44"/>
        <v>14.5</v>
      </c>
      <c r="K80" s="76">
        <f t="shared" si="44"/>
        <v>0</v>
      </c>
      <c r="L80" s="76">
        <f t="shared" si="44"/>
        <v>31.099999999999998</v>
      </c>
      <c r="M80" s="76">
        <f t="shared" si="44"/>
        <v>25.9</v>
      </c>
      <c r="N80" s="76">
        <f t="shared" si="44"/>
        <v>21</v>
      </c>
      <c r="O80" s="76">
        <f t="shared" si="44"/>
        <v>31.700000000000003</v>
      </c>
      <c r="P80" s="76">
        <f t="shared" ref="P80" si="45">P77+P78+P79</f>
        <v>61.400000000000006</v>
      </c>
      <c r="Q80" s="76">
        <f t="shared" si="44"/>
        <v>48</v>
      </c>
      <c r="R80" s="76">
        <f t="shared" si="44"/>
        <v>80.099999999999994</v>
      </c>
      <c r="S80" s="76">
        <f t="shared" si="44"/>
        <v>97</v>
      </c>
      <c r="T80" s="76">
        <f t="shared" si="44"/>
        <v>97</v>
      </c>
      <c r="U80" s="76">
        <f t="shared" si="44"/>
        <v>97</v>
      </c>
      <c r="V80" s="76">
        <f t="shared" si="44"/>
        <v>97.8</v>
      </c>
      <c r="W80" s="76">
        <f t="shared" si="44"/>
        <v>97.600000000000009</v>
      </c>
      <c r="X80" s="76">
        <f t="shared" si="44"/>
        <v>72.7</v>
      </c>
      <c r="Y80" s="76">
        <f t="shared" si="44"/>
        <v>74.699999999999989</v>
      </c>
      <c r="Z80" s="76">
        <f>Z77+Z78+Z79</f>
        <v>98.300000000000011</v>
      </c>
      <c r="AA80" s="76">
        <f t="shared" si="44"/>
        <v>98.300000000000011</v>
      </c>
      <c r="AB80" s="76">
        <f t="shared" ref="AB80:AC80" si="46">AB77+AB78+AB79</f>
        <v>98.300000000000011</v>
      </c>
      <c r="AC80" s="76">
        <f t="shared" si="46"/>
        <v>98.300000000000011</v>
      </c>
      <c r="AD80" s="76">
        <f t="shared" ref="AD80:AE80" si="47">AD77+AD78+AD79</f>
        <v>98.300000000000011</v>
      </c>
      <c r="AE80" s="76">
        <f t="shared" si="47"/>
        <v>98.300000000000011</v>
      </c>
      <c r="AF80" s="76">
        <f t="shared" ref="AF80" si="48">AF77+AF78+AF79</f>
        <v>98.300000000000011</v>
      </c>
      <c r="AG80" s="93">
        <f>SUM(AG77:AG79)</f>
        <v>106</v>
      </c>
      <c r="AH80" s="12">
        <f t="shared" si="8"/>
        <v>98.300000000000011</v>
      </c>
      <c r="AI80" s="11">
        <f t="shared" si="9"/>
        <v>0</v>
      </c>
      <c r="AK80" s="19"/>
      <c r="AZ80" s="78">
        <f t="shared" si="38"/>
        <v>36</v>
      </c>
      <c r="BA80" s="78">
        <f t="shared" si="38"/>
        <v>35.200000000000003</v>
      </c>
      <c r="BB80" s="78">
        <f t="shared" si="38"/>
        <v>35.700000000000003</v>
      </c>
      <c r="BC80" s="78">
        <f t="shared" si="38"/>
        <v>34.1</v>
      </c>
      <c r="BD80" s="78">
        <f t="shared" si="38"/>
        <v>32.5</v>
      </c>
      <c r="BE80" s="78">
        <f t="shared" si="38"/>
        <v>36.5</v>
      </c>
      <c r="BF80" s="78">
        <f t="shared" si="38"/>
        <v>49.6</v>
      </c>
      <c r="BG80" s="78">
        <f t="shared" si="38"/>
        <v>47.9</v>
      </c>
      <c r="BH80" s="78">
        <f t="shared" si="38"/>
        <v>51</v>
      </c>
      <c r="BI80" s="78">
        <f t="shared" si="38"/>
        <v>46</v>
      </c>
      <c r="BJ80" s="78">
        <f t="shared" si="38"/>
        <v>51.6</v>
      </c>
      <c r="BK80" s="78">
        <f t="shared" si="38"/>
        <v>46.2</v>
      </c>
      <c r="BL80" s="78">
        <f t="shared" si="38"/>
        <v>48</v>
      </c>
      <c r="BM80" s="78">
        <f t="shared" si="38"/>
        <v>50.1</v>
      </c>
      <c r="BN80" s="78">
        <f t="shared" si="38"/>
        <v>54.7</v>
      </c>
      <c r="BO80" s="78">
        <f t="shared" si="38"/>
        <v>55.1</v>
      </c>
      <c r="BP80" s="78">
        <f t="shared" si="38"/>
        <v>45.1</v>
      </c>
      <c r="BQ80" s="78">
        <f t="shared" si="38"/>
        <v>40</v>
      </c>
      <c r="BR80" s="78">
        <f t="shared" si="38"/>
        <v>39.9</v>
      </c>
      <c r="BS80" s="78">
        <f t="shared" si="38"/>
        <v>39</v>
      </c>
      <c r="BT80" s="78">
        <f t="shared" si="38"/>
        <v>41</v>
      </c>
      <c r="BU80" s="78">
        <f t="shared" si="38"/>
        <v>41</v>
      </c>
      <c r="BV80" s="78">
        <f t="shared" si="38"/>
        <v>42</v>
      </c>
      <c r="BW80" s="78">
        <f t="shared" si="38"/>
        <v>32</v>
      </c>
    </row>
    <row r="81" spans="1:64" x14ac:dyDescent="0.25">
      <c r="A81" s="89" t="s">
        <v>157</v>
      </c>
      <c r="B81" s="102">
        <v>19.7</v>
      </c>
      <c r="C81" s="102">
        <v>-1</v>
      </c>
      <c r="D81" s="102">
        <v>0</v>
      </c>
      <c r="E81" s="102">
        <v>7.6</v>
      </c>
      <c r="F81" s="102">
        <v>3.8</v>
      </c>
      <c r="G81" s="102">
        <v>10</v>
      </c>
      <c r="H81" s="102">
        <v>7.8</v>
      </c>
      <c r="I81" s="102">
        <v>11.9</v>
      </c>
      <c r="J81" s="102">
        <v>62</v>
      </c>
      <c r="K81" s="102">
        <v>57.3</v>
      </c>
      <c r="L81" s="102">
        <v>57.4</v>
      </c>
      <c r="M81" s="102">
        <v>66.7</v>
      </c>
      <c r="N81" s="102">
        <v>55</v>
      </c>
      <c r="O81" s="102">
        <v>56</v>
      </c>
      <c r="P81" s="102">
        <v>68.3</v>
      </c>
      <c r="Q81" s="102">
        <v>68.5</v>
      </c>
      <c r="R81" s="102">
        <v>54</v>
      </c>
      <c r="S81" s="102">
        <v>79</v>
      </c>
      <c r="T81" s="102">
        <v>74.5</v>
      </c>
      <c r="U81" s="102">
        <v>64.599999999999994</v>
      </c>
      <c r="V81" s="102">
        <v>61.5</v>
      </c>
      <c r="W81" s="102">
        <v>59</v>
      </c>
      <c r="X81" s="102">
        <v>53.2</v>
      </c>
      <c r="Y81" s="102">
        <v>45</v>
      </c>
      <c r="Z81" s="102">
        <v>51.1</v>
      </c>
      <c r="AA81" s="102">
        <v>59.8</v>
      </c>
      <c r="AB81" s="102">
        <v>60</v>
      </c>
      <c r="AC81" s="102">
        <v>60</v>
      </c>
      <c r="AD81" s="102">
        <v>57</v>
      </c>
      <c r="AE81" s="102">
        <v>41</v>
      </c>
      <c r="AF81" s="102">
        <v>43</v>
      </c>
      <c r="AG81" s="88"/>
      <c r="AH81" s="12">
        <f t="shared" si="8"/>
        <v>79</v>
      </c>
      <c r="AI81" s="11">
        <f t="shared" si="9"/>
        <v>-1</v>
      </c>
      <c r="AK81" s="19"/>
      <c r="AY81" s="78"/>
    </row>
    <row r="82" spans="1:64" x14ac:dyDescent="0.25">
      <c r="A82" s="87" t="s">
        <v>160</v>
      </c>
      <c r="B82" s="70">
        <v>0</v>
      </c>
      <c r="C82" s="70"/>
      <c r="D82" s="70"/>
      <c r="E82" s="70"/>
      <c r="F82" s="70"/>
      <c r="G82" s="70"/>
      <c r="H82" s="70"/>
      <c r="I82" s="70"/>
      <c r="J82" s="70">
        <v>62</v>
      </c>
      <c r="K82" s="70">
        <v>140</v>
      </c>
      <c r="L82" s="70">
        <v>90</v>
      </c>
      <c r="M82" s="70">
        <v>92</v>
      </c>
      <c r="N82" s="70">
        <v>81</v>
      </c>
      <c r="O82" s="70">
        <v>85</v>
      </c>
      <c r="P82" s="70">
        <v>94.2</v>
      </c>
      <c r="Q82" s="70">
        <v>81</v>
      </c>
      <c r="R82" s="70">
        <v>90</v>
      </c>
      <c r="S82" s="70">
        <v>81.400000000000006</v>
      </c>
      <c r="T82" s="70">
        <v>85.4</v>
      </c>
      <c r="U82" s="70">
        <v>68.400000000000006</v>
      </c>
      <c r="V82" s="70">
        <v>35.200000000000003</v>
      </c>
      <c r="W82" s="70">
        <v>75</v>
      </c>
      <c r="X82" s="70">
        <v>0</v>
      </c>
      <c r="Y82" s="70">
        <v>0</v>
      </c>
      <c r="Z82" s="70">
        <v>0</v>
      </c>
      <c r="AA82" s="70">
        <v>0</v>
      </c>
      <c r="AB82" s="70">
        <v>0</v>
      </c>
      <c r="AC82" s="70">
        <v>0</v>
      </c>
      <c r="AD82" s="70">
        <v>0</v>
      </c>
      <c r="AE82" s="70">
        <v>0</v>
      </c>
      <c r="AF82" s="70">
        <v>0</v>
      </c>
      <c r="AG82" s="86"/>
      <c r="AH82" s="12">
        <f t="shared" ref="AH82:AH125" si="49">MAX(B82:AF82)</f>
        <v>140</v>
      </c>
      <c r="AI82" s="11">
        <f t="shared" ref="AI82:AI125" si="50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25">
      <c r="A83" s="87" t="s">
        <v>181</v>
      </c>
      <c r="B83" s="70">
        <v>0</v>
      </c>
      <c r="C83" s="70">
        <v>5</v>
      </c>
      <c r="D83" s="70">
        <v>2</v>
      </c>
      <c r="E83" s="70">
        <v>102.3</v>
      </c>
      <c r="F83" s="70">
        <v>72</v>
      </c>
      <c r="G83" s="70">
        <v>92.9</v>
      </c>
      <c r="H83" s="70">
        <v>131</v>
      </c>
      <c r="I83" s="70">
        <v>216</v>
      </c>
      <c r="J83" s="70">
        <v>345</v>
      </c>
      <c r="K83" s="70">
        <v>322</v>
      </c>
      <c r="L83" s="70">
        <v>390.6</v>
      </c>
      <c r="M83" s="70">
        <v>366</v>
      </c>
      <c r="N83" s="70">
        <v>429</v>
      </c>
      <c r="O83" s="70">
        <v>433</v>
      </c>
      <c r="P83" s="70">
        <v>435</v>
      </c>
      <c r="Q83" s="70">
        <v>423</v>
      </c>
      <c r="R83" s="70">
        <v>414</v>
      </c>
      <c r="S83" s="70">
        <v>466</v>
      </c>
      <c r="T83" s="70">
        <v>440.9</v>
      </c>
      <c r="U83" s="70">
        <v>444</v>
      </c>
      <c r="V83" s="70">
        <v>426</v>
      </c>
      <c r="W83" s="70">
        <v>434</v>
      </c>
      <c r="X83" s="70">
        <v>424</v>
      </c>
      <c r="Y83" s="70">
        <v>158</v>
      </c>
      <c r="Z83" s="70">
        <v>176</v>
      </c>
      <c r="AA83" s="70">
        <v>210</v>
      </c>
      <c r="AB83" s="70">
        <v>134</v>
      </c>
      <c r="AC83" s="70">
        <v>140</v>
      </c>
      <c r="AD83" s="70">
        <v>146</v>
      </c>
      <c r="AE83" s="70">
        <v>30</v>
      </c>
      <c r="AF83" s="70">
        <v>65</v>
      </c>
      <c r="AG83" s="96"/>
      <c r="AH83" s="12">
        <f t="shared" si="49"/>
        <v>466</v>
      </c>
      <c r="AI83" s="11">
        <f t="shared" si="50"/>
        <v>0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25">
      <c r="A84" s="87" t="s">
        <v>161</v>
      </c>
      <c r="B84" s="70">
        <v>0</v>
      </c>
      <c r="C84" s="70"/>
      <c r="D84" s="70"/>
      <c r="E84" s="85"/>
      <c r="F84" s="85"/>
      <c r="G84" s="85"/>
      <c r="H84" s="85"/>
      <c r="I84" s="85"/>
      <c r="J84" s="85">
        <v>46.2</v>
      </c>
      <c r="K84" s="85">
        <v>54.1</v>
      </c>
      <c r="L84" s="85">
        <v>55</v>
      </c>
      <c r="M84" s="85">
        <v>61.5</v>
      </c>
      <c r="N84" s="85">
        <v>40</v>
      </c>
      <c r="O84" s="85">
        <v>47</v>
      </c>
      <c r="P84" s="85">
        <v>57.4</v>
      </c>
      <c r="Q84" s="85">
        <v>50</v>
      </c>
      <c r="R84" s="85">
        <v>48</v>
      </c>
      <c r="S84" s="85">
        <v>43</v>
      </c>
      <c r="T84" s="85">
        <v>52.7</v>
      </c>
      <c r="U84" s="85">
        <v>46.2</v>
      </c>
      <c r="V84" s="85">
        <v>37</v>
      </c>
      <c r="W84" s="85">
        <v>40.299999999999997</v>
      </c>
      <c r="X84" s="85">
        <v>27.9</v>
      </c>
      <c r="Y84" s="85">
        <v>20.399999999999999</v>
      </c>
      <c r="Z84" s="85">
        <v>20.6</v>
      </c>
      <c r="AA84" s="85">
        <v>18.399999999999999</v>
      </c>
      <c r="AB84" s="85">
        <v>18</v>
      </c>
      <c r="AC84" s="85">
        <v>0</v>
      </c>
      <c r="AD84" s="85">
        <v>0</v>
      </c>
      <c r="AE84" s="85">
        <v>0</v>
      </c>
      <c r="AF84" s="85">
        <v>0</v>
      </c>
      <c r="AG84" s="96"/>
      <c r="AH84" s="12">
        <f t="shared" si="49"/>
        <v>61.5</v>
      </c>
      <c r="AI84" s="11">
        <f t="shared" si="50"/>
        <v>0</v>
      </c>
      <c r="AK84" s="19"/>
      <c r="AY84" s="78"/>
      <c r="BF84" s="83"/>
      <c r="BG84" s="78">
        <f t="array" ref="BG84:BL107">TRANSPOSE(AZ68:BW73)</f>
        <v>-1</v>
      </c>
      <c r="BH84" s="78">
        <v>0</v>
      </c>
      <c r="BI84" s="78">
        <v>5</v>
      </c>
      <c r="BJ84" s="78">
        <v>0</v>
      </c>
      <c r="BK84" s="78">
        <v>0</v>
      </c>
      <c r="BL84" s="78">
        <v>36</v>
      </c>
    </row>
    <row r="85" spans="1:64" x14ac:dyDescent="0.25">
      <c r="A85" s="87" t="s">
        <v>180</v>
      </c>
      <c r="B85" s="102"/>
      <c r="C85" s="102"/>
      <c r="D85" s="102"/>
      <c r="E85" s="102"/>
      <c r="F85" s="102"/>
      <c r="G85" s="102"/>
      <c r="H85" s="102"/>
      <c r="I85" s="102"/>
      <c r="J85" s="102">
        <v>94.6</v>
      </c>
      <c r="K85" s="102">
        <v>96.2</v>
      </c>
      <c r="L85" s="102">
        <v>117.7</v>
      </c>
      <c r="M85" s="102">
        <v>126</v>
      </c>
      <c r="N85" s="102">
        <v>105</v>
      </c>
      <c r="O85" s="102">
        <v>123</v>
      </c>
      <c r="P85" s="102">
        <v>132.5</v>
      </c>
      <c r="Q85" s="102">
        <v>134</v>
      </c>
      <c r="R85" s="102">
        <v>131</v>
      </c>
      <c r="S85" s="102">
        <v>132</v>
      </c>
      <c r="T85" s="102">
        <v>136.4</v>
      </c>
      <c r="U85" s="102">
        <v>129.9</v>
      </c>
      <c r="V85" s="102">
        <v>116.5</v>
      </c>
      <c r="W85" s="102">
        <v>104.1</v>
      </c>
      <c r="X85" s="102">
        <v>113.7</v>
      </c>
      <c r="Y85" s="102">
        <v>0</v>
      </c>
      <c r="Z85" s="102"/>
      <c r="AA85" s="102">
        <v>0</v>
      </c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49"/>
        <v>136.4</v>
      </c>
      <c r="AI85" s="11">
        <f t="shared" si="50"/>
        <v>0</v>
      </c>
      <c r="AK85" s="19"/>
      <c r="AY85" s="78"/>
      <c r="BF85" s="83"/>
      <c r="BG85" s="78">
        <v>0</v>
      </c>
      <c r="BH85" s="78">
        <v>0</v>
      </c>
      <c r="BI85" s="78">
        <v>2</v>
      </c>
      <c r="BJ85" s="78">
        <v>0</v>
      </c>
      <c r="BK85" s="78">
        <v>0</v>
      </c>
      <c r="BL85" s="78">
        <v>35.200000000000003</v>
      </c>
    </row>
    <row r="86" spans="1:64" x14ac:dyDescent="0.25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49"/>
        <v>0</v>
      </c>
      <c r="AI86" s="11">
        <f t="shared" si="50"/>
        <v>0</v>
      </c>
      <c r="AK86" s="19"/>
      <c r="AY86" s="78"/>
      <c r="BF86" s="83"/>
      <c r="BG86" s="78">
        <v>7.6</v>
      </c>
      <c r="BH86" s="78">
        <v>0</v>
      </c>
      <c r="BI86" s="78">
        <v>102.3</v>
      </c>
      <c r="BJ86" s="78">
        <v>0</v>
      </c>
      <c r="BK86" s="78">
        <v>0</v>
      </c>
      <c r="BL86" s="78">
        <v>35.700000000000003</v>
      </c>
    </row>
    <row r="87" spans="1:64" ht="15.75" thickBot="1" x14ac:dyDescent="0.3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49"/>
        <v>0</v>
      </c>
      <c r="AI87" s="11">
        <f t="shared" si="50"/>
        <v>0</v>
      </c>
      <c r="AK87" s="19"/>
      <c r="AL87" s="108" t="s">
        <v>177</v>
      </c>
      <c r="AM87" s="108"/>
      <c r="AY87" s="78"/>
      <c r="BF87" s="78"/>
      <c r="BG87" s="78">
        <v>3.8</v>
      </c>
      <c r="BH87" s="78">
        <v>0</v>
      </c>
      <c r="BI87" s="78">
        <v>72</v>
      </c>
      <c r="BJ87" s="78">
        <v>0</v>
      </c>
      <c r="BK87" s="78">
        <v>0</v>
      </c>
      <c r="BL87" s="78">
        <v>34.1</v>
      </c>
    </row>
    <row r="88" spans="1:64" x14ac:dyDescent="0.25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49"/>
        <v>0</v>
      </c>
      <c r="AI88" s="11">
        <f t="shared" si="50"/>
        <v>0</v>
      </c>
      <c r="AK88" s="107"/>
      <c r="AL88" s="106"/>
      <c r="AM88" s="106"/>
      <c r="AN88" s="105"/>
      <c r="AY88" s="78"/>
      <c r="BF88" s="78"/>
      <c r="BG88" s="78">
        <v>10</v>
      </c>
      <c r="BH88" s="78">
        <v>0</v>
      </c>
      <c r="BI88" s="78">
        <v>92.9</v>
      </c>
      <c r="BJ88" s="78">
        <v>0</v>
      </c>
      <c r="BK88" s="78">
        <v>0</v>
      </c>
      <c r="BL88" s="78">
        <v>32.5</v>
      </c>
    </row>
    <row r="89" spans="1:64" x14ac:dyDescent="0.25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49"/>
        <v>0</v>
      </c>
      <c r="AI89" s="11">
        <f t="shared" si="50"/>
        <v>0</v>
      </c>
      <c r="AK89" s="104" t="s">
        <v>174</v>
      </c>
      <c r="AL89" s="70"/>
      <c r="AM89" s="85"/>
      <c r="AN89" s="103"/>
      <c r="AY89" s="78"/>
      <c r="BF89" s="78"/>
      <c r="BG89" s="78">
        <v>11.9</v>
      </c>
      <c r="BH89" s="78">
        <v>0</v>
      </c>
      <c r="BI89" s="78">
        <v>216</v>
      </c>
      <c r="BJ89" s="78">
        <v>0</v>
      </c>
      <c r="BK89" s="78">
        <v>0</v>
      </c>
      <c r="BL89" s="78">
        <v>36.5</v>
      </c>
    </row>
    <row r="90" spans="1:64" x14ac:dyDescent="0.25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49"/>
        <v>0</v>
      </c>
      <c r="AI90" s="11">
        <f t="shared" si="50"/>
        <v>0</v>
      </c>
      <c r="AK90" s="104" t="s">
        <v>172</v>
      </c>
      <c r="AL90" s="85"/>
      <c r="AM90" s="85"/>
      <c r="AN90" s="103"/>
      <c r="AY90" s="78"/>
      <c r="BF90" s="78"/>
      <c r="BG90" s="78">
        <v>57.3</v>
      </c>
      <c r="BH90" s="78">
        <v>140</v>
      </c>
      <c r="BI90" s="78">
        <v>322</v>
      </c>
      <c r="BJ90" s="78">
        <v>54.1</v>
      </c>
      <c r="BK90" s="78">
        <v>96.2</v>
      </c>
      <c r="BL90" s="78">
        <v>49.6</v>
      </c>
    </row>
    <row r="91" spans="1:64" ht="15.75" thickBot="1" x14ac:dyDescent="0.3">
      <c r="A91" s="82" t="s">
        <v>171</v>
      </c>
      <c r="B91" s="97">
        <v>32</v>
      </c>
      <c r="C91" s="97">
        <v>35.6</v>
      </c>
      <c r="D91" s="97">
        <v>35.200000000000003</v>
      </c>
      <c r="E91" s="97">
        <v>35.700000000000003</v>
      </c>
      <c r="F91" s="97">
        <f>34.1</f>
        <v>34.1</v>
      </c>
      <c r="G91" s="97">
        <v>32.5</v>
      </c>
      <c r="H91" s="97">
        <v>33.200000000000003</v>
      </c>
      <c r="I91" s="97">
        <v>36.5</v>
      </c>
      <c r="J91" s="97">
        <v>44.1</v>
      </c>
      <c r="K91" s="97">
        <v>49.6</v>
      </c>
      <c r="L91" s="97">
        <v>49.1</v>
      </c>
      <c r="M91" s="97">
        <v>47.9</v>
      </c>
      <c r="N91" s="97">
        <v>51</v>
      </c>
      <c r="O91" s="97">
        <v>46</v>
      </c>
      <c r="P91" s="97">
        <v>51.6</v>
      </c>
      <c r="Q91" s="97">
        <v>46.2</v>
      </c>
      <c r="R91" s="97">
        <v>48</v>
      </c>
      <c r="S91" s="97">
        <v>50.1</v>
      </c>
      <c r="T91" s="97">
        <v>54.7</v>
      </c>
      <c r="U91" s="97">
        <v>55.1</v>
      </c>
      <c r="V91" s="97">
        <v>45.1</v>
      </c>
      <c r="W91" s="97">
        <v>42.3</v>
      </c>
      <c r="X91" s="97">
        <v>40</v>
      </c>
      <c r="Y91" s="97">
        <v>40.6</v>
      </c>
      <c r="Z91" s="97">
        <v>39.9</v>
      </c>
      <c r="AA91" s="97"/>
      <c r="AB91" s="97">
        <v>39</v>
      </c>
      <c r="AC91" s="97">
        <v>39</v>
      </c>
      <c r="AD91" s="97">
        <v>41</v>
      </c>
      <c r="AE91" s="97">
        <v>41</v>
      </c>
      <c r="AF91" s="97">
        <v>42</v>
      </c>
      <c r="AG91" s="80"/>
      <c r="AH91" s="12">
        <f t="shared" si="49"/>
        <v>55.1</v>
      </c>
      <c r="AI91" s="11">
        <f t="shared" si="50"/>
        <v>32</v>
      </c>
      <c r="AK91" s="98"/>
      <c r="AL91" s="102"/>
      <c r="AM91" s="102"/>
      <c r="AN91" s="101"/>
      <c r="AY91" s="78"/>
      <c r="BF91" s="78"/>
      <c r="BG91" s="78">
        <v>66.7</v>
      </c>
      <c r="BH91" s="78">
        <v>92</v>
      </c>
      <c r="BI91" s="78">
        <v>366</v>
      </c>
      <c r="BJ91" s="78">
        <v>61.5</v>
      </c>
      <c r="BK91" s="78">
        <v>126</v>
      </c>
      <c r="BL91" s="78">
        <v>47.9</v>
      </c>
    </row>
    <row r="92" spans="1:64" ht="15.75" thickBot="1" x14ac:dyDescent="0.3">
      <c r="A92" s="77" t="s">
        <v>170</v>
      </c>
      <c r="B92" s="76">
        <f t="shared" ref="B92:AA92" si="51">SUMIF(B81:B91,"&gt;0")</f>
        <v>51.7</v>
      </c>
      <c r="C92" s="76">
        <f t="shared" si="51"/>
        <v>40.6</v>
      </c>
      <c r="D92" s="76">
        <f t="shared" si="51"/>
        <v>37.200000000000003</v>
      </c>
      <c r="E92" s="76">
        <f t="shared" si="51"/>
        <v>145.6</v>
      </c>
      <c r="F92" s="76">
        <f t="shared" si="51"/>
        <v>109.9</v>
      </c>
      <c r="G92" s="76">
        <f t="shared" si="51"/>
        <v>135.4</v>
      </c>
      <c r="H92" s="76">
        <f t="shared" si="51"/>
        <v>172</v>
      </c>
      <c r="I92" s="76">
        <f t="shared" si="51"/>
        <v>264.39999999999998</v>
      </c>
      <c r="J92" s="76">
        <f t="shared" si="51"/>
        <v>653.90000000000009</v>
      </c>
      <c r="K92" s="76">
        <f t="shared" si="51"/>
        <v>719.2</v>
      </c>
      <c r="L92" s="76">
        <f t="shared" si="51"/>
        <v>759.80000000000007</v>
      </c>
      <c r="M92" s="76">
        <f t="shared" si="51"/>
        <v>760.1</v>
      </c>
      <c r="N92" s="76">
        <f t="shared" si="51"/>
        <v>761</v>
      </c>
      <c r="O92" s="76">
        <f t="shared" si="51"/>
        <v>790</v>
      </c>
      <c r="P92" s="76">
        <f t="shared" si="51"/>
        <v>839</v>
      </c>
      <c r="Q92" s="76">
        <f t="shared" si="51"/>
        <v>802.7</v>
      </c>
      <c r="R92" s="76">
        <f t="shared" si="51"/>
        <v>785</v>
      </c>
      <c r="S92" s="76">
        <f t="shared" si="51"/>
        <v>851.5</v>
      </c>
      <c r="T92" s="76">
        <f t="shared" si="51"/>
        <v>844.6</v>
      </c>
      <c r="U92" s="76">
        <f t="shared" si="51"/>
        <v>808.2</v>
      </c>
      <c r="V92" s="76">
        <f t="shared" si="51"/>
        <v>721.30000000000007</v>
      </c>
      <c r="W92" s="76">
        <f t="shared" si="51"/>
        <v>754.69999999999993</v>
      </c>
      <c r="X92" s="76">
        <f t="shared" si="51"/>
        <v>658.8</v>
      </c>
      <c r="Y92" s="76">
        <f t="shared" si="51"/>
        <v>264</v>
      </c>
      <c r="Z92" s="76">
        <f>SUMIF(Z81:Z91,"&gt;0")</f>
        <v>287.59999999999997</v>
      </c>
      <c r="AA92" s="76">
        <f t="shared" si="51"/>
        <v>288.2</v>
      </c>
      <c r="AB92" s="76">
        <f t="shared" ref="AB92:AC92" si="52">SUMIF(AB81:AB91,"&gt;0")</f>
        <v>251</v>
      </c>
      <c r="AC92" s="76">
        <f t="shared" si="52"/>
        <v>239</v>
      </c>
      <c r="AD92" s="76">
        <f t="shared" ref="AD92:AE92" si="53">SUMIF(AD81:AD91,"&gt;0")</f>
        <v>244</v>
      </c>
      <c r="AE92" s="76">
        <f t="shared" si="53"/>
        <v>112</v>
      </c>
      <c r="AF92" s="76">
        <f t="shared" ref="AF92" si="54">SUMIF(AF81:AF91,"&gt;0")</f>
        <v>150</v>
      </c>
      <c r="AG92" s="75">
        <f>SUM(AG81:AG91)</f>
        <v>0</v>
      </c>
      <c r="AH92" s="12">
        <f t="shared" si="49"/>
        <v>851.5</v>
      </c>
      <c r="AI92" s="11">
        <f t="shared" si="50"/>
        <v>37.200000000000003</v>
      </c>
      <c r="AK92" s="98"/>
      <c r="AL92" s="97"/>
      <c r="AM92" s="100"/>
      <c r="AN92" s="220"/>
      <c r="AY92" s="78"/>
      <c r="BF92" s="78"/>
      <c r="BG92" s="78">
        <v>55</v>
      </c>
      <c r="BH92" s="78">
        <v>81</v>
      </c>
      <c r="BI92" s="78">
        <v>429</v>
      </c>
      <c r="BJ92" s="78">
        <v>40</v>
      </c>
      <c r="BK92" s="78">
        <v>105</v>
      </c>
      <c r="BL92" s="78">
        <v>51</v>
      </c>
    </row>
    <row r="93" spans="1:64" x14ac:dyDescent="0.25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49"/>
        <v>0</v>
      </c>
      <c r="AI93" s="11">
        <f t="shared" si="50"/>
        <v>0</v>
      </c>
      <c r="AK93" s="98"/>
      <c r="AL93" s="97"/>
      <c r="AM93" s="97"/>
      <c r="AN93" s="221"/>
      <c r="BF93" s="78"/>
      <c r="BG93" s="78">
        <v>56</v>
      </c>
      <c r="BH93" s="78">
        <v>85</v>
      </c>
      <c r="BI93" s="78">
        <v>433</v>
      </c>
      <c r="BJ93" s="78">
        <v>47</v>
      </c>
      <c r="BK93" s="78">
        <v>123</v>
      </c>
      <c r="BL93" s="78">
        <v>46</v>
      </c>
    </row>
    <row r="94" spans="1:64" ht="15.75" thickBot="1" x14ac:dyDescent="0.3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49"/>
        <v>0</v>
      </c>
      <c r="AI94" s="11">
        <f t="shared" si="50"/>
        <v>0</v>
      </c>
      <c r="AK94" s="95"/>
      <c r="AL94" s="67"/>
      <c r="AM94" s="67"/>
      <c r="AN94" s="94"/>
      <c r="BF94" s="78"/>
      <c r="BG94" s="78">
        <v>68.3</v>
      </c>
      <c r="BH94" s="78">
        <v>94.2</v>
      </c>
      <c r="BI94" s="78">
        <v>435</v>
      </c>
      <c r="BJ94" s="78">
        <v>57.4</v>
      </c>
      <c r="BK94" s="78">
        <v>132.5</v>
      </c>
      <c r="BL94" s="78">
        <v>51.6</v>
      </c>
    </row>
    <row r="95" spans="1:64" ht="15.75" thickBot="1" x14ac:dyDescent="0.3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49"/>
        <v>0</v>
      </c>
      <c r="AI95" s="11">
        <f t="shared" si="50"/>
        <v>0</v>
      </c>
      <c r="BF95" s="78"/>
      <c r="BG95" s="78">
        <v>68.5</v>
      </c>
      <c r="BH95" s="78">
        <v>81</v>
      </c>
      <c r="BI95" s="78">
        <v>423</v>
      </c>
      <c r="BJ95" s="78">
        <v>50</v>
      </c>
      <c r="BK95" s="78">
        <v>134</v>
      </c>
      <c r="BL95" s="78">
        <v>46.2</v>
      </c>
    </row>
    <row r="96" spans="1:64" ht="15.75" thickBot="1" x14ac:dyDescent="0.3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>
        <v>0</v>
      </c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49"/>
        <v>0</v>
      </c>
      <c r="AI96" s="11">
        <f t="shared" si="50"/>
        <v>0</v>
      </c>
      <c r="BF96" s="78"/>
      <c r="BG96" s="78">
        <v>54</v>
      </c>
      <c r="BH96" s="78">
        <v>90</v>
      </c>
      <c r="BI96" s="78">
        <v>414</v>
      </c>
      <c r="BJ96" s="78">
        <v>48</v>
      </c>
      <c r="BK96" s="78">
        <v>131</v>
      </c>
      <c r="BL96" s="78">
        <v>48</v>
      </c>
    </row>
    <row r="97" spans="1:64" ht="15.75" thickBot="1" x14ac:dyDescent="0.3">
      <c r="A97" s="77" t="s">
        <v>165</v>
      </c>
      <c r="B97" s="90">
        <v>1107.04</v>
      </c>
      <c r="C97" s="90">
        <f t="shared" ref="C97:AG97" si="55">C58+C62+C80+C76+C92+C96</f>
        <v>996.04000000000008</v>
      </c>
      <c r="D97" s="90">
        <f t="shared" si="55"/>
        <v>1021.5400000000002</v>
      </c>
      <c r="E97" s="90">
        <f t="shared" si="55"/>
        <v>1023.44</v>
      </c>
      <c r="F97" s="90">
        <f t="shared" si="55"/>
        <v>987.04000000000008</v>
      </c>
      <c r="G97" s="90">
        <f t="shared" si="55"/>
        <v>1016.9399999999999</v>
      </c>
      <c r="H97" s="90">
        <f t="shared" si="55"/>
        <v>1028.54</v>
      </c>
      <c r="I97" s="90">
        <f t="shared" si="55"/>
        <v>1166.8400000000001</v>
      </c>
      <c r="J97" s="90">
        <f t="shared" si="55"/>
        <v>1427.5400000000002</v>
      </c>
      <c r="K97" s="90">
        <f t="shared" si="55"/>
        <v>1545.3400000000001</v>
      </c>
      <c r="L97" s="90">
        <f t="shared" si="55"/>
        <v>1607.5400000000002</v>
      </c>
      <c r="M97" s="90">
        <f t="shared" si="55"/>
        <v>1592.64</v>
      </c>
      <c r="N97" s="90">
        <f t="shared" si="55"/>
        <v>1544.74</v>
      </c>
      <c r="O97" s="90">
        <f t="shared" si="55"/>
        <v>1594.0400000000002</v>
      </c>
      <c r="P97" s="90">
        <f t="shared" si="55"/>
        <v>1689.84</v>
      </c>
      <c r="Q97" s="90">
        <f t="shared" si="55"/>
        <v>1637.94</v>
      </c>
      <c r="R97" s="90">
        <f t="shared" si="55"/>
        <v>1648.3400000000001</v>
      </c>
      <c r="S97" s="90">
        <f t="shared" si="55"/>
        <v>1708.04</v>
      </c>
      <c r="T97" s="90">
        <f t="shared" si="55"/>
        <v>1705.74</v>
      </c>
      <c r="U97" s="90">
        <f t="shared" si="55"/>
        <v>1679.3400000000001</v>
      </c>
      <c r="V97" s="90">
        <f t="shared" si="55"/>
        <v>1575.54</v>
      </c>
      <c r="W97" s="90">
        <f t="shared" si="55"/>
        <v>1591.54</v>
      </c>
      <c r="X97" s="90">
        <f t="shared" si="55"/>
        <v>1470.7400000000002</v>
      </c>
      <c r="Y97" s="90">
        <f t="shared" si="55"/>
        <v>1363.8000000000002</v>
      </c>
      <c r="Z97" s="90">
        <f>Z58+Z62+Z80+Z76+Z92+Z96</f>
        <v>1519.7</v>
      </c>
      <c r="AA97" s="90">
        <f t="shared" si="55"/>
        <v>1507.8400000000004</v>
      </c>
      <c r="AB97" s="90">
        <f t="shared" ref="AB97:AC97" si="56">AB58+AB62+AB80+AB76+AB92+AB96</f>
        <v>1457.1400000000003</v>
      </c>
      <c r="AC97" s="90">
        <f t="shared" si="56"/>
        <v>1445.1400000000003</v>
      </c>
      <c r="AD97" s="90">
        <f t="shared" ref="AD97:AE97" si="57">AD58+AD62+AD80+AD76+AD92+AD96</f>
        <v>1401.1400000000003</v>
      </c>
      <c r="AE97" s="90">
        <f t="shared" si="57"/>
        <v>1341.8400000000001</v>
      </c>
      <c r="AF97" s="90">
        <f t="shared" ref="AF97" si="58">AF58+AF62+AF80+AF76+AF92+AF96</f>
        <v>1373.8400000000001</v>
      </c>
      <c r="AG97" s="93">
        <f t="shared" si="55"/>
        <v>2231.81</v>
      </c>
      <c r="AH97" s="12">
        <f t="shared" si="49"/>
        <v>1708.04</v>
      </c>
      <c r="AI97" s="11">
        <f t="shared" si="50"/>
        <v>987.04000000000008</v>
      </c>
      <c r="BF97" s="78"/>
      <c r="BG97" s="78">
        <v>79</v>
      </c>
      <c r="BH97" s="78">
        <v>81.400000000000006</v>
      </c>
      <c r="BI97" s="78">
        <v>466</v>
      </c>
      <c r="BJ97" s="78">
        <v>43</v>
      </c>
      <c r="BK97" s="78">
        <v>132</v>
      </c>
      <c r="BL97" s="78">
        <v>50.1</v>
      </c>
    </row>
    <row r="98" spans="1:64" ht="15.75" thickBot="1" x14ac:dyDescent="0.3">
      <c r="A98" s="92" t="s">
        <v>164</v>
      </c>
      <c r="B98" s="91">
        <v>300</v>
      </c>
      <c r="C98" s="91">
        <v>300</v>
      </c>
      <c r="D98" s="91">
        <v>250</v>
      </c>
      <c r="E98" s="91">
        <v>250</v>
      </c>
      <c r="F98" s="91">
        <v>250</v>
      </c>
      <c r="G98" s="91">
        <v>250</v>
      </c>
      <c r="H98" s="91">
        <v>250</v>
      </c>
      <c r="I98" s="91">
        <v>200</v>
      </c>
      <c r="J98" s="91">
        <v>40</v>
      </c>
      <c r="K98" s="91">
        <v>0</v>
      </c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>
        <v>50</v>
      </c>
      <c r="Y98" s="91">
        <v>220</v>
      </c>
      <c r="Z98" s="91">
        <v>260</v>
      </c>
      <c r="AA98" s="91">
        <v>250</v>
      </c>
      <c r="AB98" s="91">
        <v>250</v>
      </c>
      <c r="AC98" s="91">
        <v>251</v>
      </c>
      <c r="AD98" s="91">
        <v>250</v>
      </c>
      <c r="AE98" s="91">
        <v>251</v>
      </c>
      <c r="AF98" s="91">
        <v>250</v>
      </c>
      <c r="AG98" s="75"/>
      <c r="AH98" s="12">
        <f t="shared" si="49"/>
        <v>300</v>
      </c>
      <c r="AI98" s="11">
        <f t="shared" si="50"/>
        <v>0</v>
      </c>
      <c r="BF98" s="78"/>
      <c r="BG98" s="78">
        <v>74.5</v>
      </c>
      <c r="BH98" s="78">
        <v>85.4</v>
      </c>
      <c r="BI98" s="78">
        <v>440.9</v>
      </c>
      <c r="BJ98" s="78">
        <v>52.7</v>
      </c>
      <c r="BK98" s="78">
        <v>136.4</v>
      </c>
      <c r="BL98" s="78">
        <v>54.7</v>
      </c>
    </row>
    <row r="99" spans="1:64" ht="15.75" thickBot="1" x14ac:dyDescent="0.3">
      <c r="A99" s="77" t="s">
        <v>163</v>
      </c>
      <c r="B99" s="90">
        <f t="shared" ref="B99:AA99" si="59">B97+B98</f>
        <v>1407.04</v>
      </c>
      <c r="C99" s="90">
        <f t="shared" si="59"/>
        <v>1296.04</v>
      </c>
      <c r="D99" s="90">
        <f t="shared" si="59"/>
        <v>1271.5400000000002</v>
      </c>
      <c r="E99" s="90">
        <f t="shared" si="59"/>
        <v>1273.44</v>
      </c>
      <c r="F99" s="90">
        <f t="shared" si="59"/>
        <v>1237.04</v>
      </c>
      <c r="G99" s="90">
        <f t="shared" si="59"/>
        <v>1266.94</v>
      </c>
      <c r="H99" s="90">
        <f t="shared" si="59"/>
        <v>1278.54</v>
      </c>
      <c r="I99" s="90">
        <f t="shared" si="59"/>
        <v>1366.8400000000001</v>
      </c>
      <c r="J99" s="90">
        <f t="shared" si="59"/>
        <v>1467.5400000000002</v>
      </c>
      <c r="K99" s="90">
        <f t="shared" si="59"/>
        <v>1545.3400000000001</v>
      </c>
      <c r="L99" s="90">
        <f t="shared" si="59"/>
        <v>1607.5400000000002</v>
      </c>
      <c r="M99" s="90">
        <f t="shared" si="59"/>
        <v>1592.64</v>
      </c>
      <c r="N99" s="90">
        <f t="shared" si="59"/>
        <v>1544.74</v>
      </c>
      <c r="O99" s="90">
        <f t="shared" si="59"/>
        <v>1594.0400000000002</v>
      </c>
      <c r="P99" s="90">
        <f t="shared" si="59"/>
        <v>1689.84</v>
      </c>
      <c r="Q99" s="90">
        <f t="shared" si="59"/>
        <v>1637.94</v>
      </c>
      <c r="R99" s="90">
        <f t="shared" si="59"/>
        <v>1648.3400000000001</v>
      </c>
      <c r="S99" s="90">
        <f t="shared" si="59"/>
        <v>1708.04</v>
      </c>
      <c r="T99" s="90">
        <f t="shared" si="59"/>
        <v>1705.74</v>
      </c>
      <c r="U99" s="90">
        <f t="shared" si="59"/>
        <v>1679.3400000000001</v>
      </c>
      <c r="V99" s="90">
        <f t="shared" si="59"/>
        <v>1575.54</v>
      </c>
      <c r="W99" s="90">
        <f t="shared" si="59"/>
        <v>1591.54</v>
      </c>
      <c r="X99" s="90">
        <f t="shared" si="59"/>
        <v>1520.7400000000002</v>
      </c>
      <c r="Y99" s="90">
        <f t="shared" si="59"/>
        <v>1583.8000000000002</v>
      </c>
      <c r="Z99" s="90">
        <f>Z97+Z98</f>
        <v>1779.7</v>
      </c>
      <c r="AA99" s="90">
        <f t="shared" si="59"/>
        <v>1757.8400000000004</v>
      </c>
      <c r="AB99" s="90">
        <f t="shared" ref="AB99:AC99" si="60">AB97+AB98</f>
        <v>1707.1400000000003</v>
      </c>
      <c r="AC99" s="90">
        <f t="shared" si="60"/>
        <v>1696.1400000000003</v>
      </c>
      <c r="AD99" s="90">
        <f t="shared" ref="AD99:AE99" si="61">AD97+AD98</f>
        <v>1651.1400000000003</v>
      </c>
      <c r="AE99" s="90">
        <f t="shared" si="61"/>
        <v>1592.8400000000001</v>
      </c>
      <c r="AF99" s="90">
        <f t="shared" ref="AF99" si="62">AF97+AF98</f>
        <v>1623.8400000000001</v>
      </c>
      <c r="AG99" s="75">
        <f>AG96+AG92+AG80+AG76+AG58+AG98</f>
        <v>1693.71</v>
      </c>
      <c r="AH99" s="12">
        <f t="shared" si="49"/>
        <v>1779.7</v>
      </c>
      <c r="AI99" s="11">
        <f t="shared" si="50"/>
        <v>1237.04</v>
      </c>
      <c r="BF99" s="78"/>
      <c r="BG99" s="78">
        <v>64.599999999999994</v>
      </c>
      <c r="BH99" s="78">
        <v>68.400000000000006</v>
      </c>
      <c r="BI99" s="78">
        <v>444</v>
      </c>
      <c r="BJ99" s="78">
        <v>46.2</v>
      </c>
      <c r="BK99" s="78">
        <v>129.9</v>
      </c>
      <c r="BL99" s="78">
        <v>55.1</v>
      </c>
    </row>
    <row r="100" spans="1:64" ht="15.75" thickBot="1" x14ac:dyDescent="0.3">
      <c r="A100" s="77" t="s">
        <v>162</v>
      </c>
      <c r="B100" s="90">
        <v>1407.04</v>
      </c>
      <c r="C100" s="90">
        <f t="shared" ref="C100:AA100" si="63">C99-(C107)</f>
        <v>1295.04</v>
      </c>
      <c r="D100" s="90">
        <f t="shared" si="63"/>
        <v>1271.5400000000002</v>
      </c>
      <c r="E100" s="90">
        <f t="shared" si="63"/>
        <v>1273.44</v>
      </c>
      <c r="F100" s="90">
        <f t="shared" si="63"/>
        <v>1237.04</v>
      </c>
      <c r="G100" s="90">
        <f t="shared" si="63"/>
        <v>1266.94</v>
      </c>
      <c r="H100" s="90">
        <f t="shared" si="63"/>
        <v>1278.54</v>
      </c>
      <c r="I100" s="90">
        <f t="shared" si="63"/>
        <v>1366.8400000000001</v>
      </c>
      <c r="J100" s="90">
        <f t="shared" si="63"/>
        <v>1467.5400000000002</v>
      </c>
      <c r="K100" s="90">
        <f t="shared" si="63"/>
        <v>1545.3400000000001</v>
      </c>
      <c r="L100" s="90">
        <f t="shared" si="63"/>
        <v>1607.5400000000002</v>
      </c>
      <c r="M100" s="90">
        <f t="shared" si="63"/>
        <v>1592.64</v>
      </c>
      <c r="N100" s="90">
        <f t="shared" si="63"/>
        <v>1544.74</v>
      </c>
      <c r="O100" s="90">
        <f t="shared" si="63"/>
        <v>1594.0400000000002</v>
      </c>
      <c r="P100" s="90">
        <f t="shared" si="63"/>
        <v>1689.84</v>
      </c>
      <c r="Q100" s="90">
        <f t="shared" si="63"/>
        <v>1637.94</v>
      </c>
      <c r="R100" s="90">
        <f t="shared" si="63"/>
        <v>1648.3400000000001</v>
      </c>
      <c r="S100" s="90">
        <f t="shared" si="63"/>
        <v>1708.04</v>
      </c>
      <c r="T100" s="90">
        <f t="shared" si="63"/>
        <v>1705.74</v>
      </c>
      <c r="U100" s="90">
        <f t="shared" si="63"/>
        <v>1679.3400000000001</v>
      </c>
      <c r="V100" s="90">
        <f t="shared" si="63"/>
        <v>1575.54</v>
      </c>
      <c r="W100" s="90">
        <f t="shared" si="63"/>
        <v>1591.54</v>
      </c>
      <c r="X100" s="90">
        <f t="shared" si="63"/>
        <v>1520.7400000000002</v>
      </c>
      <c r="Y100" s="90">
        <f t="shared" si="63"/>
        <v>1583.8000000000002</v>
      </c>
      <c r="Z100" s="90">
        <f>Z99-(Z107)</f>
        <v>1779.7</v>
      </c>
      <c r="AA100" s="90">
        <f t="shared" si="63"/>
        <v>1757.8400000000004</v>
      </c>
      <c r="AB100" s="90">
        <f t="shared" ref="AB100:AC100" si="64">AB99-(AB107)</f>
        <v>1706.1400000000003</v>
      </c>
      <c r="AC100" s="90">
        <f t="shared" si="64"/>
        <v>1694.1400000000003</v>
      </c>
      <c r="AD100" s="90">
        <f t="shared" ref="AD100:AE100" si="65">AD99-(AD107)</f>
        <v>1651.1400000000003</v>
      </c>
      <c r="AE100" s="90">
        <f t="shared" si="65"/>
        <v>1591.8400000000001</v>
      </c>
      <c r="AF100" s="90">
        <f t="shared" ref="AF100" si="66">AF99-(AF107)</f>
        <v>1623.8400000000001</v>
      </c>
      <c r="AG100" s="75"/>
      <c r="AH100" s="12">
        <f t="shared" si="49"/>
        <v>1779.7</v>
      </c>
      <c r="AI100" s="11">
        <f t="shared" si="50"/>
        <v>1237.04</v>
      </c>
      <c r="BF100" s="78"/>
      <c r="BG100" s="78">
        <v>61.5</v>
      </c>
      <c r="BH100" s="78">
        <v>35.200000000000003</v>
      </c>
      <c r="BI100" s="78">
        <v>426</v>
      </c>
      <c r="BJ100" s="78">
        <v>37</v>
      </c>
      <c r="BK100" s="78">
        <v>116.5</v>
      </c>
      <c r="BL100" s="78">
        <v>45.1</v>
      </c>
    </row>
    <row r="101" spans="1:64" x14ac:dyDescent="0.25">
      <c r="A101" s="89" t="s">
        <v>161</v>
      </c>
      <c r="B101" s="85">
        <v>0</v>
      </c>
      <c r="C101" s="85">
        <f t="shared" ref="C101:AA101" si="67">IF(C84&lt;0,C84*-1,0)</f>
        <v>0</v>
      </c>
      <c r="D101" s="85">
        <f t="shared" si="67"/>
        <v>0</v>
      </c>
      <c r="E101" s="85">
        <f t="shared" si="67"/>
        <v>0</v>
      </c>
      <c r="F101" s="85">
        <f t="shared" si="67"/>
        <v>0</v>
      </c>
      <c r="G101" s="85">
        <f t="shared" si="67"/>
        <v>0</v>
      </c>
      <c r="H101" s="85">
        <f t="shared" si="67"/>
        <v>0</v>
      </c>
      <c r="I101" s="85">
        <f t="shared" si="67"/>
        <v>0</v>
      </c>
      <c r="J101" s="85">
        <f t="shared" si="67"/>
        <v>0</v>
      </c>
      <c r="K101" s="85">
        <f t="shared" si="67"/>
        <v>0</v>
      </c>
      <c r="L101" s="85">
        <f t="shared" si="67"/>
        <v>0</v>
      </c>
      <c r="M101" s="85">
        <f t="shared" si="67"/>
        <v>0</v>
      </c>
      <c r="N101" s="85">
        <f t="shared" si="67"/>
        <v>0</v>
      </c>
      <c r="O101" s="85">
        <f t="shared" si="67"/>
        <v>0</v>
      </c>
      <c r="P101" s="85">
        <f t="shared" si="67"/>
        <v>0</v>
      </c>
      <c r="Q101" s="85">
        <f t="shared" si="67"/>
        <v>0</v>
      </c>
      <c r="R101" s="85">
        <f t="shared" si="67"/>
        <v>0</v>
      </c>
      <c r="S101" s="85">
        <f t="shared" si="67"/>
        <v>0</v>
      </c>
      <c r="T101" s="85">
        <f t="shared" si="67"/>
        <v>0</v>
      </c>
      <c r="U101" s="85">
        <f t="shared" si="67"/>
        <v>0</v>
      </c>
      <c r="V101" s="85">
        <f t="shared" si="67"/>
        <v>0</v>
      </c>
      <c r="W101" s="85">
        <f t="shared" si="67"/>
        <v>0</v>
      </c>
      <c r="X101" s="85">
        <f t="shared" si="67"/>
        <v>0</v>
      </c>
      <c r="Y101" s="85">
        <f t="shared" si="67"/>
        <v>0</v>
      </c>
      <c r="Z101" s="85">
        <f>IF(Z84&lt;0,Z84*-1,0)</f>
        <v>0</v>
      </c>
      <c r="AA101" s="85">
        <f t="shared" si="67"/>
        <v>0</v>
      </c>
      <c r="AB101" s="85">
        <f t="shared" ref="AB101:AC101" si="68">IF(AB84&lt;0,AB84*-1,0)</f>
        <v>0</v>
      </c>
      <c r="AC101" s="85">
        <f t="shared" si="68"/>
        <v>0</v>
      </c>
      <c r="AD101" s="85">
        <f t="shared" ref="AD101:AE101" si="69">IF(AD84&lt;0,AD84*-1,0)</f>
        <v>0</v>
      </c>
      <c r="AE101" s="85">
        <f t="shared" si="69"/>
        <v>0</v>
      </c>
      <c r="AF101" s="85">
        <f t="shared" ref="AF101" si="70">IF(AF84&lt;0,AF84*-1,0)</f>
        <v>0</v>
      </c>
      <c r="AG101" s="88"/>
      <c r="AH101" s="12">
        <f t="shared" si="49"/>
        <v>0</v>
      </c>
      <c r="AI101" s="11">
        <f t="shared" si="50"/>
        <v>0</v>
      </c>
      <c r="BF101" s="83"/>
      <c r="BG101" s="78">
        <v>53.2</v>
      </c>
      <c r="BH101" s="78">
        <v>0</v>
      </c>
      <c r="BI101" s="78">
        <v>424</v>
      </c>
      <c r="BJ101" s="78">
        <v>27.9</v>
      </c>
      <c r="BK101" s="78">
        <v>113.7</v>
      </c>
      <c r="BL101" s="78">
        <v>40</v>
      </c>
    </row>
    <row r="102" spans="1:64" x14ac:dyDescent="0.25">
      <c r="A102" s="87" t="s">
        <v>160</v>
      </c>
      <c r="B102" s="85">
        <v>0</v>
      </c>
      <c r="C102" s="85">
        <f t="shared" ref="C102:AA102" si="71">IF(C82&lt;0,C82*-1,0)</f>
        <v>0</v>
      </c>
      <c r="D102" s="85">
        <f t="shared" si="71"/>
        <v>0</v>
      </c>
      <c r="E102" s="85">
        <f t="shared" si="71"/>
        <v>0</v>
      </c>
      <c r="F102" s="85">
        <f t="shared" si="71"/>
        <v>0</v>
      </c>
      <c r="G102" s="85">
        <f t="shared" si="71"/>
        <v>0</v>
      </c>
      <c r="H102" s="85">
        <f t="shared" si="71"/>
        <v>0</v>
      </c>
      <c r="I102" s="85">
        <f t="shared" si="71"/>
        <v>0</v>
      </c>
      <c r="J102" s="85">
        <f t="shared" si="71"/>
        <v>0</v>
      </c>
      <c r="K102" s="85">
        <f t="shared" si="71"/>
        <v>0</v>
      </c>
      <c r="L102" s="85">
        <f t="shared" si="71"/>
        <v>0</v>
      </c>
      <c r="M102" s="85">
        <f t="shared" si="71"/>
        <v>0</v>
      </c>
      <c r="N102" s="85">
        <f t="shared" si="71"/>
        <v>0</v>
      </c>
      <c r="O102" s="85">
        <f t="shared" si="71"/>
        <v>0</v>
      </c>
      <c r="P102" s="85">
        <f t="shared" si="71"/>
        <v>0</v>
      </c>
      <c r="Q102" s="85">
        <f t="shared" si="71"/>
        <v>0</v>
      </c>
      <c r="R102" s="85">
        <f t="shared" si="71"/>
        <v>0</v>
      </c>
      <c r="S102" s="85">
        <f t="shared" si="71"/>
        <v>0</v>
      </c>
      <c r="T102" s="85">
        <f t="shared" si="71"/>
        <v>0</v>
      </c>
      <c r="U102" s="85">
        <f t="shared" si="71"/>
        <v>0</v>
      </c>
      <c r="V102" s="85">
        <f t="shared" si="71"/>
        <v>0</v>
      </c>
      <c r="W102" s="85">
        <f t="shared" si="71"/>
        <v>0</v>
      </c>
      <c r="X102" s="85">
        <f t="shared" si="71"/>
        <v>0</v>
      </c>
      <c r="Y102" s="85">
        <f t="shared" si="71"/>
        <v>0</v>
      </c>
      <c r="Z102" s="85">
        <f>IF(Z82&lt;0,Z82*-1,0)</f>
        <v>0</v>
      </c>
      <c r="AA102" s="85">
        <f t="shared" si="71"/>
        <v>0</v>
      </c>
      <c r="AB102" s="85">
        <f t="shared" ref="AB102:AC102" si="72">IF(AB82&lt;0,AB82*-1,0)</f>
        <v>0</v>
      </c>
      <c r="AC102" s="85">
        <f t="shared" si="72"/>
        <v>0</v>
      </c>
      <c r="AD102" s="85">
        <f t="shared" ref="AD102:AE102" si="73">IF(AD82&lt;0,AD82*-1,0)</f>
        <v>0</v>
      </c>
      <c r="AE102" s="85">
        <f t="shared" si="73"/>
        <v>0</v>
      </c>
      <c r="AF102" s="85">
        <f t="shared" ref="AF102" si="74">IF(AF82&lt;0,AF82*-1,0)</f>
        <v>0</v>
      </c>
      <c r="AG102" s="86"/>
      <c r="AH102" s="12">
        <f t="shared" si="49"/>
        <v>0</v>
      </c>
      <c r="AI102" s="11">
        <f t="shared" si="50"/>
        <v>0</v>
      </c>
      <c r="BF102" s="83"/>
      <c r="BG102" s="78">
        <v>51.1</v>
      </c>
      <c r="BH102" s="78">
        <v>0</v>
      </c>
      <c r="BI102" s="78">
        <v>176</v>
      </c>
      <c r="BJ102" s="78">
        <v>20.6</v>
      </c>
      <c r="BK102" s="78">
        <v>0</v>
      </c>
      <c r="BL102" s="78">
        <v>39.9</v>
      </c>
    </row>
    <row r="103" spans="1:64" x14ac:dyDescent="0.25">
      <c r="A103" s="82" t="s">
        <v>159</v>
      </c>
      <c r="B103" s="85">
        <v>0</v>
      </c>
      <c r="C103" s="85">
        <f t="shared" ref="C103:AA103" si="75">IF(C85&lt;0,C85*-1,0)</f>
        <v>0</v>
      </c>
      <c r="D103" s="85">
        <f t="shared" si="75"/>
        <v>0</v>
      </c>
      <c r="E103" s="85">
        <f t="shared" si="75"/>
        <v>0</v>
      </c>
      <c r="F103" s="85">
        <f t="shared" si="75"/>
        <v>0</v>
      </c>
      <c r="G103" s="85">
        <f t="shared" si="75"/>
        <v>0</v>
      </c>
      <c r="H103" s="85">
        <f t="shared" si="75"/>
        <v>0</v>
      </c>
      <c r="I103" s="85">
        <f t="shared" si="75"/>
        <v>0</v>
      </c>
      <c r="J103" s="85">
        <f t="shared" si="75"/>
        <v>0</v>
      </c>
      <c r="K103" s="85">
        <f t="shared" si="75"/>
        <v>0</v>
      </c>
      <c r="L103" s="85">
        <f t="shared" si="75"/>
        <v>0</v>
      </c>
      <c r="M103" s="85">
        <f t="shared" si="75"/>
        <v>0</v>
      </c>
      <c r="N103" s="85">
        <f t="shared" si="75"/>
        <v>0</v>
      </c>
      <c r="O103" s="85">
        <f t="shared" si="75"/>
        <v>0</v>
      </c>
      <c r="P103" s="85">
        <f t="shared" si="75"/>
        <v>0</v>
      </c>
      <c r="Q103" s="85">
        <f t="shared" si="75"/>
        <v>0</v>
      </c>
      <c r="R103" s="85">
        <f t="shared" si="75"/>
        <v>0</v>
      </c>
      <c r="S103" s="85">
        <f t="shared" si="75"/>
        <v>0</v>
      </c>
      <c r="T103" s="85">
        <f t="shared" si="75"/>
        <v>0</v>
      </c>
      <c r="U103" s="85">
        <f t="shared" si="75"/>
        <v>0</v>
      </c>
      <c r="V103" s="85">
        <f t="shared" si="75"/>
        <v>0</v>
      </c>
      <c r="W103" s="85">
        <f t="shared" si="75"/>
        <v>0</v>
      </c>
      <c r="X103" s="85">
        <f t="shared" si="75"/>
        <v>0</v>
      </c>
      <c r="Y103" s="85">
        <f t="shared" si="75"/>
        <v>0</v>
      </c>
      <c r="Z103" s="85">
        <f>IF(Z85&lt;0,Z85*-1,0)</f>
        <v>0</v>
      </c>
      <c r="AA103" s="85">
        <f t="shared" si="75"/>
        <v>0</v>
      </c>
      <c r="AB103" s="85">
        <f t="shared" ref="AB103:AC103" si="76">IF(AB85&lt;0,AB85*-1,0)</f>
        <v>0</v>
      </c>
      <c r="AC103" s="85">
        <f t="shared" si="76"/>
        <v>0</v>
      </c>
      <c r="AD103" s="85">
        <f t="shared" ref="AD103:AE103" si="77">IF(AD85&lt;0,AD85*-1,0)</f>
        <v>0</v>
      </c>
      <c r="AE103" s="85">
        <f t="shared" si="77"/>
        <v>0</v>
      </c>
      <c r="AF103" s="85">
        <f t="shared" ref="AF103" si="78">IF(AF85&lt;0,AF85*-1,0)</f>
        <v>0</v>
      </c>
      <c r="AG103" s="84"/>
      <c r="AH103" s="12">
        <f t="shared" si="49"/>
        <v>0</v>
      </c>
      <c r="AI103" s="11">
        <f t="shared" si="50"/>
        <v>0</v>
      </c>
      <c r="BF103" s="83"/>
      <c r="BG103" s="78">
        <v>60</v>
      </c>
      <c r="BH103" s="78">
        <v>0</v>
      </c>
      <c r="BI103" s="78">
        <v>134</v>
      </c>
      <c r="BJ103" s="78">
        <v>18</v>
      </c>
      <c r="BK103" s="78">
        <v>0</v>
      </c>
      <c r="BL103" s="78">
        <v>39</v>
      </c>
    </row>
    <row r="104" spans="1:64" x14ac:dyDescent="0.25">
      <c r="A104" s="82" t="s">
        <v>158</v>
      </c>
      <c r="B104" s="85">
        <v>0</v>
      </c>
      <c r="C104" s="85">
        <f t="shared" ref="C104:AA104" si="79">IF(C83&lt;0,C83*-1,0)</f>
        <v>0</v>
      </c>
      <c r="D104" s="85">
        <f t="shared" si="79"/>
        <v>0</v>
      </c>
      <c r="E104" s="85">
        <f t="shared" si="79"/>
        <v>0</v>
      </c>
      <c r="F104" s="85">
        <f t="shared" si="79"/>
        <v>0</v>
      </c>
      <c r="G104" s="85">
        <f t="shared" si="79"/>
        <v>0</v>
      </c>
      <c r="H104" s="85">
        <f t="shared" si="79"/>
        <v>0</v>
      </c>
      <c r="I104" s="85">
        <f t="shared" si="79"/>
        <v>0</v>
      </c>
      <c r="J104" s="85">
        <f t="shared" si="79"/>
        <v>0</v>
      </c>
      <c r="K104" s="85">
        <f t="shared" si="79"/>
        <v>0</v>
      </c>
      <c r="L104" s="85">
        <f t="shared" si="79"/>
        <v>0</v>
      </c>
      <c r="M104" s="85">
        <f t="shared" si="79"/>
        <v>0</v>
      </c>
      <c r="N104" s="85">
        <f t="shared" si="79"/>
        <v>0</v>
      </c>
      <c r="O104" s="85">
        <f t="shared" si="79"/>
        <v>0</v>
      </c>
      <c r="P104" s="85">
        <f t="shared" si="79"/>
        <v>0</v>
      </c>
      <c r="Q104" s="85">
        <f t="shared" si="79"/>
        <v>0</v>
      </c>
      <c r="R104" s="85">
        <f t="shared" si="79"/>
        <v>0</v>
      </c>
      <c r="S104" s="85">
        <f t="shared" si="79"/>
        <v>0</v>
      </c>
      <c r="T104" s="85">
        <f t="shared" si="79"/>
        <v>0</v>
      </c>
      <c r="U104" s="85">
        <f t="shared" si="79"/>
        <v>0</v>
      </c>
      <c r="V104" s="85">
        <f t="shared" si="79"/>
        <v>0</v>
      </c>
      <c r="W104" s="85">
        <f t="shared" si="79"/>
        <v>0</v>
      </c>
      <c r="X104" s="85">
        <f t="shared" si="79"/>
        <v>0</v>
      </c>
      <c r="Y104" s="85">
        <f t="shared" si="79"/>
        <v>0</v>
      </c>
      <c r="Z104" s="85">
        <f>IF(Z83&lt;0,Z83*-1,0)</f>
        <v>0</v>
      </c>
      <c r="AA104" s="85">
        <f t="shared" si="79"/>
        <v>0</v>
      </c>
      <c r="AB104" s="85">
        <f t="shared" ref="AB104:AC104" si="80">IF(AB83&lt;0,AB83*-1,0)</f>
        <v>0</v>
      </c>
      <c r="AC104" s="85">
        <f t="shared" si="80"/>
        <v>0</v>
      </c>
      <c r="AD104" s="85">
        <f t="shared" ref="AD104:AE104" si="81">IF(AD83&lt;0,AD83*-1,0)</f>
        <v>0</v>
      </c>
      <c r="AE104" s="85">
        <f t="shared" si="81"/>
        <v>0</v>
      </c>
      <c r="AF104" s="85">
        <f t="shared" ref="AF104" si="82">IF(AF83&lt;0,AF83*-1,0)</f>
        <v>0</v>
      </c>
      <c r="AG104" s="84"/>
      <c r="AH104" s="12">
        <f t="shared" si="49"/>
        <v>0</v>
      </c>
      <c r="AI104" s="11">
        <f t="shared" si="50"/>
        <v>0</v>
      </c>
      <c r="BF104" s="83"/>
      <c r="BG104" s="78">
        <v>57</v>
      </c>
      <c r="BH104" s="78">
        <v>0</v>
      </c>
      <c r="BI104" s="78">
        <v>146</v>
      </c>
      <c r="BJ104" s="78">
        <v>0</v>
      </c>
      <c r="BK104" s="78">
        <v>0</v>
      </c>
      <c r="BL104" s="78">
        <v>41</v>
      </c>
    </row>
    <row r="105" spans="1:64" x14ac:dyDescent="0.25">
      <c r="A105" s="82" t="s">
        <v>157</v>
      </c>
      <c r="B105" s="85">
        <v>0</v>
      </c>
      <c r="C105" s="85">
        <f t="shared" ref="C105:AA105" si="83">IF(C81&lt;0,C81*-1,0)</f>
        <v>1</v>
      </c>
      <c r="D105" s="85">
        <f t="shared" si="83"/>
        <v>0</v>
      </c>
      <c r="E105" s="85">
        <f t="shared" si="83"/>
        <v>0</v>
      </c>
      <c r="F105" s="85">
        <f t="shared" si="83"/>
        <v>0</v>
      </c>
      <c r="G105" s="85">
        <f t="shared" si="83"/>
        <v>0</v>
      </c>
      <c r="H105" s="85">
        <f t="shared" si="83"/>
        <v>0</v>
      </c>
      <c r="I105" s="85">
        <f t="shared" si="83"/>
        <v>0</v>
      </c>
      <c r="J105" s="85">
        <f t="shared" si="83"/>
        <v>0</v>
      </c>
      <c r="K105" s="85">
        <f t="shared" si="83"/>
        <v>0</v>
      </c>
      <c r="L105" s="85">
        <f t="shared" si="83"/>
        <v>0</v>
      </c>
      <c r="M105" s="85">
        <f t="shared" si="83"/>
        <v>0</v>
      </c>
      <c r="N105" s="85">
        <f t="shared" si="83"/>
        <v>0</v>
      </c>
      <c r="O105" s="85">
        <f t="shared" si="83"/>
        <v>0</v>
      </c>
      <c r="P105" s="85">
        <f t="shared" si="83"/>
        <v>0</v>
      </c>
      <c r="Q105" s="85">
        <f t="shared" si="83"/>
        <v>0</v>
      </c>
      <c r="R105" s="85">
        <f t="shared" si="83"/>
        <v>0</v>
      </c>
      <c r="S105" s="85">
        <f t="shared" si="83"/>
        <v>0</v>
      </c>
      <c r="T105" s="85">
        <f t="shared" si="83"/>
        <v>0</v>
      </c>
      <c r="U105" s="85">
        <f t="shared" si="83"/>
        <v>0</v>
      </c>
      <c r="V105" s="85">
        <f t="shared" si="83"/>
        <v>0</v>
      </c>
      <c r="W105" s="85">
        <f t="shared" si="83"/>
        <v>0</v>
      </c>
      <c r="X105" s="85">
        <f t="shared" si="83"/>
        <v>0</v>
      </c>
      <c r="Y105" s="85">
        <f t="shared" si="83"/>
        <v>0</v>
      </c>
      <c r="Z105" s="85">
        <f>IF(Z81&lt;0,Z81*-1,0)</f>
        <v>0</v>
      </c>
      <c r="AA105" s="85">
        <f t="shared" si="83"/>
        <v>0</v>
      </c>
      <c r="AB105" s="85">
        <f t="shared" ref="AB105:AC105" si="84">IF(AB81&lt;0,AB81*-1,0)</f>
        <v>0</v>
      </c>
      <c r="AC105" s="85">
        <f t="shared" si="84"/>
        <v>0</v>
      </c>
      <c r="AD105" s="85">
        <f t="shared" ref="AD105:AE105" si="85">IF(AD81&lt;0,AD81*-1,0)</f>
        <v>0</v>
      </c>
      <c r="AE105" s="85">
        <f t="shared" si="85"/>
        <v>0</v>
      </c>
      <c r="AF105" s="85">
        <f t="shared" ref="AF105" si="86">IF(AF81&lt;0,AF81*-1,0)</f>
        <v>0</v>
      </c>
      <c r="AG105" s="84"/>
      <c r="AH105" s="12">
        <f t="shared" si="49"/>
        <v>1</v>
      </c>
      <c r="AI105" s="11">
        <f t="shared" si="50"/>
        <v>0</v>
      </c>
      <c r="BF105" s="83"/>
      <c r="BG105" s="78">
        <v>41</v>
      </c>
      <c r="BH105" s="78">
        <v>0</v>
      </c>
      <c r="BI105" s="78">
        <v>30</v>
      </c>
      <c r="BJ105" s="78">
        <v>0</v>
      </c>
      <c r="BK105" s="78">
        <v>0</v>
      </c>
      <c r="BL105" s="78">
        <v>41</v>
      </c>
    </row>
    <row r="106" spans="1:64" ht="15.75" thickBot="1" x14ac:dyDescent="0.3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1</v>
      </c>
      <c r="AC106" s="81">
        <v>2</v>
      </c>
      <c r="AD106" s="81">
        <v>0</v>
      </c>
      <c r="AE106" s="81">
        <v>1</v>
      </c>
      <c r="AF106" s="81">
        <v>0</v>
      </c>
      <c r="AG106" s="80"/>
      <c r="AH106" s="12">
        <f t="shared" si="49"/>
        <v>2</v>
      </c>
      <c r="AI106" s="11">
        <f t="shared" si="50"/>
        <v>0</v>
      </c>
      <c r="BG106" s="78">
        <v>43</v>
      </c>
      <c r="BH106" s="78">
        <v>0</v>
      </c>
      <c r="BI106" s="78">
        <v>65</v>
      </c>
      <c r="BJ106" s="78">
        <v>0</v>
      </c>
      <c r="BK106" s="78">
        <v>0</v>
      </c>
      <c r="BL106" s="78">
        <v>42</v>
      </c>
    </row>
    <row r="107" spans="1:64" ht="15.75" thickBot="1" x14ac:dyDescent="0.3">
      <c r="A107" s="79" t="s">
        <v>155</v>
      </c>
      <c r="B107" s="76">
        <v>0</v>
      </c>
      <c r="C107" s="76">
        <f t="shared" ref="C107:AA107" si="87">SUM(C101:C106)</f>
        <v>1</v>
      </c>
      <c r="D107" s="76">
        <f t="shared" si="87"/>
        <v>0</v>
      </c>
      <c r="E107" s="76">
        <f t="shared" si="87"/>
        <v>0</v>
      </c>
      <c r="F107" s="76">
        <f t="shared" si="87"/>
        <v>0</v>
      </c>
      <c r="G107" s="76">
        <f t="shared" si="87"/>
        <v>0</v>
      </c>
      <c r="H107" s="76">
        <f t="shared" si="87"/>
        <v>0</v>
      </c>
      <c r="I107" s="76">
        <f t="shared" si="87"/>
        <v>0</v>
      </c>
      <c r="J107" s="76">
        <f t="shared" si="87"/>
        <v>0</v>
      </c>
      <c r="K107" s="76">
        <f t="shared" si="87"/>
        <v>0</v>
      </c>
      <c r="L107" s="76">
        <f t="shared" si="87"/>
        <v>0</v>
      </c>
      <c r="M107" s="76">
        <f t="shared" si="87"/>
        <v>0</v>
      </c>
      <c r="N107" s="76">
        <f t="shared" si="87"/>
        <v>0</v>
      </c>
      <c r="O107" s="76">
        <f t="shared" si="87"/>
        <v>0</v>
      </c>
      <c r="P107" s="76">
        <f t="shared" si="87"/>
        <v>0</v>
      </c>
      <c r="Q107" s="76">
        <f t="shared" si="87"/>
        <v>0</v>
      </c>
      <c r="R107" s="76">
        <f t="shared" si="87"/>
        <v>0</v>
      </c>
      <c r="S107" s="76">
        <f t="shared" si="87"/>
        <v>0</v>
      </c>
      <c r="T107" s="76">
        <f t="shared" si="87"/>
        <v>0</v>
      </c>
      <c r="U107" s="76">
        <f t="shared" si="87"/>
        <v>0</v>
      </c>
      <c r="V107" s="76">
        <f t="shared" si="87"/>
        <v>0</v>
      </c>
      <c r="W107" s="76">
        <f t="shared" si="87"/>
        <v>0</v>
      </c>
      <c r="X107" s="76">
        <f t="shared" si="87"/>
        <v>0</v>
      </c>
      <c r="Y107" s="76">
        <f t="shared" si="87"/>
        <v>0</v>
      </c>
      <c r="Z107" s="76">
        <f>SUM(Z101:Z106)</f>
        <v>0</v>
      </c>
      <c r="AA107" s="76">
        <f t="shared" si="87"/>
        <v>0</v>
      </c>
      <c r="AB107" s="76">
        <f t="shared" ref="AB107:AC107" si="88">SUM(AB101:AB106)</f>
        <v>1</v>
      </c>
      <c r="AC107" s="76">
        <f t="shared" si="88"/>
        <v>2</v>
      </c>
      <c r="AD107" s="76">
        <f t="shared" ref="AD107:AE107" si="89">SUM(AD101:AD106)</f>
        <v>0</v>
      </c>
      <c r="AE107" s="76">
        <f t="shared" si="89"/>
        <v>1</v>
      </c>
      <c r="AF107" s="76">
        <f t="shared" ref="AF107" si="90">SUM(AF101:AF106)</f>
        <v>0</v>
      </c>
      <c r="AG107" s="75"/>
      <c r="AH107" s="12">
        <f t="shared" si="49"/>
        <v>2</v>
      </c>
      <c r="AI107" s="11">
        <f t="shared" si="50"/>
        <v>0</v>
      </c>
      <c r="AK107" s="19"/>
      <c r="BG107" s="78">
        <v>19.7</v>
      </c>
      <c r="BH107" s="78">
        <v>0</v>
      </c>
      <c r="BI107" s="78">
        <v>0</v>
      </c>
      <c r="BJ107" s="78">
        <v>0</v>
      </c>
      <c r="BK107" s="78">
        <v>0</v>
      </c>
      <c r="BL107" s="78">
        <v>32</v>
      </c>
    </row>
    <row r="108" spans="1:64" ht="15.75" thickBot="1" x14ac:dyDescent="0.3">
      <c r="A108" s="77" t="s">
        <v>154</v>
      </c>
      <c r="B108" s="76">
        <v>61</v>
      </c>
      <c r="C108" s="76">
        <f t="shared" ref="C108:AA108" si="91">C92-C107</f>
        <v>39.6</v>
      </c>
      <c r="D108" s="76">
        <f t="shared" si="91"/>
        <v>37.200000000000003</v>
      </c>
      <c r="E108" s="76">
        <f t="shared" si="91"/>
        <v>145.6</v>
      </c>
      <c r="F108" s="76">
        <f t="shared" si="91"/>
        <v>109.9</v>
      </c>
      <c r="G108" s="76">
        <f t="shared" si="91"/>
        <v>135.4</v>
      </c>
      <c r="H108" s="76">
        <f t="shared" si="91"/>
        <v>172</v>
      </c>
      <c r="I108" s="76">
        <f t="shared" si="91"/>
        <v>264.39999999999998</v>
      </c>
      <c r="J108" s="76">
        <f t="shared" si="91"/>
        <v>653.90000000000009</v>
      </c>
      <c r="K108" s="76">
        <f t="shared" si="91"/>
        <v>719.2</v>
      </c>
      <c r="L108" s="76">
        <f t="shared" si="91"/>
        <v>759.80000000000007</v>
      </c>
      <c r="M108" s="76">
        <f t="shared" si="91"/>
        <v>760.1</v>
      </c>
      <c r="N108" s="76">
        <f t="shared" si="91"/>
        <v>761</v>
      </c>
      <c r="O108" s="76">
        <f t="shared" si="91"/>
        <v>790</v>
      </c>
      <c r="P108" s="76">
        <f t="shared" si="91"/>
        <v>839</v>
      </c>
      <c r="Q108" s="76">
        <f t="shared" si="91"/>
        <v>802.7</v>
      </c>
      <c r="R108" s="76">
        <f t="shared" si="91"/>
        <v>785</v>
      </c>
      <c r="S108" s="76">
        <f t="shared" si="91"/>
        <v>851.5</v>
      </c>
      <c r="T108" s="76">
        <f t="shared" si="91"/>
        <v>844.6</v>
      </c>
      <c r="U108" s="76">
        <f t="shared" si="91"/>
        <v>808.2</v>
      </c>
      <c r="V108" s="76">
        <f t="shared" si="91"/>
        <v>721.30000000000007</v>
      </c>
      <c r="W108" s="76">
        <f t="shared" si="91"/>
        <v>754.69999999999993</v>
      </c>
      <c r="X108" s="76">
        <f t="shared" si="91"/>
        <v>658.8</v>
      </c>
      <c r="Y108" s="76">
        <f t="shared" si="91"/>
        <v>264</v>
      </c>
      <c r="Z108" s="76">
        <f>Z92-Z107</f>
        <v>287.59999999999997</v>
      </c>
      <c r="AA108" s="76">
        <f t="shared" si="91"/>
        <v>288.2</v>
      </c>
      <c r="AB108" s="76">
        <f t="shared" ref="AB108:AC108" si="92">AB92-AB107</f>
        <v>250</v>
      </c>
      <c r="AC108" s="76">
        <f t="shared" si="92"/>
        <v>237</v>
      </c>
      <c r="AD108" s="76">
        <f t="shared" ref="AD108:AE108" si="93">AD92-AD107</f>
        <v>244</v>
      </c>
      <c r="AE108" s="76">
        <f t="shared" si="93"/>
        <v>111</v>
      </c>
      <c r="AF108" s="76">
        <f t="shared" ref="AF108" si="94">AF92-AF107</f>
        <v>150</v>
      </c>
      <c r="AG108" s="75"/>
      <c r="AH108" s="12">
        <f t="shared" si="49"/>
        <v>851.5</v>
      </c>
      <c r="AI108" s="11">
        <f t="shared" si="50"/>
        <v>37.200000000000003</v>
      </c>
    </row>
    <row r="109" spans="1:64" x14ac:dyDescent="0.25">
      <c r="A109" s="25" t="s">
        <v>153</v>
      </c>
      <c r="B109" s="74">
        <v>49.95</v>
      </c>
      <c r="C109" s="74">
        <v>49.996000000000002</v>
      </c>
      <c r="D109" s="74">
        <v>49.99</v>
      </c>
      <c r="E109" s="74">
        <v>50.036000000000001</v>
      </c>
      <c r="F109" s="74">
        <v>50</v>
      </c>
      <c r="G109" s="74">
        <v>49.987000000000002</v>
      </c>
      <c r="H109" s="74">
        <v>49.956000000000003</v>
      </c>
      <c r="I109" s="74">
        <v>49.991999999999997</v>
      </c>
      <c r="J109" s="74">
        <v>49.991999999999997</v>
      </c>
      <c r="K109" s="74">
        <v>49.966999999999999</v>
      </c>
      <c r="L109" s="74">
        <v>49.954000000000001</v>
      </c>
      <c r="M109" s="74">
        <v>50.008000000000003</v>
      </c>
      <c r="N109" s="74">
        <v>50.033000000000001</v>
      </c>
      <c r="O109" s="74">
        <v>50.042999999999999</v>
      </c>
      <c r="P109" s="74">
        <v>50.05</v>
      </c>
      <c r="Q109" s="74">
        <v>49.951999999999998</v>
      </c>
      <c r="R109" s="74">
        <v>49.962000000000003</v>
      </c>
      <c r="S109" s="74">
        <v>50.000999999999998</v>
      </c>
      <c r="T109" s="74">
        <v>49.945</v>
      </c>
      <c r="U109" s="74">
        <v>50.040999999999997</v>
      </c>
      <c r="V109" s="74">
        <v>50.018000000000001</v>
      </c>
      <c r="W109" s="74">
        <v>50.063000000000002</v>
      </c>
      <c r="X109" s="74">
        <v>49.973999999999997</v>
      </c>
      <c r="Y109" s="74">
        <v>49.96</v>
      </c>
      <c r="Z109" s="74">
        <v>50.07</v>
      </c>
      <c r="AA109" s="74">
        <v>50.024000000000001</v>
      </c>
      <c r="AB109" s="74">
        <v>49.94</v>
      </c>
      <c r="AC109" s="74">
        <v>49.94</v>
      </c>
      <c r="AD109" s="74">
        <v>49.93</v>
      </c>
      <c r="AE109" s="74">
        <v>49.93</v>
      </c>
      <c r="AF109" s="74">
        <v>50.08</v>
      </c>
      <c r="AG109" s="73"/>
      <c r="AH109" s="12">
        <f t="shared" si="49"/>
        <v>50.08</v>
      </c>
      <c r="AI109" s="11">
        <f t="shared" si="50"/>
        <v>49.93</v>
      </c>
    </row>
    <row r="110" spans="1:64" x14ac:dyDescent="0.25">
      <c r="A110" s="22" t="s">
        <v>152</v>
      </c>
      <c r="B110" s="70">
        <v>130.69999999999999</v>
      </c>
      <c r="C110" s="70">
        <v>131.1</v>
      </c>
      <c r="D110" s="70">
        <v>130.4</v>
      </c>
      <c r="E110" s="70">
        <v>130.4</v>
      </c>
      <c r="F110" s="70">
        <v>131.19999999999999</v>
      </c>
      <c r="G110" s="70">
        <v>130</v>
      </c>
      <c r="H110" s="70">
        <v>129.4</v>
      </c>
      <c r="I110" s="70">
        <v>125.3</v>
      </c>
      <c r="J110" s="70">
        <v>122.7</v>
      </c>
      <c r="K110" s="70">
        <v>123.9</v>
      </c>
      <c r="L110" s="70">
        <v>123.8</v>
      </c>
      <c r="M110" s="70">
        <v>124.6</v>
      </c>
      <c r="N110" s="70">
        <v>125.2</v>
      </c>
      <c r="O110" s="70">
        <v>124.2</v>
      </c>
      <c r="P110" s="70">
        <v>124.7</v>
      </c>
      <c r="Q110" s="70">
        <v>125.1</v>
      </c>
      <c r="R110" s="70">
        <v>125.7</v>
      </c>
      <c r="S110" s="70">
        <v>124.8</v>
      </c>
      <c r="T110" s="70">
        <v>124.8</v>
      </c>
      <c r="U110" s="70">
        <v>125.4</v>
      </c>
      <c r="V110" s="70">
        <v>125.4</v>
      </c>
      <c r="W110" s="70">
        <v>127.1</v>
      </c>
      <c r="X110" s="70">
        <v>127.6</v>
      </c>
      <c r="Y110" s="70">
        <v>128.80000000000001</v>
      </c>
      <c r="Z110" s="70">
        <v>127.4</v>
      </c>
      <c r="AA110" s="70">
        <v>127.5</v>
      </c>
      <c r="AB110" s="70">
        <v>129</v>
      </c>
      <c r="AC110" s="70">
        <v>129</v>
      </c>
      <c r="AD110" s="70">
        <v>129</v>
      </c>
      <c r="AE110" s="70">
        <v>129</v>
      </c>
      <c r="AF110" s="70">
        <v>129</v>
      </c>
      <c r="AG110" s="69"/>
      <c r="AH110" s="12">
        <f t="shared" si="49"/>
        <v>131.19999999999999</v>
      </c>
      <c r="AI110" s="11">
        <f t="shared" si="50"/>
        <v>122.7</v>
      </c>
    </row>
    <row r="111" spans="1:64" x14ac:dyDescent="0.25">
      <c r="A111" s="22" t="s">
        <v>151</v>
      </c>
      <c r="B111" s="70">
        <v>133.5</v>
      </c>
      <c r="C111" s="70">
        <v>134.19999999999999</v>
      </c>
      <c r="D111" s="70">
        <v>134</v>
      </c>
      <c r="E111" s="70">
        <v>134.19999999999999</v>
      </c>
      <c r="F111" s="70">
        <v>134.4</v>
      </c>
      <c r="G111" s="70">
        <v>133.5</v>
      </c>
      <c r="H111" s="70">
        <v>132.6</v>
      </c>
      <c r="I111" s="70">
        <v>129.19999999999999</v>
      </c>
      <c r="J111" s="70">
        <v>126.3</v>
      </c>
      <c r="K111" s="70">
        <v>127.7</v>
      </c>
      <c r="L111" s="70">
        <v>127</v>
      </c>
      <c r="M111" s="70">
        <v>128.69999999999999</v>
      </c>
      <c r="N111" s="70">
        <v>128.69999999999999</v>
      </c>
      <c r="O111" s="70">
        <v>128</v>
      </c>
      <c r="P111" s="70">
        <v>128.30000000000001</v>
      </c>
      <c r="Q111" s="70">
        <v>128.69999999999999</v>
      </c>
      <c r="R111" s="70">
        <v>129.1</v>
      </c>
      <c r="S111" s="70">
        <v>128</v>
      </c>
      <c r="T111" s="70">
        <v>128</v>
      </c>
      <c r="U111" s="70">
        <v>128</v>
      </c>
      <c r="V111" s="70">
        <v>127.5</v>
      </c>
      <c r="W111" s="70">
        <v>129</v>
      </c>
      <c r="X111" s="70">
        <v>129.30000000000001</v>
      </c>
      <c r="Y111" s="70">
        <v>130.4</v>
      </c>
      <c r="Z111" s="70">
        <v>128.9</v>
      </c>
      <c r="AA111" s="70">
        <v>128.80000000000001</v>
      </c>
      <c r="AB111" s="70">
        <v>130.5</v>
      </c>
      <c r="AC111" s="70">
        <v>130.5</v>
      </c>
      <c r="AD111" s="70">
        <v>130.5</v>
      </c>
      <c r="AE111" s="70">
        <v>130.5</v>
      </c>
      <c r="AF111" s="70">
        <v>132</v>
      </c>
      <c r="AG111" s="69"/>
      <c r="AH111" s="12">
        <f t="shared" si="49"/>
        <v>134.4</v>
      </c>
      <c r="AI111" s="11">
        <f t="shared" si="50"/>
        <v>126.3</v>
      </c>
    </row>
    <row r="112" spans="1:64" x14ac:dyDescent="0.25">
      <c r="A112" s="22" t="s">
        <v>150</v>
      </c>
      <c r="B112" s="70">
        <v>133.4</v>
      </c>
      <c r="C112" s="70">
        <v>134.1</v>
      </c>
      <c r="D112" s="70">
        <v>133.19999999999999</v>
      </c>
      <c r="E112" s="70">
        <v>132.6</v>
      </c>
      <c r="F112" s="70">
        <v>132</v>
      </c>
      <c r="G112" s="70">
        <v>129.69999999999999</v>
      </c>
      <c r="H112" s="70">
        <v>130.9</v>
      </c>
      <c r="I112" s="70">
        <v>131.9</v>
      </c>
      <c r="J112" s="70">
        <v>124.6</v>
      </c>
      <c r="K112" s="70">
        <v>131</v>
      </c>
      <c r="L112" s="70">
        <v>130.4</v>
      </c>
      <c r="M112" s="70">
        <v>129.5</v>
      </c>
      <c r="N112" s="70">
        <v>130.5</v>
      </c>
      <c r="O112" s="70">
        <v>129</v>
      </c>
      <c r="P112" s="70">
        <v>129.19999999999999</v>
      </c>
      <c r="Q112" s="70">
        <v>131.1</v>
      </c>
      <c r="R112" s="70">
        <v>129.30000000000001</v>
      </c>
      <c r="S112" s="70">
        <v>128.6</v>
      </c>
      <c r="T112" s="70">
        <v>128.6</v>
      </c>
      <c r="U112" s="70">
        <v>130</v>
      </c>
      <c r="V112" s="70">
        <v>128.19999999999999</v>
      </c>
      <c r="W112" s="70">
        <v>128.30000000000001</v>
      </c>
      <c r="X112" s="70">
        <v>128</v>
      </c>
      <c r="Y112" s="70">
        <v>127.5</v>
      </c>
      <c r="Z112" s="70">
        <v>126.8</v>
      </c>
      <c r="AA112" s="70">
        <v>128.30000000000001</v>
      </c>
      <c r="AB112" s="70">
        <v>132.6</v>
      </c>
      <c r="AC112" s="70">
        <v>132.6</v>
      </c>
      <c r="AD112" s="70">
        <v>132.6</v>
      </c>
      <c r="AE112" s="70">
        <v>132.6</v>
      </c>
      <c r="AF112" s="70">
        <v>131</v>
      </c>
      <c r="AG112" s="69"/>
      <c r="AH112" s="12">
        <f t="shared" si="49"/>
        <v>134.1</v>
      </c>
      <c r="AI112" s="11">
        <f t="shared" si="50"/>
        <v>124.6</v>
      </c>
    </row>
    <row r="113" spans="1:35" x14ac:dyDescent="0.25">
      <c r="A113" s="72" t="s">
        <v>149</v>
      </c>
      <c r="B113" s="70">
        <v>133.30000000000001</v>
      </c>
      <c r="C113" s="70">
        <v>134</v>
      </c>
      <c r="D113" s="70">
        <v>133.6</v>
      </c>
      <c r="E113" s="70">
        <v>133</v>
      </c>
      <c r="F113" s="70">
        <v>132.5</v>
      </c>
      <c r="G113" s="70">
        <v>131.4</v>
      </c>
      <c r="H113" s="70">
        <v>131.19999999999999</v>
      </c>
      <c r="I113" s="70">
        <v>134.5</v>
      </c>
      <c r="J113" s="70">
        <v>129.5</v>
      </c>
      <c r="K113" s="70">
        <v>130</v>
      </c>
      <c r="L113" s="70">
        <v>129</v>
      </c>
      <c r="M113" s="70">
        <v>128.31</v>
      </c>
      <c r="N113" s="70">
        <v>129.30000000000001</v>
      </c>
      <c r="O113" s="70">
        <v>127</v>
      </c>
      <c r="P113" s="70">
        <v>128.6</v>
      </c>
      <c r="Q113" s="70">
        <v>132.1</v>
      </c>
      <c r="R113" s="70">
        <v>129.4</v>
      </c>
      <c r="S113" s="70">
        <v>128.30000000000001</v>
      </c>
      <c r="T113" s="70">
        <v>128.30000000000001</v>
      </c>
      <c r="U113" s="70">
        <v>130.6</v>
      </c>
      <c r="V113" s="70">
        <v>132.6</v>
      </c>
      <c r="W113" s="70">
        <v>130.4</v>
      </c>
      <c r="X113" s="70">
        <v>130.1</v>
      </c>
      <c r="Y113" s="70">
        <v>128.69999999999999</v>
      </c>
      <c r="Z113" s="70">
        <v>127.6</v>
      </c>
      <c r="AA113" s="70">
        <v>129.9</v>
      </c>
      <c r="AB113" s="70">
        <v>134</v>
      </c>
      <c r="AC113" s="70">
        <v>134</v>
      </c>
      <c r="AD113" s="70">
        <v>134</v>
      </c>
      <c r="AE113" s="70">
        <v>134</v>
      </c>
      <c r="AF113" s="70">
        <v>132</v>
      </c>
      <c r="AG113" s="69"/>
      <c r="AH113" s="12">
        <f t="shared" si="49"/>
        <v>134.5</v>
      </c>
      <c r="AI113" s="11">
        <f t="shared" si="50"/>
        <v>127</v>
      </c>
    </row>
    <row r="114" spans="1:35" x14ac:dyDescent="0.25">
      <c r="A114" s="72" t="s">
        <v>148</v>
      </c>
      <c r="B114" s="56">
        <v>134.1</v>
      </c>
      <c r="C114" s="56">
        <v>133.19999999999999</v>
      </c>
      <c r="D114" s="56">
        <v>133.30000000000001</v>
      </c>
      <c r="E114" s="56">
        <v>131.9</v>
      </c>
      <c r="F114" s="56">
        <v>132.1</v>
      </c>
      <c r="G114" s="56">
        <v>131.4</v>
      </c>
      <c r="H114" s="56">
        <v>131.1</v>
      </c>
      <c r="I114" s="56">
        <v>131.19999999999999</v>
      </c>
      <c r="J114" s="56">
        <v>130.30000000000001</v>
      </c>
      <c r="K114" s="56">
        <v>133.19999999999999</v>
      </c>
      <c r="L114" s="56">
        <v>131</v>
      </c>
      <c r="M114" s="56">
        <v>133.1</v>
      </c>
      <c r="N114" s="56">
        <v>133.5</v>
      </c>
      <c r="O114" s="56">
        <v>131</v>
      </c>
      <c r="P114" s="56">
        <v>133.5</v>
      </c>
      <c r="Q114" s="56">
        <v>133.5</v>
      </c>
      <c r="R114" s="56">
        <v>133.6</v>
      </c>
      <c r="S114" s="56">
        <v>131.4</v>
      </c>
      <c r="T114" s="56">
        <v>131.4</v>
      </c>
      <c r="U114" s="56">
        <v>130.69999999999999</v>
      </c>
      <c r="V114" s="56">
        <v>129.9</v>
      </c>
      <c r="W114" s="56">
        <v>134.5</v>
      </c>
      <c r="X114" s="56">
        <v>134.80000000000001</v>
      </c>
      <c r="Y114" s="56">
        <v>134.69999999999999</v>
      </c>
      <c r="Z114" s="56">
        <v>134.30000000000001</v>
      </c>
      <c r="AA114" s="56">
        <v>133.9</v>
      </c>
      <c r="AB114" s="56">
        <v>134.6</v>
      </c>
      <c r="AC114" s="56">
        <v>134.6</v>
      </c>
      <c r="AD114" s="56">
        <v>134.6</v>
      </c>
      <c r="AE114" s="56">
        <v>134.6</v>
      </c>
      <c r="AF114" s="56">
        <v>133</v>
      </c>
      <c r="AG114" s="71"/>
      <c r="AH114" s="12">
        <f t="shared" si="49"/>
        <v>134.80000000000001</v>
      </c>
      <c r="AI114" s="11">
        <f t="shared" si="50"/>
        <v>129.9</v>
      </c>
    </row>
    <row r="115" spans="1:35" x14ac:dyDescent="0.25">
      <c r="A115" s="22" t="s">
        <v>147</v>
      </c>
      <c r="B115" s="70">
        <v>129</v>
      </c>
      <c r="C115" s="70">
        <v>132.19999999999999</v>
      </c>
      <c r="D115" s="70">
        <v>132.30000000000001</v>
      </c>
      <c r="E115" s="70">
        <v>130.6</v>
      </c>
      <c r="F115" s="70">
        <v>131</v>
      </c>
      <c r="G115" s="70">
        <v>132.4</v>
      </c>
      <c r="H115" s="70">
        <v>131.30000000000001</v>
      </c>
      <c r="I115" s="70">
        <v>129.9</v>
      </c>
      <c r="J115" s="70">
        <v>130.4</v>
      </c>
      <c r="K115" s="70">
        <v>128.69999999999999</v>
      </c>
      <c r="L115" s="70">
        <v>127.6</v>
      </c>
      <c r="M115" s="70">
        <v>123.8</v>
      </c>
      <c r="N115" s="70">
        <v>126.4</v>
      </c>
      <c r="O115" s="70">
        <v>121.9</v>
      </c>
      <c r="P115" s="70">
        <v>120.5</v>
      </c>
      <c r="Q115" s="70">
        <v>125</v>
      </c>
      <c r="R115" s="70">
        <v>127.7</v>
      </c>
      <c r="S115" s="70">
        <v>131.5</v>
      </c>
      <c r="T115" s="70">
        <v>131.5</v>
      </c>
      <c r="U115" s="70">
        <v>131.80000000000001</v>
      </c>
      <c r="V115" s="70">
        <v>118.7</v>
      </c>
      <c r="W115" s="70">
        <v>134.6</v>
      </c>
      <c r="X115" s="70">
        <v>131.5</v>
      </c>
      <c r="Y115" s="70">
        <v>125.6</v>
      </c>
      <c r="Z115" s="70">
        <v>133.69999999999999</v>
      </c>
      <c r="AA115" s="70">
        <v>132.1</v>
      </c>
      <c r="AB115" s="70">
        <v>134</v>
      </c>
      <c r="AC115" s="70">
        <v>134</v>
      </c>
      <c r="AD115" s="70">
        <v>134</v>
      </c>
      <c r="AE115" s="70">
        <v>134</v>
      </c>
      <c r="AF115" s="70">
        <v>134</v>
      </c>
      <c r="AG115" s="69"/>
      <c r="AH115" s="12">
        <f t="shared" si="49"/>
        <v>134.6</v>
      </c>
      <c r="AI115" s="11">
        <f t="shared" si="50"/>
        <v>118.7</v>
      </c>
    </row>
    <row r="116" spans="1:35" ht="15.75" thickBot="1" x14ac:dyDescent="0.3">
      <c r="A116" s="22" t="s">
        <v>146</v>
      </c>
      <c r="B116" s="67">
        <v>67.2</v>
      </c>
      <c r="C116" s="67">
        <v>67.5</v>
      </c>
      <c r="D116" s="67">
        <v>67.400000000000006</v>
      </c>
      <c r="E116" s="67">
        <v>67.7</v>
      </c>
      <c r="F116" s="67">
        <v>67.599999999999994</v>
      </c>
      <c r="G116" s="67">
        <v>67.2</v>
      </c>
      <c r="H116" s="67">
        <v>66.7</v>
      </c>
      <c r="I116" s="67">
        <v>65</v>
      </c>
      <c r="J116" s="67">
        <v>63.5</v>
      </c>
      <c r="K116" s="67">
        <v>64</v>
      </c>
      <c r="L116" s="67">
        <v>64.2</v>
      </c>
      <c r="M116" s="67">
        <v>64.400000000000006</v>
      </c>
      <c r="N116" s="67">
        <v>64.599999999999994</v>
      </c>
      <c r="O116" s="67">
        <v>64</v>
      </c>
      <c r="P116" s="67">
        <v>64.099999999999994</v>
      </c>
      <c r="Q116" s="67">
        <v>64.400000000000006</v>
      </c>
      <c r="R116" s="67">
        <v>64.5</v>
      </c>
      <c r="S116" s="67">
        <v>64.099999999999994</v>
      </c>
      <c r="T116" s="67">
        <v>64.099999999999994</v>
      </c>
      <c r="U116" s="67">
        <v>64.3</v>
      </c>
      <c r="V116" s="67">
        <v>63.8</v>
      </c>
      <c r="W116" s="67">
        <v>64.599999999999994</v>
      </c>
      <c r="X116" s="67">
        <v>64.900000000000006</v>
      </c>
      <c r="Y116" s="67">
        <v>65.5</v>
      </c>
      <c r="Z116" s="67">
        <v>64.8</v>
      </c>
      <c r="AA116" s="67">
        <v>64.8</v>
      </c>
      <c r="AB116" s="67">
        <v>65.7</v>
      </c>
      <c r="AC116" s="67">
        <v>65.7</v>
      </c>
      <c r="AD116" s="67">
        <v>65.7</v>
      </c>
      <c r="AE116" s="67">
        <v>65.7</v>
      </c>
      <c r="AF116" s="67">
        <v>66.599999999999994</v>
      </c>
      <c r="AG116" s="66"/>
      <c r="AH116" s="12">
        <f t="shared" si="49"/>
        <v>67.7</v>
      </c>
      <c r="AI116" s="11">
        <f t="shared" si="50"/>
        <v>63.5</v>
      </c>
    </row>
    <row r="117" spans="1:35" ht="15.75" thickBot="1" x14ac:dyDescent="0.3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49"/>
        <v>0</v>
      </c>
      <c r="AI117" s="11">
        <f t="shared" si="50"/>
        <v>0</v>
      </c>
    </row>
    <row r="118" spans="1:35" ht="15.75" thickBot="1" x14ac:dyDescent="0.3">
      <c r="A118" s="65" t="s">
        <v>144</v>
      </c>
      <c r="B118" s="64">
        <v>169.24</v>
      </c>
      <c r="C118" s="64">
        <f t="shared" ref="C118:O118" si="95">SUM(C22,C28,C31:C32,C66,C68:C69,C71,C73,C119:C123,C155,C161,C167,C176,C178,C190,C197,C200:C201,C208,C210,C212,C216:C218,C220:C222,C227,C233:C234,C236:C238,C246,C251)</f>
        <v>146.83999999999997</v>
      </c>
      <c r="D118" s="64">
        <f t="shared" si="95"/>
        <v>144.34</v>
      </c>
      <c r="E118" s="64">
        <f t="shared" si="95"/>
        <v>129.14000000000001</v>
      </c>
      <c r="F118" s="64">
        <f t="shared" si="95"/>
        <v>137.04000000000002</v>
      </c>
      <c r="G118" s="64">
        <f t="shared" si="95"/>
        <v>148.24</v>
      </c>
      <c r="H118" s="64">
        <f t="shared" si="95"/>
        <v>177.34</v>
      </c>
      <c r="I118" s="64">
        <f t="shared" si="95"/>
        <v>220.04000000000002</v>
      </c>
      <c r="J118" s="64">
        <f t="shared" si="95"/>
        <v>277.33999999999997</v>
      </c>
      <c r="K118" s="64">
        <f t="shared" si="95"/>
        <v>293.64000000000004</v>
      </c>
      <c r="L118" s="64">
        <f t="shared" si="95"/>
        <v>317.64000000000004</v>
      </c>
      <c r="M118" s="64">
        <f t="shared" si="95"/>
        <v>318.94</v>
      </c>
      <c r="N118" s="64">
        <f t="shared" si="95"/>
        <v>310.73999999999995</v>
      </c>
      <c r="O118" s="64">
        <f t="shared" si="95"/>
        <v>314.04000000000002</v>
      </c>
      <c r="P118" s="64">
        <v>42</v>
      </c>
      <c r="Q118" s="64">
        <f t="shared" ref="Q118:X118" si="96">SUM(Q22,Q28,Q31:Q32,Q66,Q68:Q69,Q71,Q73,Q119:Q123,Q155,Q161,Q167,Q176,Q178,Q190,Q197,Q200:Q201,Q208,Q210,Q212,Q216:Q218,Q220:Q222,Q227,Q233:Q234,Q236:Q238,Q246,Q251)</f>
        <v>297.04000000000002</v>
      </c>
      <c r="R118" s="64">
        <f t="shared" si="96"/>
        <v>301.54000000000002</v>
      </c>
      <c r="S118" s="64">
        <f t="shared" si="96"/>
        <v>234.84000000000003</v>
      </c>
      <c r="T118" s="64">
        <f t="shared" si="96"/>
        <v>278.64000000000004</v>
      </c>
      <c r="U118" s="64">
        <f t="shared" si="96"/>
        <v>256.44000000000005</v>
      </c>
      <c r="V118" s="64">
        <f t="shared" si="96"/>
        <v>240.94</v>
      </c>
      <c r="W118" s="64">
        <f t="shared" si="96"/>
        <v>232.44</v>
      </c>
      <c r="X118" s="64">
        <f t="shared" si="96"/>
        <v>233.54000000000002</v>
      </c>
      <c r="Y118" s="64">
        <f>SUM(Y20,Y26,Y37:Y38,Y66,Y68:Y69,Y71,Y73,Y119:Y123,Y148,Y154,Y160,Y169,Y171,Y183,Y190,Y193:Y194,Y201,Y203,Y205,Y209:Y211,Y213:Y215,Y220,Y226:Y227,Y229:Y231,Y239,Y244)</f>
        <v>256.70000000000005</v>
      </c>
      <c r="Z118" s="64">
        <f>SUM(Z20,Z26,Z37:Z38,Z66,Z68:Z69,Z71,Z73,Z119:Z123,Z148,Z154,Z160,Z169,Z171,Z183,Z190,Z193:Z194,Z201,Z203,Z205,Z209:Z211,Z213:Z215,Z220,Z226:Z227,Z229:Z231,Z239,Z244)</f>
        <v>318</v>
      </c>
      <c r="AA118" s="64">
        <f t="shared" ref="AA118" si="97">SUM(AA22,AA28,AA31:AA32,AA66,AA68:AA69,AA71,AA73,AA119:AA123,AA155,AA161,AA167,AA176,AA178,AA190,AA197,AA200:AA201,AA208,AA210,AA212,AA216:AA218,AA220:AA222,AA227,AA233:AA234,AA236:AA238,AA246,AA251)</f>
        <v>313.74</v>
      </c>
      <c r="AB118" s="64">
        <f t="shared" ref="AB118:AC118" si="98">SUM(AB22,AB28,AB31:AB32,AB66,AB68:AB69,AB71,AB73,AB119:AB123,AB155,AB161,AB167,AB176,AB178,AB190,AB197,AB200:AB201,AB208,AB210,AB212,AB216:AB218,AB220:AB222,AB227,AB233:AB234,AB236:AB238,AB246,AB251)</f>
        <v>253.24</v>
      </c>
      <c r="AC118" s="64">
        <f t="shared" si="98"/>
        <v>253.24</v>
      </c>
      <c r="AD118" s="64">
        <f t="shared" ref="AD118:AE118" si="99">SUM(AD22,AD28,AD31:AD32,AD66,AD68:AD69,AD71,AD73,AD119:AD123,AD155,AD161,AD167,AD176,AD178,AD190,AD197,AD200:AD201,AD208,AD210,AD212,AD216:AD218,AD220:AD222,AD227,AD233:AD234,AD236:AD238,AD246,AD251)</f>
        <v>253.24</v>
      </c>
      <c r="AE118" s="64">
        <f t="shared" si="99"/>
        <v>253.24</v>
      </c>
      <c r="AF118" s="64">
        <f t="shared" ref="AF118" si="100">SUM(AF22,AF28,AF31:AF32,AF66,AF68:AF69,AF71,AF73,AF119:AF123,AF155,AF161,AF167,AF176,AF178,AF190,AF197,AF200:AF201,AF208,AF210,AF212,AF216:AF218,AF220:AF222,AF227,AF233:AF234,AF236:AF238,AF246,AF251)</f>
        <v>107.24000000000001</v>
      </c>
      <c r="AG118" s="63"/>
      <c r="AH118" s="12">
        <f t="shared" si="49"/>
        <v>318.94</v>
      </c>
      <c r="AI118" s="11">
        <f t="shared" si="50"/>
        <v>42</v>
      </c>
    </row>
    <row r="119" spans="1:35" x14ac:dyDescent="0.25">
      <c r="A119" s="59" t="s">
        <v>143</v>
      </c>
      <c r="B119" s="62"/>
      <c r="C119" s="62">
        <v>20</v>
      </c>
      <c r="D119" s="62">
        <v>23.7</v>
      </c>
      <c r="E119" s="62">
        <v>2.2999999999999998</v>
      </c>
      <c r="F119" s="62">
        <v>5.4</v>
      </c>
      <c r="G119" s="62">
        <v>11.2</v>
      </c>
      <c r="H119" s="62">
        <v>10.199999999999999</v>
      </c>
      <c r="I119" s="62">
        <v>1.9</v>
      </c>
      <c r="J119" s="62">
        <v>17.600000000000001</v>
      </c>
      <c r="K119" s="62">
        <v>27.1</v>
      </c>
      <c r="L119" s="62">
        <v>22.2</v>
      </c>
      <c r="M119" s="62">
        <v>10.8</v>
      </c>
      <c r="N119" s="62">
        <v>21.4</v>
      </c>
      <c r="O119" s="62">
        <v>22</v>
      </c>
      <c r="P119" s="62">
        <v>14.2</v>
      </c>
      <c r="Q119" s="62">
        <v>16.7</v>
      </c>
      <c r="R119" s="62">
        <v>7.8</v>
      </c>
      <c r="S119" s="62">
        <v>5.4</v>
      </c>
      <c r="T119" s="62">
        <v>6.6</v>
      </c>
      <c r="U119" s="62">
        <v>2.7</v>
      </c>
      <c r="V119" s="62">
        <v>-0.9</v>
      </c>
      <c r="W119" s="62">
        <v>-5.4</v>
      </c>
      <c r="X119" s="62">
        <v>-5.5</v>
      </c>
      <c r="Y119" s="62">
        <v>16.8</v>
      </c>
      <c r="Z119" s="62">
        <v>20.8</v>
      </c>
      <c r="AA119" s="62">
        <v>21.8</v>
      </c>
      <c r="AB119" s="62">
        <v>26</v>
      </c>
      <c r="AC119" s="62">
        <v>26</v>
      </c>
      <c r="AD119" s="62">
        <v>26</v>
      </c>
      <c r="AE119" s="62">
        <v>26</v>
      </c>
      <c r="AF119" s="62">
        <v>30</v>
      </c>
      <c r="AG119" s="55">
        <v>75</v>
      </c>
      <c r="AH119" s="12">
        <f t="shared" si="49"/>
        <v>30</v>
      </c>
      <c r="AI119" s="11">
        <f t="shared" si="50"/>
        <v>-5.5</v>
      </c>
    </row>
    <row r="120" spans="1:35" x14ac:dyDescent="0.25">
      <c r="A120" s="57" t="s">
        <v>142</v>
      </c>
      <c r="B120" s="61"/>
      <c r="C120" s="61">
        <v>36.1</v>
      </c>
      <c r="D120" s="61">
        <v>40.799999999999997</v>
      </c>
      <c r="E120" s="61">
        <v>12.8</v>
      </c>
      <c r="F120" s="61">
        <v>14.4</v>
      </c>
      <c r="G120" s="61">
        <v>21.8</v>
      </c>
      <c r="H120" s="61">
        <v>19.7</v>
      </c>
      <c r="I120" s="61">
        <v>4.0999999999999996</v>
      </c>
      <c r="J120" s="61">
        <v>17.899999999999999</v>
      </c>
      <c r="K120" s="61">
        <v>34.4</v>
      </c>
      <c r="L120" s="61">
        <v>23.9</v>
      </c>
      <c r="M120" s="61">
        <v>9.3000000000000007</v>
      </c>
      <c r="N120" s="61">
        <v>21.7</v>
      </c>
      <c r="O120" s="61">
        <v>22</v>
      </c>
      <c r="P120" s="61">
        <v>12.9</v>
      </c>
      <c r="Q120" s="61">
        <v>15.5</v>
      </c>
      <c r="R120" s="61">
        <v>2.5</v>
      </c>
      <c r="S120" s="61">
        <v>0.6</v>
      </c>
      <c r="T120" s="61">
        <v>0.7</v>
      </c>
      <c r="U120" s="61">
        <v>-4.5999999999999996</v>
      </c>
      <c r="V120" s="61">
        <v>-8.6999999999999993</v>
      </c>
      <c r="W120" s="61">
        <v>-11.2</v>
      </c>
      <c r="X120" s="61">
        <v>-5.2</v>
      </c>
      <c r="Y120" s="61">
        <v>11.7</v>
      </c>
      <c r="Z120" s="61">
        <v>27.5</v>
      </c>
      <c r="AA120" s="61">
        <v>28.8</v>
      </c>
      <c r="AB120" s="61">
        <v>38</v>
      </c>
      <c r="AC120" s="61">
        <v>38</v>
      </c>
      <c r="AD120" s="61">
        <v>38</v>
      </c>
      <c r="AE120" s="61">
        <v>38</v>
      </c>
      <c r="AF120" s="61">
        <v>46</v>
      </c>
      <c r="AG120" s="55">
        <v>240</v>
      </c>
      <c r="AH120" s="12">
        <f t="shared" si="49"/>
        <v>46</v>
      </c>
      <c r="AI120" s="11">
        <f t="shared" si="50"/>
        <v>-11.2</v>
      </c>
    </row>
    <row r="121" spans="1:35" x14ac:dyDescent="0.25">
      <c r="A121" s="57" t="s">
        <v>141</v>
      </c>
      <c r="B121" s="61"/>
      <c r="C121" s="61">
        <f>-24-29</f>
        <v>-53</v>
      </c>
      <c r="D121" s="61">
        <f>-30-36</f>
        <v>-66</v>
      </c>
      <c r="E121" s="61">
        <f>-22.6-26.5</f>
        <v>-49.1</v>
      </c>
      <c r="F121" s="61">
        <f>-15.7-22.2</f>
        <v>-37.9</v>
      </c>
      <c r="G121" s="61">
        <f>-21.7-23.8</f>
        <v>-45.5</v>
      </c>
      <c r="H121" s="61">
        <f>-14-16</f>
        <v>-30</v>
      </c>
      <c r="I121" s="61">
        <f>-2.1-6.3</f>
        <v>-8.4</v>
      </c>
      <c r="J121" s="61">
        <f>8.6+6.4</f>
        <v>15</v>
      </c>
      <c r="K121" s="61">
        <v>2.4</v>
      </c>
      <c r="L121" s="61">
        <v>19.899999999999999</v>
      </c>
      <c r="M121" s="61">
        <f>13+13</f>
        <v>26</v>
      </c>
      <c r="N121" s="61">
        <f>9+7</f>
        <v>16</v>
      </c>
      <c r="O121" s="61">
        <v>16</v>
      </c>
      <c r="P121" s="61">
        <f>11.9+9.2</f>
        <v>21.1</v>
      </c>
      <c r="Q121" s="61">
        <f>11+8.9</f>
        <v>19.899999999999999</v>
      </c>
      <c r="R121" s="61">
        <f>20+14</f>
        <v>34</v>
      </c>
      <c r="S121" s="61">
        <v>-31.6</v>
      </c>
      <c r="T121" s="61">
        <v>12.2</v>
      </c>
      <c r="U121" s="61">
        <v>22</v>
      </c>
      <c r="V121" s="61">
        <v>-8</v>
      </c>
      <c r="W121" s="61">
        <v>-5.6</v>
      </c>
      <c r="X121" s="61">
        <v>-1.2</v>
      </c>
      <c r="Y121" s="61">
        <v>-18.5</v>
      </c>
      <c r="Z121" s="61">
        <v>-11.2</v>
      </c>
      <c r="AA121" s="61">
        <v>-13.2</v>
      </c>
      <c r="AB121" s="61">
        <v>-42</v>
      </c>
      <c r="AC121" s="61">
        <v>-42</v>
      </c>
      <c r="AD121" s="61">
        <v>-42</v>
      </c>
      <c r="AE121" s="61">
        <v>-42</v>
      </c>
      <c r="AF121" s="61">
        <v>-100</v>
      </c>
      <c r="AG121" s="55">
        <v>240</v>
      </c>
      <c r="AH121" s="12">
        <f t="shared" si="49"/>
        <v>34</v>
      </c>
      <c r="AI121" s="11">
        <f t="shared" si="50"/>
        <v>-100</v>
      </c>
    </row>
    <row r="122" spans="1:35" ht="15.75" thickBot="1" x14ac:dyDescent="0.3">
      <c r="A122" s="57" t="s">
        <v>140</v>
      </c>
      <c r="B122" s="61"/>
      <c r="C122" s="61">
        <v>17.600000000000001</v>
      </c>
      <c r="D122" s="61">
        <v>16.8</v>
      </c>
      <c r="E122" s="61">
        <v>14.7</v>
      </c>
      <c r="F122" s="61">
        <v>16.8</v>
      </c>
      <c r="G122" s="61">
        <v>5</v>
      </c>
      <c r="H122" s="61">
        <v>9.3000000000000007</v>
      </c>
      <c r="I122" s="61">
        <v>14.7</v>
      </c>
      <c r="J122" s="61">
        <v>0.7</v>
      </c>
      <c r="K122" s="61">
        <v>0</v>
      </c>
      <c r="L122" s="61">
        <v>16.399999999999999</v>
      </c>
      <c r="M122" s="61">
        <v>17</v>
      </c>
      <c r="N122" s="61">
        <v>8.6</v>
      </c>
      <c r="O122" s="61">
        <v>14</v>
      </c>
      <c r="P122" s="61">
        <v>27.2</v>
      </c>
      <c r="Q122" s="61">
        <v>23.7</v>
      </c>
      <c r="R122" s="61">
        <v>35</v>
      </c>
      <c r="S122" s="61">
        <v>37.5</v>
      </c>
      <c r="T122" s="61">
        <v>40.4</v>
      </c>
      <c r="U122" s="61">
        <v>37.5</v>
      </c>
      <c r="V122" s="61">
        <v>37.5</v>
      </c>
      <c r="W122" s="61">
        <v>40.799999999999997</v>
      </c>
      <c r="X122" s="61">
        <v>38.200000000000003</v>
      </c>
      <c r="Y122" s="61">
        <v>28.3</v>
      </c>
      <c r="Z122" s="61">
        <v>39.1</v>
      </c>
      <c r="AA122" s="61">
        <v>46.8</v>
      </c>
      <c r="AB122" s="61">
        <v>41</v>
      </c>
      <c r="AC122" s="61">
        <v>41</v>
      </c>
      <c r="AD122" s="61">
        <v>41</v>
      </c>
      <c r="AE122" s="61">
        <v>41</v>
      </c>
      <c r="AF122" s="61">
        <v>27</v>
      </c>
      <c r="AG122" s="55">
        <v>60</v>
      </c>
      <c r="AH122" s="12">
        <f t="shared" si="49"/>
        <v>46.8</v>
      </c>
      <c r="AI122" s="11">
        <f t="shared" si="50"/>
        <v>0</v>
      </c>
    </row>
    <row r="123" spans="1:35" x14ac:dyDescent="0.25">
      <c r="A123" s="59" t="s">
        <v>139</v>
      </c>
      <c r="B123" s="58"/>
      <c r="C123" s="58">
        <v>27.2</v>
      </c>
      <c r="D123" s="58">
        <v>30.1</v>
      </c>
      <c r="E123" s="58">
        <v>48.7</v>
      </c>
      <c r="F123" s="58">
        <v>37.799999999999997</v>
      </c>
      <c r="G123" s="58">
        <v>54.2</v>
      </c>
      <c r="H123" s="58">
        <v>66.8</v>
      </c>
      <c r="I123" s="58">
        <v>106.4</v>
      </c>
      <c r="J123" s="58">
        <v>123.4</v>
      </c>
      <c r="K123" s="58">
        <v>123.8</v>
      </c>
      <c r="L123" s="58">
        <v>131.4</v>
      </c>
      <c r="M123" s="58">
        <v>152</v>
      </c>
      <c r="N123" s="58">
        <v>139</v>
      </c>
      <c r="O123" s="58">
        <v>136</v>
      </c>
      <c r="P123" s="58">
        <v>110</v>
      </c>
      <c r="Q123" s="58">
        <v>107</v>
      </c>
      <c r="R123" s="58">
        <v>108</v>
      </c>
      <c r="S123" s="58">
        <v>120.2</v>
      </c>
      <c r="T123" s="58">
        <v>125</v>
      </c>
      <c r="U123" s="58">
        <v>108</v>
      </c>
      <c r="V123" s="58">
        <v>131.80000000000001</v>
      </c>
      <c r="W123" s="58">
        <v>126.1</v>
      </c>
      <c r="X123" s="58">
        <v>119.5</v>
      </c>
      <c r="Y123" s="58">
        <v>109.5</v>
      </c>
      <c r="Z123" s="58">
        <v>135.80000000000001</v>
      </c>
      <c r="AA123" s="58">
        <v>133.30000000000001</v>
      </c>
      <c r="AB123" s="58">
        <v>94</v>
      </c>
      <c r="AC123" s="58">
        <v>94</v>
      </c>
      <c r="AD123" s="58">
        <v>94</v>
      </c>
      <c r="AE123" s="58">
        <v>94</v>
      </c>
      <c r="AF123" s="58">
        <v>8</v>
      </c>
      <c r="AG123" s="60">
        <v>120</v>
      </c>
      <c r="AH123" s="12">
        <f t="shared" si="49"/>
        <v>152</v>
      </c>
      <c r="AI123" s="11">
        <f t="shared" si="50"/>
        <v>8</v>
      </c>
    </row>
    <row r="124" spans="1:35" x14ac:dyDescent="0.25">
      <c r="A124" s="57" t="s">
        <v>138</v>
      </c>
      <c r="B124" s="58"/>
      <c r="C124" s="58">
        <v>28.8</v>
      </c>
      <c r="D124" s="58">
        <v>29.9</v>
      </c>
      <c r="E124" s="58">
        <v>40.299999999999997</v>
      </c>
      <c r="F124" s="58">
        <v>35.1</v>
      </c>
      <c r="G124" s="58">
        <v>43.6</v>
      </c>
      <c r="H124" s="58">
        <v>49.9</v>
      </c>
      <c r="I124" s="58">
        <v>68.599999999999994</v>
      </c>
      <c r="J124" s="58">
        <v>77.599999999999994</v>
      </c>
      <c r="K124" s="58">
        <v>76.900000000000006</v>
      </c>
      <c r="L124" s="58">
        <v>81.2</v>
      </c>
      <c r="M124" s="58">
        <v>90</v>
      </c>
      <c r="N124" s="58">
        <v>85</v>
      </c>
      <c r="O124" s="58">
        <v>83</v>
      </c>
      <c r="P124" s="58">
        <v>75.7</v>
      </c>
      <c r="Q124" s="58">
        <v>74</v>
      </c>
      <c r="R124" s="58">
        <v>76</v>
      </c>
      <c r="S124" s="58">
        <v>75.3</v>
      </c>
      <c r="T124" s="58">
        <v>82.9</v>
      </c>
      <c r="U124" s="58">
        <v>74.599999999999994</v>
      </c>
      <c r="V124" s="58">
        <v>86.6</v>
      </c>
      <c r="W124" s="58">
        <v>83.4</v>
      </c>
      <c r="X124" s="58">
        <v>84.8</v>
      </c>
      <c r="Y124" s="58">
        <v>75.3</v>
      </c>
      <c r="Z124" s="58">
        <v>86.9</v>
      </c>
      <c r="AA124" s="58">
        <v>83.2</v>
      </c>
      <c r="AB124" s="58">
        <v>72</v>
      </c>
      <c r="AC124" s="58">
        <v>72</v>
      </c>
      <c r="AD124" s="58">
        <v>72</v>
      </c>
      <c r="AE124" s="58">
        <v>72</v>
      </c>
      <c r="AF124" s="58">
        <v>27</v>
      </c>
      <c r="AG124" s="60"/>
      <c r="AH124" s="12">
        <f t="shared" si="49"/>
        <v>90</v>
      </c>
      <c r="AI124" s="11">
        <f t="shared" si="50"/>
        <v>27</v>
      </c>
    </row>
    <row r="125" spans="1:35" x14ac:dyDescent="0.25">
      <c r="A125" s="57" t="s">
        <v>137</v>
      </c>
      <c r="B125" s="58"/>
      <c r="C125" s="58">
        <v>-15</v>
      </c>
      <c r="D125" s="58">
        <v>-10.3</v>
      </c>
      <c r="E125" s="58">
        <v>-16.3</v>
      </c>
      <c r="F125" s="58">
        <v>5.8</v>
      </c>
      <c r="G125" s="58">
        <v>8.4</v>
      </c>
      <c r="H125" s="58">
        <v>3.6</v>
      </c>
      <c r="I125" s="58">
        <v>18.7</v>
      </c>
      <c r="J125" s="58">
        <v>-2.6</v>
      </c>
      <c r="K125" s="58">
        <v>-18.399999999999999</v>
      </c>
      <c r="L125" s="58">
        <v>-14.5</v>
      </c>
      <c r="M125" s="58">
        <v>0</v>
      </c>
      <c r="N125" s="58">
        <v>0</v>
      </c>
      <c r="O125" s="58">
        <v>0</v>
      </c>
      <c r="P125" s="58">
        <v>0</v>
      </c>
      <c r="Q125" s="58">
        <v>0</v>
      </c>
      <c r="R125" s="58">
        <v>0</v>
      </c>
      <c r="S125" s="58">
        <v>0</v>
      </c>
      <c r="T125" s="58">
        <v>0</v>
      </c>
      <c r="U125" s="58">
        <v>0</v>
      </c>
      <c r="V125" s="58">
        <v>24.3</v>
      </c>
      <c r="W125" s="58">
        <v>20.8</v>
      </c>
      <c r="X125" s="58">
        <v>12.8</v>
      </c>
      <c r="Y125" s="58">
        <v>-17.36</v>
      </c>
      <c r="Z125" s="58">
        <v>-24.3</v>
      </c>
      <c r="AA125" s="58">
        <v>-35.5</v>
      </c>
      <c r="AB125" s="58">
        <v>-35.5</v>
      </c>
      <c r="AC125" s="58">
        <v>-35.5</v>
      </c>
      <c r="AD125" s="58">
        <v>-35.5</v>
      </c>
      <c r="AE125" s="58">
        <v>-35.5</v>
      </c>
      <c r="AF125" s="58">
        <v>-27</v>
      </c>
      <c r="AG125" s="60"/>
      <c r="AH125" s="12">
        <f t="shared" si="49"/>
        <v>24.3</v>
      </c>
      <c r="AI125" s="11">
        <f t="shared" si="50"/>
        <v>-35.5</v>
      </c>
    </row>
    <row r="126" spans="1:35" ht="15.75" thickBot="1" x14ac:dyDescent="0.3">
      <c r="A126" s="57" t="s">
        <v>136</v>
      </c>
      <c r="B126" s="58"/>
      <c r="C126" s="58">
        <v>28</v>
      </c>
      <c r="D126" s="58">
        <v>32.9</v>
      </c>
      <c r="E126" s="58">
        <v>48.2</v>
      </c>
      <c r="F126" s="58">
        <v>33.700000000000003</v>
      </c>
      <c r="G126" s="58">
        <v>45.8</v>
      </c>
      <c r="H126" s="58">
        <v>53.7</v>
      </c>
      <c r="I126" s="58">
        <v>80.900000000000006</v>
      </c>
      <c r="J126" s="58">
        <v>85.3</v>
      </c>
      <c r="K126" s="58">
        <v>92</v>
      </c>
      <c r="L126" s="58">
        <v>94.3</v>
      </c>
      <c r="M126" s="58">
        <v>101</v>
      </c>
      <c r="N126" s="58">
        <v>92</v>
      </c>
      <c r="O126" s="58">
        <v>101</v>
      </c>
      <c r="P126" s="58">
        <v>106.1</v>
      </c>
      <c r="Q126" s="58">
        <v>99.8</v>
      </c>
      <c r="R126" s="58">
        <v>104</v>
      </c>
      <c r="S126" s="58">
        <v>98.3</v>
      </c>
      <c r="T126" s="58">
        <v>91.8</v>
      </c>
      <c r="U126" s="58">
        <v>113</v>
      </c>
      <c r="V126" s="58">
        <v>99.9</v>
      </c>
      <c r="W126" s="58">
        <v>89.9</v>
      </c>
      <c r="X126" s="58">
        <v>81.599999999999994</v>
      </c>
      <c r="Y126" s="58">
        <v>63.6</v>
      </c>
      <c r="Z126" s="58">
        <v>76.8</v>
      </c>
      <c r="AA126" s="58">
        <v>81.2</v>
      </c>
      <c r="AB126" s="58">
        <v>81.2</v>
      </c>
      <c r="AC126" s="58">
        <v>81.2</v>
      </c>
      <c r="AD126" s="58">
        <v>81.2</v>
      </c>
      <c r="AE126" s="58">
        <v>81.2</v>
      </c>
      <c r="AF126" s="58">
        <v>20</v>
      </c>
      <c r="AG126" s="55"/>
      <c r="AH126" s="12">
        <f>MAX(B126:AF126)</f>
        <v>113</v>
      </c>
      <c r="AI126" s="11">
        <f>MIN(B126:AF126)</f>
        <v>20</v>
      </c>
    </row>
    <row r="127" spans="1:35" x14ac:dyDescent="0.25">
      <c r="A127" s="59" t="s">
        <v>135</v>
      </c>
      <c r="B127" s="58"/>
      <c r="C127" s="58">
        <v>-101</v>
      </c>
      <c r="D127" s="58">
        <v>-103.7</v>
      </c>
      <c r="E127" s="58">
        <v>-69.2</v>
      </c>
      <c r="F127" s="58">
        <v>-69.3</v>
      </c>
      <c r="G127" s="58">
        <v>-69</v>
      </c>
      <c r="H127" s="58">
        <v>-51.6</v>
      </c>
      <c r="I127" s="58">
        <v>-31.7</v>
      </c>
      <c r="J127" s="58">
        <v>31.3</v>
      </c>
      <c r="K127" s="58">
        <v>30.2</v>
      </c>
      <c r="L127" s="58">
        <v>34</v>
      </c>
      <c r="M127" s="58">
        <v>44</v>
      </c>
      <c r="N127" s="58">
        <v>41</v>
      </c>
      <c r="O127" s="58">
        <v>38</v>
      </c>
      <c r="P127" s="58">
        <v>24.2</v>
      </c>
      <c r="Q127" s="58">
        <v>25</v>
      </c>
      <c r="R127" s="58">
        <v>26</v>
      </c>
      <c r="S127" s="58">
        <v>28.6</v>
      </c>
      <c r="T127" s="58">
        <v>32.5</v>
      </c>
      <c r="U127" s="58">
        <v>21.2</v>
      </c>
      <c r="V127" s="58">
        <v>33.6</v>
      </c>
      <c r="W127" s="58">
        <v>29.1</v>
      </c>
      <c r="X127" s="58">
        <v>24</v>
      </c>
      <c r="Y127" s="58">
        <v>-92.2</v>
      </c>
      <c r="Z127" s="58">
        <v>-111.1</v>
      </c>
      <c r="AA127" s="58">
        <v>-97</v>
      </c>
      <c r="AB127" s="58">
        <v>-97</v>
      </c>
      <c r="AC127" s="58">
        <v>-97</v>
      </c>
      <c r="AD127" s="58">
        <v>-97</v>
      </c>
      <c r="AE127" s="58">
        <v>-97</v>
      </c>
      <c r="AF127" s="58">
        <v>-106</v>
      </c>
      <c r="AG127" s="55"/>
      <c r="AH127" s="12">
        <f>MAX(B127:AF127)</f>
        <v>44</v>
      </c>
      <c r="AI127" s="11">
        <f>MIN(B127:AF127)</f>
        <v>-111.1</v>
      </c>
    </row>
    <row r="128" spans="1:35" x14ac:dyDescent="0.25">
      <c r="A128" s="57" t="s">
        <v>134</v>
      </c>
      <c r="B128" s="56"/>
      <c r="C128" s="56">
        <v>-6.2</v>
      </c>
      <c r="D128" s="56">
        <v>-9.1</v>
      </c>
      <c r="E128" s="56">
        <v>-9.1</v>
      </c>
      <c r="F128" s="56">
        <v>-8.9</v>
      </c>
      <c r="G128" s="56">
        <v>-11.9</v>
      </c>
      <c r="H128" s="56">
        <v>-7.9</v>
      </c>
      <c r="I128" s="56">
        <v>-5.3</v>
      </c>
      <c r="J128" s="56">
        <v>-14.8</v>
      </c>
      <c r="K128" s="56">
        <v>-16.3</v>
      </c>
      <c r="L128" s="56">
        <v>-18</v>
      </c>
      <c r="M128" s="56">
        <v>-22</v>
      </c>
      <c r="N128" s="56">
        <v>-24</v>
      </c>
      <c r="O128" s="56">
        <v>-26</v>
      </c>
      <c r="P128" s="56">
        <v>-32.700000000000003</v>
      </c>
      <c r="Q128" s="56">
        <v>-26</v>
      </c>
      <c r="R128" s="56">
        <v>-29</v>
      </c>
      <c r="S128" s="56">
        <v>-27.9</v>
      </c>
      <c r="T128" s="56">
        <v>-28.8</v>
      </c>
      <c r="U128" s="56">
        <v>-12</v>
      </c>
      <c r="V128" s="56">
        <v>1.4</v>
      </c>
      <c r="W128" s="56">
        <v>-0.2</v>
      </c>
      <c r="X128" s="56">
        <v>-5.6</v>
      </c>
      <c r="Y128" s="56">
        <v>-23.9</v>
      </c>
      <c r="Z128" s="56">
        <v>-27.5</v>
      </c>
      <c r="AA128" s="56">
        <v>-16.899999999999999</v>
      </c>
      <c r="AB128" s="56">
        <v>-16.899999999999999</v>
      </c>
      <c r="AC128" s="56">
        <v>-16.899999999999999</v>
      </c>
      <c r="AD128" s="56">
        <v>-3</v>
      </c>
      <c r="AE128" s="56">
        <v>-3</v>
      </c>
      <c r="AF128" s="56">
        <v>3</v>
      </c>
      <c r="AG128" s="55"/>
      <c r="AH128" s="12">
        <f>MAX(B128:AF128)</f>
        <v>3</v>
      </c>
      <c r="AI128" s="11">
        <f>MIN(B128:AF128)</f>
        <v>-32.700000000000003</v>
      </c>
    </row>
    <row r="129" spans="1:37" x14ac:dyDescent="0.25">
      <c r="A129" s="57" t="s">
        <v>133</v>
      </c>
      <c r="B129" s="56"/>
      <c r="C129" s="56">
        <v>39.1</v>
      </c>
      <c r="D129" s="56">
        <v>44.3</v>
      </c>
      <c r="E129" s="56">
        <v>43.3</v>
      </c>
      <c r="F129" s="56">
        <v>42.5</v>
      </c>
      <c r="G129" s="56">
        <v>44</v>
      </c>
      <c r="H129" s="56">
        <v>35.4</v>
      </c>
      <c r="I129" s="56">
        <v>42.6</v>
      </c>
      <c r="J129" s="56">
        <v>47.7</v>
      </c>
      <c r="K129" s="56">
        <v>16.7</v>
      </c>
      <c r="L129" s="56">
        <v>19.100000000000001</v>
      </c>
      <c r="M129" s="56">
        <v>55</v>
      </c>
      <c r="N129" s="56">
        <v>66</v>
      </c>
      <c r="O129" s="56">
        <v>69</v>
      </c>
      <c r="P129" s="56">
        <v>68.3</v>
      </c>
      <c r="Q129" s="56">
        <v>60</v>
      </c>
      <c r="R129" s="56">
        <v>64</v>
      </c>
      <c r="S129" s="56">
        <v>73.900000000000006</v>
      </c>
      <c r="T129" s="56">
        <v>75.3</v>
      </c>
      <c r="U129" s="56">
        <v>67.900000000000006</v>
      </c>
      <c r="V129" s="56">
        <v>59.4</v>
      </c>
      <c r="W129" s="56">
        <v>72.52</v>
      </c>
      <c r="X129" s="56">
        <v>71.7</v>
      </c>
      <c r="Y129" s="56">
        <v>81.8</v>
      </c>
      <c r="Z129" s="56">
        <v>90.5</v>
      </c>
      <c r="AA129" s="56">
        <v>90.3</v>
      </c>
      <c r="AB129" s="56">
        <v>90.3</v>
      </c>
      <c r="AC129" s="56">
        <v>90.3</v>
      </c>
      <c r="AD129" s="56">
        <v>90.3</v>
      </c>
      <c r="AE129" s="56">
        <v>90.3</v>
      </c>
      <c r="AF129" s="56">
        <v>70</v>
      </c>
      <c r="AG129" s="55"/>
      <c r="AH129" s="12">
        <f>MAX(B129:AF129)</f>
        <v>90.5</v>
      </c>
      <c r="AI129" s="11">
        <f>MIN(B129:AF129)</f>
        <v>16.7</v>
      </c>
    </row>
    <row r="130" spans="1:37" ht="15.75" thickBot="1" x14ac:dyDescent="0.3">
      <c r="A130" s="57" t="s">
        <v>132</v>
      </c>
      <c r="B130" s="56"/>
      <c r="C130" s="56">
        <v>52</v>
      </c>
      <c r="D130" s="56">
        <v>56.4</v>
      </c>
      <c r="E130" s="56">
        <v>57.9</v>
      </c>
      <c r="F130" s="56">
        <v>56.7</v>
      </c>
      <c r="G130" s="56">
        <v>58.4</v>
      </c>
      <c r="H130" s="56">
        <v>61.9</v>
      </c>
      <c r="I130" s="56">
        <v>58.9</v>
      </c>
      <c r="J130" s="56">
        <v>61.9</v>
      </c>
      <c r="K130" s="56">
        <v>27.6</v>
      </c>
      <c r="L130" s="56">
        <v>69.400000000000006</v>
      </c>
      <c r="M130" s="56">
        <v>69</v>
      </c>
      <c r="N130" s="56">
        <v>65</v>
      </c>
      <c r="O130" s="56">
        <v>74</v>
      </c>
      <c r="P130" s="56">
        <v>77</v>
      </c>
      <c r="Q130" s="56">
        <v>70</v>
      </c>
      <c r="R130" s="56">
        <v>77</v>
      </c>
      <c r="S130" s="56">
        <v>82.4</v>
      </c>
      <c r="T130" s="56">
        <v>80.599999999999994</v>
      </c>
      <c r="U130" s="56">
        <v>74.400000000000006</v>
      </c>
      <c r="V130" s="56">
        <v>67.2</v>
      </c>
      <c r="W130" s="56">
        <v>78.3</v>
      </c>
      <c r="X130" s="56">
        <v>76.2</v>
      </c>
      <c r="Y130" s="56">
        <v>86.3</v>
      </c>
      <c r="Z130" s="56">
        <v>91.4</v>
      </c>
      <c r="AA130" s="56">
        <v>93.3</v>
      </c>
      <c r="AB130" s="56">
        <v>93.3</v>
      </c>
      <c r="AC130" s="56">
        <v>93.3</v>
      </c>
      <c r="AD130" s="56">
        <v>87</v>
      </c>
      <c r="AE130" s="56">
        <v>87</v>
      </c>
      <c r="AF130" s="56">
        <v>75</v>
      </c>
      <c r="AG130" s="55"/>
      <c r="AH130" s="12">
        <f>MAX(B130:AF130)</f>
        <v>93.3</v>
      </c>
      <c r="AI130" s="11">
        <f>MIN(B130:AF130)</f>
        <v>27.6</v>
      </c>
    </row>
    <row r="131" spans="1:37" x14ac:dyDescent="0.25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25">
      <c r="A132" s="47" t="s">
        <v>130</v>
      </c>
      <c r="B132" s="51">
        <v>1983.8</v>
      </c>
      <c r="C132" s="51">
        <v>1983.6</v>
      </c>
      <c r="D132" s="51">
        <v>1983.35</v>
      </c>
      <c r="E132" s="51">
        <v>1983.1</v>
      </c>
      <c r="F132" s="51">
        <v>1983</v>
      </c>
      <c r="G132" s="51">
        <v>1982.88</v>
      </c>
      <c r="H132" s="51"/>
      <c r="I132" s="51">
        <v>1982.78</v>
      </c>
      <c r="J132" s="51"/>
      <c r="K132" s="51">
        <v>1983</v>
      </c>
      <c r="L132" s="51"/>
      <c r="M132" s="51">
        <v>1983.34</v>
      </c>
      <c r="N132" s="51">
        <v>1983.62</v>
      </c>
      <c r="O132" s="51">
        <v>1983.92</v>
      </c>
      <c r="P132" s="51">
        <v>1984.18</v>
      </c>
      <c r="Q132" s="51">
        <v>1984.45</v>
      </c>
      <c r="R132" s="51">
        <v>1984.7</v>
      </c>
      <c r="S132" s="51">
        <v>1985</v>
      </c>
      <c r="T132" s="51">
        <v>1985.19</v>
      </c>
      <c r="U132" s="51">
        <v>1985.4</v>
      </c>
      <c r="V132" s="51">
        <v>1985.62</v>
      </c>
      <c r="W132" s="51"/>
      <c r="X132" s="51">
        <v>1985.85</v>
      </c>
      <c r="Y132" s="51"/>
      <c r="Z132" s="51">
        <v>1985.65</v>
      </c>
      <c r="AA132" s="51"/>
      <c r="AB132" s="51">
        <v>1985</v>
      </c>
      <c r="AC132" s="51"/>
      <c r="AD132" s="51"/>
      <c r="AE132" s="51">
        <v>1984.15</v>
      </c>
      <c r="AF132" s="50">
        <v>1983.8</v>
      </c>
      <c r="AG132" s="44"/>
      <c r="AH132" s="12"/>
      <c r="AI132" s="11"/>
    </row>
    <row r="133" spans="1:37" x14ac:dyDescent="0.25">
      <c r="A133" s="47" t="s">
        <v>129</v>
      </c>
      <c r="B133" s="49">
        <v>520.23</v>
      </c>
      <c r="C133" s="49">
        <v>520.15</v>
      </c>
      <c r="D133" s="49">
        <v>520.20000000000005</v>
      </c>
      <c r="E133" s="49">
        <v>520.34</v>
      </c>
      <c r="F133" s="49">
        <v>520.53</v>
      </c>
      <c r="G133" s="49">
        <v>520.73</v>
      </c>
      <c r="H133" s="49"/>
      <c r="I133" s="49">
        <v>520.91</v>
      </c>
      <c r="J133" s="49"/>
      <c r="K133" s="49">
        <v>520.96</v>
      </c>
      <c r="L133" s="49"/>
      <c r="M133" s="49">
        <v>520.84</v>
      </c>
      <c r="N133" s="49">
        <v>520.94000000000005</v>
      </c>
      <c r="O133" s="49">
        <v>521.02</v>
      </c>
      <c r="P133" s="49">
        <v>521.08000000000004</v>
      </c>
      <c r="Q133" s="49">
        <v>521.16</v>
      </c>
      <c r="R133" s="49">
        <v>521.22</v>
      </c>
      <c r="S133" s="49">
        <v>521.29</v>
      </c>
      <c r="T133" s="49">
        <v>521.30999999999995</v>
      </c>
      <c r="U133" s="49">
        <v>521.32000000000005</v>
      </c>
      <c r="V133" s="49">
        <v>521.29</v>
      </c>
      <c r="W133" s="49"/>
      <c r="X133" s="49">
        <v>521.33000000000004</v>
      </c>
      <c r="Y133" s="49"/>
      <c r="Z133" s="49">
        <v>521.23</v>
      </c>
      <c r="AA133" s="49"/>
      <c r="AB133" s="49">
        <v>520.84</v>
      </c>
      <c r="AC133" s="49"/>
      <c r="AD133" s="49">
        <v>520.6</v>
      </c>
      <c r="AE133" s="49">
        <v>520.34</v>
      </c>
      <c r="AF133" s="48">
        <v>519.98</v>
      </c>
      <c r="AG133" s="44"/>
      <c r="AH133" s="12"/>
      <c r="AI133" s="11"/>
    </row>
    <row r="134" spans="1:37" x14ac:dyDescent="0.25">
      <c r="A134" s="47" t="s">
        <v>128</v>
      </c>
      <c r="B134" s="49"/>
      <c r="C134" s="49">
        <v>623.22</v>
      </c>
      <c r="D134" s="49">
        <v>623.04999999999995</v>
      </c>
      <c r="E134" s="49">
        <v>623.02</v>
      </c>
      <c r="F134" s="49">
        <v>623.14</v>
      </c>
      <c r="G134" s="49">
        <v>623.4</v>
      </c>
      <c r="H134" s="49"/>
      <c r="I134" s="49">
        <v>623.65</v>
      </c>
      <c r="J134" s="49"/>
      <c r="K134" s="49">
        <v>623.82000000000005</v>
      </c>
      <c r="L134" s="49"/>
      <c r="M134" s="49">
        <v>623.70000000000005</v>
      </c>
      <c r="N134" s="49">
        <v>623.6</v>
      </c>
      <c r="O134" s="49">
        <v>623.52</v>
      </c>
      <c r="P134" s="49">
        <v>623.45000000000005</v>
      </c>
      <c r="Q134" s="49">
        <v>623.25</v>
      </c>
      <c r="R134" s="49">
        <v>623.12</v>
      </c>
      <c r="S134" s="49">
        <v>623.39</v>
      </c>
      <c r="T134" s="49">
        <v>623.51</v>
      </c>
      <c r="U134" s="49">
        <v>623.6</v>
      </c>
      <c r="V134" s="49">
        <v>623.70000000000005</v>
      </c>
      <c r="W134" s="49"/>
      <c r="X134" s="49">
        <v>623.79999999999995</v>
      </c>
      <c r="Y134" s="49"/>
      <c r="Z134" s="49">
        <v>623.54999999999995</v>
      </c>
      <c r="AA134" s="49"/>
      <c r="AB134" s="49">
        <v>623.49</v>
      </c>
      <c r="AC134" s="49"/>
      <c r="AD134" s="49">
        <v>623.15</v>
      </c>
      <c r="AE134" s="49">
        <v>622.9</v>
      </c>
      <c r="AF134" s="48">
        <v>622.64</v>
      </c>
      <c r="AG134" s="44"/>
      <c r="AH134" s="12"/>
      <c r="AI134" s="11"/>
    </row>
    <row r="135" spans="1:37" x14ac:dyDescent="0.25">
      <c r="A135" s="47" t="s">
        <v>127</v>
      </c>
      <c r="B135" s="49"/>
      <c r="C135" s="49">
        <v>335.45</v>
      </c>
      <c r="D135" s="49">
        <v>335.56</v>
      </c>
      <c r="E135" s="49">
        <v>335.74</v>
      </c>
      <c r="F135" s="49">
        <v>335.9</v>
      </c>
      <c r="G135" s="49">
        <v>336.06</v>
      </c>
      <c r="H135" s="49"/>
      <c r="I135" s="49">
        <v>336.11</v>
      </c>
      <c r="J135" s="49"/>
      <c r="K135" s="49">
        <v>336.16</v>
      </c>
      <c r="L135" s="49"/>
      <c r="M135" s="49">
        <v>336.16</v>
      </c>
      <c r="N135" s="49">
        <v>336.13</v>
      </c>
      <c r="O135" s="49">
        <v>336.14</v>
      </c>
      <c r="P135" s="49">
        <v>336.06</v>
      </c>
      <c r="Q135" s="49">
        <v>335.97</v>
      </c>
      <c r="R135" s="49">
        <v>336.03</v>
      </c>
      <c r="S135" s="49">
        <v>336.12</v>
      </c>
      <c r="T135" s="49">
        <v>336.15</v>
      </c>
      <c r="U135" s="49">
        <v>336.2</v>
      </c>
      <c r="V135" s="49">
        <v>336.22</v>
      </c>
      <c r="W135" s="49"/>
      <c r="X135" s="49">
        <v>336.3</v>
      </c>
      <c r="Y135" s="49"/>
      <c r="Z135" s="49">
        <v>336.33</v>
      </c>
      <c r="AA135" s="49"/>
      <c r="AB135" s="49">
        <v>336.12</v>
      </c>
      <c r="AC135" s="49"/>
      <c r="AD135" s="49"/>
      <c r="AE135" s="49">
        <v>335.55</v>
      </c>
      <c r="AF135" s="48" t="s">
        <v>306</v>
      </c>
      <c r="AG135" s="44"/>
      <c r="AH135" s="12"/>
      <c r="AI135" s="11"/>
    </row>
    <row r="136" spans="1:37" x14ac:dyDescent="0.25">
      <c r="A136" s="47" t="s">
        <v>126</v>
      </c>
      <c r="B136" s="49">
        <v>885</v>
      </c>
      <c r="C136" s="49">
        <v>885.4</v>
      </c>
      <c r="D136" s="49">
        <v>885.7</v>
      </c>
      <c r="E136" s="49">
        <v>886.5</v>
      </c>
      <c r="F136" s="49">
        <v>887.3</v>
      </c>
      <c r="G136" s="49">
        <v>887.4</v>
      </c>
      <c r="H136" s="49"/>
      <c r="I136" s="49">
        <v>887.4</v>
      </c>
      <c r="J136" s="49"/>
      <c r="K136" s="49">
        <v>887.3</v>
      </c>
      <c r="L136" s="49"/>
      <c r="M136" s="49">
        <v>886.9</v>
      </c>
      <c r="N136" s="49">
        <v>886.3</v>
      </c>
      <c r="O136" s="49">
        <v>885.7</v>
      </c>
      <c r="P136" s="49">
        <v>885</v>
      </c>
      <c r="Q136" s="49">
        <v>884.2</v>
      </c>
      <c r="R136" s="49">
        <v>883.3</v>
      </c>
      <c r="S136" s="49">
        <v>883</v>
      </c>
      <c r="T136" s="49">
        <v>883.3</v>
      </c>
      <c r="U136" s="49">
        <v>1984.2</v>
      </c>
      <c r="V136" s="49">
        <v>1884.8</v>
      </c>
      <c r="W136" s="49"/>
      <c r="X136" s="49">
        <v>885.5</v>
      </c>
      <c r="Y136" s="49"/>
      <c r="Z136" s="49">
        <v>885.9</v>
      </c>
      <c r="AA136" s="49"/>
      <c r="AB136" s="49">
        <v>885.7</v>
      </c>
      <c r="AC136" s="49"/>
      <c r="AD136" s="49">
        <v>885.3</v>
      </c>
      <c r="AE136" s="49">
        <v>884.9</v>
      </c>
      <c r="AF136" s="48"/>
      <c r="AG136" s="44"/>
      <c r="AH136" s="12"/>
      <c r="AI136" s="11"/>
    </row>
    <row r="137" spans="1:37" ht="15.75" thickBot="1" x14ac:dyDescent="0.3">
      <c r="A137" s="47" t="s">
        <v>125</v>
      </c>
      <c r="B137" s="46">
        <v>1500.69</v>
      </c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.75" thickBot="1" x14ac:dyDescent="0.3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25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25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25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25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25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25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25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25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25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25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25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25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25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25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25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25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25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25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25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25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25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25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25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25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25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25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25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25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25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25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25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25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25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25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25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25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25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25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25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25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25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25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25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25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25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25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25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25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25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25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25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25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25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25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25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25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25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25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25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25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25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25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25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25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25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25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25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25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25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25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25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25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25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25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25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25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25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25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25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25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25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25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25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25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25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25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25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25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25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25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25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25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25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25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25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25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25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25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25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25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25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25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25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25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.75" thickBot="1" x14ac:dyDescent="0.3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.75" thickBot="1" x14ac:dyDescent="0.3">
      <c r="A244" s="31" t="s">
        <v>17</v>
      </c>
      <c r="B244" s="30">
        <f t="shared" ref="B244:AG244" si="101">SUM(B139:B243)</f>
        <v>0</v>
      </c>
      <c r="C244" s="14">
        <f t="shared" si="101"/>
        <v>0</v>
      </c>
      <c r="D244" s="14">
        <f t="shared" si="101"/>
        <v>0</v>
      </c>
      <c r="E244" s="14">
        <f t="shared" si="101"/>
        <v>0</v>
      </c>
      <c r="F244" s="14">
        <f t="shared" si="101"/>
        <v>0</v>
      </c>
      <c r="G244" s="14">
        <f t="shared" si="101"/>
        <v>0</v>
      </c>
      <c r="H244" s="14">
        <f t="shared" si="101"/>
        <v>0</v>
      </c>
      <c r="I244" s="14">
        <f t="shared" si="101"/>
        <v>0</v>
      </c>
      <c r="J244" s="14">
        <f t="shared" si="101"/>
        <v>0</v>
      </c>
      <c r="K244" s="14">
        <f t="shared" si="101"/>
        <v>0</v>
      </c>
      <c r="L244" s="14">
        <f t="shared" si="101"/>
        <v>0</v>
      </c>
      <c r="M244" s="14">
        <f t="shared" si="101"/>
        <v>0</v>
      </c>
      <c r="N244" s="14">
        <f t="shared" si="101"/>
        <v>0</v>
      </c>
      <c r="O244" s="14">
        <f t="shared" si="101"/>
        <v>0</v>
      </c>
      <c r="P244" s="14">
        <f t="shared" si="101"/>
        <v>0</v>
      </c>
      <c r="Q244" s="14">
        <f t="shared" si="101"/>
        <v>0</v>
      </c>
      <c r="R244" s="14">
        <f t="shared" si="101"/>
        <v>0</v>
      </c>
      <c r="S244" s="14">
        <f t="shared" si="101"/>
        <v>0</v>
      </c>
      <c r="T244" s="14">
        <f t="shared" si="101"/>
        <v>0</v>
      </c>
      <c r="U244" s="14">
        <f t="shared" si="101"/>
        <v>0</v>
      </c>
      <c r="V244" s="14">
        <f t="shared" si="101"/>
        <v>0</v>
      </c>
      <c r="W244" s="14">
        <f t="shared" si="101"/>
        <v>0</v>
      </c>
      <c r="X244" s="14">
        <f t="shared" si="101"/>
        <v>0</v>
      </c>
      <c r="Y244" s="14">
        <f t="shared" si="101"/>
        <v>0</v>
      </c>
      <c r="Z244" s="14">
        <f t="shared" si="101"/>
        <v>0</v>
      </c>
      <c r="AA244" s="14">
        <f t="shared" si="101"/>
        <v>0</v>
      </c>
      <c r="AB244" s="14">
        <f t="shared" si="101"/>
        <v>0</v>
      </c>
      <c r="AC244" s="14">
        <f t="shared" si="101"/>
        <v>0</v>
      </c>
      <c r="AD244" s="14">
        <f t="shared" si="101"/>
        <v>0</v>
      </c>
      <c r="AE244" s="14">
        <f t="shared" si="101"/>
        <v>0</v>
      </c>
      <c r="AF244" s="29">
        <f t="shared" si="101"/>
        <v>0</v>
      </c>
      <c r="AG244" s="28">
        <f t="shared" si="101"/>
        <v>412.72299999999984</v>
      </c>
      <c r="AH244" s="12"/>
      <c r="AI244" s="11"/>
      <c r="AK244" s="19"/>
    </row>
    <row r="245" spans="1:37" ht="15.75" thickBot="1" x14ac:dyDescent="0.3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25">
      <c r="A246" s="25" t="s">
        <v>16</v>
      </c>
      <c r="B246" s="24">
        <f t="shared" ref="B246:B251" si="102">AF246</f>
        <v>0.3</v>
      </c>
      <c r="C246" s="24">
        <v>0.3</v>
      </c>
      <c r="D246" s="24">
        <f t="shared" ref="D246:AF251" si="103">C246</f>
        <v>0.3</v>
      </c>
      <c r="E246" s="24">
        <f t="shared" si="103"/>
        <v>0.3</v>
      </c>
      <c r="F246" s="24">
        <f t="shared" si="103"/>
        <v>0.3</v>
      </c>
      <c r="G246" s="24">
        <f t="shared" si="103"/>
        <v>0.3</v>
      </c>
      <c r="H246" s="24">
        <f t="shared" si="103"/>
        <v>0.3</v>
      </c>
      <c r="I246" s="24">
        <f t="shared" si="103"/>
        <v>0.3</v>
      </c>
      <c r="J246" s="24">
        <f t="shared" si="103"/>
        <v>0.3</v>
      </c>
      <c r="K246" s="24">
        <f t="shared" si="103"/>
        <v>0.3</v>
      </c>
      <c r="L246" s="24">
        <f t="shared" si="103"/>
        <v>0.3</v>
      </c>
      <c r="M246" s="24">
        <f t="shared" si="103"/>
        <v>0.3</v>
      </c>
      <c r="N246" s="24">
        <f t="shared" si="103"/>
        <v>0.3</v>
      </c>
      <c r="O246" s="24">
        <f t="shared" si="103"/>
        <v>0.3</v>
      </c>
      <c r="P246" s="24">
        <f t="shared" si="103"/>
        <v>0.3</v>
      </c>
      <c r="Q246" s="24">
        <f t="shared" si="103"/>
        <v>0.3</v>
      </c>
      <c r="R246" s="24">
        <f t="shared" si="103"/>
        <v>0.3</v>
      </c>
      <c r="S246" s="24">
        <f t="shared" si="103"/>
        <v>0.3</v>
      </c>
      <c r="T246" s="24">
        <f t="shared" si="103"/>
        <v>0.3</v>
      </c>
      <c r="U246" s="24">
        <f t="shared" si="103"/>
        <v>0.3</v>
      </c>
      <c r="V246" s="24">
        <f t="shared" si="103"/>
        <v>0.3</v>
      </c>
      <c r="W246" s="24">
        <f t="shared" si="103"/>
        <v>0.3</v>
      </c>
      <c r="X246" s="24">
        <f t="shared" si="103"/>
        <v>0.3</v>
      </c>
      <c r="Y246" s="24">
        <f t="shared" si="103"/>
        <v>0.3</v>
      </c>
      <c r="Z246" s="24">
        <f t="shared" si="103"/>
        <v>0.3</v>
      </c>
      <c r="AA246" s="24">
        <f t="shared" si="103"/>
        <v>0.3</v>
      </c>
      <c r="AB246" s="24">
        <f t="shared" si="103"/>
        <v>0.3</v>
      </c>
      <c r="AC246" s="24">
        <f t="shared" si="103"/>
        <v>0.3</v>
      </c>
      <c r="AD246" s="24">
        <f t="shared" si="103"/>
        <v>0.3</v>
      </c>
      <c r="AE246" s="24">
        <f t="shared" si="103"/>
        <v>0.3</v>
      </c>
      <c r="AF246" s="24">
        <f t="shared" si="103"/>
        <v>0.3</v>
      </c>
      <c r="AG246" s="23">
        <v>2.4</v>
      </c>
      <c r="AH246" s="12"/>
      <c r="AI246" s="11"/>
      <c r="AK246" s="19"/>
    </row>
    <row r="247" spans="1:37" x14ac:dyDescent="0.25">
      <c r="A247" s="22" t="s">
        <v>15</v>
      </c>
      <c r="B247" s="21">
        <f t="shared" si="102"/>
        <v>0.4</v>
      </c>
      <c r="C247" s="21">
        <v>0.4</v>
      </c>
      <c r="D247" s="21">
        <f t="shared" si="103"/>
        <v>0.4</v>
      </c>
      <c r="E247" s="21">
        <f t="shared" si="103"/>
        <v>0.4</v>
      </c>
      <c r="F247" s="21">
        <f t="shared" si="103"/>
        <v>0.4</v>
      </c>
      <c r="G247" s="21">
        <f t="shared" si="103"/>
        <v>0.4</v>
      </c>
      <c r="H247" s="21">
        <f t="shared" si="103"/>
        <v>0.4</v>
      </c>
      <c r="I247" s="21">
        <f t="shared" si="103"/>
        <v>0.4</v>
      </c>
      <c r="J247" s="21">
        <f t="shared" si="103"/>
        <v>0.4</v>
      </c>
      <c r="K247" s="21">
        <f t="shared" si="103"/>
        <v>0.4</v>
      </c>
      <c r="L247" s="21">
        <f t="shared" si="103"/>
        <v>0.4</v>
      </c>
      <c r="M247" s="21">
        <f t="shared" si="103"/>
        <v>0.4</v>
      </c>
      <c r="N247" s="21">
        <f t="shared" si="103"/>
        <v>0.4</v>
      </c>
      <c r="O247" s="21">
        <f t="shared" si="103"/>
        <v>0.4</v>
      </c>
      <c r="P247" s="21">
        <f t="shared" si="103"/>
        <v>0.4</v>
      </c>
      <c r="Q247" s="21">
        <f t="shared" si="103"/>
        <v>0.4</v>
      </c>
      <c r="R247" s="21">
        <f t="shared" si="103"/>
        <v>0.4</v>
      </c>
      <c r="S247" s="21">
        <f t="shared" si="103"/>
        <v>0.4</v>
      </c>
      <c r="T247" s="21">
        <f t="shared" si="103"/>
        <v>0.4</v>
      </c>
      <c r="U247" s="21">
        <f t="shared" si="103"/>
        <v>0.4</v>
      </c>
      <c r="V247" s="21">
        <f t="shared" si="103"/>
        <v>0.4</v>
      </c>
      <c r="W247" s="21">
        <f t="shared" si="103"/>
        <v>0.4</v>
      </c>
      <c r="X247" s="21">
        <f t="shared" si="103"/>
        <v>0.4</v>
      </c>
      <c r="Y247" s="21">
        <f t="shared" si="103"/>
        <v>0.4</v>
      </c>
      <c r="Z247" s="21">
        <f t="shared" si="103"/>
        <v>0.4</v>
      </c>
      <c r="AA247" s="21">
        <f t="shared" si="103"/>
        <v>0.4</v>
      </c>
      <c r="AB247" s="21">
        <f t="shared" si="103"/>
        <v>0.4</v>
      </c>
      <c r="AC247" s="21">
        <f t="shared" si="103"/>
        <v>0.4</v>
      </c>
      <c r="AD247" s="21">
        <f t="shared" si="103"/>
        <v>0.4</v>
      </c>
      <c r="AE247" s="21">
        <f t="shared" si="103"/>
        <v>0.4</v>
      </c>
      <c r="AF247" s="21">
        <f t="shared" si="103"/>
        <v>0.4</v>
      </c>
      <c r="AG247" s="20">
        <v>2</v>
      </c>
      <c r="AH247" s="12"/>
      <c r="AI247" s="11"/>
      <c r="AK247" s="19"/>
    </row>
    <row r="248" spans="1:37" x14ac:dyDescent="0.25">
      <c r="A248" s="22" t="s">
        <v>14</v>
      </c>
      <c r="B248" s="21">
        <f t="shared" si="102"/>
        <v>1.5</v>
      </c>
      <c r="C248" s="21">
        <v>1.5</v>
      </c>
      <c r="D248" s="21">
        <f t="shared" si="103"/>
        <v>1.5</v>
      </c>
      <c r="E248" s="21">
        <f t="shared" si="103"/>
        <v>1.5</v>
      </c>
      <c r="F248" s="21">
        <f t="shared" si="103"/>
        <v>1.5</v>
      </c>
      <c r="G248" s="21">
        <f t="shared" si="103"/>
        <v>1.5</v>
      </c>
      <c r="H248" s="21">
        <f t="shared" si="103"/>
        <v>1.5</v>
      </c>
      <c r="I248" s="21">
        <f t="shared" si="103"/>
        <v>1.5</v>
      </c>
      <c r="J248" s="21">
        <f t="shared" si="103"/>
        <v>1.5</v>
      </c>
      <c r="K248" s="21">
        <f t="shared" si="103"/>
        <v>1.5</v>
      </c>
      <c r="L248" s="21">
        <f t="shared" si="103"/>
        <v>1.5</v>
      </c>
      <c r="M248" s="21">
        <f t="shared" si="103"/>
        <v>1.5</v>
      </c>
      <c r="N248" s="21">
        <f t="shared" si="103"/>
        <v>1.5</v>
      </c>
      <c r="O248" s="21">
        <f t="shared" si="103"/>
        <v>1.5</v>
      </c>
      <c r="P248" s="21">
        <f t="shared" si="103"/>
        <v>1.5</v>
      </c>
      <c r="Q248" s="21">
        <f t="shared" si="103"/>
        <v>1.5</v>
      </c>
      <c r="R248" s="21">
        <f t="shared" si="103"/>
        <v>1.5</v>
      </c>
      <c r="S248" s="21">
        <f t="shared" si="103"/>
        <v>1.5</v>
      </c>
      <c r="T248" s="21">
        <f t="shared" si="103"/>
        <v>1.5</v>
      </c>
      <c r="U248" s="21">
        <f t="shared" si="103"/>
        <v>1.5</v>
      </c>
      <c r="V248" s="21">
        <f t="shared" si="103"/>
        <v>1.5</v>
      </c>
      <c r="W248" s="21">
        <f t="shared" si="103"/>
        <v>1.5</v>
      </c>
      <c r="X248" s="21">
        <f t="shared" si="103"/>
        <v>1.5</v>
      </c>
      <c r="Y248" s="21">
        <f t="shared" si="103"/>
        <v>1.5</v>
      </c>
      <c r="Z248" s="21">
        <f t="shared" si="103"/>
        <v>1.5</v>
      </c>
      <c r="AA248" s="21">
        <f t="shared" si="103"/>
        <v>1.5</v>
      </c>
      <c r="AB248" s="21">
        <f t="shared" si="103"/>
        <v>1.5</v>
      </c>
      <c r="AC248" s="21">
        <f t="shared" si="103"/>
        <v>1.5</v>
      </c>
      <c r="AD248" s="21">
        <f t="shared" si="103"/>
        <v>1.5</v>
      </c>
      <c r="AE248" s="21">
        <f t="shared" si="103"/>
        <v>1.5</v>
      </c>
      <c r="AF248" s="21">
        <f t="shared" si="103"/>
        <v>1.5</v>
      </c>
      <c r="AG248" s="20">
        <v>1.5</v>
      </c>
      <c r="AH248" s="12"/>
      <c r="AI248" s="11"/>
      <c r="AK248" s="19"/>
    </row>
    <row r="249" spans="1:37" x14ac:dyDescent="0.25">
      <c r="A249" s="22" t="s">
        <v>13</v>
      </c>
      <c r="B249" s="21">
        <f t="shared" si="102"/>
        <v>0.3</v>
      </c>
      <c r="C249" s="21">
        <v>0.3</v>
      </c>
      <c r="D249" s="21">
        <f t="shared" si="103"/>
        <v>0.3</v>
      </c>
      <c r="E249" s="21">
        <f t="shared" si="103"/>
        <v>0.3</v>
      </c>
      <c r="F249" s="21">
        <f t="shared" si="103"/>
        <v>0.3</v>
      </c>
      <c r="G249" s="21">
        <f t="shared" si="103"/>
        <v>0.3</v>
      </c>
      <c r="H249" s="21">
        <f t="shared" si="103"/>
        <v>0.3</v>
      </c>
      <c r="I249" s="21">
        <f t="shared" si="103"/>
        <v>0.3</v>
      </c>
      <c r="J249" s="21">
        <f t="shared" si="103"/>
        <v>0.3</v>
      </c>
      <c r="K249" s="21">
        <f t="shared" si="103"/>
        <v>0.3</v>
      </c>
      <c r="L249" s="21">
        <f t="shared" si="103"/>
        <v>0.3</v>
      </c>
      <c r="M249" s="21">
        <f t="shared" si="103"/>
        <v>0.3</v>
      </c>
      <c r="N249" s="21">
        <f t="shared" si="103"/>
        <v>0.3</v>
      </c>
      <c r="O249" s="21">
        <f t="shared" si="103"/>
        <v>0.3</v>
      </c>
      <c r="P249" s="21">
        <f t="shared" si="103"/>
        <v>0.3</v>
      </c>
      <c r="Q249" s="21">
        <f t="shared" si="103"/>
        <v>0.3</v>
      </c>
      <c r="R249" s="21">
        <f t="shared" si="103"/>
        <v>0.3</v>
      </c>
      <c r="S249" s="21">
        <f t="shared" si="103"/>
        <v>0.3</v>
      </c>
      <c r="T249" s="21">
        <f t="shared" si="103"/>
        <v>0.3</v>
      </c>
      <c r="U249" s="21">
        <f t="shared" si="103"/>
        <v>0.3</v>
      </c>
      <c r="V249" s="21">
        <f t="shared" si="103"/>
        <v>0.3</v>
      </c>
      <c r="W249" s="21">
        <f t="shared" si="103"/>
        <v>0.3</v>
      </c>
      <c r="X249" s="21">
        <f t="shared" si="103"/>
        <v>0.3</v>
      </c>
      <c r="Y249" s="21">
        <f t="shared" si="103"/>
        <v>0.3</v>
      </c>
      <c r="Z249" s="21">
        <f t="shared" si="103"/>
        <v>0.3</v>
      </c>
      <c r="AA249" s="21">
        <f t="shared" si="103"/>
        <v>0.3</v>
      </c>
      <c r="AB249" s="21">
        <f t="shared" si="103"/>
        <v>0.3</v>
      </c>
      <c r="AC249" s="21">
        <f t="shared" si="103"/>
        <v>0.3</v>
      </c>
      <c r="AD249" s="21">
        <f t="shared" si="103"/>
        <v>0.3</v>
      </c>
      <c r="AE249" s="21">
        <f t="shared" si="103"/>
        <v>0.3</v>
      </c>
      <c r="AF249" s="21">
        <f t="shared" si="103"/>
        <v>0.3</v>
      </c>
      <c r="AG249" s="20">
        <v>1</v>
      </c>
      <c r="AH249" s="12"/>
      <c r="AI249" s="11"/>
      <c r="AK249" s="19"/>
    </row>
    <row r="250" spans="1:37" x14ac:dyDescent="0.25">
      <c r="A250" s="22" t="s">
        <v>12</v>
      </c>
      <c r="B250" s="21">
        <f t="shared" si="102"/>
        <v>0.4</v>
      </c>
      <c r="C250" s="21">
        <v>0.4</v>
      </c>
      <c r="D250" s="21">
        <f t="shared" si="103"/>
        <v>0.4</v>
      </c>
      <c r="E250" s="21">
        <f t="shared" si="103"/>
        <v>0.4</v>
      </c>
      <c r="F250" s="21">
        <f t="shared" si="103"/>
        <v>0.4</v>
      </c>
      <c r="G250" s="21">
        <f t="shared" si="103"/>
        <v>0.4</v>
      </c>
      <c r="H250" s="21">
        <f t="shared" si="103"/>
        <v>0.4</v>
      </c>
      <c r="I250" s="21">
        <f t="shared" si="103"/>
        <v>0.4</v>
      </c>
      <c r="J250" s="21">
        <f t="shared" si="103"/>
        <v>0.4</v>
      </c>
      <c r="K250" s="21">
        <f t="shared" si="103"/>
        <v>0.4</v>
      </c>
      <c r="L250" s="21">
        <f t="shared" si="103"/>
        <v>0.4</v>
      </c>
      <c r="M250" s="21">
        <f t="shared" si="103"/>
        <v>0.4</v>
      </c>
      <c r="N250" s="21">
        <f t="shared" si="103"/>
        <v>0.4</v>
      </c>
      <c r="O250" s="21">
        <f t="shared" si="103"/>
        <v>0.4</v>
      </c>
      <c r="P250" s="21">
        <f t="shared" si="103"/>
        <v>0.4</v>
      </c>
      <c r="Q250" s="21">
        <f t="shared" si="103"/>
        <v>0.4</v>
      </c>
      <c r="R250" s="21">
        <f t="shared" si="103"/>
        <v>0.4</v>
      </c>
      <c r="S250" s="21">
        <f t="shared" si="103"/>
        <v>0.4</v>
      </c>
      <c r="T250" s="21">
        <f t="shared" si="103"/>
        <v>0.4</v>
      </c>
      <c r="U250" s="21">
        <f t="shared" si="103"/>
        <v>0.4</v>
      </c>
      <c r="V250" s="21">
        <f t="shared" si="103"/>
        <v>0.4</v>
      </c>
      <c r="W250" s="21">
        <f t="shared" si="103"/>
        <v>0.4</v>
      </c>
      <c r="X250" s="21">
        <f t="shared" si="103"/>
        <v>0.4</v>
      </c>
      <c r="Y250" s="21">
        <f t="shared" si="103"/>
        <v>0.4</v>
      </c>
      <c r="Z250" s="21">
        <f t="shared" si="103"/>
        <v>0.4</v>
      </c>
      <c r="AA250" s="21">
        <f t="shared" si="103"/>
        <v>0.4</v>
      </c>
      <c r="AB250" s="21">
        <f t="shared" si="103"/>
        <v>0.4</v>
      </c>
      <c r="AC250" s="21">
        <f t="shared" si="103"/>
        <v>0.4</v>
      </c>
      <c r="AD250" s="21">
        <f t="shared" si="103"/>
        <v>0.4</v>
      </c>
      <c r="AE250" s="21">
        <f t="shared" si="103"/>
        <v>0.4</v>
      </c>
      <c r="AF250" s="21">
        <f t="shared" si="103"/>
        <v>0.4</v>
      </c>
      <c r="AG250" s="20">
        <v>1</v>
      </c>
      <c r="AH250" s="12"/>
      <c r="AI250" s="11"/>
      <c r="AK250" s="19"/>
    </row>
    <row r="251" spans="1:37" ht="15.75" thickBot="1" x14ac:dyDescent="0.3">
      <c r="A251" s="18" t="s">
        <v>11</v>
      </c>
      <c r="B251" s="17">
        <f t="shared" si="102"/>
        <v>0.64</v>
      </c>
      <c r="C251" s="17">
        <v>0.64</v>
      </c>
      <c r="D251" s="17">
        <f t="shared" si="103"/>
        <v>0.64</v>
      </c>
      <c r="E251" s="17">
        <f t="shared" si="103"/>
        <v>0.64</v>
      </c>
      <c r="F251" s="17">
        <f t="shared" si="103"/>
        <v>0.64</v>
      </c>
      <c r="G251" s="17">
        <f t="shared" si="103"/>
        <v>0.64</v>
      </c>
      <c r="H251" s="17">
        <f t="shared" si="103"/>
        <v>0.64</v>
      </c>
      <c r="I251" s="17">
        <f t="shared" si="103"/>
        <v>0.64</v>
      </c>
      <c r="J251" s="17">
        <f t="shared" si="103"/>
        <v>0.64</v>
      </c>
      <c r="K251" s="17">
        <f t="shared" si="103"/>
        <v>0.64</v>
      </c>
      <c r="L251" s="17">
        <f t="shared" si="103"/>
        <v>0.64</v>
      </c>
      <c r="M251" s="17">
        <f t="shared" si="103"/>
        <v>0.64</v>
      </c>
      <c r="N251" s="17">
        <f t="shared" si="103"/>
        <v>0.64</v>
      </c>
      <c r="O251" s="17">
        <f t="shared" si="103"/>
        <v>0.64</v>
      </c>
      <c r="P251" s="17">
        <f t="shared" si="103"/>
        <v>0.64</v>
      </c>
      <c r="Q251" s="17">
        <f t="shared" si="103"/>
        <v>0.64</v>
      </c>
      <c r="R251" s="17">
        <f t="shared" si="103"/>
        <v>0.64</v>
      </c>
      <c r="S251" s="17">
        <f t="shared" si="103"/>
        <v>0.64</v>
      </c>
      <c r="T251" s="17">
        <f t="shared" si="103"/>
        <v>0.64</v>
      </c>
      <c r="U251" s="17">
        <f t="shared" si="103"/>
        <v>0.64</v>
      </c>
      <c r="V251" s="17">
        <f t="shared" si="103"/>
        <v>0.64</v>
      </c>
      <c r="W251" s="17">
        <f t="shared" si="103"/>
        <v>0.64</v>
      </c>
      <c r="X251" s="17">
        <f t="shared" si="103"/>
        <v>0.64</v>
      </c>
      <c r="Y251" s="17">
        <f t="shared" si="103"/>
        <v>0.64</v>
      </c>
      <c r="Z251" s="17">
        <f t="shared" si="103"/>
        <v>0.64</v>
      </c>
      <c r="AA251" s="17">
        <f t="shared" si="103"/>
        <v>0.64</v>
      </c>
      <c r="AB251" s="17">
        <f t="shared" si="103"/>
        <v>0.64</v>
      </c>
      <c r="AC251" s="17">
        <f t="shared" si="103"/>
        <v>0.64</v>
      </c>
      <c r="AD251" s="17">
        <f t="shared" si="103"/>
        <v>0.64</v>
      </c>
      <c r="AE251" s="17">
        <f t="shared" si="103"/>
        <v>0.64</v>
      </c>
      <c r="AF251" s="17">
        <f t="shared" si="103"/>
        <v>0.64</v>
      </c>
      <c r="AG251" s="16">
        <v>0.66</v>
      </c>
      <c r="AH251" s="12"/>
      <c r="AI251" s="11"/>
    </row>
    <row r="252" spans="1:37" ht="15.75" thickBot="1" x14ac:dyDescent="0.3">
      <c r="A252" s="15" t="s">
        <v>10</v>
      </c>
      <c r="B252" s="14">
        <f t="shared" ref="B252:AG252" si="104">SUM(B246:B251)</f>
        <v>3.54</v>
      </c>
      <c r="C252" s="14">
        <f t="shared" si="104"/>
        <v>3.54</v>
      </c>
      <c r="D252" s="14">
        <f t="shared" si="104"/>
        <v>3.54</v>
      </c>
      <c r="E252" s="14">
        <f t="shared" si="104"/>
        <v>3.54</v>
      </c>
      <c r="F252" s="14">
        <f t="shared" si="104"/>
        <v>3.54</v>
      </c>
      <c r="G252" s="14">
        <f t="shared" si="104"/>
        <v>3.54</v>
      </c>
      <c r="H252" s="14">
        <f t="shared" si="104"/>
        <v>3.54</v>
      </c>
      <c r="I252" s="14">
        <f t="shared" si="104"/>
        <v>3.54</v>
      </c>
      <c r="J252" s="14">
        <f t="shared" si="104"/>
        <v>3.54</v>
      </c>
      <c r="K252" s="14">
        <f t="shared" si="104"/>
        <v>3.54</v>
      </c>
      <c r="L252" s="14">
        <f t="shared" si="104"/>
        <v>3.54</v>
      </c>
      <c r="M252" s="14">
        <f t="shared" si="104"/>
        <v>3.54</v>
      </c>
      <c r="N252" s="14">
        <f t="shared" si="104"/>
        <v>3.54</v>
      </c>
      <c r="O252" s="14">
        <f t="shared" si="104"/>
        <v>3.54</v>
      </c>
      <c r="P252" s="14">
        <f t="shared" si="104"/>
        <v>3.54</v>
      </c>
      <c r="Q252" s="14">
        <f t="shared" si="104"/>
        <v>3.54</v>
      </c>
      <c r="R252" s="14">
        <f t="shared" si="104"/>
        <v>3.54</v>
      </c>
      <c r="S252" s="14">
        <f t="shared" si="104"/>
        <v>3.54</v>
      </c>
      <c r="T252" s="14">
        <f t="shared" si="104"/>
        <v>3.54</v>
      </c>
      <c r="U252" s="14">
        <f t="shared" si="104"/>
        <v>3.54</v>
      </c>
      <c r="V252" s="14">
        <f t="shared" si="104"/>
        <v>3.54</v>
      </c>
      <c r="W252" s="14">
        <f t="shared" si="104"/>
        <v>3.54</v>
      </c>
      <c r="X252" s="14">
        <f t="shared" si="104"/>
        <v>3.54</v>
      </c>
      <c r="Y252" s="14">
        <f t="shared" si="104"/>
        <v>3.54</v>
      </c>
      <c r="Z252" s="14">
        <f t="shared" si="104"/>
        <v>3.54</v>
      </c>
      <c r="AA252" s="14">
        <f t="shared" si="104"/>
        <v>3.54</v>
      </c>
      <c r="AB252" s="14">
        <f t="shared" si="104"/>
        <v>3.54</v>
      </c>
      <c r="AC252" s="14">
        <f t="shared" si="104"/>
        <v>3.54</v>
      </c>
      <c r="AD252" s="14">
        <f t="shared" si="104"/>
        <v>3.54</v>
      </c>
      <c r="AE252" s="14">
        <f t="shared" si="104"/>
        <v>3.54</v>
      </c>
      <c r="AF252" s="14">
        <f t="shared" si="104"/>
        <v>3.54</v>
      </c>
      <c r="AG252" s="13">
        <f t="shared" si="104"/>
        <v>8.56</v>
      </c>
      <c r="AH252" s="12"/>
      <c r="AI252" s="11"/>
    </row>
    <row r="253" spans="1:37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25">
      <c r="A256" s="9" t="s">
        <v>9</v>
      </c>
      <c r="B256" s="8">
        <f>MAX(G99:N99)</f>
        <v>1607.5400000000002</v>
      </c>
      <c r="C256" s="7">
        <f>INDEX(G9:N9,1,MATCH(MAX(G99:N99),G99:N99,0))</f>
        <v>0.3125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25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2080/10/28)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25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25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25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25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25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25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25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25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25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25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25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25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25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25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657" priority="89">
      <formula>$AH11=0</formula>
    </cfRule>
  </conditionalFormatting>
  <conditionalFormatting sqref="A132:A253">
    <cfRule type="expression" dxfId="656" priority="90">
      <formula>$AH132=0</formula>
    </cfRule>
  </conditionalFormatting>
  <conditionalFormatting sqref="B8">
    <cfRule type="expression" dxfId="655" priority="145">
      <formula>AND(C$9&gt;=8/24,C$9&lt;14/24)</formula>
    </cfRule>
    <cfRule type="expression" dxfId="654" priority="146">
      <formula>C$9&lt;8/24</formula>
    </cfRule>
    <cfRule type="expression" dxfId="653" priority="144">
      <formula>AND(C$9&gt;=14/24,C$9&lt;20/24)</formula>
    </cfRule>
    <cfRule type="expression" dxfId="652" priority="147">
      <formula>C$9&gt;=20/24</formula>
    </cfRule>
  </conditionalFormatting>
  <conditionalFormatting sqref="B53:Y57">
    <cfRule type="expression" dxfId="651" priority="53">
      <formula>B$9&lt;8/24</formula>
    </cfRule>
  </conditionalFormatting>
  <conditionalFormatting sqref="B11:Z30 B31:Y52 B59:D68 C68:C74 B69:AF74 B77:AF99 B9:AF10 B101:AF117 B119:AF137 B244:AF244 B246:B252">
    <cfRule type="expression" dxfId="650" priority="41">
      <formula>B$9&gt;=20/24</formula>
    </cfRule>
  </conditionalFormatting>
  <conditionalFormatting sqref="B9:AF10 B11:Z30 B31:Y52 B59:D68 C68:C74 B69:AF74 B77:AF99 B101:AF117 B119:AF137 B244:AF244 B246:B252">
    <cfRule type="expression" dxfId="649" priority="44">
      <formula>B$9&lt;8/24</formula>
    </cfRule>
    <cfRule type="expression" dxfId="648" priority="43">
      <formula>AND(B$9&gt;=8/24,B$9&lt;14/24)</formula>
    </cfRule>
    <cfRule type="expression" dxfId="647" priority="42">
      <formula>AND(B$9&gt;=14/24,B$9&lt;20/24)</formula>
    </cfRule>
  </conditionalFormatting>
  <conditionalFormatting sqref="D246:AF252">
    <cfRule type="expression" dxfId="646" priority="131">
      <formula>AND(D$9&gt;=8/24,D$9&lt;14/24)</formula>
    </cfRule>
    <cfRule type="expression" dxfId="645" priority="130">
      <formula>AND(D$9&gt;=14/24,D$9&lt;20/24)</formula>
    </cfRule>
    <cfRule type="expression" dxfId="644" priority="132">
      <formula>D$9&lt;8/24</formula>
    </cfRule>
    <cfRule type="expression" dxfId="643" priority="129">
      <formula>D$9&gt;=20/24</formula>
    </cfRule>
  </conditionalFormatting>
  <conditionalFormatting sqref="E63:I67 J64:J67 K66:K67">
    <cfRule type="expression" dxfId="642" priority="57">
      <formula>E$9&lt;8/24</formula>
    </cfRule>
    <cfRule type="expression" dxfId="641" priority="56">
      <formula>AND(E$9&gt;=8/24,E$9&lt;14/24)</formula>
    </cfRule>
    <cfRule type="expression" dxfId="640" priority="54">
      <formula>E$9&gt;=20/24</formula>
    </cfRule>
    <cfRule type="expression" dxfId="639" priority="55">
      <formula>AND(E$9&gt;=14/24,E$9&lt;20/24)</formula>
    </cfRule>
  </conditionalFormatting>
  <conditionalFormatting sqref="E68:K68">
    <cfRule type="expression" dxfId="638" priority="52">
      <formula>E$9&lt;8/24</formula>
    </cfRule>
    <cfRule type="expression" dxfId="637" priority="51">
      <formula>AND(E$9&gt;=8/24,E$9&lt;14/24)</formula>
    </cfRule>
    <cfRule type="expression" dxfId="636" priority="50">
      <formula>AND(E$9&gt;=14/24,E$9&lt;20/24)</formula>
    </cfRule>
    <cfRule type="expression" dxfId="635" priority="49">
      <formula>E$9&gt;=20/24</formula>
    </cfRule>
  </conditionalFormatting>
  <conditionalFormatting sqref="E32:Y56 B32:D61 B11:Z30 B31:Y31 D44:L44 Y57 E57:O61 Q57:X75 P57:P80 Y58:AA75 AB58:AF80 AG62 B62:O80 Q76:AA80 AG80">
    <cfRule type="expression" dxfId="634" priority="40">
      <formula>B11&gt;$AG11</formula>
    </cfRule>
  </conditionalFormatting>
  <conditionalFormatting sqref="E56:Y57">
    <cfRule type="expression" dxfId="633" priority="48">
      <formula>AND(E$9&gt;=8/24,E$9&lt;14/24)</formula>
    </cfRule>
    <cfRule type="expression" dxfId="632" priority="46">
      <formula>E$9&gt;=20/24</formula>
    </cfRule>
    <cfRule type="expression" dxfId="631" priority="47">
      <formula>AND(E$9&gt;=14/24,E$9&lt;20/24)</formula>
    </cfRule>
  </conditionalFormatting>
  <conditionalFormatting sqref="E59:AF62">
    <cfRule type="expression" dxfId="630" priority="70">
      <formula>E$9&lt;8/24</formula>
    </cfRule>
    <cfRule type="expression" dxfId="629" priority="69">
      <formula>AND(E$9&gt;=8/24,E$9&lt;14/24)</formula>
    </cfRule>
    <cfRule type="expression" dxfId="628" priority="67">
      <formula>E$9&gt;=20/24</formula>
    </cfRule>
    <cfRule type="expression" dxfId="627" priority="68">
      <formula>AND(E$9&gt;=14/24,E$9&lt;20/24)</formula>
    </cfRule>
  </conditionalFormatting>
  <conditionalFormatting sqref="F63:N65">
    <cfRule type="expression" dxfId="626" priority="84">
      <formula>F$9&lt;8/24</formula>
    </cfRule>
    <cfRule type="expression" dxfId="625" priority="81">
      <formula>F$9&gt;=20/24</formula>
    </cfRule>
    <cfRule type="expression" dxfId="624" priority="82">
      <formula>AND(F$9&gt;=14/24,F$9&lt;20/24)</formula>
    </cfRule>
    <cfRule type="expression" dxfId="623" priority="83">
      <formula>AND(F$9&gt;=8/24,F$9&lt;14/24)</formula>
    </cfRule>
  </conditionalFormatting>
  <conditionalFormatting sqref="L68:V68">
    <cfRule type="expression" dxfId="622" priority="79">
      <formula>AND(L$9&gt;=8/24,L$9&lt;14/24)</formula>
    </cfRule>
    <cfRule type="expression" dxfId="621" priority="78">
      <formula>AND(L$9&gt;=14/24,L$9&lt;20/24)</formula>
    </cfRule>
    <cfRule type="expression" dxfId="620" priority="77">
      <formula>L$9&gt;=20/24</formula>
    </cfRule>
    <cfRule type="expression" dxfId="619" priority="80">
      <formula>L$9&lt;8/24</formula>
    </cfRule>
  </conditionalFormatting>
  <conditionalFormatting sqref="M8 S8 AB8">
    <cfRule type="expression" dxfId="618" priority="136">
      <formula>AND(N$9&gt;=14/24,N$9&lt;20/24)</formula>
    </cfRule>
    <cfRule type="expression" dxfId="617" priority="137">
      <formula>AND(N$9&gt;=8/24,N$9&lt;14/24)</formula>
    </cfRule>
    <cfRule type="expression" dxfId="616" priority="138">
      <formula>N$9&lt;8/24</formula>
    </cfRule>
  </conditionalFormatting>
  <conditionalFormatting sqref="M63:V67">
    <cfRule type="expression" dxfId="615" priority="88">
      <formula>M$9&lt;8/24</formula>
    </cfRule>
    <cfRule type="expression" dxfId="614" priority="87">
      <formula>AND(M$9&gt;=8/24,M$9&lt;14/24)</formula>
    </cfRule>
    <cfRule type="expression" dxfId="613" priority="86">
      <formula>AND(M$9&gt;=14/24,M$9&lt;20/24)</formula>
    </cfRule>
    <cfRule type="expression" dxfId="612" priority="85">
      <formula>M$9&gt;=20/24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611" priority="135">
      <formula>N$9&gt;=20/24</formula>
    </cfRule>
  </conditionalFormatting>
  <conditionalFormatting sqref="S8">
    <cfRule type="expression" dxfId="610" priority="123">
      <formula>AND(U$9&gt;=14/24,U$9&lt;20/24)</formula>
    </cfRule>
    <cfRule type="expression" dxfId="609" priority="125">
      <formula>U$9&lt;8/24</formula>
    </cfRule>
    <cfRule type="expression" dxfId="608" priority="124">
      <formula>AND(U$9&gt;=8/24,U$9&lt;14/24)</formula>
    </cfRule>
    <cfRule type="expression" dxfId="607" priority="122">
      <formula>U$9&gt;=20/24</formula>
    </cfRule>
  </conditionalFormatting>
  <conditionalFormatting sqref="T63:AF68">
    <cfRule type="expression" dxfId="606" priority="74">
      <formula>T$9&lt;8/24</formula>
    </cfRule>
    <cfRule type="expression" dxfId="605" priority="73">
      <formula>AND(T$9&gt;=8/24,T$9&lt;14/24)</formula>
    </cfRule>
    <cfRule type="expression" dxfId="604" priority="72">
      <formula>AND(T$9&gt;=14/24,T$9&lt;20/24)</formula>
    </cfRule>
    <cfRule type="expression" dxfId="603" priority="71">
      <formula>T$9&gt;=20/24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Z53:AF54 E53:Y55 B53:D57">
    <cfRule type="expression" dxfId="602" priority="38">
      <formula>AND(B$9&gt;=14/24,B$9&lt;20/24)</formula>
    </cfRule>
    <cfRule type="expression" dxfId="601" priority="37">
      <formula>B$9&gt;=20/24</formula>
    </cfRule>
    <cfRule type="expression" dxfId="600" priority="39">
      <formula>AND(B$9&gt;=8/24,B$9&lt;14/24)</formula>
    </cfRule>
  </conditionalFormatting>
  <conditionalFormatting sqref="Z53:AF55">
    <cfRule type="expression" dxfId="599" priority="76">
      <formula>Z53&gt;$AG53</formula>
    </cfRule>
  </conditionalFormatting>
  <conditionalFormatting sqref="Z53:AF57">
    <cfRule type="expression" dxfId="598" priority="75">
      <formula>Z$9&lt;8/24</formula>
    </cfRule>
  </conditionalFormatting>
  <conditionalFormatting sqref="Z55:AF57">
    <cfRule type="expression" dxfId="597" priority="66">
      <formula>AND(Z$9&gt;=8/24,Z$9&lt;14/24)</formula>
    </cfRule>
    <cfRule type="expression" dxfId="596" priority="65">
      <formula>AND(Z$9&gt;=14/24,Z$9&lt;20/24)</formula>
    </cfRule>
    <cfRule type="expression" dxfId="595" priority="64">
      <formula>Z$9&gt;=20/24</formula>
    </cfRule>
  </conditionalFormatting>
  <conditionalFormatting sqref="Z56:AF57">
    <cfRule type="expression" dxfId="594" priority="63">
      <formula>Z56&gt;$AG56</formula>
    </cfRule>
  </conditionalFormatting>
  <conditionalFormatting sqref="AA11:AF52 Z31:Z52">
    <cfRule type="expression" dxfId="593" priority="58">
      <formula>Z11&gt;$AG11</formula>
    </cfRule>
    <cfRule type="expression" dxfId="592" priority="61">
      <formula>AND(Z$9&gt;=8/24,Z$9&lt;14/24)</formula>
    </cfRule>
    <cfRule type="expression" dxfId="591" priority="60">
      <formula>AND(Z$9&gt;=14/24,Z$9&lt;20/24)</formula>
    </cfRule>
    <cfRule type="expression" dxfId="590" priority="59">
      <formula>Z$9&gt;=20/24</formula>
    </cfRule>
    <cfRule type="expression" dxfId="589" priority="62">
      <formula>Z$9&lt;8/24</formula>
    </cfRule>
  </conditionalFormatting>
  <conditionalFormatting sqref="AB8">
    <cfRule type="expression" dxfId="588" priority="121">
      <formula>AD$9&lt;8/24</formula>
    </cfRule>
    <cfRule type="expression" dxfId="587" priority="120">
      <formula>AND(AD$9&gt;=8/24,AD$9&lt;14/24)</formula>
    </cfRule>
    <cfRule type="expression" dxfId="586" priority="119">
      <formula>AND(AD$9&gt;=14/24,AD$9&lt;20/24)</formula>
    </cfRule>
    <cfRule type="expression" dxfId="585" priority="118">
      <formula>AD$9&gt;=20/24</formula>
    </cfRule>
  </conditionalFormatting>
  <conditionalFormatting sqref="AG58">
    <cfRule type="expression" dxfId="584" priority="113">
      <formula>AG58&gt;$AG58</formula>
    </cfRule>
  </conditionalFormatting>
  <conditionalFormatting sqref="AG62">
    <cfRule type="expression" dxfId="583" priority="97">
      <formula>AND(AG$9&gt;=14/24,AG$9&lt;20/24)</formula>
    </cfRule>
    <cfRule type="expression" dxfId="582" priority="98">
      <formula>AND(AG$9&gt;=8/24,AG$9&lt;14/24)</formula>
    </cfRule>
    <cfRule type="expression" dxfId="581" priority="99">
      <formula>AG$9&lt;8/24</formula>
    </cfRule>
    <cfRule type="expression" dxfId="580" priority="96">
      <formula>AG$9&gt;=20/24</formula>
    </cfRule>
  </conditionalFormatting>
  <conditionalFormatting sqref="AG75:AG76">
    <cfRule type="expression" dxfId="579" priority="91">
      <formula>AG75&gt;$AG75</formula>
    </cfRule>
  </conditionalFormatting>
  <conditionalFormatting sqref="AG80">
    <cfRule type="expression" dxfId="578" priority="92">
      <formula>AG$9&gt;=20/24</formula>
    </cfRule>
    <cfRule type="expression" dxfId="577" priority="93">
      <formula>AND(AG$9&gt;=14/24,AG$9&lt;20/24)</formula>
    </cfRule>
    <cfRule type="expression" dxfId="576" priority="94">
      <formula>AND(AG$9&gt;=8/24,AG$9&lt;14/24)</formula>
    </cfRule>
    <cfRule type="expression" dxfId="575" priority="95">
      <formula>AG$9&lt;8/24</formula>
    </cfRule>
  </conditionalFormatting>
  <conditionalFormatting sqref="AG97">
    <cfRule type="expression" dxfId="574" priority="115">
      <formula>AND(AG$9&gt;=14/24,AG$9&lt;20/24)</formula>
    </cfRule>
    <cfRule type="expression" dxfId="573" priority="114">
      <formula>AG$9&gt;=20/24</formula>
    </cfRule>
    <cfRule type="expression" dxfId="572" priority="116">
      <formula>AND(AG$9&gt;=8/24,AG$9&lt;14/24)</formula>
    </cfRule>
    <cfRule type="expression" dxfId="571" priority="117">
      <formula>AG$9&lt;8/24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570" priority="142">
      <formula>AJ$9&lt;8/24</formula>
    </cfRule>
    <cfRule type="expression" dxfId="569" priority="140">
      <formula>AND(AJ$9&gt;=14/24,AJ$9&lt;20/24)</formula>
    </cfRule>
    <cfRule type="expression" dxfId="568" priority="139">
      <formula>AJ$9&gt;=20/24</formula>
    </cfRule>
    <cfRule type="expression" dxfId="567" priority="141">
      <formula>AND(AJ$9&gt;=8/24,AJ$9&lt;14/24)</formula>
    </cfRule>
  </conditionalFormatting>
  <conditionalFormatting sqref="AL88:AN88 AL94:AN94">
    <cfRule type="expression" dxfId="566" priority="107">
      <formula>AND(AL$9&gt;=14/24,AL$9&lt;20/24)</formula>
    </cfRule>
    <cfRule type="expression" dxfId="565" priority="108">
      <formula>AND(AL$9&gt;=8/24,AL$9&lt;14/24)</formula>
    </cfRule>
    <cfRule type="expression" dxfId="564" priority="109">
      <formula>AL$9&lt;8/24</formula>
    </cfRule>
    <cfRule type="expression" dxfId="563" priority="106">
      <formula>AL$9&gt;=20/24</formula>
    </cfRule>
  </conditionalFormatting>
  <conditionalFormatting sqref="AM15:AM21 AN16:AR21">
    <cfRule type="expression" dxfId="562" priority="15">
      <formula>AND(AX$9&gt;=8/24,AX$9&lt;14/24)</formula>
    </cfRule>
    <cfRule type="expression" dxfId="561" priority="16">
      <formula>AX$9&lt;8/24</formula>
    </cfRule>
    <cfRule type="expression" dxfId="560" priority="13">
      <formula>AX$9&gt;=20/24</formula>
    </cfRule>
    <cfRule type="expression" dxfId="559" priority="14">
      <formula>AND(AX$9&gt;=14/24,AX$9&lt;20/24)</formula>
    </cfRule>
  </conditionalFormatting>
  <conditionalFormatting sqref="AN89:AN92">
    <cfRule type="expression" dxfId="558" priority="105">
      <formula>AN$9&lt;8/24</formula>
    </cfRule>
    <cfRule type="expression" dxfId="557" priority="104">
      <formula>AND(AN$9&gt;=8/24,AN$9&lt;14/24)</formula>
    </cfRule>
    <cfRule type="expression" dxfId="556" priority="103">
      <formula>AND(AN$9&gt;=14/24,AN$9&lt;20/24)</formula>
    </cfRule>
    <cfRule type="expression" dxfId="555" priority="102">
      <formula>AN$9&gt;=20/24</formula>
    </cfRule>
  </conditionalFormatting>
  <conditionalFormatting sqref="AN15:AR15">
    <cfRule type="expression" dxfId="554" priority="4">
      <formula>U$9&lt;8/24</formula>
    </cfRule>
    <cfRule type="expression" dxfId="553" priority="3">
      <formula>AND(U$9&gt;=8/24,U$9&lt;14/24)</formula>
    </cfRule>
    <cfRule type="expression" dxfId="552" priority="1">
      <formula>U$9&gt;=20/24</formula>
    </cfRule>
    <cfRule type="expression" dxfId="551" priority="2">
      <formula>AND(U$9&gt;=14/24,U$9&lt;20/24)</formula>
    </cfRule>
  </conditionalFormatting>
  <conditionalFormatting sqref="AS15">
    <cfRule type="expression" dxfId="550" priority="10">
      <formula>AND(AA$9&gt;=14/24,AA$9&lt;20/24)</formula>
    </cfRule>
    <cfRule type="expression" dxfId="549" priority="11">
      <formula>AND(AA$9&gt;=8/24,AA$9&lt;14/24)</formula>
    </cfRule>
    <cfRule type="expression" dxfId="548" priority="9">
      <formula>AA$9&gt;=20/24</formula>
    </cfRule>
    <cfRule type="expression" dxfId="547" priority="12">
      <formula>AA$9&lt;8/24</formula>
    </cfRule>
  </conditionalFormatting>
  <conditionalFormatting sqref="AS16:AS21">
    <cfRule type="expression" dxfId="546" priority="19">
      <formula>AND(BE$9&gt;=8/24,BE$9&lt;14/24)</formula>
    </cfRule>
    <cfRule type="expression" dxfId="545" priority="20">
      <formula>BE$9&lt;8/24</formula>
    </cfRule>
    <cfRule type="expression" dxfId="544" priority="17">
      <formula>BE$9&gt;=20/24</formula>
    </cfRule>
    <cfRule type="expression" dxfId="543" priority="18">
      <formula>AND(BE$9&gt;=14/24,BE$9&lt;20/24)</formula>
    </cfRule>
  </conditionalFormatting>
  <conditionalFormatting sqref="AT15 AX15:BJ15">
    <cfRule type="expression" dxfId="542" priority="24">
      <formula>AC$9&lt;8/24</formula>
    </cfRule>
    <cfRule type="expression" dxfId="541" priority="23">
      <formula>AND(AC$9&gt;=8/24,AC$9&lt;14/24)</formula>
    </cfRule>
    <cfRule type="expression" dxfId="540" priority="22">
      <formula>AND(AC$9&gt;=14/24,AC$9&lt;20/24)</formula>
    </cfRule>
    <cfRule type="expression" dxfId="539" priority="21">
      <formula>AC$9&gt;=20/24</formula>
    </cfRule>
  </conditionalFormatting>
  <conditionalFormatting sqref="AT16:AT21">
    <cfRule type="expression" dxfId="538" priority="26">
      <formula>AND(BG$9&gt;=14/24,BG$9&lt;20/24)</formula>
    </cfRule>
    <cfRule type="expression" dxfId="537" priority="25">
      <formula>BG$9&gt;=20/24</formula>
    </cfRule>
    <cfRule type="expression" dxfId="536" priority="27">
      <formula>AND(BG$9&gt;=8/24,BG$9&lt;14/24)</formula>
    </cfRule>
    <cfRule type="expression" dxfId="535" priority="28">
      <formula>BG$9&lt;8/24</formula>
    </cfRule>
  </conditionalFormatting>
  <conditionalFormatting sqref="AU15:AV15">
    <cfRule type="expression" dxfId="534" priority="29">
      <formula>AE$9&gt;=20/24</formula>
    </cfRule>
    <cfRule type="expression" dxfId="533" priority="30">
      <formula>AND(AE$9&gt;=14/24,AE$9&lt;20/24)</formula>
    </cfRule>
    <cfRule type="expression" dxfId="532" priority="31">
      <formula>AND(AE$9&gt;=8/24,AE$9&lt;14/24)</formula>
    </cfRule>
    <cfRule type="expression" dxfId="531" priority="32">
      <formula>AE$9&lt;8/24</formula>
    </cfRule>
  </conditionalFormatting>
  <conditionalFormatting sqref="AU16:BJ21">
    <cfRule type="expression" dxfId="530" priority="36">
      <formula>BI$9&lt;8/24</formula>
    </cfRule>
    <cfRule type="expression" dxfId="529" priority="35">
      <formula>AND(BI$9&gt;=8/24,BI$9&lt;14/24)</formula>
    </cfRule>
    <cfRule type="expression" dxfId="528" priority="34">
      <formula>AND(BI$9&gt;=14/24,BI$9&lt;20/24)</formula>
    </cfRule>
    <cfRule type="expression" dxfId="527" priority="33">
      <formula>BI$9&gt;=20/24</formula>
    </cfRule>
  </conditionalFormatting>
  <conditionalFormatting sqref="AW15">
    <cfRule type="expression" dxfId="526" priority="8">
      <formula>B$9&lt;8/24</formula>
    </cfRule>
    <cfRule type="expression" dxfId="525" priority="7">
      <formula>AND(B$9&gt;=8/24,B$9&lt;14/24)</formula>
    </cfRule>
    <cfRule type="expression" dxfId="524" priority="6">
      <formula>AND(B$9&gt;=14/24,B$9&lt;20/24)</formula>
    </cfRule>
    <cfRule type="expression" dxfId="523" priority="5">
      <formula>B$9&gt;=20/24</formula>
    </cfRule>
  </conditionalFormatting>
  <pageMargins left="0.7" right="0.7" top="0.75" bottom="0.75" header="0.3" footer="0.3"/>
  <drawing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5AE6A-3288-4222-885F-9C08D506AAF2}">
  <dimension ref="A1:CJ294"/>
  <sheetViews>
    <sheetView zoomScale="106" workbookViewId="0">
      <pane xSplit="1" ySplit="10" topLeftCell="B79" activePane="bottomRight" state="frozen"/>
      <selection activeCell="B81" sqref="B81:AF90"/>
      <selection pane="topRight" activeCell="B81" sqref="B81:AF90"/>
      <selection pane="bottomLeft" activeCell="B81" sqref="B81:AF90"/>
      <selection pane="bottomRight" activeCell="B83" sqref="B83:C83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20.25" hidden="1" x14ac:dyDescent="0.2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9.5" hidden="1" thickBot="1" x14ac:dyDescent="0.3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3">
      <c r="A4" s="162" t="s">
        <v>273</v>
      </c>
      <c r="B4" s="205" t="str">
        <f ca="1">"2080/"&amp;"10/"&amp;INT(MID(CELL("filename",D6),FIND("]",CELL("filename",D6))+1,200))</f>
        <v>2080/10/29</v>
      </c>
      <c r="C4" s="205"/>
      <c r="D4" s="205"/>
      <c r="E4" s="206" t="str">
        <f ca="1">"2080/"&amp;"10/"&amp;INT(MID(CELL("filename",G6),FIND("]",CELL("filename",G6))+1,200))</f>
        <v>2080/10/29</v>
      </c>
      <c r="F4" s="206"/>
      <c r="G4" s="206"/>
      <c r="H4" s="206" t="str">
        <f ca="1">TEXT(E4,"dddd")</f>
        <v>Tuesday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3">
      <c r="A5" s="158"/>
      <c r="B5" s="161">
        <f t="shared" ref="B5:AE5" si="0">C92</f>
        <v>94</v>
      </c>
      <c r="C5" s="161">
        <f t="shared" si="0"/>
        <v>75</v>
      </c>
      <c r="D5" s="161">
        <f t="shared" si="0"/>
        <v>126.10000000000001</v>
      </c>
      <c r="E5" s="161">
        <f t="shared" si="0"/>
        <v>133.80000000000001</v>
      </c>
      <c r="F5" s="161">
        <f t="shared" si="0"/>
        <v>174.8</v>
      </c>
      <c r="G5" s="161">
        <f t="shared" si="0"/>
        <v>188.3</v>
      </c>
      <c r="H5" s="161">
        <f t="shared" si="0"/>
        <v>222.20000000000002</v>
      </c>
      <c r="I5" s="161">
        <f t="shared" si="0"/>
        <v>613.70000000000005</v>
      </c>
      <c r="J5" s="161">
        <f t="shared" si="0"/>
        <v>655.4</v>
      </c>
      <c r="K5" s="161">
        <f t="shared" si="0"/>
        <v>643.79999999999995</v>
      </c>
      <c r="L5" s="161">
        <f t="shared" si="0"/>
        <v>714.8</v>
      </c>
      <c r="M5" s="161">
        <f t="shared" si="0"/>
        <v>758.04</v>
      </c>
      <c r="N5" s="161">
        <f t="shared" si="0"/>
        <v>723.7</v>
      </c>
      <c r="O5" s="161">
        <f t="shared" si="0"/>
        <v>723.4</v>
      </c>
      <c r="P5" s="161">
        <f t="shared" si="0"/>
        <v>728.4</v>
      </c>
      <c r="Q5" s="161">
        <f t="shared" si="0"/>
        <v>764</v>
      </c>
      <c r="R5" s="161">
        <f t="shared" si="0"/>
        <v>806.49999999999989</v>
      </c>
      <c r="S5" s="161">
        <f t="shared" si="0"/>
        <v>784.8</v>
      </c>
      <c r="T5" s="161">
        <f t="shared" si="0"/>
        <v>813.09999999999991</v>
      </c>
      <c r="U5" s="161">
        <f t="shared" si="0"/>
        <v>789.7</v>
      </c>
      <c r="V5" s="161">
        <f t="shared" si="0"/>
        <v>723.2</v>
      </c>
      <c r="W5" s="161">
        <f t="shared" si="0"/>
        <v>616.79999999999995</v>
      </c>
      <c r="X5" s="161">
        <f t="shared" si="0"/>
        <v>219.89999999999998</v>
      </c>
      <c r="Y5" s="161">
        <f t="shared" si="0"/>
        <v>259.8</v>
      </c>
      <c r="Z5" s="161">
        <f t="shared" si="0"/>
        <v>221.8</v>
      </c>
      <c r="AA5" s="161">
        <f t="shared" si="0"/>
        <v>228.3</v>
      </c>
      <c r="AB5" s="161">
        <f t="shared" si="0"/>
        <v>228.3</v>
      </c>
      <c r="AC5" s="161">
        <f t="shared" si="0"/>
        <v>199</v>
      </c>
      <c r="AD5" s="161">
        <f t="shared" si="0"/>
        <v>214</v>
      </c>
      <c r="AE5" s="161">
        <f t="shared" si="0"/>
        <v>169</v>
      </c>
      <c r="AF5" s="161">
        <f>B92</f>
        <v>106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3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1563MW at 9:00hr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5" thickBot="1" x14ac:dyDescent="0.3">
      <c r="A7" s="151" t="str">
        <f>"Base Load="&amp;ROUND(MIN($B$7:$AF$7),0)</f>
        <v>Base Load=1346</v>
      </c>
      <c r="B7" s="150">
        <f t="shared" ref="B7:AF7" si="1">B100</f>
        <v>1449.8400000000001</v>
      </c>
      <c r="C7" s="150">
        <f t="shared" si="1"/>
        <v>1393.8400000000001</v>
      </c>
      <c r="D7" s="150">
        <f t="shared" si="1"/>
        <v>1364.8400000000001</v>
      </c>
      <c r="E7" s="150">
        <f t="shared" si="1"/>
        <v>1384.14</v>
      </c>
      <c r="F7" s="150">
        <f t="shared" si="1"/>
        <v>1390.3400000000001</v>
      </c>
      <c r="G7" s="150">
        <f t="shared" si="1"/>
        <v>1410.8400000000001</v>
      </c>
      <c r="H7" s="150">
        <f t="shared" si="1"/>
        <v>1412.3400000000001</v>
      </c>
      <c r="I7" s="150">
        <f t="shared" si="1"/>
        <v>1420.9400000000003</v>
      </c>
      <c r="J7" s="150">
        <f t="shared" si="1"/>
        <v>1426.3400000000001</v>
      </c>
      <c r="K7" s="150">
        <f t="shared" si="1"/>
        <v>1427.94</v>
      </c>
      <c r="L7" s="150">
        <f t="shared" si="1"/>
        <v>1503.14</v>
      </c>
      <c r="M7" s="150">
        <f t="shared" si="1"/>
        <v>1519.64</v>
      </c>
      <c r="N7" s="150">
        <f t="shared" si="1"/>
        <v>1562.88</v>
      </c>
      <c r="O7" s="150">
        <f t="shared" si="1"/>
        <v>1483.3400000000001</v>
      </c>
      <c r="P7" s="150">
        <f t="shared" si="1"/>
        <v>1500.3400000000001</v>
      </c>
      <c r="Q7" s="150">
        <f t="shared" si="1"/>
        <v>1515.7400000000002</v>
      </c>
      <c r="R7" s="150">
        <f t="shared" si="1"/>
        <v>1495.8400000000001</v>
      </c>
      <c r="S7" s="150">
        <f t="shared" si="1"/>
        <v>1521.7399999999998</v>
      </c>
      <c r="T7" s="150">
        <f t="shared" si="1"/>
        <v>1527.8400000000001</v>
      </c>
      <c r="U7" s="150">
        <f t="shared" si="1"/>
        <v>1546.54</v>
      </c>
      <c r="V7" s="150">
        <f t="shared" si="1"/>
        <v>1493.44</v>
      </c>
      <c r="W7" s="150">
        <f t="shared" si="1"/>
        <v>1425.04</v>
      </c>
      <c r="X7" s="150">
        <f t="shared" si="1"/>
        <v>1345.94</v>
      </c>
      <c r="Y7" s="150">
        <f t="shared" si="1"/>
        <v>1529.1</v>
      </c>
      <c r="Z7" s="150">
        <f t="shared" si="1"/>
        <v>1690.3999999999999</v>
      </c>
      <c r="AA7" s="150">
        <f t="shared" si="1"/>
        <v>1745.4999999999998</v>
      </c>
      <c r="AB7" s="150">
        <f t="shared" si="1"/>
        <v>1788.64</v>
      </c>
      <c r="AC7" s="150">
        <f t="shared" si="1"/>
        <v>1788.64</v>
      </c>
      <c r="AD7" s="150">
        <f t="shared" si="1"/>
        <v>1673.3400000000001</v>
      </c>
      <c r="AE7" s="150">
        <f t="shared" si="1"/>
        <v>1649.3400000000001</v>
      </c>
      <c r="AF7" s="150">
        <f t="shared" si="1"/>
        <v>1477.24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7.25" thickTop="1" thickBot="1" x14ac:dyDescent="0.3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1788.64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2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1788.64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.75" thickBot="1" x14ac:dyDescent="0.3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25">
      <c r="A11" s="89" t="s">
        <v>264</v>
      </c>
      <c r="B11" s="102">
        <v>22.5</v>
      </c>
      <c r="C11" s="102">
        <v>22.5</v>
      </c>
      <c r="D11" s="102">
        <v>22.5</v>
      </c>
      <c r="E11" s="102">
        <v>22.5</v>
      </c>
      <c r="F11" s="102">
        <v>22.5</v>
      </c>
      <c r="G11" s="102">
        <v>22.5</v>
      </c>
      <c r="H11" s="102">
        <v>22.5</v>
      </c>
      <c r="I11" s="102">
        <v>22.5</v>
      </c>
      <c r="J11" s="102">
        <v>22.5</v>
      </c>
      <c r="K11" s="102">
        <v>22.5</v>
      </c>
      <c r="L11" s="102">
        <v>22.5</v>
      </c>
      <c r="M11" s="102">
        <v>22.5</v>
      </c>
      <c r="N11" s="102">
        <v>22.5</v>
      </c>
      <c r="O11" s="102">
        <v>22.5</v>
      </c>
      <c r="P11" s="102">
        <v>21.9</v>
      </c>
      <c r="Q11" s="102">
        <v>21.9</v>
      </c>
      <c r="R11" s="102">
        <v>21.9</v>
      </c>
      <c r="S11" s="102">
        <v>21.9</v>
      </c>
      <c r="T11" s="102">
        <v>22</v>
      </c>
      <c r="U11" s="102">
        <v>22</v>
      </c>
      <c r="V11" s="102">
        <v>20.7</v>
      </c>
      <c r="W11" s="102">
        <v>20.7</v>
      </c>
      <c r="X11" s="102">
        <v>20.7</v>
      </c>
      <c r="Y11" s="102">
        <v>21.6</v>
      </c>
      <c r="Z11" s="102">
        <v>21.6</v>
      </c>
      <c r="AA11" s="102">
        <v>21.6</v>
      </c>
      <c r="AB11" s="102">
        <v>21.6</v>
      </c>
      <c r="AC11" s="102">
        <v>21.6</v>
      </c>
      <c r="AD11" s="102">
        <v>21.6</v>
      </c>
      <c r="AE11" s="102">
        <v>21.6</v>
      </c>
      <c r="AF11" s="102">
        <v>21.6</v>
      </c>
      <c r="AG11" s="140">
        <v>86</v>
      </c>
      <c r="AH11" s="12">
        <f t="shared" ref="AH11:AH16" si="2">MAX(B11:AF11)</f>
        <v>22.5</v>
      </c>
      <c r="AI11" s="11">
        <f t="shared" ref="AI11:AI16" si="3">MIN(B11:AF11)</f>
        <v>20.7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25">
      <c r="A12" s="89" t="s">
        <v>263</v>
      </c>
      <c r="B12" s="102">
        <v>8.6</v>
      </c>
      <c r="C12" s="102">
        <v>8.6</v>
      </c>
      <c r="D12" s="102">
        <v>8.6</v>
      </c>
      <c r="E12" s="102">
        <v>8.6</v>
      </c>
      <c r="F12" s="102">
        <v>8.6</v>
      </c>
      <c r="G12" s="102">
        <v>8.6</v>
      </c>
      <c r="H12" s="102">
        <v>8.6</v>
      </c>
      <c r="I12" s="102">
        <v>8.6</v>
      </c>
      <c r="J12" s="102">
        <v>8.6</v>
      </c>
      <c r="K12" s="102">
        <v>8.6</v>
      </c>
      <c r="L12" s="102">
        <v>8.6</v>
      </c>
      <c r="M12" s="102">
        <v>8.6</v>
      </c>
      <c r="N12" s="102">
        <v>8.6</v>
      </c>
      <c r="O12" s="102">
        <v>8.6</v>
      </c>
      <c r="P12" s="102">
        <v>8.6</v>
      </c>
      <c r="Q12" s="102">
        <v>8.6</v>
      </c>
      <c r="R12" s="102">
        <v>8.6</v>
      </c>
      <c r="S12" s="102">
        <v>8.6</v>
      </c>
      <c r="T12" s="102">
        <v>8.6</v>
      </c>
      <c r="U12" s="102">
        <v>8.6</v>
      </c>
      <c r="V12" s="102">
        <v>8.6</v>
      </c>
      <c r="W12" s="102">
        <v>8.6</v>
      </c>
      <c r="X12" s="102">
        <v>8.6</v>
      </c>
      <c r="Y12" s="102">
        <v>8.6</v>
      </c>
      <c r="Z12" s="102">
        <v>8.6</v>
      </c>
      <c r="AA12" s="102">
        <v>8.6</v>
      </c>
      <c r="AB12" s="102">
        <v>8.6</v>
      </c>
      <c r="AC12" s="102">
        <v>8.6</v>
      </c>
      <c r="AD12" s="102">
        <v>8.6</v>
      </c>
      <c r="AE12" s="102">
        <v>8.6</v>
      </c>
      <c r="AF12" s="102">
        <v>8.6</v>
      </c>
      <c r="AG12" s="130">
        <v>54</v>
      </c>
      <c r="AH12" s="12">
        <f t="shared" si="2"/>
        <v>8.6</v>
      </c>
      <c r="AI12" s="11">
        <f t="shared" si="3"/>
        <v>8.6</v>
      </c>
      <c r="AK12" s="19"/>
      <c r="AL12" s="6" t="str">
        <f ca="1">MID(CELL("filename",C7),FIND("]",CELL("filename",C7))+1,600)</f>
        <v>29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25">
      <c r="A13" s="89" t="s">
        <v>262</v>
      </c>
      <c r="B13" s="102">
        <v>13.9</v>
      </c>
      <c r="C13" s="102">
        <v>13.9</v>
      </c>
      <c r="D13" s="102">
        <v>13.9</v>
      </c>
      <c r="E13" s="102">
        <v>13.9</v>
      </c>
      <c r="F13" s="102">
        <v>13.9</v>
      </c>
      <c r="G13" s="102">
        <v>13.9</v>
      </c>
      <c r="H13" s="102">
        <v>13.9</v>
      </c>
      <c r="I13" s="102">
        <v>13.9</v>
      </c>
      <c r="J13" s="102">
        <v>13.9</v>
      </c>
      <c r="K13" s="102">
        <v>13.9</v>
      </c>
      <c r="L13" s="102">
        <v>13.9</v>
      </c>
      <c r="M13" s="102">
        <v>13.9</v>
      </c>
      <c r="N13" s="102">
        <v>13.9</v>
      </c>
      <c r="O13" s="102">
        <v>13.9</v>
      </c>
      <c r="P13" s="102">
        <v>13.9</v>
      </c>
      <c r="Q13" s="102">
        <v>13.9</v>
      </c>
      <c r="R13" s="102">
        <v>13.9</v>
      </c>
      <c r="S13" s="102">
        <v>13.9</v>
      </c>
      <c r="T13" s="102">
        <v>13.5</v>
      </c>
      <c r="U13" s="102">
        <v>13.5</v>
      </c>
      <c r="V13" s="102">
        <v>13.5</v>
      </c>
      <c r="W13" s="102">
        <v>13.5</v>
      </c>
      <c r="X13" s="102">
        <v>13.5</v>
      </c>
      <c r="Y13" s="102">
        <v>16</v>
      </c>
      <c r="Z13" s="102">
        <v>16</v>
      </c>
      <c r="AA13" s="102">
        <v>16</v>
      </c>
      <c r="AB13" s="102">
        <v>16</v>
      </c>
      <c r="AC13" s="102">
        <v>16</v>
      </c>
      <c r="AD13" s="102">
        <v>16</v>
      </c>
      <c r="AE13" s="102">
        <v>16</v>
      </c>
      <c r="AF13" s="102">
        <v>16</v>
      </c>
      <c r="AG13" s="130">
        <v>54</v>
      </c>
      <c r="AH13" s="12">
        <f t="shared" si="2"/>
        <v>16</v>
      </c>
      <c r="AI13" s="11">
        <f t="shared" si="3"/>
        <v>13.5</v>
      </c>
      <c r="AK13" s="19"/>
      <c r="AL13" s="6" t="str">
        <f ca="1">"Daily Load Curve(Excluding of Export) of Nepal ("&amp;A4&amp;" "&amp;B4&amp;")"</f>
        <v>Daily Load Curve(Excluding of Export) of Nepal (Nepali Date: 2080/10/29)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.75" thickBot="1" x14ac:dyDescent="0.3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.75" thickTop="1" x14ac:dyDescent="0.25">
      <c r="A15" s="89" t="s">
        <v>260</v>
      </c>
      <c r="B15" s="102">
        <v>38.4</v>
      </c>
      <c r="C15" s="102">
        <v>38.4</v>
      </c>
      <c r="D15" s="102">
        <v>38.4</v>
      </c>
      <c r="E15" s="102">
        <v>38.4</v>
      </c>
      <c r="F15" s="102">
        <v>38.4</v>
      </c>
      <c r="G15" s="102">
        <v>38.4</v>
      </c>
      <c r="H15" s="102">
        <v>38.4</v>
      </c>
      <c r="I15" s="102">
        <v>38.4</v>
      </c>
      <c r="J15" s="102">
        <v>38.4</v>
      </c>
      <c r="K15" s="102">
        <v>38.4</v>
      </c>
      <c r="L15" s="102">
        <v>38.4</v>
      </c>
      <c r="M15" s="102">
        <v>38.4</v>
      </c>
      <c r="N15" s="102">
        <v>38.4</v>
      </c>
      <c r="O15" s="102">
        <v>38.4</v>
      </c>
      <c r="P15" s="102">
        <v>38.4</v>
      </c>
      <c r="Q15" s="102">
        <v>38.4</v>
      </c>
      <c r="R15" s="102">
        <v>38.4</v>
      </c>
      <c r="S15" s="102">
        <v>38.4</v>
      </c>
      <c r="T15" s="102">
        <v>44.8</v>
      </c>
      <c r="U15" s="102">
        <v>44.8</v>
      </c>
      <c r="V15" s="102">
        <v>44.5</v>
      </c>
      <c r="W15" s="102">
        <v>44.5</v>
      </c>
      <c r="X15" s="123">
        <v>44.1</v>
      </c>
      <c r="Y15" s="123">
        <v>44</v>
      </c>
      <c r="Z15" s="123">
        <v>44</v>
      </c>
      <c r="AA15" s="123">
        <v>44</v>
      </c>
      <c r="AB15" s="123">
        <v>44</v>
      </c>
      <c r="AC15" s="123">
        <v>44</v>
      </c>
      <c r="AD15" s="123">
        <v>44</v>
      </c>
      <c r="AE15" s="123">
        <v>44</v>
      </c>
      <c r="AF15" s="123">
        <v>44</v>
      </c>
      <c r="AG15" s="130">
        <v>50</v>
      </c>
      <c r="AH15" s="12">
        <f t="shared" si="2"/>
        <v>44.8</v>
      </c>
      <c r="AI15" s="11">
        <f t="shared" si="3"/>
        <v>38.4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25">
      <c r="A16" s="89" t="s">
        <v>258</v>
      </c>
      <c r="B16" s="102">
        <v>15.2</v>
      </c>
      <c r="C16" s="102">
        <v>15.2</v>
      </c>
      <c r="D16" s="102">
        <v>15.2</v>
      </c>
      <c r="E16" s="102">
        <v>15.2</v>
      </c>
      <c r="F16" s="102">
        <v>15.2</v>
      </c>
      <c r="G16" s="102">
        <v>15.2</v>
      </c>
      <c r="H16" s="102">
        <v>15.2</v>
      </c>
      <c r="I16" s="102">
        <v>15.2</v>
      </c>
      <c r="J16" s="102">
        <v>15.2</v>
      </c>
      <c r="K16" s="102">
        <v>15.2</v>
      </c>
      <c r="L16" s="102">
        <v>15.2</v>
      </c>
      <c r="M16" s="102">
        <v>15.2</v>
      </c>
      <c r="N16" s="102">
        <v>15.2</v>
      </c>
      <c r="O16" s="102">
        <v>15.2</v>
      </c>
      <c r="P16" s="102">
        <v>15.2</v>
      </c>
      <c r="Q16" s="102">
        <v>15.2</v>
      </c>
      <c r="R16" s="102">
        <v>15.2</v>
      </c>
      <c r="S16" s="102">
        <v>15.2</v>
      </c>
      <c r="T16" s="102">
        <v>15.2</v>
      </c>
      <c r="U16" s="102">
        <v>15.2</v>
      </c>
      <c r="V16" s="102">
        <v>15.2</v>
      </c>
      <c r="W16" s="102">
        <v>15.2</v>
      </c>
      <c r="X16" s="102">
        <v>15.2</v>
      </c>
      <c r="Y16" s="102">
        <v>15.2</v>
      </c>
      <c r="Z16" s="102">
        <v>15.2</v>
      </c>
      <c r="AA16" s="102">
        <v>15.2</v>
      </c>
      <c r="AB16" s="102">
        <v>15.2</v>
      </c>
      <c r="AC16" s="102">
        <v>15.2</v>
      </c>
      <c r="AD16" s="102">
        <v>15.2</v>
      </c>
      <c r="AE16" s="102">
        <v>15.2</v>
      </c>
      <c r="AF16" s="102">
        <v>15.2</v>
      </c>
      <c r="AG16" s="130">
        <v>45</v>
      </c>
      <c r="AH16" s="12">
        <f t="shared" si="2"/>
        <v>15.2</v>
      </c>
      <c r="AI16" s="11">
        <f t="shared" si="3"/>
        <v>15.2</v>
      </c>
      <c r="AK16" s="19"/>
      <c r="AL16" s="135" t="s">
        <v>7</v>
      </c>
      <c r="AM16" s="134">
        <f t="shared" ref="AM16:AR16" si="4">B58</f>
        <v>485.00000000000011</v>
      </c>
      <c r="AN16" s="134">
        <f t="shared" si="4"/>
        <v>485.00000000000011</v>
      </c>
      <c r="AO16" s="134">
        <f t="shared" si="4"/>
        <v>485.00000000000011</v>
      </c>
      <c r="AP16" s="134">
        <f t="shared" si="4"/>
        <v>485.00000000000011</v>
      </c>
      <c r="AQ16" s="134">
        <f t="shared" si="4"/>
        <v>485.00000000000011</v>
      </c>
      <c r="AR16" s="134">
        <f t="shared" si="4"/>
        <v>485.00000000000011</v>
      </c>
      <c r="AS16" s="134">
        <f>I58</f>
        <v>485.00000000000011</v>
      </c>
      <c r="AT16" s="134">
        <f>K58</f>
        <v>485.00000000000011</v>
      </c>
      <c r="AU16" s="134">
        <f t="shared" ref="AU16:BD16" si="5">M58</f>
        <v>485.00000000000011</v>
      </c>
      <c r="AV16" s="134">
        <f t="shared" si="5"/>
        <v>485.00000000000011</v>
      </c>
      <c r="AW16" s="134">
        <f t="shared" si="5"/>
        <v>485.00000000000011</v>
      </c>
      <c r="AX16" s="134">
        <f t="shared" si="5"/>
        <v>484.40000000000009</v>
      </c>
      <c r="AY16" s="134">
        <f t="shared" si="5"/>
        <v>484.40000000000009</v>
      </c>
      <c r="AZ16" s="134">
        <f t="shared" si="5"/>
        <v>484.40000000000009</v>
      </c>
      <c r="BA16" s="134">
        <f t="shared" si="5"/>
        <v>473.40000000000009</v>
      </c>
      <c r="BB16" s="134">
        <f t="shared" si="5"/>
        <v>476.80000000000013</v>
      </c>
      <c r="BC16" s="134">
        <f t="shared" si="5"/>
        <v>476.80000000000013</v>
      </c>
      <c r="BD16" s="134">
        <f t="shared" si="5"/>
        <v>476.2000000000001</v>
      </c>
      <c r="BE16" s="133">
        <f>X58</f>
        <v>475.80000000000013</v>
      </c>
      <c r="BF16" s="133">
        <f>Z58</f>
        <v>499.90000000000003</v>
      </c>
      <c r="BG16" s="133">
        <f>AB58</f>
        <v>499.90000000000003</v>
      </c>
      <c r="BH16" s="133">
        <f>AD58</f>
        <v>499.90000000000003</v>
      </c>
      <c r="BI16" s="133">
        <f>AE58</f>
        <v>499.90000000000003</v>
      </c>
      <c r="BJ16" s="133">
        <f>AF58</f>
        <v>499.90000000000003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25">
      <c r="A17" s="89" t="s">
        <v>257</v>
      </c>
      <c r="B17" s="102">
        <v>16.5</v>
      </c>
      <c r="C17" s="102">
        <v>16.5</v>
      </c>
      <c r="D17" s="102">
        <v>16.5</v>
      </c>
      <c r="E17" s="102">
        <v>16.5</v>
      </c>
      <c r="F17" s="102">
        <v>16.5</v>
      </c>
      <c r="G17" s="102">
        <v>16.5</v>
      </c>
      <c r="H17" s="102">
        <v>16.5</v>
      </c>
      <c r="I17" s="102">
        <v>16.5</v>
      </c>
      <c r="J17" s="102">
        <v>16.5</v>
      </c>
      <c r="K17" s="102">
        <v>16.5</v>
      </c>
      <c r="L17" s="102">
        <v>16.5</v>
      </c>
      <c r="M17" s="102">
        <v>16.5</v>
      </c>
      <c r="N17" s="102">
        <v>16.5</v>
      </c>
      <c r="O17" s="102">
        <v>16.5</v>
      </c>
      <c r="P17" s="102">
        <v>16.5</v>
      </c>
      <c r="Q17" s="102">
        <v>16.5</v>
      </c>
      <c r="R17" s="102">
        <v>16.5</v>
      </c>
      <c r="S17" s="102">
        <v>16.5</v>
      </c>
      <c r="T17" s="102">
        <v>16.5</v>
      </c>
      <c r="U17" s="102">
        <v>16.5</v>
      </c>
      <c r="V17" s="102">
        <v>16.5</v>
      </c>
      <c r="W17" s="102">
        <v>16.5</v>
      </c>
      <c r="X17" s="102">
        <v>16.5</v>
      </c>
      <c r="Y17" s="102">
        <v>16.5</v>
      </c>
      <c r="Z17" s="102">
        <v>16.5</v>
      </c>
      <c r="AA17" s="102">
        <v>16.5</v>
      </c>
      <c r="AB17" s="102">
        <v>16.5</v>
      </c>
      <c r="AC17" s="102">
        <v>16.5</v>
      </c>
      <c r="AD17" s="102">
        <v>16.5</v>
      </c>
      <c r="AE17" s="102">
        <v>16.5</v>
      </c>
      <c r="AF17" s="102">
        <v>16.5</v>
      </c>
      <c r="AG17" s="130">
        <v>44</v>
      </c>
      <c r="AH17" s="12">
        <f>MAX(B17:AG17)</f>
        <v>44</v>
      </c>
      <c r="AI17" s="11">
        <f>MIN(B17:AG17)</f>
        <v>16.5</v>
      </c>
      <c r="AK17" s="19"/>
      <c r="AL17" s="135" t="s">
        <v>256</v>
      </c>
      <c r="AM17" s="134">
        <f t="shared" ref="AM17:AR17" si="6">B62</f>
        <v>185</v>
      </c>
      <c r="AN17" s="134">
        <f t="shared" si="6"/>
        <v>185</v>
      </c>
      <c r="AO17" s="134">
        <f t="shared" si="6"/>
        <v>185</v>
      </c>
      <c r="AP17" s="134">
        <f t="shared" si="6"/>
        <v>173.8</v>
      </c>
      <c r="AQ17" s="134">
        <f t="shared" si="6"/>
        <v>184.29999999999998</v>
      </c>
      <c r="AR17" s="134">
        <f t="shared" si="6"/>
        <v>173.6</v>
      </c>
      <c r="AS17" s="134">
        <f>I62</f>
        <v>178.3</v>
      </c>
      <c r="AT17" s="134">
        <f>K62</f>
        <v>46.9</v>
      </c>
      <c r="AU17" s="134">
        <f t="shared" ref="AU17:BD17" si="7">M62</f>
        <v>46.9</v>
      </c>
      <c r="AV17" s="134">
        <f t="shared" si="7"/>
        <v>46.9</v>
      </c>
      <c r="AW17" s="134">
        <f t="shared" si="7"/>
        <v>46.9</v>
      </c>
      <c r="AX17" s="134">
        <f t="shared" si="7"/>
        <v>45.6</v>
      </c>
      <c r="AY17" s="134">
        <f t="shared" si="7"/>
        <v>45.6</v>
      </c>
      <c r="AZ17" s="134">
        <f t="shared" si="7"/>
        <v>45.6</v>
      </c>
      <c r="BA17" s="134">
        <f t="shared" si="7"/>
        <v>37.9</v>
      </c>
      <c r="BB17" s="134">
        <f t="shared" si="7"/>
        <v>38.700000000000003</v>
      </c>
      <c r="BC17" s="134">
        <f t="shared" si="7"/>
        <v>38.5</v>
      </c>
      <c r="BD17" s="134">
        <f t="shared" si="7"/>
        <v>38.6</v>
      </c>
      <c r="BE17" s="133">
        <f>X62</f>
        <v>39.599999999999994</v>
      </c>
      <c r="BF17" s="133">
        <f>Z62</f>
        <v>289.7</v>
      </c>
      <c r="BG17" s="133">
        <f>AB62</f>
        <v>384.2</v>
      </c>
      <c r="BH17" s="133">
        <f>AD62</f>
        <v>327.2</v>
      </c>
      <c r="BI17" s="133">
        <f>AE62</f>
        <v>327.2</v>
      </c>
      <c r="BJ17" s="133">
        <f>AF62</f>
        <v>245.2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25">
      <c r="A18" s="89" t="s">
        <v>255</v>
      </c>
      <c r="B18" s="102">
        <v>14</v>
      </c>
      <c r="C18" s="102">
        <v>14</v>
      </c>
      <c r="D18" s="102">
        <v>14</v>
      </c>
      <c r="E18" s="102">
        <v>14</v>
      </c>
      <c r="F18" s="102">
        <v>14</v>
      </c>
      <c r="G18" s="102">
        <v>14</v>
      </c>
      <c r="H18" s="102">
        <v>14</v>
      </c>
      <c r="I18" s="102">
        <v>14</v>
      </c>
      <c r="J18" s="102">
        <v>14</v>
      </c>
      <c r="K18" s="102">
        <v>14</v>
      </c>
      <c r="L18" s="102">
        <v>14</v>
      </c>
      <c r="M18" s="102">
        <v>14</v>
      </c>
      <c r="N18" s="102">
        <v>14</v>
      </c>
      <c r="O18" s="102">
        <v>14</v>
      </c>
      <c r="P18" s="102">
        <v>14</v>
      </c>
      <c r="Q18" s="102">
        <v>14</v>
      </c>
      <c r="R18" s="102">
        <v>14</v>
      </c>
      <c r="S18" s="102">
        <v>14</v>
      </c>
      <c r="T18" s="102">
        <v>10</v>
      </c>
      <c r="U18" s="102">
        <v>10</v>
      </c>
      <c r="V18" s="102">
        <v>12</v>
      </c>
      <c r="W18" s="102">
        <v>12</v>
      </c>
      <c r="X18" s="102">
        <v>12</v>
      </c>
      <c r="Y18" s="102">
        <v>14</v>
      </c>
      <c r="Z18" s="102">
        <v>18</v>
      </c>
      <c r="AA18" s="102">
        <v>18</v>
      </c>
      <c r="AB18" s="102">
        <v>18</v>
      </c>
      <c r="AC18" s="102">
        <v>18</v>
      </c>
      <c r="AD18" s="102">
        <v>18</v>
      </c>
      <c r="AE18" s="102">
        <v>18</v>
      </c>
      <c r="AF18" s="102">
        <v>18</v>
      </c>
      <c r="AG18" s="130">
        <v>42</v>
      </c>
      <c r="AH18" s="12">
        <f t="shared" ref="AH18:AH81" si="8">MAX(B18:AF18)</f>
        <v>18</v>
      </c>
      <c r="AI18" s="11">
        <f t="shared" ref="AI18:AI81" si="9">MIN(B18:AF18)</f>
        <v>10</v>
      </c>
      <c r="AK18" s="19"/>
      <c r="AL18" s="135" t="s">
        <v>254</v>
      </c>
      <c r="AM18" s="134">
        <f t="shared" ref="AM18:AR18" si="10">B76</f>
        <v>325.54000000000002</v>
      </c>
      <c r="AN18" s="134">
        <f t="shared" si="10"/>
        <v>282.54000000000002</v>
      </c>
      <c r="AO18" s="134">
        <f t="shared" si="10"/>
        <v>270.54000000000002</v>
      </c>
      <c r="AP18" s="134">
        <f t="shared" si="10"/>
        <v>266.94</v>
      </c>
      <c r="AQ18" s="134">
        <f t="shared" si="10"/>
        <v>254.93999999999997</v>
      </c>
      <c r="AR18" s="134">
        <f t="shared" si="10"/>
        <v>256.94</v>
      </c>
      <c r="AS18" s="134">
        <f>I76</f>
        <v>256.94</v>
      </c>
      <c r="AT18" s="134">
        <f>K76</f>
        <v>220.84</v>
      </c>
      <c r="AU18" s="134">
        <f t="shared" ref="AU18:BD18" si="11">M76</f>
        <v>252.84</v>
      </c>
      <c r="AV18" s="134">
        <f t="shared" si="11"/>
        <v>252.84</v>
      </c>
      <c r="AW18" s="134">
        <f t="shared" si="11"/>
        <v>207.64</v>
      </c>
      <c r="AX18" s="134">
        <f t="shared" si="11"/>
        <v>219.64</v>
      </c>
      <c r="AY18" s="134">
        <f t="shared" si="11"/>
        <v>211.83999999999997</v>
      </c>
      <c r="AZ18" s="134">
        <f t="shared" si="11"/>
        <v>201.83999999999997</v>
      </c>
      <c r="BA18" s="134">
        <f t="shared" si="11"/>
        <v>203.93999999999997</v>
      </c>
      <c r="BB18" s="134">
        <f t="shared" si="11"/>
        <v>227.54</v>
      </c>
      <c r="BC18" s="134">
        <f t="shared" si="11"/>
        <v>218.14</v>
      </c>
      <c r="BD18" s="134">
        <f t="shared" si="11"/>
        <v>188.93999999999997</v>
      </c>
      <c r="BE18" s="133">
        <f>X76</f>
        <v>213.73999999999998</v>
      </c>
      <c r="BF18" s="133">
        <f>Z76</f>
        <v>323.19999999999993</v>
      </c>
      <c r="BG18" s="133">
        <f>AB76</f>
        <v>355.14</v>
      </c>
      <c r="BH18" s="133">
        <f>AD76</f>
        <v>326.14</v>
      </c>
      <c r="BI18" s="133">
        <f>AE76</f>
        <v>287.14</v>
      </c>
      <c r="BJ18" s="133">
        <f>AF76</f>
        <v>271.14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25">
      <c r="A19" s="89" t="s">
        <v>253</v>
      </c>
      <c r="B19" s="102">
        <v>19.5</v>
      </c>
      <c r="C19" s="102">
        <v>19.5</v>
      </c>
      <c r="D19" s="102">
        <v>19.5</v>
      </c>
      <c r="E19" s="102">
        <v>19.5</v>
      </c>
      <c r="F19" s="102">
        <v>19.5</v>
      </c>
      <c r="G19" s="102">
        <v>19.5</v>
      </c>
      <c r="H19" s="102">
        <v>19.5</v>
      </c>
      <c r="I19" s="102">
        <v>19.5</v>
      </c>
      <c r="J19" s="102">
        <v>19.5</v>
      </c>
      <c r="K19" s="102">
        <v>19.5</v>
      </c>
      <c r="L19" s="102">
        <v>19.5</v>
      </c>
      <c r="M19" s="102">
        <v>19.5</v>
      </c>
      <c r="N19" s="102">
        <v>19.5</v>
      </c>
      <c r="O19" s="102">
        <v>19.5</v>
      </c>
      <c r="P19" s="102">
        <v>19.5</v>
      </c>
      <c r="Q19" s="102">
        <v>19.5</v>
      </c>
      <c r="R19" s="102">
        <v>19.5</v>
      </c>
      <c r="S19" s="102">
        <v>19.5</v>
      </c>
      <c r="T19" s="102">
        <v>21</v>
      </c>
      <c r="U19" s="102">
        <v>21</v>
      </c>
      <c r="V19" s="102">
        <v>20</v>
      </c>
      <c r="W19" s="102">
        <v>20</v>
      </c>
      <c r="X19" s="102">
        <v>20</v>
      </c>
      <c r="Y19" s="102">
        <v>22.6</v>
      </c>
      <c r="Z19" s="102">
        <v>22.6</v>
      </c>
      <c r="AA19" s="102">
        <v>22.6</v>
      </c>
      <c r="AB19" s="102">
        <v>22.6</v>
      </c>
      <c r="AC19" s="102">
        <v>22.6</v>
      </c>
      <c r="AD19" s="102">
        <v>22.6</v>
      </c>
      <c r="AE19" s="102">
        <v>22.6</v>
      </c>
      <c r="AF19" s="102">
        <v>22.6</v>
      </c>
      <c r="AG19" s="130">
        <v>38.46</v>
      </c>
      <c r="AH19" s="12">
        <f t="shared" si="8"/>
        <v>22.6</v>
      </c>
      <c r="AI19" s="11">
        <f t="shared" si="9"/>
        <v>19.5</v>
      </c>
      <c r="AK19" s="19"/>
      <c r="AL19" s="135" t="s">
        <v>252</v>
      </c>
      <c r="AM19" s="134">
        <f t="shared" ref="AM19:AR19" si="12">B92</f>
        <v>106</v>
      </c>
      <c r="AN19" s="134">
        <f t="shared" si="12"/>
        <v>94</v>
      </c>
      <c r="AO19" s="134">
        <f t="shared" si="12"/>
        <v>75</v>
      </c>
      <c r="AP19" s="134">
        <f t="shared" si="12"/>
        <v>126.10000000000001</v>
      </c>
      <c r="AQ19" s="134">
        <f t="shared" si="12"/>
        <v>133.80000000000001</v>
      </c>
      <c r="AR19" s="134">
        <f t="shared" si="12"/>
        <v>174.8</v>
      </c>
      <c r="AS19" s="134">
        <f>I92</f>
        <v>222.20000000000002</v>
      </c>
      <c r="AT19" s="134">
        <f>K92</f>
        <v>655.4</v>
      </c>
      <c r="AU19" s="134">
        <f t="shared" ref="AU19:BD19" si="13">M92</f>
        <v>714.8</v>
      </c>
      <c r="AV19" s="134">
        <f t="shared" si="13"/>
        <v>758.04</v>
      </c>
      <c r="AW19" s="134">
        <f t="shared" si="13"/>
        <v>723.7</v>
      </c>
      <c r="AX19" s="134">
        <f t="shared" si="13"/>
        <v>723.4</v>
      </c>
      <c r="AY19" s="134">
        <f t="shared" si="13"/>
        <v>728.4</v>
      </c>
      <c r="AZ19" s="134">
        <f t="shared" si="13"/>
        <v>764</v>
      </c>
      <c r="BA19" s="134">
        <f t="shared" si="13"/>
        <v>806.49999999999989</v>
      </c>
      <c r="BB19" s="134">
        <f t="shared" si="13"/>
        <v>784.8</v>
      </c>
      <c r="BC19" s="134">
        <f t="shared" si="13"/>
        <v>813.09999999999991</v>
      </c>
      <c r="BD19" s="134">
        <f t="shared" si="13"/>
        <v>789.7</v>
      </c>
      <c r="BE19" s="133">
        <f>X92</f>
        <v>616.79999999999995</v>
      </c>
      <c r="BF19" s="133">
        <f>Z92</f>
        <v>259.8</v>
      </c>
      <c r="BG19" s="133">
        <f>AB92</f>
        <v>228.3</v>
      </c>
      <c r="BH19" s="133">
        <f>AD92</f>
        <v>199</v>
      </c>
      <c r="BI19" s="133">
        <f>AE92</f>
        <v>214</v>
      </c>
      <c r="BJ19" s="133">
        <f>AF92</f>
        <v>169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25">
      <c r="A20" s="89" t="s">
        <v>251</v>
      </c>
      <c r="B20" s="102">
        <v>10</v>
      </c>
      <c r="C20" s="102">
        <v>10</v>
      </c>
      <c r="D20" s="102">
        <v>10</v>
      </c>
      <c r="E20" s="102">
        <v>10</v>
      </c>
      <c r="F20" s="102">
        <v>10</v>
      </c>
      <c r="G20" s="102">
        <v>10</v>
      </c>
      <c r="H20" s="102">
        <v>10</v>
      </c>
      <c r="I20" s="102">
        <v>10</v>
      </c>
      <c r="J20" s="102">
        <v>10</v>
      </c>
      <c r="K20" s="102">
        <v>10</v>
      </c>
      <c r="L20" s="102">
        <v>10</v>
      </c>
      <c r="M20" s="102">
        <v>10</v>
      </c>
      <c r="N20" s="102">
        <v>10</v>
      </c>
      <c r="O20" s="102">
        <v>10</v>
      </c>
      <c r="P20" s="102">
        <v>10</v>
      </c>
      <c r="Q20" s="102">
        <v>10</v>
      </c>
      <c r="R20" s="102">
        <v>10</v>
      </c>
      <c r="S20" s="102">
        <v>10</v>
      </c>
      <c r="T20" s="102">
        <v>10</v>
      </c>
      <c r="U20" s="102">
        <v>10</v>
      </c>
      <c r="V20" s="102">
        <v>10</v>
      </c>
      <c r="W20" s="102">
        <v>10</v>
      </c>
      <c r="X20" s="102">
        <v>10</v>
      </c>
      <c r="Y20" s="102">
        <v>16.5</v>
      </c>
      <c r="Z20" s="102">
        <v>16.5</v>
      </c>
      <c r="AA20" s="102">
        <v>16.5</v>
      </c>
      <c r="AB20" s="102">
        <v>16.5</v>
      </c>
      <c r="AC20" s="102">
        <v>16.5</v>
      </c>
      <c r="AD20" s="102">
        <v>16.5</v>
      </c>
      <c r="AE20" s="102">
        <v>16.5</v>
      </c>
      <c r="AF20" s="102">
        <v>16.5</v>
      </c>
      <c r="AG20" s="130">
        <v>38.46</v>
      </c>
      <c r="AH20" s="12">
        <f t="shared" si="8"/>
        <v>16.5</v>
      </c>
      <c r="AI20" s="11">
        <f t="shared" si="9"/>
        <v>10</v>
      </c>
      <c r="AK20" s="19"/>
      <c r="AL20" s="135" t="s">
        <v>250</v>
      </c>
      <c r="AM20" s="134">
        <f t="shared" ref="AM20:AR20" si="14">B80</f>
        <v>98.300000000000011</v>
      </c>
      <c r="AN20" s="134">
        <f t="shared" si="14"/>
        <v>98.300000000000011</v>
      </c>
      <c r="AO20" s="134">
        <f t="shared" si="14"/>
        <v>98.300000000000011</v>
      </c>
      <c r="AP20" s="134">
        <f t="shared" si="14"/>
        <v>82.300000000000011</v>
      </c>
      <c r="AQ20" s="134">
        <f t="shared" si="14"/>
        <v>82.300000000000011</v>
      </c>
      <c r="AR20" s="134">
        <f t="shared" si="14"/>
        <v>90.5</v>
      </c>
      <c r="AS20" s="134">
        <f>I80</f>
        <v>98.5</v>
      </c>
      <c r="AT20" s="134">
        <f>K80</f>
        <v>19.8</v>
      </c>
      <c r="AU20" s="134">
        <f t="shared" ref="AU20:BD20" si="15">M80</f>
        <v>20.100000000000001</v>
      </c>
      <c r="AV20" s="134">
        <f t="shared" si="15"/>
        <v>20.100000000000001</v>
      </c>
      <c r="AW20" s="134">
        <f t="shared" si="15"/>
        <v>20.100000000000001</v>
      </c>
      <c r="AX20" s="134">
        <f t="shared" si="15"/>
        <v>27.299999999999997</v>
      </c>
      <c r="AY20" s="134">
        <f t="shared" si="15"/>
        <v>45.5</v>
      </c>
      <c r="AZ20" s="134">
        <f t="shared" si="15"/>
        <v>0</v>
      </c>
      <c r="BA20" s="134">
        <f t="shared" si="15"/>
        <v>0</v>
      </c>
      <c r="BB20" s="134">
        <f t="shared" si="15"/>
        <v>0</v>
      </c>
      <c r="BC20" s="134">
        <f t="shared" si="15"/>
        <v>0</v>
      </c>
      <c r="BD20" s="134">
        <f t="shared" si="15"/>
        <v>0</v>
      </c>
      <c r="BE20" s="133">
        <f>X80</f>
        <v>0</v>
      </c>
      <c r="BF20" s="133">
        <f>Z80</f>
        <v>67.8</v>
      </c>
      <c r="BG20" s="133">
        <f>AB80</f>
        <v>71.099999999999994</v>
      </c>
      <c r="BH20" s="133">
        <f>AD80</f>
        <v>71.099999999999994</v>
      </c>
      <c r="BI20" s="133">
        <f>AE80</f>
        <v>71.099999999999994</v>
      </c>
      <c r="BJ20" s="133">
        <f>AF80</f>
        <v>42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25">
      <c r="A21" s="89" t="s">
        <v>249</v>
      </c>
      <c r="B21" s="102">
        <v>12</v>
      </c>
      <c r="C21" s="102">
        <v>12</v>
      </c>
      <c r="D21" s="102">
        <v>12</v>
      </c>
      <c r="E21" s="102">
        <v>12</v>
      </c>
      <c r="F21" s="102">
        <v>12</v>
      </c>
      <c r="G21" s="102">
        <v>12</v>
      </c>
      <c r="H21" s="102">
        <v>12</v>
      </c>
      <c r="I21" s="102">
        <v>12</v>
      </c>
      <c r="J21" s="102">
        <v>12</v>
      </c>
      <c r="K21" s="102">
        <v>12</v>
      </c>
      <c r="L21" s="102">
        <v>12</v>
      </c>
      <c r="M21" s="102">
        <v>12</v>
      </c>
      <c r="N21" s="102">
        <v>12</v>
      </c>
      <c r="O21" s="102">
        <v>12</v>
      </c>
      <c r="P21" s="102">
        <v>12</v>
      </c>
      <c r="Q21" s="102">
        <v>12</v>
      </c>
      <c r="R21" s="102">
        <v>12</v>
      </c>
      <c r="S21" s="102">
        <v>12</v>
      </c>
      <c r="T21" s="102">
        <v>12</v>
      </c>
      <c r="U21" s="102">
        <v>12</v>
      </c>
      <c r="V21" s="102">
        <v>12</v>
      </c>
      <c r="W21" s="102">
        <v>12</v>
      </c>
      <c r="X21" s="102">
        <v>12</v>
      </c>
      <c r="Y21" s="102">
        <v>12</v>
      </c>
      <c r="Z21" s="102">
        <v>12</v>
      </c>
      <c r="AA21" s="102">
        <v>12</v>
      </c>
      <c r="AB21" s="102">
        <v>12</v>
      </c>
      <c r="AC21" s="102">
        <v>12</v>
      </c>
      <c r="AD21" s="102">
        <v>12</v>
      </c>
      <c r="AE21" s="102">
        <v>12</v>
      </c>
      <c r="AF21" s="102">
        <v>12</v>
      </c>
      <c r="AG21" s="130">
        <v>36</v>
      </c>
      <c r="AH21" s="12">
        <f t="shared" si="8"/>
        <v>12</v>
      </c>
      <c r="AI21" s="11">
        <f t="shared" si="9"/>
        <v>12</v>
      </c>
      <c r="AK21" s="19"/>
      <c r="AL21" s="135" t="s">
        <v>248</v>
      </c>
      <c r="AM21" s="134">
        <f t="shared" ref="AM21:AR21" si="16">B98</f>
        <v>250</v>
      </c>
      <c r="AN21" s="134">
        <f t="shared" si="16"/>
        <v>250</v>
      </c>
      <c r="AO21" s="134">
        <f t="shared" si="16"/>
        <v>251</v>
      </c>
      <c r="AP21" s="134">
        <f t="shared" si="16"/>
        <v>250</v>
      </c>
      <c r="AQ21" s="134">
        <f t="shared" si="16"/>
        <v>250</v>
      </c>
      <c r="AR21" s="134">
        <f t="shared" si="16"/>
        <v>230</v>
      </c>
      <c r="AS21" s="134">
        <f>I98</f>
        <v>180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250</v>
      </c>
      <c r="BG21" s="133">
        <f>AB98</f>
        <v>250</v>
      </c>
      <c r="BH21" s="133">
        <f>AD98</f>
        <v>250</v>
      </c>
      <c r="BI21" s="133">
        <f>AE98</f>
        <v>250</v>
      </c>
      <c r="BJ21" s="133">
        <f>AF98</f>
        <v>250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25">
      <c r="A22" s="89" t="s">
        <v>247</v>
      </c>
      <c r="B22" s="102">
        <v>8.8000000000000007</v>
      </c>
      <c r="C22" s="102">
        <v>8.8000000000000007</v>
      </c>
      <c r="D22" s="102">
        <v>8.8000000000000007</v>
      </c>
      <c r="E22" s="102">
        <v>8.8000000000000007</v>
      </c>
      <c r="F22" s="102">
        <v>8.8000000000000007</v>
      </c>
      <c r="G22" s="102">
        <v>8.8000000000000007</v>
      </c>
      <c r="H22" s="102">
        <v>8.8000000000000007</v>
      </c>
      <c r="I22" s="102">
        <v>8.8000000000000007</v>
      </c>
      <c r="J22" s="102">
        <v>8.8000000000000007</v>
      </c>
      <c r="K22" s="102">
        <v>8.8000000000000007</v>
      </c>
      <c r="L22" s="102">
        <v>8.8000000000000007</v>
      </c>
      <c r="M22" s="102">
        <v>8.8000000000000007</v>
      </c>
      <c r="N22" s="102">
        <v>8.8000000000000007</v>
      </c>
      <c r="O22" s="102">
        <v>8.8000000000000007</v>
      </c>
      <c r="P22" s="102">
        <v>8.8000000000000007</v>
      </c>
      <c r="Q22" s="102">
        <v>8.8000000000000007</v>
      </c>
      <c r="R22" s="102">
        <v>8.8000000000000007</v>
      </c>
      <c r="S22" s="102">
        <v>8.8000000000000007</v>
      </c>
      <c r="T22" s="102">
        <v>8.4</v>
      </c>
      <c r="U22" s="102">
        <v>8.4</v>
      </c>
      <c r="V22" s="102">
        <v>8.4</v>
      </c>
      <c r="W22" s="102">
        <v>8.4</v>
      </c>
      <c r="X22" s="102">
        <v>8.4</v>
      </c>
      <c r="Y22" s="102">
        <v>9.1</v>
      </c>
      <c r="Z22" s="102">
        <v>9.1</v>
      </c>
      <c r="AA22" s="102">
        <v>9.1</v>
      </c>
      <c r="AB22" s="102">
        <v>9.1</v>
      </c>
      <c r="AC22" s="102">
        <v>9.1</v>
      </c>
      <c r="AD22" s="102">
        <v>9.1</v>
      </c>
      <c r="AE22" s="102">
        <v>9.1</v>
      </c>
      <c r="AF22" s="102">
        <v>9.1</v>
      </c>
      <c r="AG22" s="88">
        <v>30</v>
      </c>
      <c r="AH22" s="12">
        <f t="shared" si="8"/>
        <v>9.1</v>
      </c>
      <c r="AI22" s="11">
        <f t="shared" si="9"/>
        <v>8.4</v>
      </c>
      <c r="AK22" s="19"/>
      <c r="AL22" s="132" t="s">
        <v>246</v>
      </c>
      <c r="AM22" s="131">
        <f t="shared" ref="AM22:BJ22" si="18">SUM(AM16:AM21)</f>
        <v>1449.8400000000001</v>
      </c>
      <c r="AN22" s="131">
        <f t="shared" si="18"/>
        <v>1394.8400000000001</v>
      </c>
      <c r="AO22" s="131">
        <f t="shared" si="18"/>
        <v>1364.8400000000001</v>
      </c>
      <c r="AP22" s="131">
        <f t="shared" si="18"/>
        <v>1384.14</v>
      </c>
      <c r="AQ22" s="131">
        <f t="shared" si="18"/>
        <v>1390.34</v>
      </c>
      <c r="AR22" s="131">
        <f t="shared" si="18"/>
        <v>1410.8400000000001</v>
      </c>
      <c r="AS22" s="131">
        <f t="shared" si="18"/>
        <v>1420.9400000000003</v>
      </c>
      <c r="AT22" s="131">
        <f t="shared" si="18"/>
        <v>1427.94</v>
      </c>
      <c r="AU22" s="131">
        <f t="shared" si="18"/>
        <v>1519.6399999999999</v>
      </c>
      <c r="AV22" s="131">
        <f t="shared" si="18"/>
        <v>1562.88</v>
      </c>
      <c r="AW22" s="131">
        <f t="shared" si="18"/>
        <v>1483.3400000000001</v>
      </c>
      <c r="AX22" s="131">
        <f t="shared" si="18"/>
        <v>1500.34</v>
      </c>
      <c r="AY22" s="131">
        <f t="shared" si="18"/>
        <v>1515.7400000000002</v>
      </c>
      <c r="AZ22" s="131">
        <f t="shared" si="18"/>
        <v>1495.8400000000001</v>
      </c>
      <c r="BA22" s="131">
        <f t="shared" si="18"/>
        <v>1521.7399999999998</v>
      </c>
      <c r="BB22" s="131">
        <f t="shared" si="18"/>
        <v>1527.8400000000001</v>
      </c>
      <c r="BC22" s="131">
        <f t="shared" si="18"/>
        <v>1546.54</v>
      </c>
      <c r="BD22" s="131">
        <f t="shared" si="18"/>
        <v>1493.44</v>
      </c>
      <c r="BE22" s="131">
        <f t="shared" si="18"/>
        <v>1345.94</v>
      </c>
      <c r="BF22" s="131">
        <f t="shared" si="18"/>
        <v>1690.3999999999999</v>
      </c>
      <c r="BG22" s="131">
        <f t="shared" si="18"/>
        <v>1788.6399999999999</v>
      </c>
      <c r="BH22" s="131">
        <f t="shared" si="18"/>
        <v>1673.34</v>
      </c>
      <c r="BI22" s="131">
        <f t="shared" si="18"/>
        <v>1649.34</v>
      </c>
      <c r="BJ22" s="131">
        <f t="shared" si="18"/>
        <v>1477.24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25">
      <c r="A23" s="89" t="s">
        <v>245</v>
      </c>
      <c r="B23" s="102">
        <v>8</v>
      </c>
      <c r="C23" s="102">
        <v>8</v>
      </c>
      <c r="D23" s="102">
        <v>8</v>
      </c>
      <c r="E23" s="102">
        <v>8</v>
      </c>
      <c r="F23" s="102">
        <v>8</v>
      </c>
      <c r="G23" s="102">
        <v>8</v>
      </c>
      <c r="H23" s="102">
        <v>8</v>
      </c>
      <c r="I23" s="102">
        <v>8</v>
      </c>
      <c r="J23" s="102">
        <v>8</v>
      </c>
      <c r="K23" s="102">
        <v>8</v>
      </c>
      <c r="L23" s="102">
        <v>8</v>
      </c>
      <c r="M23" s="102">
        <v>8</v>
      </c>
      <c r="N23" s="102">
        <v>8</v>
      </c>
      <c r="O23" s="102">
        <v>8</v>
      </c>
      <c r="P23" s="102">
        <v>8</v>
      </c>
      <c r="Q23" s="102">
        <v>8</v>
      </c>
      <c r="R23" s="102">
        <v>8</v>
      </c>
      <c r="S23" s="102">
        <v>8</v>
      </c>
      <c r="T23" s="102">
        <v>8</v>
      </c>
      <c r="U23" s="102">
        <v>8</v>
      </c>
      <c r="V23" s="102">
        <v>8</v>
      </c>
      <c r="W23" s="102">
        <v>8</v>
      </c>
      <c r="X23" s="102">
        <v>8</v>
      </c>
      <c r="Y23" s="102">
        <v>6.5</v>
      </c>
      <c r="Z23" s="102">
        <v>6.5</v>
      </c>
      <c r="AA23" s="102">
        <v>6.5</v>
      </c>
      <c r="AB23" s="102">
        <v>6.5</v>
      </c>
      <c r="AC23" s="102">
        <v>6.5</v>
      </c>
      <c r="AD23" s="102">
        <v>6.5</v>
      </c>
      <c r="AE23" s="102">
        <v>6.5</v>
      </c>
      <c r="AF23" s="102">
        <v>6.5</v>
      </c>
      <c r="AG23" s="130">
        <v>24.2</v>
      </c>
      <c r="AH23" s="12">
        <f t="shared" si="8"/>
        <v>8</v>
      </c>
      <c r="AI23" s="11">
        <f t="shared" si="9"/>
        <v>6.5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-1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25">
      <c r="A24" s="89" t="s">
        <v>244</v>
      </c>
      <c r="B24" s="102">
        <v>8.5</v>
      </c>
      <c r="C24" s="102">
        <v>8.5</v>
      </c>
      <c r="D24" s="102">
        <v>8.5</v>
      </c>
      <c r="E24" s="102">
        <v>8.5</v>
      </c>
      <c r="F24" s="102">
        <v>8.5</v>
      </c>
      <c r="G24" s="102">
        <v>8.5</v>
      </c>
      <c r="H24" s="102">
        <v>8.5</v>
      </c>
      <c r="I24" s="102">
        <v>8.5</v>
      </c>
      <c r="J24" s="102">
        <v>8.5</v>
      </c>
      <c r="K24" s="102">
        <v>8.5</v>
      </c>
      <c r="L24" s="102">
        <v>8.5</v>
      </c>
      <c r="M24" s="102">
        <v>8.5</v>
      </c>
      <c r="N24" s="102">
        <v>8.5</v>
      </c>
      <c r="O24" s="102">
        <v>8.5</v>
      </c>
      <c r="P24" s="102">
        <v>8.5</v>
      </c>
      <c r="Q24" s="102">
        <v>8.5</v>
      </c>
      <c r="R24" s="102">
        <v>8.5</v>
      </c>
      <c r="S24" s="102">
        <v>8.5</v>
      </c>
      <c r="T24" s="102">
        <v>6.6</v>
      </c>
      <c r="U24" s="102">
        <v>6.6</v>
      </c>
      <c r="V24" s="102">
        <v>6.6</v>
      </c>
      <c r="W24" s="102">
        <v>6.6</v>
      </c>
      <c r="X24" s="102">
        <v>6.6</v>
      </c>
      <c r="Y24" s="102">
        <v>6.2</v>
      </c>
      <c r="Z24" s="102">
        <v>6.2</v>
      </c>
      <c r="AA24" s="102">
        <v>6.2</v>
      </c>
      <c r="AB24" s="102">
        <v>6.2</v>
      </c>
      <c r="AC24" s="102">
        <v>6.2</v>
      </c>
      <c r="AD24" s="102">
        <v>6.2</v>
      </c>
      <c r="AE24" s="102">
        <v>6.2</v>
      </c>
      <c r="AF24" s="102">
        <v>6.2</v>
      </c>
      <c r="AG24" s="130">
        <v>28</v>
      </c>
      <c r="AH24" s="12">
        <f t="shared" si="8"/>
        <v>8.5</v>
      </c>
      <c r="AI24" s="11">
        <f t="shared" si="9"/>
        <v>6.2</v>
      </c>
      <c r="AK24" s="19"/>
      <c r="AL24" s="132" t="s">
        <v>243</v>
      </c>
      <c r="AM24" s="131">
        <f t="shared" ref="AM24:BJ24" si="21">AM22+AM23</f>
        <v>1449.8400000000001</v>
      </c>
      <c r="AN24" s="131">
        <f t="shared" si="21"/>
        <v>1393.8400000000001</v>
      </c>
      <c r="AO24" s="131">
        <f t="shared" si="21"/>
        <v>1364.8400000000001</v>
      </c>
      <c r="AP24" s="131">
        <f t="shared" si="21"/>
        <v>1384.14</v>
      </c>
      <c r="AQ24" s="131">
        <f t="shared" si="21"/>
        <v>1390.34</v>
      </c>
      <c r="AR24" s="131">
        <f t="shared" si="21"/>
        <v>1410.8400000000001</v>
      </c>
      <c r="AS24" s="131">
        <f t="shared" si="21"/>
        <v>1420.9400000000003</v>
      </c>
      <c r="AT24" s="131">
        <f t="shared" si="21"/>
        <v>1427.94</v>
      </c>
      <c r="AU24" s="131">
        <f t="shared" si="21"/>
        <v>1519.6399999999999</v>
      </c>
      <c r="AV24" s="131">
        <f t="shared" si="21"/>
        <v>1562.88</v>
      </c>
      <c r="AW24" s="131">
        <f t="shared" si="21"/>
        <v>1483.3400000000001</v>
      </c>
      <c r="AX24" s="131">
        <f t="shared" si="21"/>
        <v>1500.34</v>
      </c>
      <c r="AY24" s="131">
        <f t="shared" si="21"/>
        <v>1515.7400000000002</v>
      </c>
      <c r="AZ24" s="131">
        <f t="shared" si="21"/>
        <v>1495.8400000000001</v>
      </c>
      <c r="BA24" s="131">
        <f t="shared" si="21"/>
        <v>1521.7399999999998</v>
      </c>
      <c r="BB24" s="131">
        <f t="shared" si="21"/>
        <v>1527.8400000000001</v>
      </c>
      <c r="BC24" s="131">
        <f t="shared" si="21"/>
        <v>1546.54</v>
      </c>
      <c r="BD24" s="131">
        <f t="shared" si="21"/>
        <v>1493.44</v>
      </c>
      <c r="BE24" s="131">
        <f t="shared" si="21"/>
        <v>1345.94</v>
      </c>
      <c r="BF24" s="131">
        <f t="shared" si="21"/>
        <v>1690.3999999999999</v>
      </c>
      <c r="BG24" s="131">
        <f t="shared" si="21"/>
        <v>1788.6399999999999</v>
      </c>
      <c r="BH24" s="131">
        <f t="shared" si="21"/>
        <v>1673.34</v>
      </c>
      <c r="BI24" s="131">
        <f t="shared" si="21"/>
        <v>1649.34</v>
      </c>
      <c r="BJ24" s="131">
        <f t="shared" si="21"/>
        <v>1477.24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25">
      <c r="A25" s="89" t="s">
        <v>242</v>
      </c>
      <c r="B25" s="102">
        <v>6.5</v>
      </c>
      <c r="C25" s="102">
        <v>6.5</v>
      </c>
      <c r="D25" s="102">
        <v>6.5</v>
      </c>
      <c r="E25" s="102">
        <v>6.5</v>
      </c>
      <c r="F25" s="102">
        <v>6.5</v>
      </c>
      <c r="G25" s="102">
        <v>6.5</v>
      </c>
      <c r="H25" s="102">
        <v>6.5</v>
      </c>
      <c r="I25" s="102">
        <v>6.5</v>
      </c>
      <c r="J25" s="102">
        <v>6.5</v>
      </c>
      <c r="K25" s="102">
        <v>6.5</v>
      </c>
      <c r="L25" s="102">
        <v>6.5</v>
      </c>
      <c r="M25" s="102">
        <v>6.5</v>
      </c>
      <c r="N25" s="102">
        <v>6.5</v>
      </c>
      <c r="O25" s="102">
        <v>6.5</v>
      </c>
      <c r="P25" s="102">
        <v>6.5</v>
      </c>
      <c r="Q25" s="102">
        <v>6.5</v>
      </c>
      <c r="R25" s="102">
        <v>6.5</v>
      </c>
      <c r="S25" s="102">
        <v>6.5</v>
      </c>
      <c r="T25" s="102">
        <v>7.5</v>
      </c>
      <c r="U25" s="102">
        <v>7.5</v>
      </c>
      <c r="V25" s="102">
        <v>7.5</v>
      </c>
      <c r="W25" s="102">
        <v>7.5</v>
      </c>
      <c r="X25" s="102">
        <v>7.5</v>
      </c>
      <c r="Y25" s="102">
        <v>6.4</v>
      </c>
      <c r="Z25" s="102">
        <v>6.4</v>
      </c>
      <c r="AA25" s="102">
        <v>6.4</v>
      </c>
      <c r="AB25" s="102">
        <v>6.4</v>
      </c>
      <c r="AC25" s="102">
        <v>6.4</v>
      </c>
      <c r="AD25" s="102">
        <v>6.4</v>
      </c>
      <c r="AE25" s="102">
        <v>6.4</v>
      </c>
      <c r="AF25" s="102">
        <v>6.4</v>
      </c>
      <c r="AG25" s="88">
        <v>30</v>
      </c>
      <c r="AH25" s="12">
        <f t="shared" si="8"/>
        <v>7.5</v>
      </c>
      <c r="AI25" s="11">
        <f t="shared" si="9"/>
        <v>6.4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25">
      <c r="A26" s="89" t="s">
        <v>241</v>
      </c>
      <c r="B26" s="102">
        <v>9.6</v>
      </c>
      <c r="C26" s="102">
        <v>9.6</v>
      </c>
      <c r="D26" s="102">
        <v>9.6</v>
      </c>
      <c r="E26" s="102">
        <v>9.6</v>
      </c>
      <c r="F26" s="102">
        <v>9.6</v>
      </c>
      <c r="G26" s="102">
        <v>9.6</v>
      </c>
      <c r="H26" s="102">
        <v>9.6</v>
      </c>
      <c r="I26" s="102">
        <v>9.6</v>
      </c>
      <c r="J26" s="102">
        <v>9.6</v>
      </c>
      <c r="K26" s="102">
        <v>9.6</v>
      </c>
      <c r="L26" s="102">
        <v>9.6</v>
      </c>
      <c r="M26" s="102">
        <v>9.6</v>
      </c>
      <c r="N26" s="102">
        <v>9.6</v>
      </c>
      <c r="O26" s="102">
        <v>9.6</v>
      </c>
      <c r="P26" s="102">
        <v>9.6</v>
      </c>
      <c r="Q26" s="102">
        <v>9.6</v>
      </c>
      <c r="R26" s="102">
        <v>9.6</v>
      </c>
      <c r="S26" s="102">
        <v>9.6</v>
      </c>
      <c r="T26" s="102">
        <v>11.4</v>
      </c>
      <c r="U26" s="102">
        <v>11.4</v>
      </c>
      <c r="V26" s="102">
        <v>11.4</v>
      </c>
      <c r="W26" s="102">
        <v>11.4</v>
      </c>
      <c r="X26" s="102">
        <v>11.4</v>
      </c>
      <c r="Y26" s="102">
        <v>11.7</v>
      </c>
      <c r="Z26" s="102">
        <v>11.7</v>
      </c>
      <c r="AA26" s="102">
        <v>11.7</v>
      </c>
      <c r="AB26" s="102">
        <v>11.7</v>
      </c>
      <c r="AC26" s="102">
        <v>11.7</v>
      </c>
      <c r="AD26" s="102">
        <v>11.7</v>
      </c>
      <c r="AE26" s="102">
        <v>11.7</v>
      </c>
      <c r="AF26" s="102">
        <v>11.7</v>
      </c>
      <c r="AG26" s="130">
        <v>25</v>
      </c>
      <c r="AH26" s="12">
        <f t="shared" si="8"/>
        <v>11.7</v>
      </c>
      <c r="AI26" s="11">
        <f t="shared" si="9"/>
        <v>9.6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25">
      <c r="A27" s="89" t="s">
        <v>240</v>
      </c>
      <c r="B27" s="102">
        <v>5</v>
      </c>
      <c r="C27" s="102">
        <v>5</v>
      </c>
      <c r="D27" s="102">
        <v>5</v>
      </c>
      <c r="E27" s="102">
        <v>5</v>
      </c>
      <c r="F27" s="102">
        <v>5</v>
      </c>
      <c r="G27" s="102">
        <v>5</v>
      </c>
      <c r="H27" s="102">
        <v>5</v>
      </c>
      <c r="I27" s="102">
        <v>5</v>
      </c>
      <c r="J27" s="102">
        <v>5</v>
      </c>
      <c r="K27" s="102">
        <v>5</v>
      </c>
      <c r="L27" s="102">
        <v>5</v>
      </c>
      <c r="M27" s="102">
        <v>5</v>
      </c>
      <c r="N27" s="102">
        <v>5</v>
      </c>
      <c r="O27" s="102">
        <v>5</v>
      </c>
      <c r="P27" s="102">
        <v>5</v>
      </c>
      <c r="Q27" s="102">
        <v>5</v>
      </c>
      <c r="R27" s="102">
        <v>5</v>
      </c>
      <c r="S27" s="102">
        <v>5</v>
      </c>
      <c r="T27" s="102">
        <v>5</v>
      </c>
      <c r="U27" s="102">
        <v>5</v>
      </c>
      <c r="V27" s="102">
        <v>5</v>
      </c>
      <c r="W27" s="102">
        <v>5</v>
      </c>
      <c r="X27" s="102">
        <v>5</v>
      </c>
      <c r="Y27" s="102">
        <v>5</v>
      </c>
      <c r="Z27" s="102">
        <v>5</v>
      </c>
      <c r="AA27" s="102">
        <v>5</v>
      </c>
      <c r="AB27" s="102">
        <v>5</v>
      </c>
      <c r="AC27" s="102">
        <v>5</v>
      </c>
      <c r="AD27" s="102">
        <v>5</v>
      </c>
      <c r="AE27" s="102">
        <v>5</v>
      </c>
      <c r="AF27" s="102">
        <v>5</v>
      </c>
      <c r="AG27" s="130">
        <v>25</v>
      </c>
      <c r="AH27" s="12">
        <f t="shared" si="8"/>
        <v>5</v>
      </c>
      <c r="AI27" s="11">
        <f t="shared" si="9"/>
        <v>5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25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25">
      <c r="A29" s="89" t="s">
        <v>238</v>
      </c>
      <c r="B29" s="102">
        <v>8</v>
      </c>
      <c r="C29" s="102">
        <v>8</v>
      </c>
      <c r="D29" s="102">
        <v>8</v>
      </c>
      <c r="E29" s="102">
        <v>8</v>
      </c>
      <c r="F29" s="102">
        <v>8</v>
      </c>
      <c r="G29" s="102">
        <v>8</v>
      </c>
      <c r="H29" s="102">
        <v>8</v>
      </c>
      <c r="I29" s="102">
        <v>8</v>
      </c>
      <c r="J29" s="102">
        <v>8</v>
      </c>
      <c r="K29" s="102">
        <v>8</v>
      </c>
      <c r="L29" s="102">
        <v>8</v>
      </c>
      <c r="M29" s="102">
        <v>8</v>
      </c>
      <c r="N29" s="102">
        <v>8</v>
      </c>
      <c r="O29" s="102">
        <v>8</v>
      </c>
      <c r="P29" s="102">
        <v>8</v>
      </c>
      <c r="Q29" s="102">
        <v>8</v>
      </c>
      <c r="R29" s="102">
        <v>8</v>
      </c>
      <c r="S29" s="102">
        <v>8</v>
      </c>
      <c r="T29" s="102">
        <v>8.8000000000000007</v>
      </c>
      <c r="U29" s="102">
        <v>8.8000000000000007</v>
      </c>
      <c r="V29" s="102">
        <v>8.8000000000000007</v>
      </c>
      <c r="W29" s="102">
        <v>8.8000000000000007</v>
      </c>
      <c r="X29" s="102">
        <v>8.8000000000000007</v>
      </c>
      <c r="Y29" s="102">
        <v>8.6999999999999993</v>
      </c>
      <c r="Z29" s="102">
        <v>8.6999999999999993</v>
      </c>
      <c r="AA29" s="102">
        <v>8.6999999999999993</v>
      </c>
      <c r="AB29" s="102">
        <v>8.6999999999999993</v>
      </c>
      <c r="AC29" s="102">
        <v>8.6999999999999993</v>
      </c>
      <c r="AD29" s="102">
        <v>8.6999999999999993</v>
      </c>
      <c r="AE29" s="102">
        <v>8.6999999999999993</v>
      </c>
      <c r="AF29" s="102">
        <v>8.6999999999999993</v>
      </c>
      <c r="AG29" s="130">
        <v>25</v>
      </c>
      <c r="AH29" s="12">
        <f t="shared" si="8"/>
        <v>8.8000000000000007</v>
      </c>
      <c r="AI29" s="11">
        <f t="shared" si="9"/>
        <v>8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25">
      <c r="A30" s="89" t="s">
        <v>237</v>
      </c>
      <c r="B30" s="102">
        <v>6</v>
      </c>
      <c r="C30" s="102">
        <v>6</v>
      </c>
      <c r="D30" s="102">
        <v>6</v>
      </c>
      <c r="E30" s="102">
        <v>6</v>
      </c>
      <c r="F30" s="102">
        <v>6</v>
      </c>
      <c r="G30" s="102">
        <v>6</v>
      </c>
      <c r="H30" s="102">
        <v>6</v>
      </c>
      <c r="I30" s="102">
        <v>6</v>
      </c>
      <c r="J30" s="102">
        <v>6</v>
      </c>
      <c r="K30" s="102">
        <v>6</v>
      </c>
      <c r="L30" s="102">
        <v>6</v>
      </c>
      <c r="M30" s="102">
        <v>6</v>
      </c>
      <c r="N30" s="102">
        <v>6</v>
      </c>
      <c r="O30" s="102">
        <v>6</v>
      </c>
      <c r="P30" s="102">
        <v>6</v>
      </c>
      <c r="Q30" s="102">
        <v>6</v>
      </c>
      <c r="R30" s="102">
        <v>6</v>
      </c>
      <c r="S30" s="102">
        <v>6</v>
      </c>
      <c r="T30" s="102">
        <v>5.9</v>
      </c>
      <c r="U30" s="102">
        <v>5.9</v>
      </c>
      <c r="V30" s="102">
        <v>5.9</v>
      </c>
      <c r="W30" s="102">
        <v>5.9</v>
      </c>
      <c r="X30" s="102">
        <v>5.9</v>
      </c>
      <c r="Y30" s="102">
        <v>4.9000000000000004</v>
      </c>
      <c r="Z30" s="102">
        <v>4.9000000000000004</v>
      </c>
      <c r="AA30" s="102">
        <v>4.9000000000000004</v>
      </c>
      <c r="AB30" s="102">
        <v>4.9000000000000004</v>
      </c>
      <c r="AC30" s="102">
        <v>4.9000000000000004</v>
      </c>
      <c r="AD30" s="102">
        <v>4.9000000000000004</v>
      </c>
      <c r="AE30" s="102">
        <v>4.9000000000000004</v>
      </c>
      <c r="AF30" s="102">
        <v>4.9000000000000004</v>
      </c>
      <c r="AG30" s="130">
        <v>23.5</v>
      </c>
      <c r="AH30" s="12">
        <f t="shared" si="8"/>
        <v>6</v>
      </c>
      <c r="AI30" s="11">
        <f t="shared" si="9"/>
        <v>4.9000000000000004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25">
      <c r="A31" s="89" t="s">
        <v>236</v>
      </c>
      <c r="B31" s="102">
        <v>2.2999999999999998</v>
      </c>
      <c r="C31" s="102">
        <v>2.2999999999999998</v>
      </c>
      <c r="D31" s="102">
        <v>2.2999999999999998</v>
      </c>
      <c r="E31" s="102">
        <v>2.2999999999999998</v>
      </c>
      <c r="F31" s="102">
        <v>2.2999999999999998</v>
      </c>
      <c r="G31" s="102">
        <v>2.2999999999999998</v>
      </c>
      <c r="H31" s="102">
        <v>2.2999999999999998</v>
      </c>
      <c r="I31" s="102">
        <v>2.2999999999999998</v>
      </c>
      <c r="J31" s="102">
        <v>2.2999999999999998</v>
      </c>
      <c r="K31" s="102">
        <v>2.2999999999999998</v>
      </c>
      <c r="L31" s="102">
        <v>2.2999999999999998</v>
      </c>
      <c r="M31" s="102">
        <v>2.2999999999999998</v>
      </c>
      <c r="N31" s="102">
        <v>2.2999999999999998</v>
      </c>
      <c r="O31" s="102">
        <v>2.2999999999999998</v>
      </c>
      <c r="P31" s="102">
        <v>2.2999999999999998</v>
      </c>
      <c r="Q31" s="102">
        <v>2.2999999999999998</v>
      </c>
      <c r="R31" s="102">
        <v>2.2999999999999998</v>
      </c>
      <c r="S31" s="102">
        <v>2.2999999999999998</v>
      </c>
      <c r="T31" s="102">
        <v>2.5</v>
      </c>
      <c r="U31" s="102">
        <v>2.5</v>
      </c>
      <c r="V31" s="102">
        <v>2.5</v>
      </c>
      <c r="W31" s="102">
        <v>2.5</v>
      </c>
      <c r="X31" s="102">
        <v>2.5</v>
      </c>
      <c r="Y31" s="102">
        <v>2.5</v>
      </c>
      <c r="Z31" s="102">
        <v>2.5</v>
      </c>
      <c r="AA31" s="102">
        <v>2.5</v>
      </c>
      <c r="AB31" s="102">
        <v>2.5</v>
      </c>
      <c r="AC31" s="102">
        <v>2.5</v>
      </c>
      <c r="AD31" s="102">
        <v>2.5</v>
      </c>
      <c r="AE31" s="102">
        <v>2.5</v>
      </c>
      <c r="AF31" s="102">
        <v>2.5</v>
      </c>
      <c r="AG31" s="130">
        <v>22.2</v>
      </c>
      <c r="AH31" s="12">
        <f t="shared" si="8"/>
        <v>2.5</v>
      </c>
      <c r="AI31" s="11">
        <f t="shared" si="9"/>
        <v>2.2999999999999998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25">
      <c r="A32" s="89" t="s">
        <v>235</v>
      </c>
      <c r="B32" s="102">
        <v>3</v>
      </c>
      <c r="C32" s="102">
        <v>3</v>
      </c>
      <c r="D32" s="102">
        <v>3</v>
      </c>
      <c r="E32" s="102">
        <v>3</v>
      </c>
      <c r="F32" s="102">
        <v>3</v>
      </c>
      <c r="G32" s="102">
        <v>3</v>
      </c>
      <c r="H32" s="102">
        <v>3</v>
      </c>
      <c r="I32" s="102">
        <v>3</v>
      </c>
      <c r="J32" s="102">
        <v>3</v>
      </c>
      <c r="K32" s="102">
        <v>3</v>
      </c>
      <c r="L32" s="102">
        <v>3</v>
      </c>
      <c r="M32" s="102">
        <v>3</v>
      </c>
      <c r="N32" s="102">
        <v>3</v>
      </c>
      <c r="O32" s="102">
        <v>3</v>
      </c>
      <c r="P32" s="102">
        <v>3</v>
      </c>
      <c r="Q32" s="102">
        <v>3</v>
      </c>
      <c r="R32" s="102">
        <v>3</v>
      </c>
      <c r="S32" s="102">
        <v>3</v>
      </c>
      <c r="T32" s="102">
        <v>3</v>
      </c>
      <c r="U32" s="102">
        <v>3</v>
      </c>
      <c r="V32" s="102">
        <v>3</v>
      </c>
      <c r="W32" s="102">
        <v>3</v>
      </c>
      <c r="X32" s="102">
        <v>3</v>
      </c>
      <c r="Y32" s="102">
        <v>3</v>
      </c>
      <c r="Z32" s="102">
        <v>3</v>
      </c>
      <c r="AA32" s="102">
        <v>3</v>
      </c>
      <c r="AB32" s="102">
        <v>3</v>
      </c>
      <c r="AC32" s="102">
        <v>3</v>
      </c>
      <c r="AD32" s="102">
        <v>3</v>
      </c>
      <c r="AE32" s="102">
        <v>3</v>
      </c>
      <c r="AF32" s="102">
        <v>3</v>
      </c>
      <c r="AG32" s="130">
        <v>22.1</v>
      </c>
      <c r="AH32" s="12">
        <f t="shared" si="8"/>
        <v>3</v>
      </c>
      <c r="AI32" s="11">
        <f t="shared" si="9"/>
        <v>3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25">
      <c r="A33" s="89" t="s">
        <v>234</v>
      </c>
      <c r="B33" s="102">
        <v>5.4</v>
      </c>
      <c r="C33" s="102">
        <v>5.4</v>
      </c>
      <c r="D33" s="102">
        <v>5.4</v>
      </c>
      <c r="E33" s="102">
        <v>5.4</v>
      </c>
      <c r="F33" s="102">
        <v>5.4</v>
      </c>
      <c r="G33" s="102">
        <v>5.4</v>
      </c>
      <c r="H33" s="102">
        <v>5.4</v>
      </c>
      <c r="I33" s="102">
        <v>5.4</v>
      </c>
      <c r="J33" s="102">
        <v>5.4</v>
      </c>
      <c r="K33" s="102">
        <v>5.4</v>
      </c>
      <c r="L33" s="102">
        <v>5.4</v>
      </c>
      <c r="M33" s="102">
        <v>5.4</v>
      </c>
      <c r="N33" s="102">
        <v>5.4</v>
      </c>
      <c r="O33" s="102">
        <v>5.4</v>
      </c>
      <c r="P33" s="102">
        <v>5.4</v>
      </c>
      <c r="Q33" s="102">
        <v>5.4</v>
      </c>
      <c r="R33" s="102">
        <v>5.4</v>
      </c>
      <c r="S33" s="102">
        <v>5.4</v>
      </c>
      <c r="T33" s="102">
        <v>5.4</v>
      </c>
      <c r="U33" s="102">
        <v>5.4</v>
      </c>
      <c r="V33" s="102">
        <v>5.4</v>
      </c>
      <c r="W33" s="102">
        <v>5.4</v>
      </c>
      <c r="X33" s="102">
        <v>5.4</v>
      </c>
      <c r="Y33" s="102">
        <v>5.4</v>
      </c>
      <c r="Z33" s="102">
        <v>5.4</v>
      </c>
      <c r="AA33" s="102">
        <v>5.4</v>
      </c>
      <c r="AB33" s="102">
        <v>5.4</v>
      </c>
      <c r="AC33" s="102">
        <v>5.4</v>
      </c>
      <c r="AD33" s="102">
        <v>5.4</v>
      </c>
      <c r="AE33" s="102">
        <v>5.4</v>
      </c>
      <c r="AF33" s="102">
        <v>5.4</v>
      </c>
      <c r="AG33" s="130">
        <v>22</v>
      </c>
      <c r="AH33" s="12">
        <f t="shared" si="8"/>
        <v>5.4</v>
      </c>
      <c r="AI33" s="11">
        <f t="shared" si="9"/>
        <v>5.4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s="148" customFormat="1" x14ac:dyDescent="0.25">
      <c r="A34" s="124" t="s">
        <v>233</v>
      </c>
      <c r="B34" s="178">
        <v>17.7</v>
      </c>
      <c r="C34" s="178">
        <v>17.7</v>
      </c>
      <c r="D34" s="178">
        <v>17.7</v>
      </c>
      <c r="E34" s="178">
        <v>17.7</v>
      </c>
      <c r="F34" s="178">
        <v>17.7</v>
      </c>
      <c r="G34" s="178">
        <v>17.7</v>
      </c>
      <c r="H34" s="178">
        <v>17.7</v>
      </c>
      <c r="I34" s="178">
        <v>17.7</v>
      </c>
      <c r="J34" s="178">
        <v>17.7</v>
      </c>
      <c r="K34" s="178">
        <v>17.7</v>
      </c>
      <c r="L34" s="178">
        <v>17.7</v>
      </c>
      <c r="M34" s="178">
        <v>17.7</v>
      </c>
      <c r="N34" s="178">
        <v>17.7</v>
      </c>
      <c r="O34" s="178">
        <v>17.7</v>
      </c>
      <c r="P34" s="178">
        <v>17.7</v>
      </c>
      <c r="Q34" s="178">
        <v>17.7</v>
      </c>
      <c r="R34" s="178">
        <v>17.7</v>
      </c>
      <c r="S34" s="178">
        <v>6.7</v>
      </c>
      <c r="T34" s="178">
        <v>5.0999999999999996</v>
      </c>
      <c r="U34" s="178">
        <v>5.0999999999999996</v>
      </c>
      <c r="V34" s="178">
        <v>5.0999999999999996</v>
      </c>
      <c r="W34" s="178">
        <v>5.0999999999999996</v>
      </c>
      <c r="X34" s="178">
        <v>5.0999999999999996</v>
      </c>
      <c r="Y34" s="178">
        <v>10.9</v>
      </c>
      <c r="Z34" s="178">
        <v>10.9</v>
      </c>
      <c r="AA34" s="178">
        <v>10.9</v>
      </c>
      <c r="AB34" s="178">
        <v>10.9</v>
      </c>
      <c r="AC34" s="178">
        <v>10.9</v>
      </c>
      <c r="AD34" s="178">
        <v>10.9</v>
      </c>
      <c r="AE34" s="178">
        <v>10.9</v>
      </c>
      <c r="AF34" s="178">
        <v>10.9</v>
      </c>
      <c r="AG34" s="179">
        <v>22</v>
      </c>
      <c r="AH34" s="180">
        <f t="shared" si="8"/>
        <v>17.7</v>
      </c>
      <c r="AI34" s="195">
        <f t="shared" si="9"/>
        <v>5.0999999999999996</v>
      </c>
      <c r="AK34" s="196"/>
      <c r="AL34" s="197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25">
      <c r="A35" s="89" t="s">
        <v>232</v>
      </c>
      <c r="B35" s="102">
        <v>7.1</v>
      </c>
      <c r="C35" s="102">
        <v>7.1</v>
      </c>
      <c r="D35" s="102">
        <v>7.1</v>
      </c>
      <c r="E35" s="102">
        <v>7.1</v>
      </c>
      <c r="F35" s="102">
        <v>7.1</v>
      </c>
      <c r="G35" s="102">
        <v>7.1</v>
      </c>
      <c r="H35" s="102">
        <v>7.1</v>
      </c>
      <c r="I35" s="102">
        <v>7.1</v>
      </c>
      <c r="J35" s="102">
        <v>7.1</v>
      </c>
      <c r="K35" s="102">
        <v>7.1</v>
      </c>
      <c r="L35" s="102">
        <v>7.1</v>
      </c>
      <c r="M35" s="102">
        <v>7.1</v>
      </c>
      <c r="N35" s="102">
        <v>7.1</v>
      </c>
      <c r="O35" s="102">
        <v>7.1</v>
      </c>
      <c r="P35" s="102">
        <v>7.1</v>
      </c>
      <c r="Q35" s="102">
        <v>7.1</v>
      </c>
      <c r="R35" s="102">
        <v>7.1</v>
      </c>
      <c r="S35" s="102">
        <v>7.1</v>
      </c>
      <c r="T35" s="102">
        <v>7.1</v>
      </c>
      <c r="U35" s="102">
        <v>7.1</v>
      </c>
      <c r="V35" s="102">
        <v>7.1</v>
      </c>
      <c r="W35" s="102">
        <v>7.1</v>
      </c>
      <c r="X35" s="102">
        <v>7.1</v>
      </c>
      <c r="Y35" s="102">
        <v>10.1</v>
      </c>
      <c r="Z35" s="102">
        <v>10.1</v>
      </c>
      <c r="AA35" s="102">
        <v>10.1</v>
      </c>
      <c r="AB35" s="102">
        <v>10.1</v>
      </c>
      <c r="AC35" s="102">
        <v>10.1</v>
      </c>
      <c r="AD35" s="102">
        <v>10.1</v>
      </c>
      <c r="AE35" s="102">
        <v>10.1</v>
      </c>
      <c r="AF35" s="102">
        <v>10.1</v>
      </c>
      <c r="AG35" s="130">
        <v>20</v>
      </c>
      <c r="AH35" s="12">
        <f t="shared" si="8"/>
        <v>10.1</v>
      </c>
      <c r="AI35" s="11">
        <f t="shared" si="9"/>
        <v>7.1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25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25">
      <c r="A37" s="89" t="s">
        <v>230</v>
      </c>
      <c r="B37" s="102">
        <v>5.8</v>
      </c>
      <c r="C37" s="102">
        <v>5.8</v>
      </c>
      <c r="D37" s="102">
        <v>5.8</v>
      </c>
      <c r="E37" s="102">
        <v>5.8</v>
      </c>
      <c r="F37" s="102">
        <v>5.8</v>
      </c>
      <c r="G37" s="102">
        <v>5.8</v>
      </c>
      <c r="H37" s="102">
        <v>5.8</v>
      </c>
      <c r="I37" s="102">
        <v>5.8</v>
      </c>
      <c r="J37" s="102">
        <v>5.8</v>
      </c>
      <c r="K37" s="102">
        <v>5.8</v>
      </c>
      <c r="L37" s="102">
        <v>5.8</v>
      </c>
      <c r="M37" s="102">
        <v>5.8</v>
      </c>
      <c r="N37" s="102">
        <v>5.8</v>
      </c>
      <c r="O37" s="102">
        <v>5.8</v>
      </c>
      <c r="P37" s="102">
        <v>5.8</v>
      </c>
      <c r="Q37" s="102">
        <v>5.8</v>
      </c>
      <c r="R37" s="102">
        <v>5.8</v>
      </c>
      <c r="S37" s="102">
        <v>5.8</v>
      </c>
      <c r="T37" s="102">
        <v>5.8</v>
      </c>
      <c r="U37" s="102">
        <v>5.8</v>
      </c>
      <c r="V37" s="102">
        <v>5.8</v>
      </c>
      <c r="W37" s="102">
        <v>5.8</v>
      </c>
      <c r="X37" s="102">
        <v>5.8</v>
      </c>
      <c r="Y37" s="102">
        <v>5.8</v>
      </c>
      <c r="Z37" s="102">
        <v>5.8</v>
      </c>
      <c r="AA37" s="102">
        <v>5.8</v>
      </c>
      <c r="AB37" s="102">
        <v>5.8</v>
      </c>
      <c r="AC37" s="102">
        <v>5.8</v>
      </c>
      <c r="AD37" s="102">
        <v>5.8</v>
      </c>
      <c r="AE37" s="102">
        <v>5.8</v>
      </c>
      <c r="AF37" s="102">
        <v>5.8</v>
      </c>
      <c r="AG37" s="130">
        <v>18</v>
      </c>
      <c r="AH37" s="12">
        <f t="shared" si="8"/>
        <v>5.8</v>
      </c>
      <c r="AI37" s="11">
        <f t="shared" si="9"/>
        <v>5.8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25">
      <c r="A38" s="89" t="s">
        <v>229</v>
      </c>
      <c r="B38" s="102">
        <v>5.0999999999999996</v>
      </c>
      <c r="C38" s="102">
        <v>5.0999999999999996</v>
      </c>
      <c r="D38" s="102">
        <v>5.0999999999999996</v>
      </c>
      <c r="E38" s="102">
        <v>5.0999999999999996</v>
      </c>
      <c r="F38" s="102">
        <v>5.0999999999999996</v>
      </c>
      <c r="G38" s="102">
        <v>5.0999999999999996</v>
      </c>
      <c r="H38" s="102">
        <v>5.0999999999999996</v>
      </c>
      <c r="I38" s="102">
        <v>5.0999999999999996</v>
      </c>
      <c r="J38" s="102">
        <v>5.0999999999999996</v>
      </c>
      <c r="K38" s="102">
        <v>5.0999999999999996</v>
      </c>
      <c r="L38" s="102">
        <v>5.0999999999999996</v>
      </c>
      <c r="M38" s="102">
        <v>5.0999999999999996</v>
      </c>
      <c r="N38" s="102">
        <v>5.0999999999999996</v>
      </c>
      <c r="O38" s="102">
        <v>5.0999999999999996</v>
      </c>
      <c r="P38" s="102">
        <v>5.0999999999999996</v>
      </c>
      <c r="Q38" s="102">
        <v>5.0999999999999996</v>
      </c>
      <c r="R38" s="102">
        <v>5.0999999999999996</v>
      </c>
      <c r="S38" s="102">
        <v>5.0999999999999996</v>
      </c>
      <c r="T38" s="102">
        <v>5.0999999999999996</v>
      </c>
      <c r="U38" s="102">
        <v>5.0999999999999996</v>
      </c>
      <c r="V38" s="102">
        <v>5.0999999999999996</v>
      </c>
      <c r="W38" s="102">
        <v>5.0999999999999996</v>
      </c>
      <c r="X38" s="102">
        <v>5.0999999999999996</v>
      </c>
      <c r="Y38" s="102">
        <v>5.0999999999999996</v>
      </c>
      <c r="Z38" s="102">
        <v>5.0999999999999996</v>
      </c>
      <c r="AA38" s="102">
        <v>5.0999999999999996</v>
      </c>
      <c r="AB38" s="102">
        <v>5.0999999999999996</v>
      </c>
      <c r="AC38" s="102">
        <v>5.0999999999999996</v>
      </c>
      <c r="AD38" s="102">
        <v>5.0999999999999996</v>
      </c>
      <c r="AE38" s="102">
        <v>5.0999999999999996</v>
      </c>
      <c r="AF38" s="102">
        <v>5.0999999999999996</v>
      </c>
      <c r="AG38" s="130">
        <v>14.9</v>
      </c>
      <c r="AH38" s="12">
        <f t="shared" si="8"/>
        <v>5.0999999999999996</v>
      </c>
      <c r="AI38" s="11">
        <f t="shared" si="9"/>
        <v>5.0999999999999996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25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25">
      <c r="A40" s="89" t="s">
        <v>227</v>
      </c>
      <c r="B40" s="102">
        <v>0</v>
      </c>
      <c r="C40" s="102">
        <v>0</v>
      </c>
      <c r="D40" s="102">
        <v>0</v>
      </c>
      <c r="E40" s="102">
        <v>0</v>
      </c>
      <c r="F40" s="102">
        <v>0</v>
      </c>
      <c r="G40" s="102">
        <v>0</v>
      </c>
      <c r="H40" s="102">
        <v>0</v>
      </c>
      <c r="I40" s="102">
        <v>0</v>
      </c>
      <c r="J40" s="102">
        <v>0</v>
      </c>
      <c r="K40" s="102">
        <v>0</v>
      </c>
      <c r="L40" s="102">
        <v>0</v>
      </c>
      <c r="M40" s="102">
        <v>0</v>
      </c>
      <c r="N40" s="102">
        <v>0</v>
      </c>
      <c r="O40" s="102">
        <v>0</v>
      </c>
      <c r="P40" s="102">
        <v>0</v>
      </c>
      <c r="Q40" s="102">
        <v>0</v>
      </c>
      <c r="R40" s="102">
        <v>0</v>
      </c>
      <c r="S40" s="102">
        <v>0</v>
      </c>
      <c r="T40" s="102">
        <v>0</v>
      </c>
      <c r="U40" s="102">
        <v>0</v>
      </c>
      <c r="V40" s="102">
        <v>0</v>
      </c>
      <c r="W40" s="102">
        <v>0</v>
      </c>
      <c r="X40" s="102">
        <v>0</v>
      </c>
      <c r="Y40" s="102">
        <v>0</v>
      </c>
      <c r="Z40" s="102">
        <v>0</v>
      </c>
      <c r="AA40" s="102">
        <v>0</v>
      </c>
      <c r="AB40" s="102">
        <v>0</v>
      </c>
      <c r="AC40" s="102">
        <v>0</v>
      </c>
      <c r="AD40" s="102">
        <v>0</v>
      </c>
      <c r="AE40" s="102">
        <v>0</v>
      </c>
      <c r="AF40" s="102">
        <v>0</v>
      </c>
      <c r="AG40" s="130">
        <v>14.9</v>
      </c>
      <c r="AH40" s="12">
        <f t="shared" si="8"/>
        <v>0</v>
      </c>
      <c r="AI40" s="11">
        <f t="shared" si="9"/>
        <v>0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25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25">
      <c r="A42" s="89" t="s">
        <v>225</v>
      </c>
      <c r="B42" s="102">
        <v>5</v>
      </c>
      <c r="C42" s="102">
        <v>5</v>
      </c>
      <c r="D42" s="102">
        <v>5</v>
      </c>
      <c r="E42" s="102">
        <v>5</v>
      </c>
      <c r="F42" s="102">
        <v>5</v>
      </c>
      <c r="G42" s="102">
        <v>5</v>
      </c>
      <c r="H42" s="102">
        <v>5</v>
      </c>
      <c r="I42" s="102">
        <v>5</v>
      </c>
      <c r="J42" s="102">
        <v>5</v>
      </c>
      <c r="K42" s="102">
        <v>5</v>
      </c>
      <c r="L42" s="102">
        <v>5</v>
      </c>
      <c r="M42" s="102">
        <v>5</v>
      </c>
      <c r="N42" s="102">
        <v>5</v>
      </c>
      <c r="O42" s="102">
        <v>5</v>
      </c>
      <c r="P42" s="102">
        <v>5</v>
      </c>
      <c r="Q42" s="102">
        <v>5</v>
      </c>
      <c r="R42" s="102">
        <v>5</v>
      </c>
      <c r="S42" s="102">
        <v>5</v>
      </c>
      <c r="T42" s="102">
        <v>5</v>
      </c>
      <c r="U42" s="102">
        <v>5</v>
      </c>
      <c r="V42" s="102">
        <v>5</v>
      </c>
      <c r="W42" s="102">
        <v>5</v>
      </c>
      <c r="X42" s="102">
        <v>5</v>
      </c>
      <c r="Y42" s="102">
        <v>5</v>
      </c>
      <c r="Z42" s="102">
        <v>5</v>
      </c>
      <c r="AA42" s="102">
        <v>5</v>
      </c>
      <c r="AB42" s="102">
        <v>5</v>
      </c>
      <c r="AC42" s="102">
        <v>5</v>
      </c>
      <c r="AD42" s="102">
        <v>5</v>
      </c>
      <c r="AE42" s="102">
        <v>5</v>
      </c>
      <c r="AF42" s="102">
        <v>5</v>
      </c>
      <c r="AG42" s="130">
        <v>13.6</v>
      </c>
      <c r="AH42" s="12">
        <f t="shared" si="8"/>
        <v>5</v>
      </c>
      <c r="AI42" s="11">
        <f t="shared" si="9"/>
        <v>5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25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25">
      <c r="A44" s="89" t="s">
        <v>223</v>
      </c>
      <c r="B44" s="102">
        <v>3</v>
      </c>
      <c r="C44" s="102">
        <v>3</v>
      </c>
      <c r="D44" s="102">
        <v>3</v>
      </c>
      <c r="E44" s="102">
        <v>3</v>
      </c>
      <c r="F44" s="102">
        <v>3</v>
      </c>
      <c r="G44" s="102">
        <v>3</v>
      </c>
      <c r="H44" s="102">
        <v>3</v>
      </c>
      <c r="I44" s="102">
        <v>3</v>
      </c>
      <c r="J44" s="102">
        <v>3</v>
      </c>
      <c r="K44" s="102">
        <v>3</v>
      </c>
      <c r="L44" s="102">
        <v>3</v>
      </c>
      <c r="M44" s="102">
        <v>3</v>
      </c>
      <c r="N44" s="102">
        <v>3</v>
      </c>
      <c r="O44" s="102">
        <v>3</v>
      </c>
      <c r="P44" s="102">
        <v>3</v>
      </c>
      <c r="Q44" s="102">
        <v>3</v>
      </c>
      <c r="R44" s="102">
        <v>3</v>
      </c>
      <c r="S44" s="102">
        <v>3</v>
      </c>
      <c r="T44" s="102">
        <v>3</v>
      </c>
      <c r="U44" s="102">
        <v>3</v>
      </c>
      <c r="V44" s="102">
        <v>3</v>
      </c>
      <c r="W44" s="102">
        <v>3</v>
      </c>
      <c r="X44" s="102">
        <v>3</v>
      </c>
      <c r="Y44" s="102">
        <v>3</v>
      </c>
      <c r="Z44" s="102">
        <v>3</v>
      </c>
      <c r="AA44" s="102">
        <v>3</v>
      </c>
      <c r="AB44" s="102">
        <v>3</v>
      </c>
      <c r="AC44" s="102">
        <v>3</v>
      </c>
      <c r="AD44" s="102">
        <v>3</v>
      </c>
      <c r="AE44" s="102">
        <v>3</v>
      </c>
      <c r="AF44" s="102">
        <v>3</v>
      </c>
      <c r="AG44" s="130">
        <v>12</v>
      </c>
      <c r="AH44" s="12">
        <f t="shared" si="8"/>
        <v>3</v>
      </c>
      <c r="AI44" s="11">
        <f t="shared" si="9"/>
        <v>3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25">
      <c r="A45" s="89" t="s">
        <v>222</v>
      </c>
      <c r="B45" s="102">
        <v>3.5</v>
      </c>
      <c r="C45" s="102">
        <v>3.5</v>
      </c>
      <c r="D45" s="102">
        <v>3.5</v>
      </c>
      <c r="E45" s="102">
        <v>3.5</v>
      </c>
      <c r="F45" s="102">
        <v>3.5</v>
      </c>
      <c r="G45" s="102">
        <v>3.5</v>
      </c>
      <c r="H45" s="102">
        <v>3.5</v>
      </c>
      <c r="I45" s="102">
        <v>3.5</v>
      </c>
      <c r="J45" s="102">
        <v>3.5</v>
      </c>
      <c r="K45" s="102">
        <v>3.5</v>
      </c>
      <c r="L45" s="102">
        <v>3.5</v>
      </c>
      <c r="M45" s="102">
        <v>3.5</v>
      </c>
      <c r="N45" s="102">
        <v>3.5</v>
      </c>
      <c r="O45" s="102">
        <v>3.5</v>
      </c>
      <c r="P45" s="102">
        <v>3.5</v>
      </c>
      <c r="Q45" s="102">
        <v>3.5</v>
      </c>
      <c r="R45" s="102">
        <v>3.5</v>
      </c>
      <c r="S45" s="102">
        <v>3.5</v>
      </c>
      <c r="T45" s="102">
        <v>3.5</v>
      </c>
      <c r="U45" s="102">
        <v>3.5</v>
      </c>
      <c r="V45" s="102">
        <v>3.5</v>
      </c>
      <c r="W45" s="102">
        <v>3.5</v>
      </c>
      <c r="X45" s="102">
        <v>3.5</v>
      </c>
      <c r="Y45" s="102">
        <v>3.5</v>
      </c>
      <c r="Z45" s="102">
        <v>3.5</v>
      </c>
      <c r="AA45" s="102">
        <v>3.5</v>
      </c>
      <c r="AB45" s="102">
        <v>3.5</v>
      </c>
      <c r="AC45" s="102">
        <v>3.5</v>
      </c>
      <c r="AD45" s="102">
        <v>3.5</v>
      </c>
      <c r="AE45" s="102">
        <v>3.5</v>
      </c>
      <c r="AF45" s="102">
        <v>3.5</v>
      </c>
      <c r="AG45" s="130">
        <v>12</v>
      </c>
      <c r="AH45" s="12">
        <f t="shared" si="8"/>
        <v>3.5</v>
      </c>
      <c r="AI45" s="11">
        <f t="shared" si="9"/>
        <v>3.5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25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25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25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25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25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25">
      <c r="A51" s="87" t="s">
        <v>216</v>
      </c>
      <c r="B51" s="102">
        <v>1.6</v>
      </c>
      <c r="C51" s="102">
        <v>1.6</v>
      </c>
      <c r="D51" s="102">
        <v>1.6</v>
      </c>
      <c r="E51" s="102">
        <v>1.6</v>
      </c>
      <c r="F51" s="102">
        <v>1.6</v>
      </c>
      <c r="G51" s="102">
        <v>1.6</v>
      </c>
      <c r="H51" s="102">
        <v>1.6</v>
      </c>
      <c r="I51" s="102">
        <v>1.6</v>
      </c>
      <c r="J51" s="102">
        <v>1.6</v>
      </c>
      <c r="K51" s="102">
        <v>1.6</v>
      </c>
      <c r="L51" s="102">
        <v>1.6</v>
      </c>
      <c r="M51" s="102">
        <v>1.6</v>
      </c>
      <c r="N51" s="102">
        <v>1.6</v>
      </c>
      <c r="O51" s="102">
        <v>1.6</v>
      </c>
      <c r="P51" s="102">
        <v>1.6</v>
      </c>
      <c r="Q51" s="102">
        <v>1.6</v>
      </c>
      <c r="R51" s="102">
        <v>1.6</v>
      </c>
      <c r="S51" s="102">
        <v>1.6</v>
      </c>
      <c r="T51" s="102">
        <v>1.6</v>
      </c>
      <c r="U51" s="102">
        <v>1.6</v>
      </c>
      <c r="V51" s="102">
        <v>1.6</v>
      </c>
      <c r="W51" s="102">
        <v>1.6</v>
      </c>
      <c r="X51" s="102">
        <v>1.6</v>
      </c>
      <c r="Y51" s="102">
        <v>1.6</v>
      </c>
      <c r="Z51" s="102">
        <v>1.6</v>
      </c>
      <c r="AA51" s="102">
        <v>1.6</v>
      </c>
      <c r="AB51" s="102">
        <v>1.6</v>
      </c>
      <c r="AC51" s="102">
        <v>1.6</v>
      </c>
      <c r="AD51" s="102">
        <v>1.6</v>
      </c>
      <c r="AE51" s="102">
        <v>1.6</v>
      </c>
      <c r="AF51" s="102">
        <v>1.6</v>
      </c>
      <c r="AG51" s="86">
        <v>11</v>
      </c>
      <c r="AH51" s="12">
        <f t="shared" si="8"/>
        <v>1.6</v>
      </c>
      <c r="AI51" s="11">
        <f t="shared" si="9"/>
        <v>1.6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25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25">
      <c r="A53" s="87" t="s">
        <v>214</v>
      </c>
      <c r="B53" s="102">
        <v>5</v>
      </c>
      <c r="C53" s="102">
        <v>5</v>
      </c>
      <c r="D53" s="102">
        <v>5</v>
      </c>
      <c r="E53" s="102">
        <v>5</v>
      </c>
      <c r="F53" s="102">
        <v>5</v>
      </c>
      <c r="G53" s="102">
        <v>5</v>
      </c>
      <c r="H53" s="102">
        <v>5</v>
      </c>
      <c r="I53" s="102">
        <v>5</v>
      </c>
      <c r="J53" s="102">
        <v>5</v>
      </c>
      <c r="K53" s="102">
        <v>5</v>
      </c>
      <c r="L53" s="102">
        <v>5</v>
      </c>
      <c r="M53" s="102">
        <v>5</v>
      </c>
      <c r="N53" s="102">
        <v>5</v>
      </c>
      <c r="O53" s="102">
        <v>5</v>
      </c>
      <c r="P53" s="102">
        <v>5</v>
      </c>
      <c r="Q53" s="102">
        <v>5</v>
      </c>
      <c r="R53" s="102">
        <v>5</v>
      </c>
      <c r="S53" s="102">
        <v>5</v>
      </c>
      <c r="T53" s="102">
        <v>5</v>
      </c>
      <c r="U53" s="102">
        <v>5</v>
      </c>
      <c r="V53" s="102">
        <v>5</v>
      </c>
      <c r="W53" s="102">
        <v>5</v>
      </c>
      <c r="X53" s="102">
        <v>5</v>
      </c>
      <c r="Y53" s="102">
        <v>5</v>
      </c>
      <c r="Z53" s="102">
        <v>5</v>
      </c>
      <c r="AA53" s="102">
        <v>5</v>
      </c>
      <c r="AB53" s="102">
        <v>5</v>
      </c>
      <c r="AC53" s="102">
        <v>5</v>
      </c>
      <c r="AD53" s="102">
        <v>5</v>
      </c>
      <c r="AE53" s="102">
        <v>5</v>
      </c>
      <c r="AF53" s="102">
        <v>5</v>
      </c>
      <c r="AG53" s="86">
        <v>10</v>
      </c>
      <c r="AH53" s="12">
        <f t="shared" si="8"/>
        <v>5</v>
      </c>
      <c r="AI53" s="11">
        <f t="shared" si="9"/>
        <v>5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25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25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25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.75" thickBot="1" x14ac:dyDescent="0.3">
      <c r="A57" s="124" t="s">
        <v>210</v>
      </c>
      <c r="B57" s="122">
        <v>68</v>
      </c>
      <c r="C57" s="122">
        <v>62</v>
      </c>
      <c r="D57" s="122">
        <v>62</v>
      </c>
      <c r="E57" s="122">
        <v>62</v>
      </c>
      <c r="F57" s="122">
        <v>54.3</v>
      </c>
      <c r="G57" s="122">
        <v>45</v>
      </c>
      <c r="H57" s="122">
        <v>43</v>
      </c>
      <c r="I57" s="122">
        <v>45.8</v>
      </c>
      <c r="J57" s="122">
        <v>45</v>
      </c>
      <c r="K57" s="122">
        <v>43.2</v>
      </c>
      <c r="L57" s="122">
        <v>45</v>
      </c>
      <c r="M57" s="122">
        <v>45</v>
      </c>
      <c r="N57" s="122">
        <v>45</v>
      </c>
      <c r="O57" s="122">
        <v>45</v>
      </c>
      <c r="P57" s="123">
        <f>27.9+13.6</f>
        <v>41.5</v>
      </c>
      <c r="Q57" s="123">
        <f t="shared" ref="Q57:R57" si="22">27.9+13.6</f>
        <v>41.5</v>
      </c>
      <c r="R57" s="123">
        <f t="shared" si="22"/>
        <v>41.5</v>
      </c>
      <c r="S57" s="123">
        <f>13.1+25.3</f>
        <v>38.4</v>
      </c>
      <c r="T57" s="123">
        <v>37</v>
      </c>
      <c r="U57" s="123">
        <f>12.7+24.7</f>
        <v>37.4</v>
      </c>
      <c r="V57" s="123">
        <v>36</v>
      </c>
      <c r="W57" s="123">
        <v>36</v>
      </c>
      <c r="X57" s="123">
        <v>36</v>
      </c>
      <c r="Y57" s="122">
        <v>32.299999999999997</v>
      </c>
      <c r="Z57" s="122">
        <v>32.299999999999997</v>
      </c>
      <c r="AA57" s="122">
        <v>32.299999999999997</v>
      </c>
      <c r="AB57" s="122">
        <v>32.299999999999997</v>
      </c>
      <c r="AC57" s="122">
        <v>32.299999999999997</v>
      </c>
      <c r="AD57" s="122">
        <v>32.299999999999997</v>
      </c>
      <c r="AE57" s="122">
        <v>32.299999999999997</v>
      </c>
      <c r="AF57" s="122">
        <v>32.299999999999997</v>
      </c>
      <c r="AG57" s="86">
        <v>240</v>
      </c>
      <c r="AH57" s="12">
        <f t="shared" si="8"/>
        <v>68</v>
      </c>
      <c r="AI57" s="11">
        <f t="shared" si="9"/>
        <v>32.299999999999997</v>
      </c>
      <c r="AK57" s="19"/>
    </row>
    <row r="58" spans="1:88" ht="15.75" thickBot="1" x14ac:dyDescent="0.3">
      <c r="A58" s="121" t="s">
        <v>209</v>
      </c>
      <c r="B58" s="76">
        <f t="shared" ref="B58:AF58" si="23">SUM(B11:B56)</f>
        <v>485.00000000000011</v>
      </c>
      <c r="C58" s="76">
        <f t="shared" si="23"/>
        <v>485.00000000000011</v>
      </c>
      <c r="D58" s="76">
        <f t="shared" si="23"/>
        <v>485.00000000000011</v>
      </c>
      <c r="E58" s="76">
        <f t="shared" si="23"/>
        <v>485.00000000000011</v>
      </c>
      <c r="F58" s="76">
        <f t="shared" si="23"/>
        <v>485.00000000000011</v>
      </c>
      <c r="G58" s="76">
        <f t="shared" si="23"/>
        <v>485.00000000000011</v>
      </c>
      <c r="H58" s="76">
        <f t="shared" si="23"/>
        <v>485.00000000000011</v>
      </c>
      <c r="I58" s="76">
        <f t="shared" si="23"/>
        <v>485.00000000000011</v>
      </c>
      <c r="J58" s="76">
        <f t="shared" si="23"/>
        <v>485.00000000000011</v>
      </c>
      <c r="K58" s="76">
        <f t="shared" si="23"/>
        <v>485.00000000000011</v>
      </c>
      <c r="L58" s="76">
        <f t="shared" si="23"/>
        <v>485.00000000000011</v>
      </c>
      <c r="M58" s="76">
        <f t="shared" si="23"/>
        <v>485.00000000000011</v>
      </c>
      <c r="N58" s="76">
        <f t="shared" si="23"/>
        <v>485.00000000000011</v>
      </c>
      <c r="O58" s="76">
        <f t="shared" si="23"/>
        <v>485.00000000000011</v>
      </c>
      <c r="P58" s="76">
        <f t="shared" si="23"/>
        <v>484.40000000000009</v>
      </c>
      <c r="Q58" s="76">
        <f t="shared" si="23"/>
        <v>484.40000000000009</v>
      </c>
      <c r="R58" s="76">
        <f t="shared" si="23"/>
        <v>484.40000000000009</v>
      </c>
      <c r="S58" s="76">
        <f t="shared" si="23"/>
        <v>473.40000000000009</v>
      </c>
      <c r="T58" s="76">
        <f t="shared" si="23"/>
        <v>476.80000000000013</v>
      </c>
      <c r="U58" s="76">
        <f t="shared" si="23"/>
        <v>476.80000000000013</v>
      </c>
      <c r="V58" s="76">
        <f t="shared" si="23"/>
        <v>476.2000000000001</v>
      </c>
      <c r="W58" s="76">
        <f t="shared" si="23"/>
        <v>476.2000000000001</v>
      </c>
      <c r="X58" s="76">
        <f t="shared" si="23"/>
        <v>475.80000000000013</v>
      </c>
      <c r="Y58" s="76">
        <f t="shared" si="23"/>
        <v>495.90000000000003</v>
      </c>
      <c r="Z58" s="76">
        <f t="shared" si="23"/>
        <v>499.90000000000003</v>
      </c>
      <c r="AA58" s="76">
        <f t="shared" si="23"/>
        <v>499.90000000000003</v>
      </c>
      <c r="AB58" s="76">
        <f t="shared" si="23"/>
        <v>499.90000000000003</v>
      </c>
      <c r="AC58" s="76">
        <f t="shared" si="23"/>
        <v>499.90000000000003</v>
      </c>
      <c r="AD58" s="76">
        <f t="shared" si="23"/>
        <v>499.90000000000003</v>
      </c>
      <c r="AE58" s="76">
        <f t="shared" si="23"/>
        <v>499.90000000000003</v>
      </c>
      <c r="AF58" s="76">
        <f t="shared" si="23"/>
        <v>499.90000000000003</v>
      </c>
      <c r="AG58" s="93">
        <f>SUM(AG14:AG56)</f>
        <v>1042.4000000000001</v>
      </c>
      <c r="AH58" s="12">
        <f t="shared" si="8"/>
        <v>499.90000000000003</v>
      </c>
      <c r="AI58" s="11">
        <f t="shared" si="9"/>
        <v>473.40000000000009</v>
      </c>
      <c r="AK58" s="19"/>
    </row>
    <row r="59" spans="1:88" x14ac:dyDescent="0.25">
      <c r="A59" s="120" t="s">
        <v>208</v>
      </c>
      <c r="B59" s="102">
        <v>140</v>
      </c>
      <c r="C59" s="102">
        <v>140</v>
      </c>
      <c r="D59" s="102">
        <v>140</v>
      </c>
      <c r="E59" s="102">
        <v>120.8</v>
      </c>
      <c r="F59" s="102">
        <v>130.69999999999999</v>
      </c>
      <c r="G59" s="102">
        <v>120</v>
      </c>
      <c r="H59" s="102">
        <v>130</v>
      </c>
      <c r="I59" s="102">
        <v>130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02">
        <v>0</v>
      </c>
      <c r="X59" s="102">
        <v>0</v>
      </c>
      <c r="Y59" s="102">
        <v>250</v>
      </c>
      <c r="Z59" s="102">
        <v>250</v>
      </c>
      <c r="AA59" s="102">
        <v>310</v>
      </c>
      <c r="AB59" s="102">
        <v>340</v>
      </c>
      <c r="AC59" s="102">
        <v>340</v>
      </c>
      <c r="AD59" s="102">
        <v>283</v>
      </c>
      <c r="AE59" s="102">
        <v>283</v>
      </c>
      <c r="AF59" s="102">
        <v>201</v>
      </c>
      <c r="AG59" s="88">
        <v>456</v>
      </c>
      <c r="AH59" s="12">
        <f t="shared" si="8"/>
        <v>340</v>
      </c>
      <c r="AI59" s="11">
        <f t="shared" si="9"/>
        <v>0</v>
      </c>
      <c r="AK59" s="19"/>
    </row>
    <row r="60" spans="1:88" x14ac:dyDescent="0.25">
      <c r="A60" s="118" t="s">
        <v>207</v>
      </c>
      <c r="B60" s="70">
        <v>25</v>
      </c>
      <c r="C60" s="70">
        <v>25</v>
      </c>
      <c r="D60" s="70">
        <v>25</v>
      </c>
      <c r="E60" s="70">
        <v>36.5</v>
      </c>
      <c r="F60" s="70">
        <v>38.700000000000003</v>
      </c>
      <c r="G60" s="70">
        <v>38.700000000000003</v>
      </c>
      <c r="H60" s="70">
        <v>38.700000000000003</v>
      </c>
      <c r="I60" s="70">
        <v>33.4</v>
      </c>
      <c r="J60" s="70">
        <v>33.4</v>
      </c>
      <c r="K60" s="70">
        <v>32</v>
      </c>
      <c r="L60" s="70">
        <v>32</v>
      </c>
      <c r="M60" s="70">
        <v>32</v>
      </c>
      <c r="N60" s="70">
        <v>32</v>
      </c>
      <c r="O60" s="70">
        <v>32</v>
      </c>
      <c r="P60" s="70">
        <v>32</v>
      </c>
      <c r="Q60" s="70">
        <v>32</v>
      </c>
      <c r="R60" s="70">
        <v>32</v>
      </c>
      <c r="S60" s="70">
        <v>24.3</v>
      </c>
      <c r="T60" s="70">
        <v>25.1</v>
      </c>
      <c r="U60" s="70">
        <v>24.9</v>
      </c>
      <c r="V60" s="70">
        <v>25</v>
      </c>
      <c r="W60" s="70">
        <v>25.9</v>
      </c>
      <c r="X60" s="70">
        <v>25.9</v>
      </c>
      <c r="Y60" s="70">
        <v>26</v>
      </c>
      <c r="Z60" s="70">
        <v>26</v>
      </c>
      <c r="AA60" s="70">
        <v>24</v>
      </c>
      <c r="AB60" s="70">
        <v>24</v>
      </c>
      <c r="AC60" s="70">
        <v>24</v>
      </c>
      <c r="AD60" s="70">
        <v>24</v>
      </c>
      <c r="AE60" s="70">
        <v>24</v>
      </c>
      <c r="AF60" s="70">
        <v>24</v>
      </c>
      <c r="AG60" s="86">
        <v>60</v>
      </c>
      <c r="AH60" s="12">
        <f t="shared" si="8"/>
        <v>38.700000000000003</v>
      </c>
      <c r="AI60" s="11">
        <f t="shared" si="9"/>
        <v>24</v>
      </c>
      <c r="AK60" s="19"/>
    </row>
    <row r="61" spans="1:88" ht="15.75" thickBot="1" x14ac:dyDescent="0.3">
      <c r="A61" s="117" t="s">
        <v>206</v>
      </c>
      <c r="B61" s="110">
        <v>20</v>
      </c>
      <c r="C61" s="110">
        <v>20</v>
      </c>
      <c r="D61" s="110">
        <v>20</v>
      </c>
      <c r="E61" s="110">
        <v>16.5</v>
      </c>
      <c r="F61" s="110">
        <v>14.9</v>
      </c>
      <c r="G61" s="110">
        <v>14.9</v>
      </c>
      <c r="H61" s="110">
        <v>14.9</v>
      </c>
      <c r="I61" s="110">
        <v>14.9</v>
      </c>
      <c r="J61" s="110">
        <v>14.9</v>
      </c>
      <c r="K61" s="110">
        <v>14.9</v>
      </c>
      <c r="L61" s="110">
        <v>14.9</v>
      </c>
      <c r="M61" s="110">
        <v>14.9</v>
      </c>
      <c r="N61" s="110">
        <v>14.9</v>
      </c>
      <c r="O61" s="110">
        <v>14.9</v>
      </c>
      <c r="P61" s="110">
        <v>13.6</v>
      </c>
      <c r="Q61" s="110">
        <v>13.6</v>
      </c>
      <c r="R61" s="110">
        <v>13.6</v>
      </c>
      <c r="S61" s="110">
        <v>13.6</v>
      </c>
      <c r="T61" s="110">
        <v>13.6</v>
      </c>
      <c r="U61" s="110">
        <v>13.6</v>
      </c>
      <c r="V61" s="110">
        <v>13.6</v>
      </c>
      <c r="W61" s="110">
        <v>13.7</v>
      </c>
      <c r="X61" s="110">
        <v>13.7</v>
      </c>
      <c r="Y61" s="110">
        <v>13.7</v>
      </c>
      <c r="Z61" s="110">
        <v>13.7</v>
      </c>
      <c r="AA61" s="110">
        <v>20.2</v>
      </c>
      <c r="AB61" s="110">
        <v>20.2</v>
      </c>
      <c r="AC61" s="110">
        <v>20.2</v>
      </c>
      <c r="AD61" s="110">
        <v>20.2</v>
      </c>
      <c r="AE61" s="110">
        <v>20.2</v>
      </c>
      <c r="AF61" s="110">
        <v>20.2</v>
      </c>
      <c r="AG61" s="109">
        <v>22.1</v>
      </c>
      <c r="AH61" s="12">
        <f t="shared" si="8"/>
        <v>20.2</v>
      </c>
      <c r="AI61" s="11">
        <f t="shared" si="9"/>
        <v>13.6</v>
      </c>
      <c r="AK61" s="19"/>
    </row>
    <row r="62" spans="1:88" ht="15.75" thickBot="1" x14ac:dyDescent="0.3">
      <c r="A62" s="116" t="s">
        <v>205</v>
      </c>
      <c r="B62" s="76">
        <f t="shared" ref="B62:C62" si="24">SUM(B59:B61)</f>
        <v>185</v>
      </c>
      <c r="C62" s="76">
        <f t="shared" si="24"/>
        <v>185</v>
      </c>
      <c r="D62" s="76">
        <f t="shared" ref="D62" si="25">SUM(D59:D61)</f>
        <v>185</v>
      </c>
      <c r="E62" s="76">
        <f t="shared" ref="E62:AG62" si="26">SUM(E59:E61)</f>
        <v>173.8</v>
      </c>
      <c r="F62" s="76">
        <f t="shared" si="26"/>
        <v>184.29999999999998</v>
      </c>
      <c r="G62" s="76">
        <f t="shared" si="26"/>
        <v>173.6</v>
      </c>
      <c r="H62" s="76">
        <f t="shared" si="26"/>
        <v>183.6</v>
      </c>
      <c r="I62" s="76">
        <f t="shared" si="26"/>
        <v>178.3</v>
      </c>
      <c r="J62" s="76">
        <f t="shared" si="26"/>
        <v>48.3</v>
      </c>
      <c r="K62" s="76">
        <f t="shared" si="26"/>
        <v>46.9</v>
      </c>
      <c r="L62" s="76">
        <f t="shared" si="26"/>
        <v>46.9</v>
      </c>
      <c r="M62" s="76">
        <f t="shared" si="26"/>
        <v>46.9</v>
      </c>
      <c r="N62" s="76">
        <f t="shared" si="26"/>
        <v>46.9</v>
      </c>
      <c r="O62" s="76">
        <f t="shared" si="26"/>
        <v>46.9</v>
      </c>
      <c r="P62" s="76">
        <f t="shared" si="26"/>
        <v>45.6</v>
      </c>
      <c r="Q62" s="76">
        <f t="shared" si="26"/>
        <v>45.6</v>
      </c>
      <c r="R62" s="76">
        <f t="shared" si="26"/>
        <v>45.6</v>
      </c>
      <c r="S62" s="76">
        <f t="shared" si="26"/>
        <v>37.9</v>
      </c>
      <c r="T62" s="76">
        <f t="shared" si="26"/>
        <v>38.700000000000003</v>
      </c>
      <c r="U62" s="76">
        <f t="shared" si="26"/>
        <v>38.5</v>
      </c>
      <c r="V62" s="76">
        <f t="shared" si="26"/>
        <v>38.6</v>
      </c>
      <c r="W62" s="76">
        <f t="shared" si="26"/>
        <v>39.599999999999994</v>
      </c>
      <c r="X62" s="76">
        <f t="shared" si="26"/>
        <v>39.599999999999994</v>
      </c>
      <c r="Y62" s="76">
        <f t="shared" si="26"/>
        <v>289.7</v>
      </c>
      <c r="Z62" s="76">
        <f t="shared" si="26"/>
        <v>289.7</v>
      </c>
      <c r="AA62" s="76">
        <f t="shared" ref="AA62" si="27">SUM(AA59:AA61)</f>
        <v>354.2</v>
      </c>
      <c r="AB62" s="76">
        <f t="shared" si="26"/>
        <v>384.2</v>
      </c>
      <c r="AC62" s="76">
        <f t="shared" si="26"/>
        <v>384.2</v>
      </c>
      <c r="AD62" s="76">
        <f t="shared" si="26"/>
        <v>327.2</v>
      </c>
      <c r="AE62" s="76">
        <f t="shared" si="26"/>
        <v>327.2</v>
      </c>
      <c r="AF62" s="76">
        <f t="shared" si="26"/>
        <v>245.2</v>
      </c>
      <c r="AG62" s="93">
        <f t="shared" si="26"/>
        <v>538.1</v>
      </c>
      <c r="AH62" s="12">
        <f t="shared" si="8"/>
        <v>384.2</v>
      </c>
      <c r="AI62" s="11">
        <f t="shared" si="9"/>
        <v>37.9</v>
      </c>
      <c r="AK62" s="19"/>
    </row>
    <row r="63" spans="1:88" x14ac:dyDescent="0.25">
      <c r="A63" s="89" t="s">
        <v>204</v>
      </c>
      <c r="B63" s="102">
        <v>101</v>
      </c>
      <c r="C63" s="102">
        <v>75</v>
      </c>
      <c r="D63" s="102">
        <v>75</v>
      </c>
      <c r="E63" s="102">
        <v>70.3</v>
      </c>
      <c r="F63" s="102">
        <v>70.3</v>
      </c>
      <c r="G63" s="102">
        <v>70.3</v>
      </c>
      <c r="H63" s="102">
        <v>70.3</v>
      </c>
      <c r="I63" s="102">
        <v>70.3</v>
      </c>
      <c r="J63" s="102">
        <v>60</v>
      </c>
      <c r="K63" s="102">
        <v>60</v>
      </c>
      <c r="L63" s="102">
        <v>91.8</v>
      </c>
      <c r="M63" s="102">
        <v>71</v>
      </c>
      <c r="N63" s="102">
        <v>71</v>
      </c>
      <c r="O63" s="102">
        <v>67</v>
      </c>
      <c r="P63" s="102">
        <v>65.2</v>
      </c>
      <c r="Q63" s="102">
        <v>40</v>
      </c>
      <c r="R63" s="102">
        <v>41</v>
      </c>
      <c r="S63" s="102">
        <v>40.799999999999997</v>
      </c>
      <c r="T63" s="102">
        <v>48.6</v>
      </c>
      <c r="U63" s="102">
        <v>48.1</v>
      </c>
      <c r="V63" s="102">
        <v>30.2</v>
      </c>
      <c r="W63" s="102">
        <v>30.9</v>
      </c>
      <c r="X63" s="102">
        <v>63.8</v>
      </c>
      <c r="Y63" s="102">
        <v>90</v>
      </c>
      <c r="Z63" s="102">
        <v>106</v>
      </c>
      <c r="AA63" s="102">
        <v>126</v>
      </c>
      <c r="AB63" s="102">
        <v>126</v>
      </c>
      <c r="AC63" s="102">
        <v>126</v>
      </c>
      <c r="AD63" s="102">
        <v>111</v>
      </c>
      <c r="AE63" s="102">
        <v>97</v>
      </c>
      <c r="AF63" s="102">
        <v>97</v>
      </c>
      <c r="AG63" s="88">
        <v>144</v>
      </c>
      <c r="AH63" s="12">
        <f t="shared" si="8"/>
        <v>126</v>
      </c>
      <c r="AI63" s="11">
        <f t="shared" si="9"/>
        <v>30.2</v>
      </c>
      <c r="AK63" s="19"/>
    </row>
    <row r="64" spans="1:88" x14ac:dyDescent="0.25">
      <c r="A64" s="87" t="s">
        <v>203</v>
      </c>
      <c r="B64" s="70">
        <v>55</v>
      </c>
      <c r="C64" s="70">
        <v>47</v>
      </c>
      <c r="D64" s="70">
        <v>47</v>
      </c>
      <c r="E64" s="70">
        <v>47</v>
      </c>
      <c r="F64" s="70">
        <v>35</v>
      </c>
      <c r="G64" s="70">
        <v>35</v>
      </c>
      <c r="H64" s="70">
        <v>35</v>
      </c>
      <c r="I64" s="70">
        <v>35</v>
      </c>
      <c r="J64" s="70">
        <v>24.9</v>
      </c>
      <c r="K64" s="70">
        <v>24.9</v>
      </c>
      <c r="L64" s="70">
        <v>35</v>
      </c>
      <c r="M64" s="70">
        <v>34.799999999999997</v>
      </c>
      <c r="N64" s="70">
        <v>34.799999999999997</v>
      </c>
      <c r="O64" s="70">
        <v>24</v>
      </c>
      <c r="P64" s="70">
        <v>24.8</v>
      </c>
      <c r="Q64" s="70">
        <v>24.8</v>
      </c>
      <c r="R64" s="70">
        <v>24.8</v>
      </c>
      <c r="S64" s="70">
        <v>24.8</v>
      </c>
      <c r="T64" s="70">
        <v>35</v>
      </c>
      <c r="U64" s="70">
        <v>34.799999999999997</v>
      </c>
      <c r="V64" s="70">
        <v>34.799999999999997</v>
      </c>
      <c r="W64" s="102">
        <v>45.3</v>
      </c>
      <c r="X64" s="102">
        <v>44.5</v>
      </c>
      <c r="Y64" s="102">
        <v>59.1</v>
      </c>
      <c r="Z64" s="102">
        <v>60</v>
      </c>
      <c r="AA64" s="102">
        <v>68.599999999999994</v>
      </c>
      <c r="AB64" s="102">
        <v>69.8</v>
      </c>
      <c r="AC64" s="102">
        <v>69.8</v>
      </c>
      <c r="AD64" s="102">
        <v>59</v>
      </c>
      <c r="AE64" s="102">
        <v>46</v>
      </c>
      <c r="AF64" s="102">
        <v>46</v>
      </c>
      <c r="AG64" s="86">
        <v>70</v>
      </c>
      <c r="AH64" s="12">
        <f t="shared" si="8"/>
        <v>69.8</v>
      </c>
      <c r="AI64" s="11">
        <f t="shared" si="9"/>
        <v>24</v>
      </c>
      <c r="AK64" s="19"/>
    </row>
    <row r="65" spans="1:75" x14ac:dyDescent="0.25">
      <c r="A65" s="87" t="s">
        <v>202</v>
      </c>
      <c r="B65" s="70">
        <v>61</v>
      </c>
      <c r="C65" s="70">
        <v>52</v>
      </c>
      <c r="D65" s="70">
        <v>52</v>
      </c>
      <c r="E65" s="70">
        <v>52</v>
      </c>
      <c r="F65" s="70">
        <v>52</v>
      </c>
      <c r="G65" s="70">
        <v>52</v>
      </c>
      <c r="H65" s="70">
        <v>52</v>
      </c>
      <c r="I65" s="70">
        <v>52</v>
      </c>
      <c r="J65" s="70">
        <v>32.5</v>
      </c>
      <c r="K65" s="70">
        <v>35</v>
      </c>
      <c r="L65" s="70">
        <v>48</v>
      </c>
      <c r="M65" s="70">
        <v>41</v>
      </c>
      <c r="N65" s="70">
        <v>41</v>
      </c>
      <c r="O65" s="70">
        <v>33</v>
      </c>
      <c r="P65" s="70">
        <v>33.6</v>
      </c>
      <c r="Q65" s="70">
        <v>36</v>
      </c>
      <c r="R65" s="70">
        <v>17</v>
      </c>
      <c r="S65" s="70">
        <v>17.399999999999999</v>
      </c>
      <c r="T65" s="70">
        <v>22.7</v>
      </c>
      <c r="U65" s="70">
        <v>22.4</v>
      </c>
      <c r="V65" s="70">
        <v>16.7</v>
      </c>
      <c r="W65" s="102">
        <v>16.899999999999999</v>
      </c>
      <c r="X65" s="102">
        <v>17</v>
      </c>
      <c r="Y65" s="102">
        <v>35.5</v>
      </c>
      <c r="Z65" s="102">
        <v>67.5</v>
      </c>
      <c r="AA65" s="102">
        <v>67.5</v>
      </c>
      <c r="AB65" s="102">
        <v>68</v>
      </c>
      <c r="AC65" s="102">
        <v>68</v>
      </c>
      <c r="AD65" s="102">
        <v>61</v>
      </c>
      <c r="AE65" s="102">
        <v>49</v>
      </c>
      <c r="AF65" s="102">
        <v>33</v>
      </c>
      <c r="AG65" s="86">
        <v>69</v>
      </c>
      <c r="AH65" s="12">
        <f t="shared" si="8"/>
        <v>68</v>
      </c>
      <c r="AI65" s="11">
        <f t="shared" si="9"/>
        <v>16.7</v>
      </c>
      <c r="AK65" s="19"/>
    </row>
    <row r="66" spans="1:75" x14ac:dyDescent="0.25">
      <c r="A66" s="87" t="s">
        <v>201</v>
      </c>
      <c r="B66" s="70">
        <v>56.2</v>
      </c>
      <c r="C66" s="70">
        <v>56.2</v>
      </c>
      <c r="D66" s="70">
        <v>56.2</v>
      </c>
      <c r="E66" s="70">
        <v>56.2</v>
      </c>
      <c r="F66" s="70">
        <v>56.2</v>
      </c>
      <c r="G66" s="70">
        <v>56.2</v>
      </c>
      <c r="H66" s="70">
        <v>56.2</v>
      </c>
      <c r="I66" s="70">
        <v>56.2</v>
      </c>
      <c r="J66" s="70">
        <v>55.4</v>
      </c>
      <c r="K66" s="70">
        <v>55.4</v>
      </c>
      <c r="L66" s="70">
        <v>55.4</v>
      </c>
      <c r="M66" s="70">
        <v>55.4</v>
      </c>
      <c r="N66" s="70">
        <v>55.4</v>
      </c>
      <c r="O66" s="70">
        <v>48</v>
      </c>
      <c r="P66" s="70">
        <v>49.9</v>
      </c>
      <c r="Q66" s="70">
        <v>49.9</v>
      </c>
      <c r="R66" s="70">
        <v>49.9</v>
      </c>
      <c r="S66" s="70">
        <v>47.6</v>
      </c>
      <c r="T66" s="70">
        <v>47.6</v>
      </c>
      <c r="U66" s="70">
        <v>48.6</v>
      </c>
      <c r="V66" s="70">
        <v>49.4</v>
      </c>
      <c r="W66" s="102">
        <v>49.1</v>
      </c>
      <c r="X66" s="102">
        <v>45.6</v>
      </c>
      <c r="Y66" s="102">
        <v>45.6</v>
      </c>
      <c r="Z66" s="102">
        <v>46.4</v>
      </c>
      <c r="AA66" s="102">
        <v>46.4</v>
      </c>
      <c r="AB66" s="102">
        <v>48</v>
      </c>
      <c r="AC66" s="102">
        <v>48</v>
      </c>
      <c r="AD66" s="102">
        <v>48</v>
      </c>
      <c r="AE66" s="102">
        <v>48</v>
      </c>
      <c r="AF66" s="102">
        <v>48</v>
      </c>
      <c r="AG66" s="86">
        <v>60</v>
      </c>
      <c r="AH66" s="12">
        <f t="shared" si="8"/>
        <v>56.2</v>
      </c>
      <c r="AI66" s="11">
        <f t="shared" si="9"/>
        <v>45.6</v>
      </c>
      <c r="AK66" s="19"/>
    </row>
    <row r="67" spans="1:75" x14ac:dyDescent="0.25">
      <c r="A67" s="87" t="s">
        <v>200</v>
      </c>
      <c r="B67" s="102">
        <v>22</v>
      </c>
      <c r="C67" s="102">
        <v>22</v>
      </c>
      <c r="D67" s="102">
        <v>10</v>
      </c>
      <c r="E67" s="102">
        <v>10</v>
      </c>
      <c r="F67" s="102">
        <v>10</v>
      </c>
      <c r="G67" s="102">
        <v>10</v>
      </c>
      <c r="H67" s="102">
        <v>10</v>
      </c>
      <c r="I67" s="102">
        <v>10</v>
      </c>
      <c r="J67" s="102">
        <v>10</v>
      </c>
      <c r="K67" s="102">
        <v>10</v>
      </c>
      <c r="L67" s="102">
        <v>15</v>
      </c>
      <c r="M67" s="102">
        <v>15</v>
      </c>
      <c r="N67" s="102">
        <v>15</v>
      </c>
      <c r="O67" s="102">
        <v>0</v>
      </c>
      <c r="P67" s="70">
        <v>0</v>
      </c>
      <c r="Q67" s="70">
        <v>15</v>
      </c>
      <c r="R67" s="70">
        <v>23</v>
      </c>
      <c r="S67" s="70">
        <v>28</v>
      </c>
      <c r="T67" s="70">
        <v>28.7</v>
      </c>
      <c r="U67" s="70">
        <v>23.7</v>
      </c>
      <c r="V67" s="70">
        <v>22.7</v>
      </c>
      <c r="W67" s="102">
        <v>10.1</v>
      </c>
      <c r="X67" s="102">
        <v>10</v>
      </c>
      <c r="Y67" s="102">
        <v>10.3</v>
      </c>
      <c r="Z67" s="102">
        <v>10.199999999999999</v>
      </c>
      <c r="AA67" s="102">
        <v>10.199999999999999</v>
      </c>
      <c r="AB67" s="102">
        <v>10.199999999999999</v>
      </c>
      <c r="AC67" s="102">
        <v>10.199999999999999</v>
      </c>
      <c r="AD67" s="102">
        <v>14</v>
      </c>
      <c r="AE67" s="102">
        <v>14</v>
      </c>
      <c r="AF67" s="102">
        <v>14</v>
      </c>
      <c r="AG67" s="86">
        <v>30</v>
      </c>
      <c r="AH67" s="12">
        <f t="shared" si="8"/>
        <v>28.7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25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0</v>
      </c>
      <c r="K68" s="102">
        <v>3.8</v>
      </c>
      <c r="L68" s="102">
        <v>3.9</v>
      </c>
      <c r="M68" s="102">
        <v>3.9</v>
      </c>
      <c r="N68" s="102">
        <v>3.9</v>
      </c>
      <c r="O68" s="102">
        <v>3.9</v>
      </c>
      <c r="P68" s="70">
        <v>14.4</v>
      </c>
      <c r="Q68" s="70">
        <v>14.4</v>
      </c>
      <c r="R68" s="70">
        <v>14.4</v>
      </c>
      <c r="S68" s="70">
        <v>13.7</v>
      </c>
      <c r="T68" s="70">
        <v>12.3</v>
      </c>
      <c r="U68" s="70">
        <v>7.9</v>
      </c>
      <c r="V68" s="70">
        <v>2.5</v>
      </c>
      <c r="W68" s="102">
        <v>1.1000000000000001</v>
      </c>
      <c r="X68" s="102">
        <v>0.2</v>
      </c>
      <c r="Y68" s="102">
        <v>0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14.4</v>
      </c>
      <c r="AI68" s="11">
        <f t="shared" si="9"/>
        <v>0</v>
      </c>
      <c r="AK68" s="19"/>
      <c r="AY68" s="1" t="s">
        <v>198</v>
      </c>
      <c r="AZ68" s="78">
        <f>ROUND(C81,0)</f>
        <v>34</v>
      </c>
      <c r="BA68" s="83">
        <f t="shared" ref="BA68:BD72" si="28">D81</f>
        <v>35</v>
      </c>
      <c r="BB68" s="83">
        <f t="shared" si="28"/>
        <v>41.4</v>
      </c>
      <c r="BC68" s="83">
        <f t="shared" si="28"/>
        <v>36.700000000000003</v>
      </c>
      <c r="BD68" s="83">
        <f t="shared" si="28"/>
        <v>29.5</v>
      </c>
      <c r="BE68" s="78">
        <f>I81</f>
        <v>29.3</v>
      </c>
      <c r="BF68" s="78">
        <f>K81</f>
        <v>58.6</v>
      </c>
      <c r="BG68" s="78">
        <f t="shared" ref="BG68:BP72" si="29">M81</f>
        <v>64.3</v>
      </c>
      <c r="BH68" s="78">
        <f t="shared" si="29"/>
        <v>51.5</v>
      </c>
      <c r="BI68" s="78">
        <f t="shared" si="29"/>
        <v>45</v>
      </c>
      <c r="BJ68" s="78">
        <f t="shared" si="29"/>
        <v>28.2</v>
      </c>
      <c r="BK68" s="78">
        <f t="shared" si="29"/>
        <v>66.5</v>
      </c>
      <c r="BL68" s="78">
        <f t="shared" si="29"/>
        <v>64</v>
      </c>
      <c r="BM68" s="78">
        <f t="shared" si="29"/>
        <v>71.400000000000006</v>
      </c>
      <c r="BN68" s="78">
        <f t="shared" si="29"/>
        <v>65</v>
      </c>
      <c r="BO68" s="78">
        <f t="shared" si="29"/>
        <v>70.7</v>
      </c>
      <c r="BP68" s="78">
        <f t="shared" si="29"/>
        <v>72.7</v>
      </c>
      <c r="BQ68" s="78">
        <f>X81</f>
        <v>53.9</v>
      </c>
      <c r="BR68" s="78">
        <f>Z81</f>
        <v>37</v>
      </c>
      <c r="BS68" s="83">
        <f>AB81</f>
        <v>59</v>
      </c>
      <c r="BT68" s="83">
        <f t="shared" ref="BT68:BV72" si="30">AD81</f>
        <v>60</v>
      </c>
      <c r="BU68" s="83">
        <f t="shared" si="30"/>
        <v>58</v>
      </c>
      <c r="BV68" s="83">
        <f t="shared" si="30"/>
        <v>45</v>
      </c>
      <c r="BW68" s="83">
        <f>B81</f>
        <v>36</v>
      </c>
    </row>
    <row r="69" spans="1:75" x14ac:dyDescent="0.25">
      <c r="A69" s="87" t="s">
        <v>197</v>
      </c>
      <c r="B69" s="70">
        <v>8.9</v>
      </c>
      <c r="C69" s="70">
        <v>8.9</v>
      </c>
      <c r="D69" s="70">
        <v>8.9</v>
      </c>
      <c r="E69" s="70">
        <v>6.7</v>
      </c>
      <c r="F69" s="70">
        <v>6.7</v>
      </c>
      <c r="G69" s="70">
        <v>9.1</v>
      </c>
      <c r="H69" s="70">
        <v>9.1</v>
      </c>
      <c r="I69" s="70">
        <v>9.1</v>
      </c>
      <c r="J69" s="70">
        <v>9.1</v>
      </c>
      <c r="K69" s="70">
        <v>9.1</v>
      </c>
      <c r="L69" s="70">
        <v>9.1</v>
      </c>
      <c r="M69" s="70">
        <v>9.1</v>
      </c>
      <c r="N69" s="70">
        <v>9.1</v>
      </c>
      <c r="O69" s="70">
        <v>9.1</v>
      </c>
      <c r="P69" s="70">
        <v>9.1</v>
      </c>
      <c r="Q69" s="70">
        <v>9.1</v>
      </c>
      <c r="R69" s="70">
        <v>9.1</v>
      </c>
      <c r="S69" s="70">
        <v>9</v>
      </c>
      <c r="T69" s="70">
        <v>9</v>
      </c>
      <c r="U69" s="70">
        <v>9</v>
      </c>
      <c r="V69" s="70">
        <v>9</v>
      </c>
      <c r="W69" s="70">
        <v>9</v>
      </c>
      <c r="X69" s="70">
        <v>9</v>
      </c>
      <c r="Y69" s="70">
        <v>9</v>
      </c>
      <c r="Z69" s="70">
        <v>9</v>
      </c>
      <c r="AA69" s="70">
        <v>9</v>
      </c>
      <c r="AB69" s="70">
        <v>9</v>
      </c>
      <c r="AC69" s="70">
        <v>9</v>
      </c>
      <c r="AD69" s="70">
        <v>9</v>
      </c>
      <c r="AE69" s="70">
        <v>9</v>
      </c>
      <c r="AF69" s="70">
        <v>9</v>
      </c>
      <c r="AG69" s="86">
        <v>24</v>
      </c>
      <c r="AH69" s="12">
        <f t="shared" si="8"/>
        <v>9.1</v>
      </c>
      <c r="AI69" s="11">
        <f t="shared" si="9"/>
        <v>6.7</v>
      </c>
      <c r="AK69" s="19"/>
      <c r="AY69" s="1" t="s">
        <v>196</v>
      </c>
      <c r="AZ69" s="78">
        <f>ROUND(C82,0)</f>
        <v>0</v>
      </c>
      <c r="BA69" s="83">
        <f t="shared" si="28"/>
        <v>0</v>
      </c>
      <c r="BB69" s="83">
        <f t="shared" si="28"/>
        <v>0</v>
      </c>
      <c r="BC69" s="83">
        <f t="shared" si="28"/>
        <v>0</v>
      </c>
      <c r="BD69" s="83">
        <f t="shared" si="28"/>
        <v>0</v>
      </c>
      <c r="BE69" s="78">
        <f>I82</f>
        <v>0</v>
      </c>
      <c r="BF69" s="78">
        <f>K82</f>
        <v>0</v>
      </c>
      <c r="BG69" s="78">
        <f t="shared" si="29"/>
        <v>0</v>
      </c>
      <c r="BH69" s="78">
        <f t="shared" si="29"/>
        <v>0</v>
      </c>
      <c r="BI69" s="78">
        <f t="shared" si="29"/>
        <v>0</v>
      </c>
      <c r="BJ69" s="78">
        <f t="shared" si="29"/>
        <v>0</v>
      </c>
      <c r="BK69" s="78">
        <f t="shared" si="29"/>
        <v>0</v>
      </c>
      <c r="BL69" s="78">
        <f t="shared" si="29"/>
        <v>0</v>
      </c>
      <c r="BM69" s="78">
        <f t="shared" si="29"/>
        <v>0</v>
      </c>
      <c r="BN69" s="78">
        <f t="shared" si="29"/>
        <v>83.5</v>
      </c>
      <c r="BO69" s="78">
        <f t="shared" si="29"/>
        <v>89.5</v>
      </c>
      <c r="BP69" s="78">
        <f t="shared" si="29"/>
        <v>88.3</v>
      </c>
      <c r="BQ69" s="78">
        <f>X82</f>
        <v>61.4</v>
      </c>
      <c r="BR69" s="78">
        <f>Z82</f>
        <v>0</v>
      </c>
      <c r="BS69" s="83">
        <f>AB82</f>
        <v>0</v>
      </c>
      <c r="BT69" s="83">
        <f t="shared" si="30"/>
        <v>0</v>
      </c>
      <c r="BU69" s="83">
        <f t="shared" si="30"/>
        <v>0</v>
      </c>
      <c r="BV69" s="83">
        <f t="shared" si="30"/>
        <v>0</v>
      </c>
      <c r="BW69" s="83">
        <f>B82</f>
        <v>0</v>
      </c>
    </row>
    <row r="70" spans="1:75" x14ac:dyDescent="0.25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15</v>
      </c>
      <c r="BA70" s="83">
        <f t="shared" si="28"/>
        <v>0</v>
      </c>
      <c r="BB70" s="83">
        <f t="shared" si="28"/>
        <v>43</v>
      </c>
      <c r="BC70" s="83">
        <f t="shared" si="28"/>
        <v>54</v>
      </c>
      <c r="BD70" s="83">
        <f t="shared" si="28"/>
        <v>106.3</v>
      </c>
      <c r="BE70" s="78">
        <f>I83</f>
        <v>150</v>
      </c>
      <c r="BF70" s="78">
        <f>K83</f>
        <v>389</v>
      </c>
      <c r="BG70" s="78">
        <f t="shared" si="29"/>
        <v>425</v>
      </c>
      <c r="BH70" s="78">
        <f t="shared" si="29"/>
        <v>462</v>
      </c>
      <c r="BI70" s="78">
        <f t="shared" si="29"/>
        <v>446</v>
      </c>
      <c r="BJ70" s="78">
        <f t="shared" si="29"/>
        <v>450</v>
      </c>
      <c r="BK70" s="78">
        <f t="shared" si="29"/>
        <v>407</v>
      </c>
      <c r="BL70" s="78">
        <f t="shared" si="29"/>
        <v>491</v>
      </c>
      <c r="BM70" s="78">
        <f t="shared" si="29"/>
        <v>500</v>
      </c>
      <c r="BN70" s="78">
        <f t="shared" si="29"/>
        <v>456</v>
      </c>
      <c r="BO70" s="78">
        <f t="shared" si="29"/>
        <v>467.6</v>
      </c>
      <c r="BP70" s="78">
        <f t="shared" si="29"/>
        <v>426</v>
      </c>
      <c r="BQ70" s="78">
        <f>X83</f>
        <v>356</v>
      </c>
      <c r="BR70" s="78">
        <f>Z83</f>
        <v>125.3</v>
      </c>
      <c r="BS70" s="83">
        <f>AB83</f>
        <v>133</v>
      </c>
      <c r="BT70" s="83">
        <f t="shared" si="30"/>
        <v>68</v>
      </c>
      <c r="BU70" s="83">
        <f t="shared" si="30"/>
        <v>55</v>
      </c>
      <c r="BV70" s="83">
        <f t="shared" si="30"/>
        <v>47</v>
      </c>
      <c r="BW70" s="83">
        <f>B83</f>
        <v>25</v>
      </c>
    </row>
    <row r="71" spans="1:75" s="115" customFormat="1" x14ac:dyDescent="0.25">
      <c r="A71" s="87" t="s">
        <v>193</v>
      </c>
      <c r="B71" s="70">
        <v>6.1</v>
      </c>
      <c r="C71" s="70">
        <v>6.1</v>
      </c>
      <c r="D71" s="70">
        <v>6.1</v>
      </c>
      <c r="E71" s="70">
        <v>6.1</v>
      </c>
      <c r="F71" s="70">
        <v>6.1</v>
      </c>
      <c r="G71" s="70">
        <v>6.1</v>
      </c>
      <c r="H71" s="70">
        <v>6.1</v>
      </c>
      <c r="I71" s="70">
        <v>6.1</v>
      </c>
      <c r="J71" s="70">
        <v>6.1</v>
      </c>
      <c r="K71" s="70">
        <v>6.1</v>
      </c>
      <c r="L71" s="70">
        <v>6.1</v>
      </c>
      <c r="M71" s="70">
        <v>6.1</v>
      </c>
      <c r="N71" s="70">
        <v>6.1</v>
      </c>
      <c r="O71" s="70">
        <v>6.1</v>
      </c>
      <c r="P71" s="70">
        <v>6.1</v>
      </c>
      <c r="Q71" s="70">
        <v>6.1</v>
      </c>
      <c r="R71" s="70">
        <v>6.1</v>
      </c>
      <c r="S71" s="70">
        <v>6.1</v>
      </c>
      <c r="T71" s="70">
        <v>7.1</v>
      </c>
      <c r="U71" s="70">
        <v>7.1</v>
      </c>
      <c r="V71" s="70">
        <v>7.2</v>
      </c>
      <c r="W71" s="70">
        <v>7.2</v>
      </c>
      <c r="X71" s="70">
        <v>7.2</v>
      </c>
      <c r="Y71" s="70">
        <v>7.7</v>
      </c>
      <c r="Z71" s="70">
        <v>7.7</v>
      </c>
      <c r="AA71" s="70">
        <v>7.7</v>
      </c>
      <c r="AB71" s="70">
        <v>7.7</v>
      </c>
      <c r="AC71" s="70">
        <v>7.7</v>
      </c>
      <c r="AD71" s="70">
        <v>7.7</v>
      </c>
      <c r="AE71" s="70">
        <v>7.7</v>
      </c>
      <c r="AF71" s="70">
        <v>7.7</v>
      </c>
      <c r="AG71" s="86">
        <v>14.1</v>
      </c>
      <c r="AH71" s="12">
        <f t="shared" si="8"/>
        <v>7.7</v>
      </c>
      <c r="AI71" s="11">
        <f t="shared" si="9"/>
        <v>6.1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28"/>
        <v>0</v>
      </c>
      <c r="BB71" s="83">
        <f t="shared" si="28"/>
        <v>0</v>
      </c>
      <c r="BC71" s="83">
        <f t="shared" si="28"/>
        <v>0</v>
      </c>
      <c r="BD71" s="83">
        <f t="shared" si="28"/>
        <v>0</v>
      </c>
      <c r="BE71" s="78">
        <f>I84</f>
        <v>0</v>
      </c>
      <c r="BF71" s="78">
        <f>K84</f>
        <v>46.5</v>
      </c>
      <c r="BG71" s="78">
        <f t="shared" si="29"/>
        <v>54</v>
      </c>
      <c r="BH71" s="78">
        <f t="shared" si="29"/>
        <v>58</v>
      </c>
      <c r="BI71" s="78">
        <f t="shared" si="29"/>
        <v>49.7</v>
      </c>
      <c r="BJ71" s="78">
        <f t="shared" si="29"/>
        <v>57.1</v>
      </c>
      <c r="BK71" s="78">
        <f t="shared" si="29"/>
        <v>53</v>
      </c>
      <c r="BL71" s="78">
        <f t="shared" si="29"/>
        <v>44</v>
      </c>
      <c r="BM71" s="78">
        <f t="shared" si="29"/>
        <v>52.5</v>
      </c>
      <c r="BN71" s="78">
        <f t="shared" si="29"/>
        <v>8</v>
      </c>
      <c r="BO71" s="78">
        <f t="shared" si="29"/>
        <v>9.1</v>
      </c>
      <c r="BP71" s="78">
        <f t="shared" si="29"/>
        <v>25</v>
      </c>
      <c r="BQ71" s="78">
        <f>X84</f>
        <v>9.8000000000000007</v>
      </c>
      <c r="BR71" s="78">
        <f>Z84</f>
        <v>0</v>
      </c>
      <c r="BS71" s="83">
        <f>AB84</f>
        <v>0</v>
      </c>
      <c r="BT71" s="83">
        <f t="shared" si="30"/>
        <v>14</v>
      </c>
      <c r="BU71" s="83">
        <f t="shared" si="30"/>
        <v>14</v>
      </c>
      <c r="BV71" s="83">
        <f t="shared" si="30"/>
        <v>14</v>
      </c>
      <c r="BW71" s="83">
        <f>B84</f>
        <v>0</v>
      </c>
    </row>
    <row r="72" spans="1:75" x14ac:dyDescent="0.25">
      <c r="A72" s="111" t="s">
        <v>191</v>
      </c>
      <c r="B72" s="70">
        <v>5.8</v>
      </c>
      <c r="C72" s="70">
        <v>5.8</v>
      </c>
      <c r="D72" s="70">
        <v>5.8</v>
      </c>
      <c r="E72" s="70">
        <v>9.1</v>
      </c>
      <c r="F72" s="70">
        <v>9.1</v>
      </c>
      <c r="G72" s="70">
        <v>8.6999999999999993</v>
      </c>
      <c r="H72" s="70">
        <v>8.6999999999999993</v>
      </c>
      <c r="I72" s="70">
        <v>8.6999999999999993</v>
      </c>
      <c r="J72" s="70">
        <v>7</v>
      </c>
      <c r="K72" s="70">
        <v>7</v>
      </c>
      <c r="L72" s="70">
        <v>7</v>
      </c>
      <c r="M72" s="70">
        <v>7</v>
      </c>
      <c r="N72" s="70">
        <v>7</v>
      </c>
      <c r="O72" s="70">
        <v>7</v>
      </c>
      <c r="P72" s="70">
        <v>7</v>
      </c>
      <c r="Q72" s="70">
        <v>7</v>
      </c>
      <c r="R72" s="70">
        <v>7</v>
      </c>
      <c r="S72" s="70">
        <v>7</v>
      </c>
      <c r="T72" s="70">
        <v>7</v>
      </c>
      <c r="U72" s="70">
        <v>7</v>
      </c>
      <c r="V72" s="70">
        <v>6.9</v>
      </c>
      <c r="W72" s="70">
        <v>6.9</v>
      </c>
      <c r="X72" s="70">
        <v>6.9</v>
      </c>
      <c r="Y72" s="70">
        <v>6.9</v>
      </c>
      <c r="Z72" s="70">
        <v>6.9</v>
      </c>
      <c r="AA72" s="70">
        <v>6.9</v>
      </c>
      <c r="AB72" s="70">
        <v>6.9</v>
      </c>
      <c r="AC72" s="70">
        <v>6.9</v>
      </c>
      <c r="AD72" s="70">
        <v>6.9</v>
      </c>
      <c r="AE72" s="70">
        <v>6.9</v>
      </c>
      <c r="AF72" s="70">
        <v>6.9</v>
      </c>
      <c r="AG72" s="86">
        <v>14</v>
      </c>
      <c r="AH72" s="12">
        <f t="shared" si="8"/>
        <v>9.1</v>
      </c>
      <c r="AI72" s="11">
        <f t="shared" si="9"/>
        <v>5.8</v>
      </c>
      <c r="AK72" s="19"/>
      <c r="AY72" s="1" t="s">
        <v>190</v>
      </c>
      <c r="AZ72" s="78">
        <f>ROUND(C85,0)</f>
        <v>0</v>
      </c>
      <c r="BA72" s="83">
        <f t="shared" si="28"/>
        <v>0</v>
      </c>
      <c r="BB72" s="83">
        <f t="shared" si="28"/>
        <v>0</v>
      </c>
      <c r="BC72" s="83">
        <f t="shared" si="28"/>
        <v>0</v>
      </c>
      <c r="BD72" s="83">
        <f t="shared" si="28"/>
        <v>0</v>
      </c>
      <c r="BE72" s="78">
        <f>I85</f>
        <v>0</v>
      </c>
      <c r="BF72" s="78">
        <f>K85</f>
        <v>111</v>
      </c>
      <c r="BG72" s="78">
        <f t="shared" si="29"/>
        <v>119.8</v>
      </c>
      <c r="BH72" s="78">
        <f t="shared" si="29"/>
        <v>132</v>
      </c>
      <c r="BI72" s="78">
        <f t="shared" si="29"/>
        <v>128</v>
      </c>
      <c r="BJ72" s="78">
        <f t="shared" si="29"/>
        <v>139.6</v>
      </c>
      <c r="BK72" s="78">
        <f t="shared" si="29"/>
        <v>148.9</v>
      </c>
      <c r="BL72" s="78">
        <f t="shared" si="29"/>
        <v>121</v>
      </c>
      <c r="BM72" s="78">
        <f t="shared" si="29"/>
        <v>126.8</v>
      </c>
      <c r="BN72" s="78">
        <f t="shared" si="29"/>
        <v>117</v>
      </c>
      <c r="BO72" s="78">
        <f t="shared" si="29"/>
        <v>123.8</v>
      </c>
      <c r="BP72" s="78">
        <f t="shared" si="29"/>
        <v>132.19999999999999</v>
      </c>
      <c r="BQ72" s="78">
        <f>X85</f>
        <v>94.9</v>
      </c>
      <c r="BR72" s="78">
        <f>Z85</f>
        <v>54.2</v>
      </c>
      <c r="BS72" s="83">
        <f>AB85</f>
        <v>0</v>
      </c>
      <c r="BT72" s="83">
        <f t="shared" si="30"/>
        <v>20</v>
      </c>
      <c r="BU72" s="83">
        <f t="shared" si="30"/>
        <v>49</v>
      </c>
      <c r="BV72" s="83">
        <f t="shared" si="30"/>
        <v>25</v>
      </c>
      <c r="BW72" s="83">
        <f>B85</f>
        <v>0</v>
      </c>
    </row>
    <row r="73" spans="1:75" x14ac:dyDescent="0.25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</v>
      </c>
      <c r="U73" s="70">
        <v>4</v>
      </c>
      <c r="V73" s="70">
        <v>4</v>
      </c>
      <c r="W73" s="70">
        <v>4</v>
      </c>
      <c r="X73" s="70">
        <v>4</v>
      </c>
      <c r="Y73" s="70">
        <v>4</v>
      </c>
      <c r="Z73" s="70">
        <v>4</v>
      </c>
      <c r="AA73" s="70">
        <v>4</v>
      </c>
      <c r="AB73" s="70">
        <v>4</v>
      </c>
      <c r="AC73" s="70">
        <v>4</v>
      </c>
      <c r="AD73" s="70">
        <v>4</v>
      </c>
      <c r="AE73" s="70">
        <v>4</v>
      </c>
      <c r="AF73" s="70">
        <v>4</v>
      </c>
      <c r="AG73" s="86">
        <v>10.050000000000001</v>
      </c>
      <c r="AH73" s="12">
        <f t="shared" si="8"/>
        <v>4</v>
      </c>
      <c r="AI73" s="11">
        <f t="shared" si="9"/>
        <v>4</v>
      </c>
      <c r="AK73" s="19"/>
      <c r="AY73" s="1" t="s">
        <v>188</v>
      </c>
      <c r="AZ73" s="78">
        <f>ROUND(C91,0)</f>
        <v>45</v>
      </c>
      <c r="BA73" s="78">
        <f>D91</f>
        <v>40</v>
      </c>
      <c r="BB73" s="78">
        <f>E91</f>
        <v>41.7</v>
      </c>
      <c r="BC73" s="78">
        <f>F91</f>
        <v>43.1</v>
      </c>
      <c r="BD73" s="78">
        <f>G91</f>
        <v>39</v>
      </c>
      <c r="BE73" s="78">
        <f>I91</f>
        <v>42.9</v>
      </c>
      <c r="BF73" s="78">
        <f>K91</f>
        <v>50.3</v>
      </c>
      <c r="BG73" s="78">
        <f t="shared" ref="BG73:BP73" si="31">M91</f>
        <v>51.7</v>
      </c>
      <c r="BH73" s="78">
        <f t="shared" si="31"/>
        <v>54.54</v>
      </c>
      <c r="BI73" s="78">
        <f t="shared" si="31"/>
        <v>55</v>
      </c>
      <c r="BJ73" s="78">
        <f t="shared" si="31"/>
        <v>48.5</v>
      </c>
      <c r="BK73" s="78">
        <f t="shared" si="31"/>
        <v>53</v>
      </c>
      <c r="BL73" s="78">
        <f t="shared" si="31"/>
        <v>44</v>
      </c>
      <c r="BM73" s="78">
        <f t="shared" si="31"/>
        <v>55.8</v>
      </c>
      <c r="BN73" s="78">
        <f t="shared" si="31"/>
        <v>55.3</v>
      </c>
      <c r="BO73" s="78">
        <f t="shared" si="31"/>
        <v>52.4</v>
      </c>
      <c r="BP73" s="78">
        <f t="shared" si="31"/>
        <v>45.5</v>
      </c>
      <c r="BQ73" s="78">
        <f>X91</f>
        <v>40.799999999999997</v>
      </c>
      <c r="BR73" s="78">
        <f>Z91</f>
        <v>43.3</v>
      </c>
      <c r="BS73" s="78">
        <f>AB91</f>
        <v>36.299999999999997</v>
      </c>
      <c r="BT73" s="78">
        <f>AD91</f>
        <v>37</v>
      </c>
      <c r="BU73" s="78">
        <f>AE91</f>
        <v>38</v>
      </c>
      <c r="BV73" s="78">
        <f>AF91</f>
        <v>38</v>
      </c>
      <c r="BW73" s="78">
        <f>B91</f>
        <v>45</v>
      </c>
    </row>
    <row r="74" spans="1:75" x14ac:dyDescent="0.25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.75" thickBot="1" x14ac:dyDescent="0.3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3.5</v>
      </c>
      <c r="AA75" s="113">
        <v>3.5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</v>
      </c>
      <c r="AK75" s="19"/>
      <c r="AZ75" s="78">
        <f t="shared" ref="AZ75:BW80" si="32">VALUE(AZ68)</f>
        <v>34</v>
      </c>
      <c r="BA75" s="78">
        <f t="shared" si="32"/>
        <v>35</v>
      </c>
      <c r="BB75" s="78">
        <f t="shared" si="32"/>
        <v>41.4</v>
      </c>
      <c r="BC75" s="78">
        <f t="shared" si="32"/>
        <v>36.700000000000003</v>
      </c>
      <c r="BD75" s="78">
        <f t="shared" si="32"/>
        <v>29.5</v>
      </c>
      <c r="BE75" s="78">
        <f t="shared" si="32"/>
        <v>29.3</v>
      </c>
      <c r="BF75" s="78">
        <f t="shared" si="32"/>
        <v>58.6</v>
      </c>
      <c r="BG75" s="78">
        <f t="shared" si="32"/>
        <v>64.3</v>
      </c>
      <c r="BH75" s="78">
        <f t="shared" si="32"/>
        <v>51.5</v>
      </c>
      <c r="BI75" s="78">
        <f t="shared" si="32"/>
        <v>45</v>
      </c>
      <c r="BJ75" s="78">
        <f t="shared" si="32"/>
        <v>28.2</v>
      </c>
      <c r="BK75" s="78">
        <f t="shared" si="32"/>
        <v>66.5</v>
      </c>
      <c r="BL75" s="78">
        <f t="shared" si="32"/>
        <v>64</v>
      </c>
      <c r="BM75" s="78">
        <f t="shared" si="32"/>
        <v>71.400000000000006</v>
      </c>
      <c r="BN75" s="78">
        <f t="shared" si="32"/>
        <v>65</v>
      </c>
      <c r="BO75" s="78">
        <f t="shared" si="32"/>
        <v>70.7</v>
      </c>
      <c r="BP75" s="78">
        <f t="shared" si="32"/>
        <v>72.7</v>
      </c>
      <c r="BQ75" s="78">
        <f t="shared" si="32"/>
        <v>53.9</v>
      </c>
      <c r="BR75" s="78">
        <f t="shared" si="32"/>
        <v>37</v>
      </c>
      <c r="BS75" s="78">
        <f t="shared" si="32"/>
        <v>59</v>
      </c>
      <c r="BT75" s="78">
        <f t="shared" si="32"/>
        <v>60</v>
      </c>
      <c r="BU75" s="78">
        <f t="shared" si="32"/>
        <v>58</v>
      </c>
      <c r="BV75" s="78">
        <f t="shared" si="32"/>
        <v>45</v>
      </c>
      <c r="BW75" s="78">
        <f t="shared" si="32"/>
        <v>36</v>
      </c>
    </row>
    <row r="76" spans="1:75" ht="15.75" thickBot="1" x14ac:dyDescent="0.3">
      <c r="A76" s="77" t="s">
        <v>186</v>
      </c>
      <c r="B76" s="76">
        <f t="shared" ref="B76:C76" si="33">SUM(B63:B75)</f>
        <v>325.54000000000002</v>
      </c>
      <c r="C76" s="76">
        <f t="shared" si="33"/>
        <v>282.54000000000002</v>
      </c>
      <c r="D76" s="76">
        <f t="shared" ref="D76" si="34">SUM(D63:D75)</f>
        <v>270.54000000000002</v>
      </c>
      <c r="E76" s="76">
        <f t="shared" ref="E76:AG76" si="35">SUM(E63:E75)</f>
        <v>266.94</v>
      </c>
      <c r="F76" s="76">
        <f t="shared" si="35"/>
        <v>254.93999999999997</v>
      </c>
      <c r="G76" s="76">
        <f t="shared" si="35"/>
        <v>256.94</v>
      </c>
      <c r="H76" s="76">
        <f t="shared" si="35"/>
        <v>256.94</v>
      </c>
      <c r="I76" s="76">
        <f t="shared" si="35"/>
        <v>256.94</v>
      </c>
      <c r="J76" s="76">
        <f t="shared" si="35"/>
        <v>214.54</v>
      </c>
      <c r="K76" s="76">
        <f t="shared" si="35"/>
        <v>220.84</v>
      </c>
      <c r="L76" s="76">
        <f t="shared" si="35"/>
        <v>280.84000000000009</v>
      </c>
      <c r="M76" s="76">
        <f t="shared" si="35"/>
        <v>252.84</v>
      </c>
      <c r="N76" s="76">
        <f t="shared" si="35"/>
        <v>252.84</v>
      </c>
      <c r="O76" s="76">
        <f t="shared" si="35"/>
        <v>207.64</v>
      </c>
      <c r="P76" s="76">
        <f t="shared" si="35"/>
        <v>219.64</v>
      </c>
      <c r="Q76" s="76">
        <f t="shared" si="35"/>
        <v>211.83999999999997</v>
      </c>
      <c r="R76" s="76">
        <f t="shared" si="35"/>
        <v>201.83999999999997</v>
      </c>
      <c r="S76" s="76">
        <f t="shared" si="35"/>
        <v>203.93999999999997</v>
      </c>
      <c r="T76" s="76">
        <f t="shared" si="35"/>
        <v>227.54</v>
      </c>
      <c r="U76" s="76">
        <f t="shared" si="35"/>
        <v>218.14</v>
      </c>
      <c r="V76" s="76">
        <f t="shared" si="35"/>
        <v>188.93999999999997</v>
      </c>
      <c r="W76" s="76">
        <f t="shared" si="35"/>
        <v>186.03999999999996</v>
      </c>
      <c r="X76" s="76">
        <f t="shared" si="35"/>
        <v>213.73999999999998</v>
      </c>
      <c r="Y76" s="76">
        <f t="shared" si="35"/>
        <v>273.59999999999997</v>
      </c>
      <c r="Z76" s="76">
        <f>SUM(Z63:Z75)</f>
        <v>323.19999999999993</v>
      </c>
      <c r="AA76" s="76">
        <f>SUM(AA63:AA75)</f>
        <v>351.79999999999995</v>
      </c>
      <c r="AB76" s="76">
        <f t="shared" si="35"/>
        <v>355.14</v>
      </c>
      <c r="AC76" s="76">
        <f t="shared" si="35"/>
        <v>355.14</v>
      </c>
      <c r="AD76" s="76">
        <f t="shared" si="35"/>
        <v>326.14</v>
      </c>
      <c r="AE76" s="76">
        <f t="shared" si="35"/>
        <v>287.14</v>
      </c>
      <c r="AF76" s="76">
        <f t="shared" si="35"/>
        <v>271.14</v>
      </c>
      <c r="AG76" s="93">
        <f t="shared" si="35"/>
        <v>489.91</v>
      </c>
      <c r="AH76" s="12">
        <f t="shared" si="8"/>
        <v>355.14</v>
      </c>
      <c r="AI76" s="11">
        <f t="shared" si="9"/>
        <v>186.03999999999996</v>
      </c>
      <c r="AK76" s="19"/>
      <c r="AZ76" s="78">
        <f t="shared" si="32"/>
        <v>0</v>
      </c>
      <c r="BA76" s="78">
        <f t="shared" si="32"/>
        <v>0</v>
      </c>
      <c r="BB76" s="78">
        <f t="shared" si="32"/>
        <v>0</v>
      </c>
      <c r="BC76" s="78">
        <f t="shared" si="32"/>
        <v>0</v>
      </c>
      <c r="BD76" s="78">
        <f t="shared" si="32"/>
        <v>0</v>
      </c>
      <c r="BE76" s="78">
        <f t="shared" si="32"/>
        <v>0</v>
      </c>
      <c r="BF76" s="78">
        <f t="shared" si="32"/>
        <v>0</v>
      </c>
      <c r="BG76" s="78">
        <f t="shared" si="32"/>
        <v>0</v>
      </c>
      <c r="BH76" s="78">
        <f t="shared" si="32"/>
        <v>0</v>
      </c>
      <c r="BI76" s="78">
        <f t="shared" si="32"/>
        <v>0</v>
      </c>
      <c r="BJ76" s="78">
        <f t="shared" si="32"/>
        <v>0</v>
      </c>
      <c r="BK76" s="78">
        <f t="shared" si="32"/>
        <v>0</v>
      </c>
      <c r="BL76" s="78">
        <f t="shared" si="32"/>
        <v>0</v>
      </c>
      <c r="BM76" s="78">
        <f t="shared" si="32"/>
        <v>0</v>
      </c>
      <c r="BN76" s="78">
        <f t="shared" si="32"/>
        <v>83.5</v>
      </c>
      <c r="BO76" s="78">
        <f t="shared" si="32"/>
        <v>89.5</v>
      </c>
      <c r="BP76" s="78">
        <f t="shared" si="32"/>
        <v>88.3</v>
      </c>
      <c r="BQ76" s="78">
        <f t="shared" si="32"/>
        <v>61.4</v>
      </c>
      <c r="BR76" s="78">
        <f t="shared" si="32"/>
        <v>0</v>
      </c>
      <c r="BS76" s="78">
        <f t="shared" si="32"/>
        <v>0</v>
      </c>
      <c r="BT76" s="78">
        <f t="shared" si="32"/>
        <v>0</v>
      </c>
      <c r="BU76" s="78">
        <f t="shared" si="32"/>
        <v>0</v>
      </c>
      <c r="BV76" s="78">
        <f t="shared" si="32"/>
        <v>0</v>
      </c>
      <c r="BW76" s="78">
        <f t="shared" si="32"/>
        <v>0</v>
      </c>
    </row>
    <row r="77" spans="1:75" x14ac:dyDescent="0.25">
      <c r="A77" s="89" t="s">
        <v>185</v>
      </c>
      <c r="B77" s="102">
        <v>59.5</v>
      </c>
      <c r="C77" s="102">
        <v>59.5</v>
      </c>
      <c r="D77" s="102">
        <v>59.5</v>
      </c>
      <c r="E77" s="102">
        <v>50.7</v>
      </c>
      <c r="F77" s="102">
        <v>50.7</v>
      </c>
      <c r="G77" s="102">
        <v>58</v>
      </c>
      <c r="H77" s="102">
        <v>59.1</v>
      </c>
      <c r="I77" s="102">
        <v>59.1</v>
      </c>
      <c r="J77" s="102">
        <v>10.4</v>
      </c>
      <c r="K77" s="102">
        <v>13.5</v>
      </c>
      <c r="L77" s="102">
        <v>29.3</v>
      </c>
      <c r="M77" s="102">
        <v>14</v>
      </c>
      <c r="N77" s="102">
        <v>14</v>
      </c>
      <c r="O77" s="102">
        <v>14</v>
      </c>
      <c r="P77" s="102">
        <v>20.2</v>
      </c>
      <c r="Q77" s="102">
        <v>29</v>
      </c>
      <c r="R77" s="102">
        <v>0</v>
      </c>
      <c r="S77" s="102">
        <v>0</v>
      </c>
      <c r="T77" s="102">
        <v>0</v>
      </c>
      <c r="U77" s="102">
        <v>0</v>
      </c>
      <c r="V77" s="102">
        <v>0</v>
      </c>
      <c r="W77" s="102">
        <v>0</v>
      </c>
      <c r="X77" s="102">
        <v>0</v>
      </c>
      <c r="Y77" s="102">
        <v>0</v>
      </c>
      <c r="Z77" s="102">
        <v>43.4</v>
      </c>
      <c r="AA77" s="102">
        <v>43.4</v>
      </c>
      <c r="AB77" s="102">
        <v>40</v>
      </c>
      <c r="AC77" s="102">
        <v>40</v>
      </c>
      <c r="AD77" s="102">
        <v>40</v>
      </c>
      <c r="AE77" s="102">
        <v>40</v>
      </c>
      <c r="AF77" s="102">
        <v>20</v>
      </c>
      <c r="AG77" s="88">
        <v>60</v>
      </c>
      <c r="AH77" s="12">
        <f t="shared" si="8"/>
        <v>59.5</v>
      </c>
      <c r="AI77" s="11">
        <f t="shared" si="9"/>
        <v>0</v>
      </c>
      <c r="AK77" s="19"/>
      <c r="AZ77" s="78">
        <f t="shared" si="32"/>
        <v>15</v>
      </c>
      <c r="BA77" s="78">
        <f t="shared" si="32"/>
        <v>0</v>
      </c>
      <c r="BB77" s="78">
        <f t="shared" si="32"/>
        <v>43</v>
      </c>
      <c r="BC77" s="78">
        <f t="shared" si="32"/>
        <v>54</v>
      </c>
      <c r="BD77" s="78">
        <f t="shared" si="32"/>
        <v>106.3</v>
      </c>
      <c r="BE77" s="78">
        <f t="shared" si="32"/>
        <v>150</v>
      </c>
      <c r="BF77" s="78">
        <f t="shared" si="32"/>
        <v>389</v>
      </c>
      <c r="BG77" s="78">
        <f t="shared" si="32"/>
        <v>425</v>
      </c>
      <c r="BH77" s="78">
        <f t="shared" si="32"/>
        <v>462</v>
      </c>
      <c r="BI77" s="78">
        <f t="shared" si="32"/>
        <v>446</v>
      </c>
      <c r="BJ77" s="78">
        <f t="shared" si="32"/>
        <v>450</v>
      </c>
      <c r="BK77" s="78">
        <f t="shared" si="32"/>
        <v>407</v>
      </c>
      <c r="BL77" s="78">
        <f t="shared" si="32"/>
        <v>491</v>
      </c>
      <c r="BM77" s="78">
        <f t="shared" si="32"/>
        <v>500</v>
      </c>
      <c r="BN77" s="78">
        <f t="shared" si="32"/>
        <v>456</v>
      </c>
      <c r="BO77" s="78">
        <f t="shared" si="32"/>
        <v>467.6</v>
      </c>
      <c r="BP77" s="78">
        <f t="shared" si="32"/>
        <v>426</v>
      </c>
      <c r="BQ77" s="78">
        <f t="shared" si="32"/>
        <v>356</v>
      </c>
      <c r="BR77" s="78">
        <f t="shared" si="32"/>
        <v>125.3</v>
      </c>
      <c r="BS77" s="78">
        <f t="shared" si="32"/>
        <v>133</v>
      </c>
      <c r="BT77" s="78">
        <f t="shared" si="32"/>
        <v>68</v>
      </c>
      <c r="BU77" s="78">
        <f t="shared" si="32"/>
        <v>55</v>
      </c>
      <c r="BV77" s="78">
        <f t="shared" si="32"/>
        <v>47</v>
      </c>
      <c r="BW77" s="78">
        <f t="shared" si="32"/>
        <v>25</v>
      </c>
    </row>
    <row r="78" spans="1:75" x14ac:dyDescent="0.25">
      <c r="A78" s="87" t="s">
        <v>184</v>
      </c>
      <c r="B78" s="70">
        <v>28.4</v>
      </c>
      <c r="C78" s="70">
        <v>28.4</v>
      </c>
      <c r="D78" s="70">
        <v>28.4</v>
      </c>
      <c r="E78" s="70">
        <v>23.2</v>
      </c>
      <c r="F78" s="70">
        <v>23.2</v>
      </c>
      <c r="G78" s="70">
        <v>24</v>
      </c>
      <c r="H78" s="70">
        <v>28.9</v>
      </c>
      <c r="I78" s="70">
        <v>28.9</v>
      </c>
      <c r="J78" s="70">
        <v>3.2</v>
      </c>
      <c r="K78" s="70">
        <v>4.5999999999999996</v>
      </c>
      <c r="L78" s="70">
        <v>12.7</v>
      </c>
      <c r="M78" s="70">
        <v>4.5</v>
      </c>
      <c r="N78" s="70">
        <v>4.5</v>
      </c>
      <c r="O78" s="70">
        <v>4.5</v>
      </c>
      <c r="P78" s="70">
        <v>5.2</v>
      </c>
      <c r="Q78" s="70">
        <v>12</v>
      </c>
      <c r="R78" s="70">
        <v>0</v>
      </c>
      <c r="S78" s="70">
        <v>0</v>
      </c>
      <c r="T78" s="70">
        <v>0</v>
      </c>
      <c r="U78" s="70">
        <v>0</v>
      </c>
      <c r="V78" s="70">
        <v>0</v>
      </c>
      <c r="W78" s="70">
        <v>0</v>
      </c>
      <c r="X78" s="70">
        <v>0</v>
      </c>
      <c r="Y78" s="70">
        <v>0</v>
      </c>
      <c r="Z78" s="70">
        <v>17.899999999999999</v>
      </c>
      <c r="AA78" s="70">
        <v>17.899999999999999</v>
      </c>
      <c r="AB78" s="70">
        <v>22.8</v>
      </c>
      <c r="AC78" s="70">
        <v>22.8</v>
      </c>
      <c r="AD78" s="70">
        <v>22.8</v>
      </c>
      <c r="AE78" s="70">
        <v>22.8</v>
      </c>
      <c r="AF78" s="70">
        <v>16</v>
      </c>
      <c r="AG78" s="86">
        <v>32</v>
      </c>
      <c r="AH78" s="12">
        <f t="shared" si="8"/>
        <v>28.9</v>
      </c>
      <c r="AI78" s="11">
        <f t="shared" si="9"/>
        <v>0</v>
      </c>
      <c r="AK78" s="19"/>
      <c r="AZ78" s="78">
        <f t="shared" si="32"/>
        <v>0</v>
      </c>
      <c r="BA78" s="78">
        <f t="shared" si="32"/>
        <v>0</v>
      </c>
      <c r="BB78" s="78">
        <f t="shared" si="32"/>
        <v>0</v>
      </c>
      <c r="BC78" s="78">
        <f t="shared" si="32"/>
        <v>0</v>
      </c>
      <c r="BD78" s="78">
        <f t="shared" si="32"/>
        <v>0</v>
      </c>
      <c r="BE78" s="78">
        <f t="shared" si="32"/>
        <v>0</v>
      </c>
      <c r="BF78" s="78">
        <f t="shared" si="32"/>
        <v>46.5</v>
      </c>
      <c r="BG78" s="78">
        <f t="shared" si="32"/>
        <v>54</v>
      </c>
      <c r="BH78" s="78">
        <f t="shared" si="32"/>
        <v>58</v>
      </c>
      <c r="BI78" s="78">
        <f t="shared" si="32"/>
        <v>49.7</v>
      </c>
      <c r="BJ78" s="78">
        <f t="shared" si="32"/>
        <v>57.1</v>
      </c>
      <c r="BK78" s="78">
        <f t="shared" si="32"/>
        <v>53</v>
      </c>
      <c r="BL78" s="78">
        <f t="shared" si="32"/>
        <v>44</v>
      </c>
      <c r="BM78" s="78">
        <f t="shared" si="32"/>
        <v>52.5</v>
      </c>
      <c r="BN78" s="78">
        <f t="shared" si="32"/>
        <v>8</v>
      </c>
      <c r="BO78" s="78">
        <f t="shared" si="32"/>
        <v>9.1</v>
      </c>
      <c r="BP78" s="78">
        <f t="shared" si="32"/>
        <v>25</v>
      </c>
      <c r="BQ78" s="78">
        <f t="shared" si="32"/>
        <v>9.8000000000000007</v>
      </c>
      <c r="BR78" s="78">
        <f t="shared" si="32"/>
        <v>0</v>
      </c>
      <c r="BS78" s="78">
        <f t="shared" si="32"/>
        <v>0</v>
      </c>
      <c r="BT78" s="78">
        <f t="shared" si="32"/>
        <v>14</v>
      </c>
      <c r="BU78" s="78">
        <f t="shared" si="32"/>
        <v>14</v>
      </c>
      <c r="BV78" s="78">
        <f t="shared" si="32"/>
        <v>14</v>
      </c>
      <c r="BW78" s="78">
        <f t="shared" si="32"/>
        <v>0</v>
      </c>
    </row>
    <row r="79" spans="1:75" ht="15.75" thickBot="1" x14ac:dyDescent="0.3">
      <c r="A79" s="111" t="s">
        <v>183</v>
      </c>
      <c r="B79" s="110">
        <v>10.4</v>
      </c>
      <c r="C79" s="110">
        <v>10.4</v>
      </c>
      <c r="D79" s="110">
        <v>10.4</v>
      </c>
      <c r="E79" s="110">
        <v>8.4</v>
      </c>
      <c r="F79" s="110">
        <v>8.4</v>
      </c>
      <c r="G79" s="110">
        <v>8.5</v>
      </c>
      <c r="H79" s="110">
        <v>10.5</v>
      </c>
      <c r="I79" s="110">
        <v>10.5</v>
      </c>
      <c r="J79" s="110">
        <v>1.2</v>
      </c>
      <c r="K79" s="110">
        <v>1.7</v>
      </c>
      <c r="L79" s="110">
        <v>4.5999999999999996</v>
      </c>
      <c r="M79" s="110">
        <v>1.6</v>
      </c>
      <c r="N79" s="110">
        <v>1.6</v>
      </c>
      <c r="O79" s="110">
        <v>1.6</v>
      </c>
      <c r="P79" s="110">
        <v>1.9</v>
      </c>
      <c r="Q79" s="110">
        <v>4.5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Z79" s="110">
        <v>6.5</v>
      </c>
      <c r="AA79" s="110">
        <v>6.5</v>
      </c>
      <c r="AB79" s="110">
        <v>8.3000000000000007</v>
      </c>
      <c r="AC79" s="110">
        <v>8.3000000000000007</v>
      </c>
      <c r="AD79" s="110">
        <v>8.3000000000000007</v>
      </c>
      <c r="AE79" s="110">
        <v>8.3000000000000007</v>
      </c>
      <c r="AF79" s="110">
        <v>6</v>
      </c>
      <c r="AG79" s="109">
        <v>14</v>
      </c>
      <c r="AH79" s="12">
        <f t="shared" si="8"/>
        <v>10.5</v>
      </c>
      <c r="AI79" s="11">
        <f t="shared" si="9"/>
        <v>0</v>
      </c>
      <c r="AK79" s="19"/>
      <c r="AZ79" s="78">
        <f t="shared" si="32"/>
        <v>0</v>
      </c>
      <c r="BA79" s="78">
        <f t="shared" si="32"/>
        <v>0</v>
      </c>
      <c r="BB79" s="78">
        <f t="shared" si="32"/>
        <v>0</v>
      </c>
      <c r="BC79" s="78">
        <f t="shared" si="32"/>
        <v>0</v>
      </c>
      <c r="BD79" s="78">
        <f t="shared" si="32"/>
        <v>0</v>
      </c>
      <c r="BE79" s="78">
        <f t="shared" si="32"/>
        <v>0</v>
      </c>
      <c r="BF79" s="78">
        <f t="shared" si="32"/>
        <v>111</v>
      </c>
      <c r="BG79" s="78">
        <f t="shared" si="32"/>
        <v>119.8</v>
      </c>
      <c r="BH79" s="78">
        <f t="shared" si="32"/>
        <v>132</v>
      </c>
      <c r="BI79" s="78">
        <f t="shared" si="32"/>
        <v>128</v>
      </c>
      <c r="BJ79" s="78">
        <f t="shared" si="32"/>
        <v>139.6</v>
      </c>
      <c r="BK79" s="78">
        <f t="shared" si="32"/>
        <v>148.9</v>
      </c>
      <c r="BL79" s="78">
        <f t="shared" si="32"/>
        <v>121</v>
      </c>
      <c r="BM79" s="78">
        <f t="shared" si="32"/>
        <v>126.8</v>
      </c>
      <c r="BN79" s="78">
        <f t="shared" si="32"/>
        <v>117</v>
      </c>
      <c r="BO79" s="78">
        <f t="shared" si="32"/>
        <v>123.8</v>
      </c>
      <c r="BP79" s="78">
        <f t="shared" si="32"/>
        <v>132.19999999999999</v>
      </c>
      <c r="BQ79" s="78">
        <f t="shared" si="32"/>
        <v>94.9</v>
      </c>
      <c r="BR79" s="78">
        <f t="shared" si="32"/>
        <v>54.2</v>
      </c>
      <c r="BS79" s="78">
        <f t="shared" si="32"/>
        <v>0</v>
      </c>
      <c r="BT79" s="78">
        <f t="shared" si="32"/>
        <v>20</v>
      </c>
      <c r="BU79" s="78">
        <f t="shared" si="32"/>
        <v>49</v>
      </c>
      <c r="BV79" s="78">
        <f t="shared" si="32"/>
        <v>25</v>
      </c>
      <c r="BW79" s="78">
        <f t="shared" si="32"/>
        <v>0</v>
      </c>
    </row>
    <row r="80" spans="1:75" ht="15.75" thickBot="1" x14ac:dyDescent="0.3">
      <c r="A80" s="77" t="s">
        <v>182</v>
      </c>
      <c r="B80" s="76">
        <f t="shared" ref="B80:C80" si="36">B77+B78+B79</f>
        <v>98.300000000000011</v>
      </c>
      <c r="C80" s="76">
        <f t="shared" si="36"/>
        <v>98.300000000000011</v>
      </c>
      <c r="D80" s="76">
        <f t="shared" ref="D80" si="37">D77+D78+D79</f>
        <v>98.300000000000011</v>
      </c>
      <c r="E80" s="76">
        <f t="shared" ref="E80:AF80" si="38">E77+E78+E79</f>
        <v>82.300000000000011</v>
      </c>
      <c r="F80" s="76">
        <f t="shared" si="38"/>
        <v>82.300000000000011</v>
      </c>
      <c r="G80" s="76">
        <f t="shared" si="38"/>
        <v>90.5</v>
      </c>
      <c r="H80" s="76">
        <f t="shared" si="38"/>
        <v>98.5</v>
      </c>
      <c r="I80" s="76">
        <f t="shared" si="38"/>
        <v>98.5</v>
      </c>
      <c r="J80" s="76">
        <f t="shared" si="38"/>
        <v>14.8</v>
      </c>
      <c r="K80" s="76">
        <f t="shared" si="38"/>
        <v>19.8</v>
      </c>
      <c r="L80" s="76">
        <f t="shared" si="38"/>
        <v>46.6</v>
      </c>
      <c r="M80" s="76">
        <f t="shared" si="38"/>
        <v>20.100000000000001</v>
      </c>
      <c r="N80" s="76">
        <f t="shared" si="38"/>
        <v>20.100000000000001</v>
      </c>
      <c r="O80" s="76">
        <f t="shared" si="38"/>
        <v>20.100000000000001</v>
      </c>
      <c r="P80" s="76">
        <f t="shared" si="38"/>
        <v>27.299999999999997</v>
      </c>
      <c r="Q80" s="76">
        <f t="shared" si="38"/>
        <v>45.5</v>
      </c>
      <c r="R80" s="76">
        <f t="shared" si="38"/>
        <v>0</v>
      </c>
      <c r="S80" s="76">
        <f t="shared" si="38"/>
        <v>0</v>
      </c>
      <c r="T80" s="76">
        <f t="shared" si="38"/>
        <v>0</v>
      </c>
      <c r="U80" s="76">
        <f t="shared" si="38"/>
        <v>0</v>
      </c>
      <c r="V80" s="76">
        <f t="shared" si="38"/>
        <v>0</v>
      </c>
      <c r="W80" s="76">
        <f t="shared" si="38"/>
        <v>0</v>
      </c>
      <c r="X80" s="76">
        <f t="shared" si="38"/>
        <v>0</v>
      </c>
      <c r="Y80" s="76">
        <f t="shared" si="38"/>
        <v>0</v>
      </c>
      <c r="Z80" s="76">
        <f>Z77+Z78+Z79</f>
        <v>67.8</v>
      </c>
      <c r="AA80" s="76">
        <f>AA77+AA78+AA79</f>
        <v>67.8</v>
      </c>
      <c r="AB80" s="76">
        <f t="shared" si="38"/>
        <v>71.099999999999994</v>
      </c>
      <c r="AC80" s="76">
        <f t="shared" si="38"/>
        <v>71.099999999999994</v>
      </c>
      <c r="AD80" s="76">
        <f t="shared" si="38"/>
        <v>71.099999999999994</v>
      </c>
      <c r="AE80" s="76">
        <f t="shared" si="38"/>
        <v>71.099999999999994</v>
      </c>
      <c r="AF80" s="76">
        <f t="shared" si="38"/>
        <v>42</v>
      </c>
      <c r="AG80" s="93">
        <f>SUM(AG77:AG79)</f>
        <v>106</v>
      </c>
      <c r="AH80" s="12">
        <f t="shared" si="8"/>
        <v>98.5</v>
      </c>
      <c r="AI80" s="11">
        <f t="shared" si="9"/>
        <v>0</v>
      </c>
      <c r="AK80" s="19"/>
      <c r="AZ80" s="78">
        <f t="shared" si="32"/>
        <v>45</v>
      </c>
      <c r="BA80" s="78">
        <f t="shared" si="32"/>
        <v>40</v>
      </c>
      <c r="BB80" s="78">
        <f t="shared" si="32"/>
        <v>41.7</v>
      </c>
      <c r="BC80" s="78">
        <f t="shared" si="32"/>
        <v>43.1</v>
      </c>
      <c r="BD80" s="78">
        <f t="shared" si="32"/>
        <v>39</v>
      </c>
      <c r="BE80" s="78">
        <f t="shared" si="32"/>
        <v>42.9</v>
      </c>
      <c r="BF80" s="78">
        <f t="shared" si="32"/>
        <v>50.3</v>
      </c>
      <c r="BG80" s="78">
        <f t="shared" si="32"/>
        <v>51.7</v>
      </c>
      <c r="BH80" s="78">
        <f t="shared" si="32"/>
        <v>54.54</v>
      </c>
      <c r="BI80" s="78">
        <f t="shared" si="32"/>
        <v>55</v>
      </c>
      <c r="BJ80" s="78">
        <f t="shared" si="32"/>
        <v>48.5</v>
      </c>
      <c r="BK80" s="78">
        <f t="shared" si="32"/>
        <v>53</v>
      </c>
      <c r="BL80" s="78">
        <f t="shared" si="32"/>
        <v>44</v>
      </c>
      <c r="BM80" s="78">
        <f t="shared" si="32"/>
        <v>55.8</v>
      </c>
      <c r="BN80" s="78">
        <f t="shared" si="32"/>
        <v>55.3</v>
      </c>
      <c r="BO80" s="78">
        <f t="shared" si="32"/>
        <v>52.4</v>
      </c>
      <c r="BP80" s="78">
        <f t="shared" si="32"/>
        <v>45.5</v>
      </c>
      <c r="BQ80" s="78">
        <f t="shared" si="32"/>
        <v>40.799999999999997</v>
      </c>
      <c r="BR80" s="78">
        <f t="shared" si="32"/>
        <v>43.3</v>
      </c>
      <c r="BS80" s="78">
        <f t="shared" si="32"/>
        <v>36.299999999999997</v>
      </c>
      <c r="BT80" s="78">
        <f t="shared" si="32"/>
        <v>37</v>
      </c>
      <c r="BU80" s="78">
        <f t="shared" si="32"/>
        <v>38</v>
      </c>
      <c r="BV80" s="78">
        <f t="shared" si="32"/>
        <v>38</v>
      </c>
      <c r="BW80" s="78">
        <f t="shared" si="32"/>
        <v>45</v>
      </c>
    </row>
    <row r="81" spans="1:64" x14ac:dyDescent="0.25">
      <c r="A81" s="89" t="s">
        <v>157</v>
      </c>
      <c r="B81" s="102">
        <v>36</v>
      </c>
      <c r="C81" s="102">
        <v>34</v>
      </c>
      <c r="D81" s="102">
        <v>35</v>
      </c>
      <c r="E81" s="102">
        <v>41.4</v>
      </c>
      <c r="F81" s="102">
        <v>36.700000000000003</v>
      </c>
      <c r="G81" s="102">
        <v>29.5</v>
      </c>
      <c r="H81" s="102">
        <v>28.3</v>
      </c>
      <c r="I81" s="102">
        <v>29.3</v>
      </c>
      <c r="J81" s="102">
        <v>44.3</v>
      </c>
      <c r="K81" s="102">
        <v>58.6</v>
      </c>
      <c r="L81" s="102">
        <v>64</v>
      </c>
      <c r="M81" s="102">
        <v>64.3</v>
      </c>
      <c r="N81" s="102">
        <v>51.5</v>
      </c>
      <c r="O81" s="102">
        <v>45</v>
      </c>
      <c r="P81" s="102">
        <v>28.2</v>
      </c>
      <c r="Q81" s="102">
        <v>66.5</v>
      </c>
      <c r="R81" s="102">
        <v>64</v>
      </c>
      <c r="S81" s="102">
        <v>71.400000000000006</v>
      </c>
      <c r="T81" s="102">
        <v>65</v>
      </c>
      <c r="U81" s="102">
        <v>70.7</v>
      </c>
      <c r="V81" s="102">
        <v>72.7</v>
      </c>
      <c r="W81" s="102">
        <v>63.7</v>
      </c>
      <c r="X81" s="102">
        <v>53.9</v>
      </c>
      <c r="Y81" s="102">
        <v>30.6</v>
      </c>
      <c r="Z81" s="102">
        <v>37</v>
      </c>
      <c r="AA81" s="102">
        <v>54</v>
      </c>
      <c r="AB81" s="102">
        <v>59</v>
      </c>
      <c r="AC81" s="102">
        <v>59</v>
      </c>
      <c r="AD81" s="102">
        <v>60</v>
      </c>
      <c r="AE81" s="102">
        <v>58</v>
      </c>
      <c r="AF81" s="102">
        <v>45</v>
      </c>
      <c r="AG81" s="88"/>
      <c r="AH81" s="12">
        <f t="shared" si="8"/>
        <v>72.7</v>
      </c>
      <c r="AI81" s="11">
        <f t="shared" si="9"/>
        <v>28.2</v>
      </c>
      <c r="AK81" s="19"/>
      <c r="AY81" s="78"/>
    </row>
    <row r="82" spans="1:64" x14ac:dyDescent="0.25">
      <c r="A82" s="87" t="s">
        <v>160</v>
      </c>
      <c r="B82" s="70">
        <v>0</v>
      </c>
      <c r="C82" s="70">
        <v>0</v>
      </c>
      <c r="D82" s="70">
        <v>0</v>
      </c>
      <c r="E82" s="70">
        <v>0</v>
      </c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>
        <v>83.5</v>
      </c>
      <c r="U82" s="70">
        <v>89.5</v>
      </c>
      <c r="V82" s="70">
        <v>88.3</v>
      </c>
      <c r="W82" s="70">
        <v>68.900000000000006</v>
      </c>
      <c r="X82" s="70">
        <v>61.4</v>
      </c>
      <c r="Y82" s="70">
        <v>0</v>
      </c>
      <c r="Z82" s="70">
        <v>0</v>
      </c>
      <c r="AA82" s="70">
        <v>0</v>
      </c>
      <c r="AB82" s="70">
        <v>0</v>
      </c>
      <c r="AC82" s="70">
        <v>0</v>
      </c>
      <c r="AD82" s="70">
        <v>0</v>
      </c>
      <c r="AE82" s="70">
        <v>0</v>
      </c>
      <c r="AF82" s="70">
        <v>0</v>
      </c>
      <c r="AG82" s="86"/>
      <c r="AH82" s="12">
        <f t="shared" ref="AH82:AH125" si="39">MAX(B82:AF82)</f>
        <v>89.5</v>
      </c>
      <c r="AI82" s="11">
        <f t="shared" ref="AI82:AI125" si="40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25">
      <c r="A83" s="87" t="s">
        <v>181</v>
      </c>
      <c r="B83" s="70">
        <v>25</v>
      </c>
      <c r="C83" s="70">
        <v>15</v>
      </c>
      <c r="D83" s="70">
        <v>0</v>
      </c>
      <c r="E83" s="70">
        <v>43</v>
      </c>
      <c r="F83" s="70">
        <v>54</v>
      </c>
      <c r="G83" s="70">
        <v>106.3</v>
      </c>
      <c r="H83" s="70">
        <v>121.4</v>
      </c>
      <c r="I83" s="70">
        <v>150</v>
      </c>
      <c r="J83" s="70">
        <v>358</v>
      </c>
      <c r="K83" s="70">
        <v>389</v>
      </c>
      <c r="L83" s="70">
        <v>369</v>
      </c>
      <c r="M83" s="70">
        <v>425</v>
      </c>
      <c r="N83" s="70">
        <v>462</v>
      </c>
      <c r="O83" s="70">
        <v>446</v>
      </c>
      <c r="P83" s="70">
        <v>450</v>
      </c>
      <c r="Q83" s="70">
        <v>407</v>
      </c>
      <c r="R83" s="70">
        <v>491</v>
      </c>
      <c r="S83" s="70">
        <v>500</v>
      </c>
      <c r="T83" s="70">
        <v>456</v>
      </c>
      <c r="U83" s="70">
        <v>467.6</v>
      </c>
      <c r="V83" s="70">
        <v>426</v>
      </c>
      <c r="W83" s="70">
        <v>413</v>
      </c>
      <c r="X83" s="70">
        <v>356</v>
      </c>
      <c r="Y83" s="70">
        <v>89</v>
      </c>
      <c r="Z83" s="70">
        <v>125.3</v>
      </c>
      <c r="AA83" s="70">
        <v>126</v>
      </c>
      <c r="AB83" s="70">
        <v>133</v>
      </c>
      <c r="AC83" s="70">
        <v>133</v>
      </c>
      <c r="AD83" s="70">
        <v>68</v>
      </c>
      <c r="AE83" s="70">
        <v>55</v>
      </c>
      <c r="AF83" s="70">
        <v>47</v>
      </c>
      <c r="AG83" s="96"/>
      <c r="AH83" s="12">
        <f t="shared" si="39"/>
        <v>500</v>
      </c>
      <c r="AI83" s="11">
        <f t="shared" si="40"/>
        <v>0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25">
      <c r="A84" s="87" t="s">
        <v>161</v>
      </c>
      <c r="B84" s="70">
        <v>0</v>
      </c>
      <c r="C84" s="70">
        <v>0</v>
      </c>
      <c r="D84" s="70">
        <v>0</v>
      </c>
      <c r="E84" s="85">
        <v>0</v>
      </c>
      <c r="F84" s="85"/>
      <c r="G84" s="85"/>
      <c r="H84" s="85"/>
      <c r="I84" s="85"/>
      <c r="J84" s="85">
        <v>53</v>
      </c>
      <c r="K84" s="85">
        <v>46.5</v>
      </c>
      <c r="L84" s="85">
        <v>55.4</v>
      </c>
      <c r="M84" s="85">
        <v>54</v>
      </c>
      <c r="N84" s="85">
        <v>58</v>
      </c>
      <c r="O84" s="85">
        <v>49.7</v>
      </c>
      <c r="P84" s="85">
        <v>57.1</v>
      </c>
      <c r="Q84" s="85">
        <v>53</v>
      </c>
      <c r="R84" s="85">
        <v>44</v>
      </c>
      <c r="S84" s="85">
        <v>52.5</v>
      </c>
      <c r="T84" s="85">
        <v>8</v>
      </c>
      <c r="U84" s="85">
        <v>9.1</v>
      </c>
      <c r="V84" s="85">
        <v>25</v>
      </c>
      <c r="W84" s="85">
        <v>13.4</v>
      </c>
      <c r="X84" s="85">
        <v>9.8000000000000007</v>
      </c>
      <c r="Y84" s="85">
        <v>0</v>
      </c>
      <c r="Z84" s="85">
        <v>0</v>
      </c>
      <c r="AA84" s="85">
        <v>0</v>
      </c>
      <c r="AB84" s="85">
        <v>0</v>
      </c>
      <c r="AC84" s="85">
        <v>0</v>
      </c>
      <c r="AD84" s="85">
        <v>14</v>
      </c>
      <c r="AE84" s="85">
        <v>14</v>
      </c>
      <c r="AF84" s="85">
        <v>14</v>
      </c>
      <c r="AG84" s="96"/>
      <c r="AH84" s="12">
        <f t="shared" si="39"/>
        <v>58</v>
      </c>
      <c r="AI84" s="11">
        <f t="shared" si="40"/>
        <v>0</v>
      </c>
      <c r="AK84" s="19"/>
      <c r="AY84" s="78"/>
      <c r="BF84" s="83"/>
      <c r="BG84" s="78">
        <f t="array" ref="BG84:BL107">TRANSPOSE(AZ68:BW73)</f>
        <v>34</v>
      </c>
      <c r="BH84" s="78">
        <v>0</v>
      </c>
      <c r="BI84" s="78">
        <v>15</v>
      </c>
      <c r="BJ84" s="78">
        <v>0</v>
      </c>
      <c r="BK84" s="78">
        <v>0</v>
      </c>
      <c r="BL84" s="78">
        <v>45</v>
      </c>
    </row>
    <row r="85" spans="1:64" x14ac:dyDescent="0.25">
      <c r="A85" s="87" t="s">
        <v>180</v>
      </c>
      <c r="B85" s="102">
        <v>0</v>
      </c>
      <c r="C85" s="102">
        <v>0</v>
      </c>
      <c r="D85" s="102">
        <v>0</v>
      </c>
      <c r="E85" s="102">
        <v>0</v>
      </c>
      <c r="F85" s="102"/>
      <c r="G85" s="102"/>
      <c r="H85" s="102"/>
      <c r="I85" s="102"/>
      <c r="J85" s="102">
        <v>113.4</v>
      </c>
      <c r="K85" s="102">
        <v>111</v>
      </c>
      <c r="L85" s="102">
        <v>118.4</v>
      </c>
      <c r="M85" s="102">
        <v>119.8</v>
      </c>
      <c r="N85" s="102">
        <v>132</v>
      </c>
      <c r="O85" s="102">
        <v>128</v>
      </c>
      <c r="P85" s="102">
        <v>139.6</v>
      </c>
      <c r="Q85" s="102">
        <v>148.9</v>
      </c>
      <c r="R85" s="102">
        <v>121</v>
      </c>
      <c r="S85" s="102">
        <v>126.8</v>
      </c>
      <c r="T85" s="102">
        <v>117</v>
      </c>
      <c r="U85" s="102">
        <v>123.8</v>
      </c>
      <c r="V85" s="102">
        <v>132.19999999999999</v>
      </c>
      <c r="W85" s="102">
        <v>117.7</v>
      </c>
      <c r="X85" s="102">
        <v>94.9</v>
      </c>
      <c r="Y85" s="102">
        <v>59</v>
      </c>
      <c r="Z85" s="102">
        <v>54.2</v>
      </c>
      <c r="AA85" s="102">
        <v>0</v>
      </c>
      <c r="AB85" s="102">
        <v>0</v>
      </c>
      <c r="AC85" s="102">
        <v>0</v>
      </c>
      <c r="AD85" s="102">
        <v>20</v>
      </c>
      <c r="AE85" s="102">
        <v>49</v>
      </c>
      <c r="AF85" s="102">
        <v>25</v>
      </c>
      <c r="AG85" s="96"/>
      <c r="AH85" s="12">
        <f t="shared" si="39"/>
        <v>148.9</v>
      </c>
      <c r="AI85" s="11">
        <f t="shared" si="40"/>
        <v>0</v>
      </c>
      <c r="AK85" s="19"/>
      <c r="AY85" s="78"/>
      <c r="BF85" s="83"/>
      <c r="BG85" s="78">
        <v>35</v>
      </c>
      <c r="BH85" s="78">
        <v>0</v>
      </c>
      <c r="BI85" s="78">
        <v>0</v>
      </c>
      <c r="BJ85" s="78">
        <v>0</v>
      </c>
      <c r="BK85" s="78">
        <v>0</v>
      </c>
      <c r="BL85" s="78">
        <v>40</v>
      </c>
    </row>
    <row r="86" spans="1:64" x14ac:dyDescent="0.25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39"/>
        <v>0</v>
      </c>
      <c r="AI86" s="11">
        <f t="shared" si="40"/>
        <v>0</v>
      </c>
      <c r="AK86" s="19"/>
      <c r="AY86" s="78"/>
      <c r="BF86" s="83"/>
      <c r="BG86" s="78">
        <v>41.4</v>
      </c>
      <c r="BH86" s="78">
        <v>0</v>
      </c>
      <c r="BI86" s="78">
        <v>43</v>
      </c>
      <c r="BJ86" s="78">
        <v>0</v>
      </c>
      <c r="BK86" s="78">
        <v>0</v>
      </c>
      <c r="BL86" s="78">
        <v>41.7</v>
      </c>
    </row>
    <row r="87" spans="1:64" ht="15.75" thickBot="1" x14ac:dyDescent="0.3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39"/>
        <v>0</v>
      </c>
      <c r="AI87" s="11">
        <f t="shared" si="40"/>
        <v>0</v>
      </c>
      <c r="AK87" s="19"/>
      <c r="AL87" s="108" t="s">
        <v>177</v>
      </c>
      <c r="AM87" s="108"/>
      <c r="AY87" s="78"/>
      <c r="BF87" s="78"/>
      <c r="BG87" s="78">
        <v>36.700000000000003</v>
      </c>
      <c r="BH87" s="78">
        <v>0</v>
      </c>
      <c r="BI87" s="78">
        <v>54</v>
      </c>
      <c r="BJ87" s="78">
        <v>0</v>
      </c>
      <c r="BK87" s="78">
        <v>0</v>
      </c>
      <c r="BL87" s="78">
        <v>43.1</v>
      </c>
    </row>
    <row r="88" spans="1:64" x14ac:dyDescent="0.25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39"/>
        <v>0</v>
      </c>
      <c r="AI88" s="11">
        <f t="shared" si="40"/>
        <v>0</v>
      </c>
      <c r="AK88" s="107"/>
      <c r="AL88" s="106"/>
      <c r="AM88" s="106"/>
      <c r="AN88" s="105"/>
      <c r="AY88" s="78"/>
      <c r="BF88" s="78"/>
      <c r="BG88" s="78">
        <v>29.5</v>
      </c>
      <c r="BH88" s="78">
        <v>0</v>
      </c>
      <c r="BI88" s="78">
        <v>106.3</v>
      </c>
      <c r="BJ88" s="78">
        <v>0</v>
      </c>
      <c r="BK88" s="78">
        <v>0</v>
      </c>
      <c r="BL88" s="78">
        <v>39</v>
      </c>
    </row>
    <row r="89" spans="1:64" x14ac:dyDescent="0.25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39"/>
        <v>0</v>
      </c>
      <c r="AI89" s="11">
        <f t="shared" si="40"/>
        <v>0</v>
      </c>
      <c r="AK89" s="104" t="s">
        <v>174</v>
      </c>
      <c r="AL89" s="70"/>
      <c r="AM89" s="85"/>
      <c r="AN89" s="103"/>
      <c r="AY89" s="78"/>
      <c r="BF89" s="78"/>
      <c r="BG89" s="78">
        <v>29.3</v>
      </c>
      <c r="BH89" s="78">
        <v>0</v>
      </c>
      <c r="BI89" s="78">
        <v>150</v>
      </c>
      <c r="BJ89" s="78">
        <v>0</v>
      </c>
      <c r="BK89" s="78">
        <v>0</v>
      </c>
      <c r="BL89" s="78">
        <v>42.9</v>
      </c>
    </row>
    <row r="90" spans="1:64" x14ac:dyDescent="0.25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39"/>
        <v>0</v>
      </c>
      <c r="AI90" s="11">
        <f t="shared" si="40"/>
        <v>0</v>
      </c>
      <c r="AK90" s="104" t="s">
        <v>172</v>
      </c>
      <c r="AL90" s="85"/>
      <c r="AM90" s="85"/>
      <c r="AN90" s="103"/>
      <c r="AY90" s="78"/>
      <c r="BF90" s="78"/>
      <c r="BG90" s="78">
        <v>58.6</v>
      </c>
      <c r="BH90" s="78">
        <v>0</v>
      </c>
      <c r="BI90" s="78">
        <v>389</v>
      </c>
      <c r="BJ90" s="78">
        <v>46.5</v>
      </c>
      <c r="BK90" s="78">
        <v>111</v>
      </c>
      <c r="BL90" s="78">
        <v>50.3</v>
      </c>
    </row>
    <row r="91" spans="1:64" ht="15.75" thickBot="1" x14ac:dyDescent="0.3">
      <c r="A91" s="82" t="s">
        <v>171</v>
      </c>
      <c r="B91" s="97">
        <v>45</v>
      </c>
      <c r="C91" s="97">
        <v>45</v>
      </c>
      <c r="D91" s="97">
        <v>40</v>
      </c>
      <c r="E91" s="97">
        <v>41.7</v>
      </c>
      <c r="F91" s="97">
        <v>43.1</v>
      </c>
      <c r="G91" s="97">
        <v>39</v>
      </c>
      <c r="H91" s="97">
        <v>38.6</v>
      </c>
      <c r="I91" s="97">
        <v>42.9</v>
      </c>
      <c r="J91" s="97">
        <v>45</v>
      </c>
      <c r="K91" s="97">
        <v>50.3</v>
      </c>
      <c r="L91" s="97">
        <v>37</v>
      </c>
      <c r="M91" s="97">
        <v>51.7</v>
      </c>
      <c r="N91" s="97">
        <v>54.54</v>
      </c>
      <c r="O91" s="97">
        <v>55</v>
      </c>
      <c r="P91" s="97">
        <v>48.5</v>
      </c>
      <c r="Q91" s="97">
        <v>53</v>
      </c>
      <c r="R91" s="97">
        <v>44</v>
      </c>
      <c r="S91" s="97">
        <v>55.8</v>
      </c>
      <c r="T91" s="97">
        <v>55.3</v>
      </c>
      <c r="U91" s="97">
        <v>52.4</v>
      </c>
      <c r="V91" s="97">
        <v>45.5</v>
      </c>
      <c r="W91" s="97">
        <f>46.5</f>
        <v>46.5</v>
      </c>
      <c r="X91" s="97">
        <v>40.799999999999997</v>
      </c>
      <c r="Y91" s="97">
        <v>41.3</v>
      </c>
      <c r="Z91" s="97">
        <v>43.3</v>
      </c>
      <c r="AA91" s="97">
        <v>41.8</v>
      </c>
      <c r="AB91" s="97">
        <v>36.299999999999997</v>
      </c>
      <c r="AC91" s="97">
        <v>36.299999999999997</v>
      </c>
      <c r="AD91" s="97">
        <v>37</v>
      </c>
      <c r="AE91" s="97">
        <v>38</v>
      </c>
      <c r="AF91" s="97">
        <v>38</v>
      </c>
      <c r="AG91" s="80"/>
      <c r="AH91" s="12">
        <f t="shared" si="39"/>
        <v>55.8</v>
      </c>
      <c r="AI91" s="11">
        <f t="shared" si="40"/>
        <v>36.299999999999997</v>
      </c>
      <c r="AK91" s="98"/>
      <c r="AL91" s="102"/>
      <c r="AM91" s="102"/>
      <c r="AN91" s="101"/>
      <c r="AY91" s="78"/>
      <c r="BF91" s="78"/>
      <c r="BG91" s="78">
        <v>64.3</v>
      </c>
      <c r="BH91" s="78">
        <v>0</v>
      </c>
      <c r="BI91" s="78">
        <v>425</v>
      </c>
      <c r="BJ91" s="78">
        <v>54</v>
      </c>
      <c r="BK91" s="78">
        <v>119.8</v>
      </c>
      <c r="BL91" s="78">
        <v>51.7</v>
      </c>
    </row>
    <row r="92" spans="1:64" ht="15.75" thickBot="1" x14ac:dyDescent="0.3">
      <c r="A92" s="77" t="s">
        <v>170</v>
      </c>
      <c r="B92" s="76">
        <f t="shared" ref="B92:C92" si="41">SUMIF(B81:B91,"&gt;0")</f>
        <v>106</v>
      </c>
      <c r="C92" s="76">
        <f t="shared" si="41"/>
        <v>94</v>
      </c>
      <c r="D92" s="76">
        <f t="shared" ref="D92" si="42">SUMIF(D81:D91,"&gt;0")</f>
        <v>75</v>
      </c>
      <c r="E92" s="76">
        <f t="shared" ref="E92:AF92" si="43">SUMIF(E81:E91,"&gt;0")</f>
        <v>126.10000000000001</v>
      </c>
      <c r="F92" s="76">
        <f t="shared" si="43"/>
        <v>133.80000000000001</v>
      </c>
      <c r="G92" s="76">
        <f t="shared" si="43"/>
        <v>174.8</v>
      </c>
      <c r="H92" s="76">
        <f t="shared" si="43"/>
        <v>188.3</v>
      </c>
      <c r="I92" s="76">
        <f t="shared" si="43"/>
        <v>222.20000000000002</v>
      </c>
      <c r="J92" s="76">
        <f t="shared" si="43"/>
        <v>613.70000000000005</v>
      </c>
      <c r="K92" s="76">
        <f t="shared" si="43"/>
        <v>655.4</v>
      </c>
      <c r="L92" s="76">
        <f t="shared" si="43"/>
        <v>643.79999999999995</v>
      </c>
      <c r="M92" s="76">
        <f t="shared" si="43"/>
        <v>714.8</v>
      </c>
      <c r="N92" s="76">
        <f t="shared" si="43"/>
        <v>758.04</v>
      </c>
      <c r="O92" s="76">
        <f t="shared" si="43"/>
        <v>723.7</v>
      </c>
      <c r="P92" s="76">
        <f t="shared" si="43"/>
        <v>723.4</v>
      </c>
      <c r="Q92" s="76">
        <f t="shared" si="43"/>
        <v>728.4</v>
      </c>
      <c r="R92" s="76">
        <f t="shared" si="43"/>
        <v>764</v>
      </c>
      <c r="S92" s="76">
        <f t="shared" si="43"/>
        <v>806.49999999999989</v>
      </c>
      <c r="T92" s="76">
        <f t="shared" si="43"/>
        <v>784.8</v>
      </c>
      <c r="U92" s="76">
        <f t="shared" si="43"/>
        <v>813.09999999999991</v>
      </c>
      <c r="V92" s="76">
        <f t="shared" si="43"/>
        <v>789.7</v>
      </c>
      <c r="W92" s="76">
        <f t="shared" si="43"/>
        <v>723.2</v>
      </c>
      <c r="X92" s="76">
        <f t="shared" si="43"/>
        <v>616.79999999999995</v>
      </c>
      <c r="Y92" s="76">
        <f t="shared" si="43"/>
        <v>219.89999999999998</v>
      </c>
      <c r="Z92" s="76">
        <f>SUMIF(Z81:Z91,"&gt;0")</f>
        <v>259.8</v>
      </c>
      <c r="AA92" s="76">
        <f>SUMIF(AA81:AA91,"&gt;0")</f>
        <v>221.8</v>
      </c>
      <c r="AB92" s="76">
        <f t="shared" si="43"/>
        <v>228.3</v>
      </c>
      <c r="AC92" s="76">
        <f t="shared" si="43"/>
        <v>228.3</v>
      </c>
      <c r="AD92" s="76">
        <f t="shared" si="43"/>
        <v>199</v>
      </c>
      <c r="AE92" s="76">
        <f t="shared" si="43"/>
        <v>214</v>
      </c>
      <c r="AF92" s="76">
        <f t="shared" si="43"/>
        <v>169</v>
      </c>
      <c r="AG92" s="75">
        <f>SUM(AG81:AG91)</f>
        <v>0</v>
      </c>
      <c r="AH92" s="12">
        <f t="shared" si="39"/>
        <v>813.09999999999991</v>
      </c>
      <c r="AI92" s="11">
        <f t="shared" si="40"/>
        <v>75</v>
      </c>
      <c r="AK92" s="98"/>
      <c r="AL92" s="97"/>
      <c r="AM92" s="100"/>
      <c r="AN92" s="220"/>
      <c r="AY92" s="78"/>
      <c r="BF92" s="78"/>
      <c r="BG92" s="78">
        <v>51.5</v>
      </c>
      <c r="BH92" s="78">
        <v>0</v>
      </c>
      <c r="BI92" s="78">
        <v>462</v>
      </c>
      <c r="BJ92" s="78">
        <v>58</v>
      </c>
      <c r="BK92" s="78">
        <v>132</v>
      </c>
      <c r="BL92" s="78">
        <v>54.54</v>
      </c>
    </row>
    <row r="93" spans="1:64" x14ac:dyDescent="0.25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39"/>
        <v>0</v>
      </c>
      <c r="AI93" s="11">
        <f t="shared" si="40"/>
        <v>0</v>
      </c>
      <c r="AK93" s="98"/>
      <c r="AL93" s="97"/>
      <c r="AM93" s="97"/>
      <c r="AN93" s="221"/>
      <c r="BF93" s="78"/>
      <c r="BG93" s="78">
        <v>45</v>
      </c>
      <c r="BH93" s="78">
        <v>0</v>
      </c>
      <c r="BI93" s="78">
        <v>446</v>
      </c>
      <c r="BJ93" s="78">
        <v>49.7</v>
      </c>
      <c r="BK93" s="78">
        <v>128</v>
      </c>
      <c r="BL93" s="78">
        <v>55</v>
      </c>
    </row>
    <row r="94" spans="1:64" ht="15.75" thickBot="1" x14ac:dyDescent="0.3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39"/>
        <v>0</v>
      </c>
      <c r="AI94" s="11">
        <f t="shared" si="40"/>
        <v>0</v>
      </c>
      <c r="AK94" s="95"/>
      <c r="AL94" s="67"/>
      <c r="AM94" s="67"/>
      <c r="AN94" s="94"/>
      <c r="BF94" s="78"/>
      <c r="BG94" s="78">
        <v>28.2</v>
      </c>
      <c r="BH94" s="78">
        <v>0</v>
      </c>
      <c r="BI94" s="78">
        <v>450</v>
      </c>
      <c r="BJ94" s="78">
        <v>57.1</v>
      </c>
      <c r="BK94" s="78">
        <v>139.6</v>
      </c>
      <c r="BL94" s="78">
        <v>48.5</v>
      </c>
    </row>
    <row r="95" spans="1:64" ht="15.75" thickBot="1" x14ac:dyDescent="0.3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39"/>
        <v>0</v>
      </c>
      <c r="AI95" s="11">
        <f t="shared" si="40"/>
        <v>0</v>
      </c>
      <c r="BF95" s="78"/>
      <c r="BG95" s="78">
        <v>66.5</v>
      </c>
      <c r="BH95" s="78">
        <v>0</v>
      </c>
      <c r="BI95" s="78">
        <v>407</v>
      </c>
      <c r="BJ95" s="78">
        <v>53</v>
      </c>
      <c r="BK95" s="78">
        <v>148.9</v>
      </c>
      <c r="BL95" s="78">
        <v>53</v>
      </c>
    </row>
    <row r="96" spans="1:64" ht="15.75" thickBot="1" x14ac:dyDescent="0.3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>
        <v>0</v>
      </c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39"/>
        <v>0</v>
      </c>
      <c r="AI96" s="11">
        <f t="shared" si="40"/>
        <v>0</v>
      </c>
      <c r="BF96" s="78"/>
      <c r="BG96" s="78">
        <v>64</v>
      </c>
      <c r="BH96" s="78">
        <v>0</v>
      </c>
      <c r="BI96" s="78">
        <v>491</v>
      </c>
      <c r="BJ96" s="78">
        <v>44</v>
      </c>
      <c r="BK96" s="78">
        <v>121</v>
      </c>
      <c r="BL96" s="78">
        <v>44</v>
      </c>
    </row>
    <row r="97" spans="1:64" ht="15.75" thickBot="1" x14ac:dyDescent="0.3">
      <c r="A97" s="77" t="s">
        <v>165</v>
      </c>
      <c r="B97" s="90">
        <f t="shared" ref="B97:C97" si="44">B58+B62+B80+B76+B92+B96</f>
        <v>1199.8400000000001</v>
      </c>
      <c r="C97" s="90">
        <f t="shared" si="44"/>
        <v>1144.8400000000001</v>
      </c>
      <c r="D97" s="90">
        <f t="shared" ref="D97" si="45">D58+D62+D80+D76+D92+D96</f>
        <v>1113.8400000000001</v>
      </c>
      <c r="E97" s="90">
        <f t="shared" ref="E97:AG97" si="46">E58+E62+E80+E76+E92+E96</f>
        <v>1134.1400000000001</v>
      </c>
      <c r="F97" s="90">
        <f t="shared" si="46"/>
        <v>1140.3400000000001</v>
      </c>
      <c r="G97" s="90">
        <f t="shared" si="46"/>
        <v>1180.8400000000001</v>
      </c>
      <c r="H97" s="90">
        <f t="shared" si="46"/>
        <v>1212.3400000000001</v>
      </c>
      <c r="I97" s="90">
        <f t="shared" si="46"/>
        <v>1240.9400000000003</v>
      </c>
      <c r="J97" s="90">
        <f t="shared" si="46"/>
        <v>1376.3400000000001</v>
      </c>
      <c r="K97" s="90">
        <f t="shared" si="46"/>
        <v>1427.94</v>
      </c>
      <c r="L97" s="90">
        <f t="shared" si="46"/>
        <v>1503.14</v>
      </c>
      <c r="M97" s="90">
        <f t="shared" si="46"/>
        <v>1519.64</v>
      </c>
      <c r="N97" s="90">
        <f t="shared" si="46"/>
        <v>1562.88</v>
      </c>
      <c r="O97" s="90">
        <f t="shared" si="46"/>
        <v>1483.3400000000001</v>
      </c>
      <c r="P97" s="90">
        <f t="shared" si="46"/>
        <v>1500.3400000000001</v>
      </c>
      <c r="Q97" s="90">
        <f t="shared" si="46"/>
        <v>1515.7400000000002</v>
      </c>
      <c r="R97" s="90">
        <f t="shared" si="46"/>
        <v>1495.8400000000001</v>
      </c>
      <c r="S97" s="90">
        <f t="shared" si="46"/>
        <v>1521.7399999999998</v>
      </c>
      <c r="T97" s="90">
        <f t="shared" si="46"/>
        <v>1527.8400000000001</v>
      </c>
      <c r="U97" s="90">
        <f t="shared" si="46"/>
        <v>1546.54</v>
      </c>
      <c r="V97" s="90">
        <f t="shared" si="46"/>
        <v>1493.44</v>
      </c>
      <c r="W97" s="90">
        <f t="shared" si="46"/>
        <v>1425.04</v>
      </c>
      <c r="X97" s="90">
        <f t="shared" si="46"/>
        <v>1345.94</v>
      </c>
      <c r="Y97" s="90">
        <f t="shared" si="46"/>
        <v>1279.0999999999999</v>
      </c>
      <c r="Z97" s="90">
        <f>Z58+Z62+Z80+Z76+Z92+Z96</f>
        <v>1440.3999999999999</v>
      </c>
      <c r="AA97" s="90">
        <f>AA58+AA62+AA80+AA76+AA92+AA96</f>
        <v>1495.4999999999998</v>
      </c>
      <c r="AB97" s="90">
        <f t="shared" si="46"/>
        <v>1538.64</v>
      </c>
      <c r="AC97" s="90">
        <f t="shared" si="46"/>
        <v>1538.64</v>
      </c>
      <c r="AD97" s="90">
        <f t="shared" si="46"/>
        <v>1423.3400000000001</v>
      </c>
      <c r="AE97" s="90">
        <f t="shared" si="46"/>
        <v>1399.3400000000001</v>
      </c>
      <c r="AF97" s="90">
        <f t="shared" si="46"/>
        <v>1227.24</v>
      </c>
      <c r="AG97" s="93">
        <f t="shared" si="46"/>
        <v>2231.81</v>
      </c>
      <c r="AH97" s="12">
        <f t="shared" si="39"/>
        <v>1562.88</v>
      </c>
      <c r="AI97" s="11">
        <f t="shared" si="40"/>
        <v>1113.8400000000001</v>
      </c>
      <c r="BF97" s="78"/>
      <c r="BG97" s="78">
        <v>71.400000000000006</v>
      </c>
      <c r="BH97" s="78">
        <v>0</v>
      </c>
      <c r="BI97" s="78">
        <v>500</v>
      </c>
      <c r="BJ97" s="78">
        <v>52.5</v>
      </c>
      <c r="BK97" s="78">
        <v>126.8</v>
      </c>
      <c r="BL97" s="78">
        <v>55.8</v>
      </c>
    </row>
    <row r="98" spans="1:64" ht="15.75" thickBot="1" x14ac:dyDescent="0.3">
      <c r="A98" s="92" t="s">
        <v>164</v>
      </c>
      <c r="B98" s="91">
        <v>250</v>
      </c>
      <c r="C98" s="91">
        <v>250</v>
      </c>
      <c r="D98" s="91">
        <v>251</v>
      </c>
      <c r="E98" s="91">
        <v>250</v>
      </c>
      <c r="F98" s="91">
        <v>250</v>
      </c>
      <c r="G98" s="91">
        <v>230</v>
      </c>
      <c r="H98" s="91">
        <v>200</v>
      </c>
      <c r="I98" s="91">
        <v>180</v>
      </c>
      <c r="J98" s="91">
        <v>50</v>
      </c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>
        <v>250</v>
      </c>
      <c r="Z98" s="91">
        <v>250</v>
      </c>
      <c r="AA98" s="91">
        <v>251</v>
      </c>
      <c r="AB98" s="91">
        <v>250</v>
      </c>
      <c r="AC98" s="91">
        <v>250</v>
      </c>
      <c r="AD98" s="91">
        <v>250</v>
      </c>
      <c r="AE98" s="91">
        <v>250</v>
      </c>
      <c r="AF98" s="91">
        <v>250</v>
      </c>
      <c r="AG98" s="75"/>
      <c r="AH98" s="12">
        <f t="shared" si="39"/>
        <v>251</v>
      </c>
      <c r="AI98" s="11">
        <f t="shared" si="40"/>
        <v>50</v>
      </c>
      <c r="BF98" s="78"/>
      <c r="BG98" s="78">
        <v>65</v>
      </c>
      <c r="BH98" s="78">
        <v>83.5</v>
      </c>
      <c r="BI98" s="78">
        <v>456</v>
      </c>
      <c r="BJ98" s="78">
        <v>8</v>
      </c>
      <c r="BK98" s="78">
        <v>117</v>
      </c>
      <c r="BL98" s="78">
        <v>55.3</v>
      </c>
    </row>
    <row r="99" spans="1:64" ht="15.75" thickBot="1" x14ac:dyDescent="0.3">
      <c r="A99" s="77" t="s">
        <v>163</v>
      </c>
      <c r="B99" s="90">
        <f t="shared" ref="B99:C99" si="47">B97+B98</f>
        <v>1449.8400000000001</v>
      </c>
      <c r="C99" s="90">
        <f t="shared" si="47"/>
        <v>1394.8400000000001</v>
      </c>
      <c r="D99" s="90">
        <f t="shared" ref="D99" si="48">D97+D98</f>
        <v>1364.8400000000001</v>
      </c>
      <c r="E99" s="90">
        <f t="shared" ref="E99:AF99" si="49">E97+E98</f>
        <v>1384.14</v>
      </c>
      <c r="F99" s="90">
        <f t="shared" si="49"/>
        <v>1390.3400000000001</v>
      </c>
      <c r="G99" s="90">
        <f t="shared" si="49"/>
        <v>1410.8400000000001</v>
      </c>
      <c r="H99" s="90">
        <f t="shared" si="49"/>
        <v>1412.3400000000001</v>
      </c>
      <c r="I99" s="90">
        <f t="shared" si="49"/>
        <v>1420.9400000000003</v>
      </c>
      <c r="J99" s="90">
        <f t="shared" si="49"/>
        <v>1426.3400000000001</v>
      </c>
      <c r="K99" s="90">
        <f t="shared" si="49"/>
        <v>1427.94</v>
      </c>
      <c r="L99" s="90">
        <f t="shared" si="49"/>
        <v>1503.14</v>
      </c>
      <c r="M99" s="90">
        <f t="shared" si="49"/>
        <v>1519.64</v>
      </c>
      <c r="N99" s="90">
        <f t="shared" si="49"/>
        <v>1562.88</v>
      </c>
      <c r="O99" s="90">
        <f t="shared" si="49"/>
        <v>1483.3400000000001</v>
      </c>
      <c r="P99" s="90">
        <f t="shared" si="49"/>
        <v>1500.3400000000001</v>
      </c>
      <c r="Q99" s="90">
        <f t="shared" si="49"/>
        <v>1515.7400000000002</v>
      </c>
      <c r="R99" s="90">
        <f t="shared" si="49"/>
        <v>1495.8400000000001</v>
      </c>
      <c r="S99" s="90">
        <f t="shared" si="49"/>
        <v>1521.7399999999998</v>
      </c>
      <c r="T99" s="90">
        <f t="shared" si="49"/>
        <v>1527.8400000000001</v>
      </c>
      <c r="U99" s="90">
        <f t="shared" si="49"/>
        <v>1546.54</v>
      </c>
      <c r="V99" s="90">
        <f t="shared" si="49"/>
        <v>1493.44</v>
      </c>
      <c r="W99" s="90">
        <f t="shared" si="49"/>
        <v>1425.04</v>
      </c>
      <c r="X99" s="90">
        <f t="shared" si="49"/>
        <v>1345.94</v>
      </c>
      <c r="Y99" s="90">
        <f t="shared" si="49"/>
        <v>1529.1</v>
      </c>
      <c r="Z99" s="90">
        <f>Z97+Z98</f>
        <v>1690.3999999999999</v>
      </c>
      <c r="AA99" s="90">
        <f>AA97+AA98</f>
        <v>1746.4999999999998</v>
      </c>
      <c r="AB99" s="90">
        <f t="shared" si="49"/>
        <v>1788.64</v>
      </c>
      <c r="AC99" s="90">
        <f t="shared" si="49"/>
        <v>1788.64</v>
      </c>
      <c r="AD99" s="90">
        <f t="shared" si="49"/>
        <v>1673.3400000000001</v>
      </c>
      <c r="AE99" s="90">
        <f t="shared" si="49"/>
        <v>1649.3400000000001</v>
      </c>
      <c r="AF99" s="90">
        <f t="shared" si="49"/>
        <v>1477.24</v>
      </c>
      <c r="AG99" s="75">
        <f>AG96+AG92+AG80+AG76+AG58+AG98</f>
        <v>1693.71</v>
      </c>
      <c r="AH99" s="12">
        <f t="shared" si="39"/>
        <v>1788.64</v>
      </c>
      <c r="AI99" s="11">
        <f t="shared" si="40"/>
        <v>1345.94</v>
      </c>
      <c r="BF99" s="78"/>
      <c r="BG99" s="78">
        <v>70.7</v>
      </c>
      <c r="BH99" s="78">
        <v>89.5</v>
      </c>
      <c r="BI99" s="78">
        <v>467.6</v>
      </c>
      <c r="BJ99" s="78">
        <v>9.1</v>
      </c>
      <c r="BK99" s="78">
        <v>123.8</v>
      </c>
      <c r="BL99" s="78">
        <v>52.4</v>
      </c>
    </row>
    <row r="100" spans="1:64" ht="15.75" thickBot="1" x14ac:dyDescent="0.3">
      <c r="A100" s="77" t="s">
        <v>162</v>
      </c>
      <c r="B100" s="90">
        <f t="shared" ref="B100:C100" si="50">B99-(B107)</f>
        <v>1449.8400000000001</v>
      </c>
      <c r="C100" s="90">
        <f t="shared" si="50"/>
        <v>1393.8400000000001</v>
      </c>
      <c r="D100" s="90">
        <f t="shared" ref="D100" si="51">D99-(D107)</f>
        <v>1364.8400000000001</v>
      </c>
      <c r="E100" s="90">
        <f t="shared" ref="E100:AF100" si="52">E99-(E107)</f>
        <v>1384.14</v>
      </c>
      <c r="F100" s="90">
        <f t="shared" si="52"/>
        <v>1390.3400000000001</v>
      </c>
      <c r="G100" s="90">
        <f t="shared" si="52"/>
        <v>1410.8400000000001</v>
      </c>
      <c r="H100" s="90">
        <f t="shared" si="52"/>
        <v>1412.3400000000001</v>
      </c>
      <c r="I100" s="90">
        <f t="shared" si="52"/>
        <v>1420.9400000000003</v>
      </c>
      <c r="J100" s="90">
        <f t="shared" si="52"/>
        <v>1426.3400000000001</v>
      </c>
      <c r="K100" s="90">
        <f t="shared" si="52"/>
        <v>1427.94</v>
      </c>
      <c r="L100" s="90">
        <f t="shared" si="52"/>
        <v>1503.14</v>
      </c>
      <c r="M100" s="90">
        <f t="shared" si="52"/>
        <v>1519.64</v>
      </c>
      <c r="N100" s="90">
        <f t="shared" si="52"/>
        <v>1562.88</v>
      </c>
      <c r="O100" s="90">
        <f t="shared" si="52"/>
        <v>1483.3400000000001</v>
      </c>
      <c r="P100" s="90">
        <f t="shared" si="52"/>
        <v>1500.3400000000001</v>
      </c>
      <c r="Q100" s="90">
        <f t="shared" si="52"/>
        <v>1515.7400000000002</v>
      </c>
      <c r="R100" s="90">
        <f t="shared" si="52"/>
        <v>1495.8400000000001</v>
      </c>
      <c r="S100" s="90">
        <f t="shared" si="52"/>
        <v>1521.7399999999998</v>
      </c>
      <c r="T100" s="90">
        <f t="shared" si="52"/>
        <v>1527.8400000000001</v>
      </c>
      <c r="U100" s="90">
        <f t="shared" si="52"/>
        <v>1546.54</v>
      </c>
      <c r="V100" s="90">
        <f t="shared" si="52"/>
        <v>1493.44</v>
      </c>
      <c r="W100" s="90">
        <f t="shared" si="52"/>
        <v>1425.04</v>
      </c>
      <c r="X100" s="90">
        <f t="shared" si="52"/>
        <v>1345.94</v>
      </c>
      <c r="Y100" s="90">
        <f t="shared" si="52"/>
        <v>1529.1</v>
      </c>
      <c r="Z100" s="90">
        <f>Z99-(Z107)</f>
        <v>1690.3999999999999</v>
      </c>
      <c r="AA100" s="90">
        <f>AA99-(AA107)</f>
        <v>1745.4999999999998</v>
      </c>
      <c r="AB100" s="90">
        <f t="shared" si="52"/>
        <v>1788.64</v>
      </c>
      <c r="AC100" s="90">
        <f t="shared" si="52"/>
        <v>1788.64</v>
      </c>
      <c r="AD100" s="90">
        <f t="shared" si="52"/>
        <v>1673.3400000000001</v>
      </c>
      <c r="AE100" s="90">
        <f t="shared" si="52"/>
        <v>1649.3400000000001</v>
      </c>
      <c r="AF100" s="90">
        <f t="shared" si="52"/>
        <v>1477.24</v>
      </c>
      <c r="AG100" s="75"/>
      <c r="AH100" s="12">
        <f t="shared" si="39"/>
        <v>1788.64</v>
      </c>
      <c r="AI100" s="11">
        <f t="shared" si="40"/>
        <v>1345.94</v>
      </c>
      <c r="BF100" s="78"/>
      <c r="BG100" s="78">
        <v>72.7</v>
      </c>
      <c r="BH100" s="78">
        <v>88.3</v>
      </c>
      <c r="BI100" s="78">
        <v>426</v>
      </c>
      <c r="BJ100" s="78">
        <v>25</v>
      </c>
      <c r="BK100" s="78">
        <v>132.19999999999999</v>
      </c>
      <c r="BL100" s="78">
        <v>45.5</v>
      </c>
    </row>
    <row r="101" spans="1:64" x14ac:dyDescent="0.25">
      <c r="A101" s="89" t="s">
        <v>161</v>
      </c>
      <c r="B101" s="85">
        <f t="shared" ref="B101:C101" si="53">IF(B84&lt;0,B84*-1,0)</f>
        <v>0</v>
      </c>
      <c r="C101" s="85">
        <f t="shared" si="53"/>
        <v>0</v>
      </c>
      <c r="D101" s="85">
        <f t="shared" ref="D101" si="54">IF(D84&lt;0,D84*-1,0)</f>
        <v>0</v>
      </c>
      <c r="E101" s="85">
        <f t="shared" ref="E101:AF101" si="55">IF(E84&lt;0,E84*-1,0)</f>
        <v>0</v>
      </c>
      <c r="F101" s="85">
        <f t="shared" si="55"/>
        <v>0</v>
      </c>
      <c r="G101" s="85">
        <f t="shared" si="55"/>
        <v>0</v>
      </c>
      <c r="H101" s="85">
        <f t="shared" si="55"/>
        <v>0</v>
      </c>
      <c r="I101" s="85">
        <f t="shared" si="55"/>
        <v>0</v>
      </c>
      <c r="J101" s="85">
        <f t="shared" si="55"/>
        <v>0</v>
      </c>
      <c r="K101" s="85">
        <f t="shared" si="55"/>
        <v>0</v>
      </c>
      <c r="L101" s="85">
        <f t="shared" si="55"/>
        <v>0</v>
      </c>
      <c r="M101" s="85">
        <f t="shared" si="55"/>
        <v>0</v>
      </c>
      <c r="N101" s="85">
        <f t="shared" si="55"/>
        <v>0</v>
      </c>
      <c r="O101" s="85">
        <f t="shared" si="55"/>
        <v>0</v>
      </c>
      <c r="P101" s="85">
        <f t="shared" si="55"/>
        <v>0</v>
      </c>
      <c r="Q101" s="85">
        <f t="shared" si="55"/>
        <v>0</v>
      </c>
      <c r="R101" s="85">
        <f t="shared" si="55"/>
        <v>0</v>
      </c>
      <c r="S101" s="85">
        <f t="shared" si="55"/>
        <v>0</v>
      </c>
      <c r="T101" s="85">
        <f t="shared" si="55"/>
        <v>0</v>
      </c>
      <c r="U101" s="85">
        <f t="shared" si="55"/>
        <v>0</v>
      </c>
      <c r="V101" s="85">
        <f t="shared" si="55"/>
        <v>0</v>
      </c>
      <c r="W101" s="85">
        <f t="shared" si="55"/>
        <v>0</v>
      </c>
      <c r="X101" s="85">
        <f t="shared" si="55"/>
        <v>0</v>
      </c>
      <c r="Y101" s="85">
        <f t="shared" si="55"/>
        <v>0</v>
      </c>
      <c r="Z101" s="85">
        <f>IF(Z84&lt;0,Z84*-1,0)</f>
        <v>0</v>
      </c>
      <c r="AA101" s="85">
        <f>IF(AA84&lt;0,AA84*-1,0)</f>
        <v>0</v>
      </c>
      <c r="AB101" s="85">
        <f t="shared" si="55"/>
        <v>0</v>
      </c>
      <c r="AC101" s="85">
        <f t="shared" si="55"/>
        <v>0</v>
      </c>
      <c r="AD101" s="85">
        <f t="shared" si="55"/>
        <v>0</v>
      </c>
      <c r="AE101" s="85">
        <f t="shared" si="55"/>
        <v>0</v>
      </c>
      <c r="AF101" s="85">
        <f t="shared" si="55"/>
        <v>0</v>
      </c>
      <c r="AG101" s="88"/>
      <c r="AH101" s="12">
        <f t="shared" si="39"/>
        <v>0</v>
      </c>
      <c r="AI101" s="11">
        <f t="shared" si="40"/>
        <v>0</v>
      </c>
      <c r="BF101" s="83"/>
      <c r="BG101" s="78">
        <v>53.9</v>
      </c>
      <c r="BH101" s="78">
        <v>61.4</v>
      </c>
      <c r="BI101" s="78">
        <v>356</v>
      </c>
      <c r="BJ101" s="78">
        <v>9.8000000000000007</v>
      </c>
      <c r="BK101" s="78">
        <v>94.9</v>
      </c>
      <c r="BL101" s="78">
        <v>40.799999999999997</v>
      </c>
    </row>
    <row r="102" spans="1:64" x14ac:dyDescent="0.25">
      <c r="A102" s="87" t="s">
        <v>160</v>
      </c>
      <c r="B102" s="85">
        <f t="shared" ref="B102:C102" si="56">IF(B82&lt;0,B82*-1,0)</f>
        <v>0</v>
      </c>
      <c r="C102" s="85">
        <f t="shared" si="56"/>
        <v>0</v>
      </c>
      <c r="D102" s="85">
        <f t="shared" ref="D102" si="57">IF(D82&lt;0,D82*-1,0)</f>
        <v>0</v>
      </c>
      <c r="E102" s="85">
        <f t="shared" ref="E102:AF102" si="58">IF(E82&lt;0,E82*-1,0)</f>
        <v>0</v>
      </c>
      <c r="F102" s="85">
        <f t="shared" si="58"/>
        <v>0</v>
      </c>
      <c r="G102" s="85">
        <f t="shared" si="58"/>
        <v>0</v>
      </c>
      <c r="H102" s="85">
        <f t="shared" si="58"/>
        <v>0</v>
      </c>
      <c r="I102" s="85">
        <f t="shared" si="58"/>
        <v>0</v>
      </c>
      <c r="J102" s="85">
        <f t="shared" si="58"/>
        <v>0</v>
      </c>
      <c r="K102" s="85">
        <f t="shared" si="58"/>
        <v>0</v>
      </c>
      <c r="L102" s="85">
        <f t="shared" si="58"/>
        <v>0</v>
      </c>
      <c r="M102" s="85">
        <f t="shared" si="58"/>
        <v>0</v>
      </c>
      <c r="N102" s="85">
        <f t="shared" si="58"/>
        <v>0</v>
      </c>
      <c r="O102" s="85">
        <f t="shared" si="58"/>
        <v>0</v>
      </c>
      <c r="P102" s="85">
        <f t="shared" si="58"/>
        <v>0</v>
      </c>
      <c r="Q102" s="85">
        <f t="shared" si="58"/>
        <v>0</v>
      </c>
      <c r="R102" s="85">
        <f t="shared" si="58"/>
        <v>0</v>
      </c>
      <c r="S102" s="85">
        <f t="shared" si="58"/>
        <v>0</v>
      </c>
      <c r="T102" s="85">
        <f t="shared" si="58"/>
        <v>0</v>
      </c>
      <c r="U102" s="85">
        <f t="shared" si="58"/>
        <v>0</v>
      </c>
      <c r="V102" s="85">
        <f t="shared" si="58"/>
        <v>0</v>
      </c>
      <c r="W102" s="85">
        <f t="shared" si="58"/>
        <v>0</v>
      </c>
      <c r="X102" s="85">
        <f t="shared" si="58"/>
        <v>0</v>
      </c>
      <c r="Y102" s="85">
        <f t="shared" si="58"/>
        <v>0</v>
      </c>
      <c r="Z102" s="85">
        <f>IF(Z82&lt;0,Z82*-1,0)</f>
        <v>0</v>
      </c>
      <c r="AA102" s="85">
        <f>IF(AA82&lt;0,AA82*-1,0)</f>
        <v>0</v>
      </c>
      <c r="AB102" s="85">
        <f t="shared" si="58"/>
        <v>0</v>
      </c>
      <c r="AC102" s="85">
        <f t="shared" si="58"/>
        <v>0</v>
      </c>
      <c r="AD102" s="85">
        <f t="shared" si="58"/>
        <v>0</v>
      </c>
      <c r="AE102" s="85">
        <f t="shared" si="58"/>
        <v>0</v>
      </c>
      <c r="AF102" s="85">
        <f t="shared" si="58"/>
        <v>0</v>
      </c>
      <c r="AG102" s="86"/>
      <c r="AH102" s="12">
        <f t="shared" si="39"/>
        <v>0</v>
      </c>
      <c r="AI102" s="11">
        <f t="shared" si="40"/>
        <v>0</v>
      </c>
      <c r="BF102" s="83"/>
      <c r="BG102" s="78">
        <v>37</v>
      </c>
      <c r="BH102" s="78">
        <v>0</v>
      </c>
      <c r="BI102" s="78">
        <v>125.3</v>
      </c>
      <c r="BJ102" s="78">
        <v>0</v>
      </c>
      <c r="BK102" s="78">
        <v>54.2</v>
      </c>
      <c r="BL102" s="78">
        <v>43.3</v>
      </c>
    </row>
    <row r="103" spans="1:64" x14ac:dyDescent="0.25">
      <c r="A103" s="82" t="s">
        <v>159</v>
      </c>
      <c r="B103" s="85">
        <f t="shared" ref="B103:C103" si="59">IF(B85&lt;0,B85*-1,0)</f>
        <v>0</v>
      </c>
      <c r="C103" s="85">
        <f t="shared" si="59"/>
        <v>0</v>
      </c>
      <c r="D103" s="85">
        <f t="shared" ref="D103" si="60">IF(D85&lt;0,D85*-1,0)</f>
        <v>0</v>
      </c>
      <c r="E103" s="85">
        <f t="shared" ref="E103:AF103" si="61">IF(E85&lt;0,E85*-1,0)</f>
        <v>0</v>
      </c>
      <c r="F103" s="85">
        <f t="shared" si="61"/>
        <v>0</v>
      </c>
      <c r="G103" s="85">
        <f t="shared" si="61"/>
        <v>0</v>
      </c>
      <c r="H103" s="85">
        <f t="shared" si="61"/>
        <v>0</v>
      </c>
      <c r="I103" s="85">
        <f t="shared" si="61"/>
        <v>0</v>
      </c>
      <c r="J103" s="85">
        <f t="shared" si="61"/>
        <v>0</v>
      </c>
      <c r="K103" s="85">
        <f t="shared" si="61"/>
        <v>0</v>
      </c>
      <c r="L103" s="85">
        <f t="shared" si="61"/>
        <v>0</v>
      </c>
      <c r="M103" s="85">
        <f t="shared" si="61"/>
        <v>0</v>
      </c>
      <c r="N103" s="85">
        <f t="shared" si="61"/>
        <v>0</v>
      </c>
      <c r="O103" s="85">
        <f t="shared" si="61"/>
        <v>0</v>
      </c>
      <c r="P103" s="85">
        <f t="shared" si="61"/>
        <v>0</v>
      </c>
      <c r="Q103" s="85">
        <f t="shared" si="61"/>
        <v>0</v>
      </c>
      <c r="R103" s="85">
        <f t="shared" si="61"/>
        <v>0</v>
      </c>
      <c r="S103" s="85">
        <f t="shared" si="61"/>
        <v>0</v>
      </c>
      <c r="T103" s="85">
        <f t="shared" si="61"/>
        <v>0</v>
      </c>
      <c r="U103" s="85">
        <f t="shared" si="61"/>
        <v>0</v>
      </c>
      <c r="V103" s="85">
        <f t="shared" si="61"/>
        <v>0</v>
      </c>
      <c r="W103" s="85">
        <f t="shared" si="61"/>
        <v>0</v>
      </c>
      <c r="X103" s="85">
        <f t="shared" si="61"/>
        <v>0</v>
      </c>
      <c r="Y103" s="85">
        <f t="shared" si="61"/>
        <v>0</v>
      </c>
      <c r="Z103" s="85">
        <f>IF(Z85&lt;0,Z85*-1,0)</f>
        <v>0</v>
      </c>
      <c r="AA103" s="85">
        <f>IF(AA85&lt;0,AA85*-1,0)</f>
        <v>0</v>
      </c>
      <c r="AB103" s="85">
        <f t="shared" si="61"/>
        <v>0</v>
      </c>
      <c r="AC103" s="85">
        <f t="shared" si="61"/>
        <v>0</v>
      </c>
      <c r="AD103" s="85">
        <f t="shared" si="61"/>
        <v>0</v>
      </c>
      <c r="AE103" s="85">
        <f t="shared" si="61"/>
        <v>0</v>
      </c>
      <c r="AF103" s="85">
        <f t="shared" si="61"/>
        <v>0</v>
      </c>
      <c r="AG103" s="84"/>
      <c r="AH103" s="12">
        <f t="shared" si="39"/>
        <v>0</v>
      </c>
      <c r="AI103" s="11">
        <f t="shared" si="40"/>
        <v>0</v>
      </c>
      <c r="BF103" s="83"/>
      <c r="BG103" s="78">
        <v>59</v>
      </c>
      <c r="BH103" s="78">
        <v>0</v>
      </c>
      <c r="BI103" s="78">
        <v>133</v>
      </c>
      <c r="BJ103" s="78">
        <v>0</v>
      </c>
      <c r="BK103" s="78">
        <v>0</v>
      </c>
      <c r="BL103" s="78">
        <v>36.299999999999997</v>
      </c>
    </row>
    <row r="104" spans="1:64" x14ac:dyDescent="0.25">
      <c r="A104" s="82" t="s">
        <v>158</v>
      </c>
      <c r="B104" s="85">
        <f t="shared" ref="B104:C104" si="62">IF(B83&lt;0,B83*-1,0)</f>
        <v>0</v>
      </c>
      <c r="C104" s="85">
        <f t="shared" si="62"/>
        <v>0</v>
      </c>
      <c r="D104" s="85">
        <f t="shared" ref="D104" si="63">IF(D83&lt;0,D83*-1,0)</f>
        <v>0</v>
      </c>
      <c r="E104" s="85">
        <f t="shared" ref="E104:AF104" si="64">IF(E83&lt;0,E83*-1,0)</f>
        <v>0</v>
      </c>
      <c r="F104" s="85">
        <f t="shared" si="64"/>
        <v>0</v>
      </c>
      <c r="G104" s="85">
        <f t="shared" si="64"/>
        <v>0</v>
      </c>
      <c r="H104" s="85">
        <f t="shared" si="64"/>
        <v>0</v>
      </c>
      <c r="I104" s="85">
        <f t="shared" si="64"/>
        <v>0</v>
      </c>
      <c r="J104" s="85">
        <f t="shared" si="64"/>
        <v>0</v>
      </c>
      <c r="K104" s="85">
        <f t="shared" si="64"/>
        <v>0</v>
      </c>
      <c r="L104" s="85">
        <f t="shared" si="64"/>
        <v>0</v>
      </c>
      <c r="M104" s="85">
        <f t="shared" si="64"/>
        <v>0</v>
      </c>
      <c r="N104" s="85">
        <f t="shared" si="64"/>
        <v>0</v>
      </c>
      <c r="O104" s="85">
        <f t="shared" si="64"/>
        <v>0</v>
      </c>
      <c r="P104" s="85">
        <f t="shared" si="64"/>
        <v>0</v>
      </c>
      <c r="Q104" s="85">
        <f t="shared" si="64"/>
        <v>0</v>
      </c>
      <c r="R104" s="85">
        <f t="shared" si="64"/>
        <v>0</v>
      </c>
      <c r="S104" s="85">
        <f t="shared" si="64"/>
        <v>0</v>
      </c>
      <c r="T104" s="85">
        <f t="shared" si="64"/>
        <v>0</v>
      </c>
      <c r="U104" s="85">
        <f t="shared" si="64"/>
        <v>0</v>
      </c>
      <c r="V104" s="85">
        <f t="shared" si="64"/>
        <v>0</v>
      </c>
      <c r="W104" s="85">
        <f t="shared" si="64"/>
        <v>0</v>
      </c>
      <c r="X104" s="85">
        <f t="shared" si="64"/>
        <v>0</v>
      </c>
      <c r="Y104" s="85">
        <f t="shared" si="64"/>
        <v>0</v>
      </c>
      <c r="Z104" s="85">
        <f>IF(Z83&lt;0,Z83*-1,0)</f>
        <v>0</v>
      </c>
      <c r="AA104" s="85">
        <f>IF(AA83&lt;0,AA83*-1,0)</f>
        <v>0</v>
      </c>
      <c r="AB104" s="85">
        <f t="shared" si="64"/>
        <v>0</v>
      </c>
      <c r="AC104" s="85">
        <f t="shared" si="64"/>
        <v>0</v>
      </c>
      <c r="AD104" s="85">
        <f t="shared" si="64"/>
        <v>0</v>
      </c>
      <c r="AE104" s="85">
        <f t="shared" si="64"/>
        <v>0</v>
      </c>
      <c r="AF104" s="85">
        <f t="shared" si="64"/>
        <v>0</v>
      </c>
      <c r="AG104" s="84"/>
      <c r="AH104" s="12">
        <f t="shared" si="39"/>
        <v>0</v>
      </c>
      <c r="AI104" s="11">
        <f t="shared" si="40"/>
        <v>0</v>
      </c>
      <c r="BF104" s="83"/>
      <c r="BG104" s="78">
        <v>60</v>
      </c>
      <c r="BH104" s="78">
        <v>0</v>
      </c>
      <c r="BI104" s="78">
        <v>68</v>
      </c>
      <c r="BJ104" s="78">
        <v>14</v>
      </c>
      <c r="BK104" s="78">
        <v>20</v>
      </c>
      <c r="BL104" s="78">
        <v>37</v>
      </c>
    </row>
    <row r="105" spans="1:64" x14ac:dyDescent="0.25">
      <c r="A105" s="82" t="s">
        <v>157</v>
      </c>
      <c r="B105" s="85">
        <f t="shared" ref="B105:C105" si="65">IF(B81&lt;0,B81*-1,0)</f>
        <v>0</v>
      </c>
      <c r="C105" s="85">
        <f t="shared" si="65"/>
        <v>0</v>
      </c>
      <c r="D105" s="85">
        <f t="shared" ref="D105" si="66">IF(D81&lt;0,D81*-1,0)</f>
        <v>0</v>
      </c>
      <c r="E105" s="85">
        <f t="shared" ref="E105:AF105" si="67">IF(E81&lt;0,E81*-1,0)</f>
        <v>0</v>
      </c>
      <c r="F105" s="85">
        <f t="shared" si="67"/>
        <v>0</v>
      </c>
      <c r="G105" s="85">
        <f t="shared" si="67"/>
        <v>0</v>
      </c>
      <c r="H105" s="85">
        <f t="shared" si="67"/>
        <v>0</v>
      </c>
      <c r="I105" s="85">
        <f t="shared" si="67"/>
        <v>0</v>
      </c>
      <c r="J105" s="85">
        <f t="shared" si="67"/>
        <v>0</v>
      </c>
      <c r="K105" s="85">
        <f t="shared" si="67"/>
        <v>0</v>
      </c>
      <c r="L105" s="85">
        <f t="shared" si="67"/>
        <v>0</v>
      </c>
      <c r="M105" s="85">
        <f t="shared" si="67"/>
        <v>0</v>
      </c>
      <c r="N105" s="85">
        <f t="shared" si="67"/>
        <v>0</v>
      </c>
      <c r="O105" s="85">
        <f t="shared" si="67"/>
        <v>0</v>
      </c>
      <c r="P105" s="85">
        <f t="shared" si="67"/>
        <v>0</v>
      </c>
      <c r="Q105" s="85">
        <f t="shared" si="67"/>
        <v>0</v>
      </c>
      <c r="R105" s="85">
        <f t="shared" si="67"/>
        <v>0</v>
      </c>
      <c r="S105" s="85">
        <f t="shared" si="67"/>
        <v>0</v>
      </c>
      <c r="T105" s="85">
        <f t="shared" si="67"/>
        <v>0</v>
      </c>
      <c r="U105" s="85">
        <f t="shared" si="67"/>
        <v>0</v>
      </c>
      <c r="V105" s="85">
        <f t="shared" si="67"/>
        <v>0</v>
      </c>
      <c r="W105" s="85">
        <f t="shared" si="67"/>
        <v>0</v>
      </c>
      <c r="X105" s="85">
        <f t="shared" si="67"/>
        <v>0</v>
      </c>
      <c r="Y105" s="85">
        <f t="shared" si="67"/>
        <v>0</v>
      </c>
      <c r="Z105" s="85">
        <f>IF(Z81&lt;0,Z81*-1,0)</f>
        <v>0</v>
      </c>
      <c r="AA105" s="85">
        <f>IF(AA81&lt;0,AA81*-1,0)</f>
        <v>0</v>
      </c>
      <c r="AB105" s="85">
        <f t="shared" si="67"/>
        <v>0</v>
      </c>
      <c r="AC105" s="85">
        <f t="shared" si="67"/>
        <v>0</v>
      </c>
      <c r="AD105" s="85">
        <f t="shared" si="67"/>
        <v>0</v>
      </c>
      <c r="AE105" s="85">
        <f t="shared" si="67"/>
        <v>0</v>
      </c>
      <c r="AF105" s="85">
        <f t="shared" si="67"/>
        <v>0</v>
      </c>
      <c r="AG105" s="84"/>
      <c r="AH105" s="12">
        <f t="shared" si="39"/>
        <v>0</v>
      </c>
      <c r="AI105" s="11">
        <f t="shared" si="40"/>
        <v>0</v>
      </c>
      <c r="BF105" s="83"/>
      <c r="BG105" s="78">
        <v>58</v>
      </c>
      <c r="BH105" s="78">
        <v>0</v>
      </c>
      <c r="BI105" s="78">
        <v>55</v>
      </c>
      <c r="BJ105" s="78">
        <v>14</v>
      </c>
      <c r="BK105" s="78">
        <v>49</v>
      </c>
      <c r="BL105" s="78">
        <v>38</v>
      </c>
    </row>
    <row r="106" spans="1:64" ht="15.75" thickBot="1" x14ac:dyDescent="0.3">
      <c r="A106" s="82" t="s">
        <v>156</v>
      </c>
      <c r="B106" s="81">
        <v>0</v>
      </c>
      <c r="C106" s="81">
        <v>1</v>
      </c>
      <c r="D106" s="81">
        <v>2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1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39"/>
        <v>2</v>
      </c>
      <c r="AI106" s="11">
        <f t="shared" si="40"/>
        <v>0</v>
      </c>
      <c r="BG106" s="78">
        <v>45</v>
      </c>
      <c r="BH106" s="78">
        <v>0</v>
      </c>
      <c r="BI106" s="78">
        <v>47</v>
      </c>
      <c r="BJ106" s="78">
        <v>14</v>
      </c>
      <c r="BK106" s="78">
        <v>25</v>
      </c>
      <c r="BL106" s="78">
        <v>38</v>
      </c>
    </row>
    <row r="107" spans="1:64" ht="15.75" thickBot="1" x14ac:dyDescent="0.3">
      <c r="A107" s="79" t="s">
        <v>155</v>
      </c>
      <c r="B107" s="76">
        <f t="shared" ref="B107:C107" si="68">SUM(B101:B106)</f>
        <v>0</v>
      </c>
      <c r="C107" s="76">
        <f t="shared" si="68"/>
        <v>1</v>
      </c>
      <c r="D107" s="76">
        <v>0</v>
      </c>
      <c r="E107" s="76">
        <f t="shared" ref="E107:AF107" si="69">SUM(E101:E106)</f>
        <v>0</v>
      </c>
      <c r="F107" s="76">
        <f t="shared" si="69"/>
        <v>0</v>
      </c>
      <c r="G107" s="76">
        <f t="shared" si="69"/>
        <v>0</v>
      </c>
      <c r="H107" s="76">
        <f t="shared" si="69"/>
        <v>0</v>
      </c>
      <c r="I107" s="76">
        <f t="shared" si="69"/>
        <v>0</v>
      </c>
      <c r="J107" s="76">
        <f t="shared" si="69"/>
        <v>0</v>
      </c>
      <c r="K107" s="76">
        <f t="shared" si="69"/>
        <v>0</v>
      </c>
      <c r="L107" s="76">
        <f t="shared" si="69"/>
        <v>0</v>
      </c>
      <c r="M107" s="76">
        <f t="shared" si="69"/>
        <v>0</v>
      </c>
      <c r="N107" s="76">
        <f t="shared" si="69"/>
        <v>0</v>
      </c>
      <c r="O107" s="76">
        <f t="shared" si="69"/>
        <v>0</v>
      </c>
      <c r="P107" s="76">
        <f t="shared" si="69"/>
        <v>0</v>
      </c>
      <c r="Q107" s="76">
        <f t="shared" si="69"/>
        <v>0</v>
      </c>
      <c r="R107" s="76">
        <f t="shared" si="69"/>
        <v>0</v>
      </c>
      <c r="S107" s="76">
        <f t="shared" si="69"/>
        <v>0</v>
      </c>
      <c r="T107" s="76">
        <f t="shared" si="69"/>
        <v>0</v>
      </c>
      <c r="U107" s="76">
        <f t="shared" si="69"/>
        <v>0</v>
      </c>
      <c r="V107" s="76">
        <f t="shared" si="69"/>
        <v>0</v>
      </c>
      <c r="W107" s="76">
        <f t="shared" si="69"/>
        <v>0</v>
      </c>
      <c r="X107" s="76">
        <f t="shared" si="69"/>
        <v>0</v>
      </c>
      <c r="Y107" s="76">
        <f t="shared" si="69"/>
        <v>0</v>
      </c>
      <c r="Z107" s="76">
        <f>SUM(Z101:Z106)</f>
        <v>0</v>
      </c>
      <c r="AA107" s="76">
        <f>SUM(AA101:AA106)</f>
        <v>1</v>
      </c>
      <c r="AB107" s="76">
        <f t="shared" si="69"/>
        <v>0</v>
      </c>
      <c r="AC107" s="76">
        <f t="shared" si="69"/>
        <v>0</v>
      </c>
      <c r="AD107" s="76">
        <f t="shared" si="69"/>
        <v>0</v>
      </c>
      <c r="AE107" s="76">
        <f t="shared" si="69"/>
        <v>0</v>
      </c>
      <c r="AF107" s="76">
        <f t="shared" si="69"/>
        <v>0</v>
      </c>
      <c r="AG107" s="75"/>
      <c r="AH107" s="12">
        <f t="shared" si="39"/>
        <v>1</v>
      </c>
      <c r="AI107" s="11">
        <f t="shared" si="40"/>
        <v>0</v>
      </c>
      <c r="AK107" s="19"/>
      <c r="BG107" s="78">
        <v>36</v>
      </c>
      <c r="BH107" s="78">
        <v>0</v>
      </c>
      <c r="BI107" s="78">
        <v>25</v>
      </c>
      <c r="BJ107" s="78">
        <v>0</v>
      </c>
      <c r="BK107" s="78">
        <v>0</v>
      </c>
      <c r="BL107" s="78">
        <v>45</v>
      </c>
    </row>
    <row r="108" spans="1:64" ht="15.75" thickBot="1" x14ac:dyDescent="0.3">
      <c r="A108" s="77" t="s">
        <v>154</v>
      </c>
      <c r="B108" s="76">
        <f t="shared" ref="B108:C108" si="70">B92-B107</f>
        <v>106</v>
      </c>
      <c r="C108" s="76">
        <f t="shared" si="70"/>
        <v>93</v>
      </c>
      <c r="D108" s="76">
        <f t="shared" ref="D108" si="71">D92-D107</f>
        <v>75</v>
      </c>
      <c r="E108" s="76">
        <f t="shared" ref="E108:AF108" si="72">E92-E107</f>
        <v>126.10000000000001</v>
      </c>
      <c r="F108" s="76">
        <f t="shared" si="72"/>
        <v>133.80000000000001</v>
      </c>
      <c r="G108" s="76">
        <f t="shared" si="72"/>
        <v>174.8</v>
      </c>
      <c r="H108" s="76">
        <f t="shared" si="72"/>
        <v>188.3</v>
      </c>
      <c r="I108" s="76">
        <f t="shared" si="72"/>
        <v>222.20000000000002</v>
      </c>
      <c r="J108" s="76">
        <f t="shared" si="72"/>
        <v>613.70000000000005</v>
      </c>
      <c r="K108" s="76">
        <f t="shared" si="72"/>
        <v>655.4</v>
      </c>
      <c r="L108" s="76">
        <f t="shared" si="72"/>
        <v>643.79999999999995</v>
      </c>
      <c r="M108" s="76">
        <f t="shared" si="72"/>
        <v>714.8</v>
      </c>
      <c r="N108" s="76">
        <f t="shared" si="72"/>
        <v>758.04</v>
      </c>
      <c r="O108" s="76">
        <f t="shared" si="72"/>
        <v>723.7</v>
      </c>
      <c r="P108" s="76">
        <f t="shared" si="72"/>
        <v>723.4</v>
      </c>
      <c r="Q108" s="76">
        <f t="shared" si="72"/>
        <v>728.4</v>
      </c>
      <c r="R108" s="76">
        <f t="shared" si="72"/>
        <v>764</v>
      </c>
      <c r="S108" s="76">
        <f t="shared" si="72"/>
        <v>806.49999999999989</v>
      </c>
      <c r="T108" s="76">
        <f t="shared" si="72"/>
        <v>784.8</v>
      </c>
      <c r="U108" s="76">
        <f t="shared" si="72"/>
        <v>813.09999999999991</v>
      </c>
      <c r="V108" s="76">
        <f t="shared" si="72"/>
        <v>789.7</v>
      </c>
      <c r="W108" s="76">
        <f t="shared" si="72"/>
        <v>723.2</v>
      </c>
      <c r="X108" s="76">
        <f t="shared" si="72"/>
        <v>616.79999999999995</v>
      </c>
      <c r="Y108" s="76">
        <f t="shared" si="72"/>
        <v>219.89999999999998</v>
      </c>
      <c r="Z108" s="76">
        <f>Z92-Z107</f>
        <v>259.8</v>
      </c>
      <c r="AA108" s="76">
        <f>AA92-AA107</f>
        <v>220.8</v>
      </c>
      <c r="AB108" s="76">
        <f t="shared" si="72"/>
        <v>228.3</v>
      </c>
      <c r="AC108" s="76">
        <f t="shared" si="72"/>
        <v>228.3</v>
      </c>
      <c r="AD108" s="76">
        <f t="shared" si="72"/>
        <v>199</v>
      </c>
      <c r="AE108" s="76">
        <f t="shared" si="72"/>
        <v>214</v>
      </c>
      <c r="AF108" s="76">
        <f t="shared" si="72"/>
        <v>169</v>
      </c>
      <c r="AG108" s="75"/>
      <c r="AH108" s="12">
        <f t="shared" si="39"/>
        <v>813.09999999999991</v>
      </c>
      <c r="AI108" s="11">
        <f t="shared" si="40"/>
        <v>75</v>
      </c>
    </row>
    <row r="109" spans="1:64" x14ac:dyDescent="0.25">
      <c r="A109" s="25" t="s">
        <v>153</v>
      </c>
      <c r="B109" s="74">
        <v>50</v>
      </c>
      <c r="C109" s="74">
        <v>50</v>
      </c>
      <c r="D109" s="74">
        <v>50</v>
      </c>
      <c r="E109" s="74">
        <v>50.027999999999999</v>
      </c>
      <c r="F109" s="74">
        <v>49.957999999999998</v>
      </c>
      <c r="G109" s="74">
        <v>50.036999999999999</v>
      </c>
      <c r="H109" s="74">
        <v>50.012999999999998</v>
      </c>
      <c r="I109" s="74">
        <v>50.02</v>
      </c>
      <c r="J109" s="74">
        <v>50.057000000000002</v>
      </c>
      <c r="K109" s="74">
        <v>49.984999999999999</v>
      </c>
      <c r="L109" s="74">
        <v>50.017000000000003</v>
      </c>
      <c r="M109" s="74">
        <v>50.113999999999997</v>
      </c>
      <c r="N109" s="74">
        <v>50.037999999999997</v>
      </c>
      <c r="O109" s="74">
        <v>49.994999999999997</v>
      </c>
      <c r="P109" s="74">
        <v>49.987000000000002</v>
      </c>
      <c r="Q109" s="74">
        <v>49.826999999999998</v>
      </c>
      <c r="R109" s="74">
        <v>49.959000000000003</v>
      </c>
      <c r="S109" s="74">
        <v>49.917000000000002</v>
      </c>
      <c r="T109" s="74">
        <v>50.042999999999999</v>
      </c>
      <c r="U109" s="74">
        <v>49.935000000000002</v>
      </c>
      <c r="V109" s="74">
        <v>49.902000000000001</v>
      </c>
      <c r="W109" s="74">
        <v>49.975999999999999</v>
      </c>
      <c r="X109" s="74">
        <v>50.006999999999998</v>
      </c>
      <c r="Y109" s="74">
        <v>50.064</v>
      </c>
      <c r="Z109" s="74">
        <v>50.067</v>
      </c>
      <c r="AA109" s="74">
        <v>50.051000000000002</v>
      </c>
      <c r="AB109" s="74">
        <v>50.027000000000001</v>
      </c>
      <c r="AC109" s="74">
        <v>50.027000000000001</v>
      </c>
      <c r="AD109" s="74">
        <v>50.045000000000002</v>
      </c>
      <c r="AE109" s="74">
        <v>50.023000000000003</v>
      </c>
      <c r="AF109" s="74">
        <v>50.054000000000002</v>
      </c>
      <c r="AG109" s="73"/>
      <c r="AH109" s="12">
        <f t="shared" si="39"/>
        <v>50.113999999999997</v>
      </c>
      <c r="AI109" s="11">
        <f t="shared" si="40"/>
        <v>49.826999999999998</v>
      </c>
    </row>
    <row r="110" spans="1:64" x14ac:dyDescent="0.25">
      <c r="A110" s="22" t="s">
        <v>152</v>
      </c>
      <c r="B110" s="70">
        <v>129</v>
      </c>
      <c r="C110" s="70">
        <v>130</v>
      </c>
      <c r="D110" s="70">
        <v>130</v>
      </c>
      <c r="E110" s="70">
        <v>130.30000000000001</v>
      </c>
      <c r="F110" s="70">
        <v>130.1</v>
      </c>
      <c r="G110" s="70">
        <v>128.5</v>
      </c>
      <c r="H110" s="70">
        <v>128.30000000000001</v>
      </c>
      <c r="I110" s="70">
        <v>127.5</v>
      </c>
      <c r="J110" s="70">
        <v>127.6</v>
      </c>
      <c r="K110" s="70">
        <v>126.6</v>
      </c>
      <c r="L110" s="70">
        <v>127.2</v>
      </c>
      <c r="M110" s="70">
        <v>125.7</v>
      </c>
      <c r="N110" s="70">
        <v>124.6</v>
      </c>
      <c r="O110" s="70">
        <v>124.9</v>
      </c>
      <c r="P110" s="70">
        <v>124.9</v>
      </c>
      <c r="Q110" s="70">
        <v>126.1</v>
      </c>
      <c r="R110" s="70">
        <v>124.5</v>
      </c>
      <c r="S110" s="70">
        <v>124.9</v>
      </c>
      <c r="T110" s="70">
        <v>124.8</v>
      </c>
      <c r="U110" s="70">
        <v>123.6</v>
      </c>
      <c r="V110" s="70">
        <v>126.1</v>
      </c>
      <c r="W110" s="70">
        <v>126.6</v>
      </c>
      <c r="X110" s="70">
        <v>129</v>
      </c>
      <c r="Y110" s="70">
        <v>129.5</v>
      </c>
      <c r="Z110" s="70">
        <v>129.19999999999999</v>
      </c>
      <c r="AA110" s="70">
        <v>126.6</v>
      </c>
      <c r="AB110" s="70">
        <v>127.5</v>
      </c>
      <c r="AC110" s="70">
        <v>127.5</v>
      </c>
      <c r="AD110" s="70">
        <v>128.80000000000001</v>
      </c>
      <c r="AE110" s="70">
        <v>129.6</v>
      </c>
      <c r="AF110" s="70">
        <v>130.1</v>
      </c>
      <c r="AG110" s="69"/>
      <c r="AH110" s="12">
        <f t="shared" si="39"/>
        <v>130.30000000000001</v>
      </c>
      <c r="AI110" s="11">
        <f t="shared" si="40"/>
        <v>123.6</v>
      </c>
    </row>
    <row r="111" spans="1:64" x14ac:dyDescent="0.25">
      <c r="A111" s="22" t="s">
        <v>151</v>
      </c>
      <c r="B111" s="70">
        <v>132</v>
      </c>
      <c r="C111" s="70">
        <v>132</v>
      </c>
      <c r="D111" s="70">
        <v>132</v>
      </c>
      <c r="E111" s="70">
        <v>133.5</v>
      </c>
      <c r="F111" s="70">
        <v>133.4</v>
      </c>
      <c r="G111" s="70">
        <v>131.80000000000001</v>
      </c>
      <c r="H111" s="70">
        <v>131.5</v>
      </c>
      <c r="I111" s="70">
        <v>130.69999999999999</v>
      </c>
      <c r="J111" s="70">
        <v>129.6</v>
      </c>
      <c r="K111" s="70">
        <v>128.80000000000001</v>
      </c>
      <c r="L111" s="70">
        <v>128.80000000000001</v>
      </c>
      <c r="M111" s="70">
        <v>127.9</v>
      </c>
      <c r="N111" s="70">
        <v>127</v>
      </c>
      <c r="O111" s="70">
        <v>127.7</v>
      </c>
      <c r="P111" s="70">
        <v>127.8</v>
      </c>
      <c r="Q111" s="70">
        <v>129.19999999999999</v>
      </c>
      <c r="R111" s="70">
        <v>127.7</v>
      </c>
      <c r="S111" s="70">
        <v>128</v>
      </c>
      <c r="T111" s="70">
        <v>127.8</v>
      </c>
      <c r="U111" s="70">
        <v>126.5</v>
      </c>
      <c r="V111" s="70">
        <v>128.80000000000001</v>
      </c>
      <c r="W111" s="70">
        <v>129.1</v>
      </c>
      <c r="X111" s="70">
        <v>131</v>
      </c>
      <c r="Y111" s="70">
        <v>130.69999999999999</v>
      </c>
      <c r="Z111" s="70">
        <v>130.30000000000001</v>
      </c>
      <c r="AA111" s="70">
        <v>128.69999999999999</v>
      </c>
      <c r="AB111" s="70">
        <v>129.6</v>
      </c>
      <c r="AC111" s="70">
        <v>129.6</v>
      </c>
      <c r="AD111" s="70">
        <v>131.4</v>
      </c>
      <c r="AE111" s="70">
        <v>132.5</v>
      </c>
      <c r="AF111" s="70">
        <v>133.19999999999999</v>
      </c>
      <c r="AG111" s="69"/>
      <c r="AH111" s="12">
        <f t="shared" si="39"/>
        <v>133.5</v>
      </c>
      <c r="AI111" s="11">
        <f t="shared" si="40"/>
        <v>126.5</v>
      </c>
    </row>
    <row r="112" spans="1:64" x14ac:dyDescent="0.25">
      <c r="A112" s="22" t="s">
        <v>150</v>
      </c>
      <c r="B112" s="70">
        <v>131</v>
      </c>
      <c r="C112" s="70">
        <v>131</v>
      </c>
      <c r="D112" s="70">
        <v>131</v>
      </c>
      <c r="E112" s="70">
        <v>133.80000000000001</v>
      </c>
      <c r="F112" s="70">
        <v>133.69999999999999</v>
      </c>
      <c r="G112" s="70">
        <v>131.1</v>
      </c>
      <c r="H112" s="70">
        <v>131.19999999999999</v>
      </c>
      <c r="I112" s="70">
        <v>130.69999999999999</v>
      </c>
      <c r="J112" s="70">
        <v>128.30000000000001</v>
      </c>
      <c r="K112" s="70">
        <v>127.6</v>
      </c>
      <c r="L112" s="70">
        <v>129.69999999999999</v>
      </c>
      <c r="M112" s="70">
        <v>126.8</v>
      </c>
      <c r="N112" s="70">
        <v>127.8</v>
      </c>
      <c r="O112" s="70">
        <v>130.30000000000001</v>
      </c>
      <c r="P112" s="70">
        <v>127.3</v>
      </c>
      <c r="Q112" s="70">
        <v>127.5</v>
      </c>
      <c r="R112" s="70">
        <v>126.5</v>
      </c>
      <c r="S112" s="70">
        <v>24.6</v>
      </c>
      <c r="T112" s="70">
        <v>130.5</v>
      </c>
      <c r="U112" s="70">
        <v>131.80000000000001</v>
      </c>
      <c r="V112" s="70">
        <v>126.8</v>
      </c>
      <c r="W112" s="70">
        <v>130.30000000000001</v>
      </c>
      <c r="X112" s="70">
        <v>133.6</v>
      </c>
      <c r="Y112" s="70">
        <v>129.30000000000001</v>
      </c>
      <c r="Z112" s="70">
        <v>126.1</v>
      </c>
      <c r="AA112" s="70">
        <v>126.6</v>
      </c>
      <c r="AB112" s="70">
        <v>129.80000000000001</v>
      </c>
      <c r="AC112" s="70">
        <v>129.80000000000001</v>
      </c>
      <c r="AD112" s="70">
        <v>130.4</v>
      </c>
      <c r="AE112" s="70">
        <v>132.4</v>
      </c>
      <c r="AF112" s="70">
        <v>133.1</v>
      </c>
      <c r="AG112" s="69"/>
      <c r="AH112" s="12">
        <f t="shared" si="39"/>
        <v>133.80000000000001</v>
      </c>
      <c r="AI112" s="11">
        <f t="shared" si="40"/>
        <v>24.6</v>
      </c>
    </row>
    <row r="113" spans="1:35" x14ac:dyDescent="0.25">
      <c r="A113" s="72" t="s">
        <v>149</v>
      </c>
      <c r="B113" s="70">
        <v>132</v>
      </c>
      <c r="C113" s="70">
        <v>132</v>
      </c>
      <c r="D113" s="70">
        <v>132</v>
      </c>
      <c r="E113" s="70">
        <v>135.1</v>
      </c>
      <c r="F113" s="70">
        <v>135.1</v>
      </c>
      <c r="G113" s="70">
        <v>130</v>
      </c>
      <c r="H113" s="70">
        <v>131.6</v>
      </c>
      <c r="I113" s="70">
        <v>132.6</v>
      </c>
      <c r="J113" s="70">
        <v>130.19999999999999</v>
      </c>
      <c r="K113" s="70">
        <v>129.1</v>
      </c>
      <c r="L113" s="70">
        <v>132.30000000000001</v>
      </c>
      <c r="M113" s="70">
        <v>129</v>
      </c>
      <c r="N113" s="70">
        <v>129.4</v>
      </c>
      <c r="O113" s="70">
        <v>131.80000000000001</v>
      </c>
      <c r="P113" s="70">
        <v>128.6</v>
      </c>
      <c r="Q113" s="70">
        <v>128.6</v>
      </c>
      <c r="R113" s="70">
        <v>128</v>
      </c>
      <c r="S113" s="70">
        <v>127.5</v>
      </c>
      <c r="T113" s="70">
        <v>132</v>
      </c>
      <c r="U113" s="70">
        <v>133.1</v>
      </c>
      <c r="V113" s="70">
        <v>130.4</v>
      </c>
      <c r="W113" s="70">
        <v>131.69999999999999</v>
      </c>
      <c r="X113" s="70">
        <v>133.19999999999999</v>
      </c>
      <c r="Y113" s="70">
        <v>128.9</v>
      </c>
      <c r="Z113" s="70">
        <v>126.2</v>
      </c>
      <c r="AA113" s="70">
        <v>127.5</v>
      </c>
      <c r="AB113" s="70">
        <v>131</v>
      </c>
      <c r="AC113" s="70">
        <v>131</v>
      </c>
      <c r="AD113" s="70">
        <v>129.6</v>
      </c>
      <c r="AE113" s="70">
        <v>133.19999999999999</v>
      </c>
      <c r="AF113" s="70">
        <v>134.19999999999999</v>
      </c>
      <c r="AG113" s="69"/>
      <c r="AH113" s="12">
        <f t="shared" si="39"/>
        <v>135.1</v>
      </c>
      <c r="AI113" s="11">
        <f t="shared" si="40"/>
        <v>126.2</v>
      </c>
    </row>
    <row r="114" spans="1:35" x14ac:dyDescent="0.25">
      <c r="A114" s="72" t="s">
        <v>148</v>
      </c>
      <c r="B114" s="56">
        <v>133</v>
      </c>
      <c r="C114" s="56">
        <v>133</v>
      </c>
      <c r="D114" s="56">
        <v>133</v>
      </c>
      <c r="E114" s="56">
        <v>133.30000000000001</v>
      </c>
      <c r="F114" s="56">
        <v>133.5</v>
      </c>
      <c r="G114" s="56">
        <v>131.80000000000001</v>
      </c>
      <c r="H114" s="56">
        <v>131</v>
      </c>
      <c r="I114" s="56">
        <v>131.6</v>
      </c>
      <c r="J114" s="56">
        <v>136</v>
      </c>
      <c r="K114" s="56">
        <v>132.6</v>
      </c>
      <c r="L114" s="56">
        <v>131.4</v>
      </c>
      <c r="M114" s="56">
        <v>131.69999999999999</v>
      </c>
      <c r="N114" s="56">
        <v>132.9</v>
      </c>
      <c r="O114" s="56">
        <v>131.1</v>
      </c>
      <c r="P114" s="56">
        <v>130.9</v>
      </c>
      <c r="Q114" s="56">
        <v>131</v>
      </c>
      <c r="R114" s="56">
        <v>132.30000000000001</v>
      </c>
      <c r="S114" s="56">
        <v>132</v>
      </c>
      <c r="T114" s="56">
        <v>130.80000000000001</v>
      </c>
      <c r="U114" s="56">
        <v>131.1</v>
      </c>
      <c r="V114" s="56">
        <v>130.6</v>
      </c>
      <c r="W114" s="56">
        <v>130.6</v>
      </c>
      <c r="X114" s="56">
        <v>134.19999999999999</v>
      </c>
      <c r="Y114" s="56">
        <v>133.9</v>
      </c>
      <c r="Z114" s="56">
        <v>132.1</v>
      </c>
      <c r="AA114" s="56">
        <v>133.5</v>
      </c>
      <c r="AB114" s="56">
        <v>134.1</v>
      </c>
      <c r="AC114" s="56">
        <v>134.1</v>
      </c>
      <c r="AD114" s="56">
        <v>135.4</v>
      </c>
      <c r="AE114" s="56">
        <v>135.9</v>
      </c>
      <c r="AF114" s="56">
        <v>136.9</v>
      </c>
      <c r="AG114" s="71"/>
      <c r="AH114" s="12">
        <f t="shared" si="39"/>
        <v>136.9</v>
      </c>
      <c r="AI114" s="11">
        <f t="shared" si="40"/>
        <v>130.6</v>
      </c>
    </row>
    <row r="115" spans="1:35" x14ac:dyDescent="0.25">
      <c r="A115" s="22" t="s">
        <v>147</v>
      </c>
      <c r="B115" s="70">
        <v>134</v>
      </c>
      <c r="C115" s="70">
        <v>134</v>
      </c>
      <c r="D115" s="70">
        <v>134</v>
      </c>
      <c r="E115" s="70">
        <v>131.69999999999999</v>
      </c>
      <c r="F115" s="70">
        <v>132.80000000000001</v>
      </c>
      <c r="G115" s="70">
        <v>132.80000000000001</v>
      </c>
      <c r="H115" s="70">
        <v>131.4</v>
      </c>
      <c r="I115" s="70">
        <v>130.19999999999999</v>
      </c>
      <c r="J115" s="70">
        <v>124.6</v>
      </c>
      <c r="K115" s="70"/>
      <c r="L115" s="70">
        <v>126</v>
      </c>
      <c r="M115" s="70">
        <v>128.30000000000001</v>
      </c>
      <c r="N115" s="70">
        <v>127.2</v>
      </c>
      <c r="O115" s="70">
        <v>125.4</v>
      </c>
      <c r="P115" s="70">
        <v>136.69999999999999</v>
      </c>
      <c r="Q115" s="70">
        <v>129.69999999999999</v>
      </c>
      <c r="R115" s="70">
        <v>128.9</v>
      </c>
      <c r="S115" s="70">
        <v>125.5</v>
      </c>
      <c r="T115" s="70">
        <v>133.69999999999999</v>
      </c>
      <c r="U115" s="70">
        <v>125.6</v>
      </c>
      <c r="V115" s="70">
        <v>127.3</v>
      </c>
      <c r="W115" s="70">
        <v>129.5</v>
      </c>
      <c r="X115" s="70">
        <v>135.5</v>
      </c>
      <c r="Y115" s="70">
        <v>134.80000000000001</v>
      </c>
      <c r="Z115" s="70">
        <v>134.19999999999999</v>
      </c>
      <c r="AA115" s="70">
        <v>130.30000000000001</v>
      </c>
      <c r="AB115" s="70">
        <v>132</v>
      </c>
      <c r="AC115" s="70">
        <v>132</v>
      </c>
      <c r="AD115" s="70">
        <v>132</v>
      </c>
      <c r="AE115" s="70">
        <v>133.9</v>
      </c>
      <c r="AF115" s="70">
        <v>130.9</v>
      </c>
      <c r="AG115" s="69"/>
      <c r="AH115" s="12">
        <f t="shared" si="39"/>
        <v>136.69999999999999</v>
      </c>
      <c r="AI115" s="11">
        <f t="shared" si="40"/>
        <v>124.6</v>
      </c>
    </row>
    <row r="116" spans="1:35" ht="15.75" thickBot="1" x14ac:dyDescent="0.3">
      <c r="A116" s="22" t="s">
        <v>146</v>
      </c>
      <c r="B116" s="67">
        <v>66.599999999999994</v>
      </c>
      <c r="C116" s="67">
        <v>66.599999999999994</v>
      </c>
      <c r="D116" s="67">
        <v>66.599999999999994</v>
      </c>
      <c r="E116" s="67">
        <v>67.099999999999994</v>
      </c>
      <c r="F116" s="67">
        <v>67.2</v>
      </c>
      <c r="G116" s="67">
        <v>66.3</v>
      </c>
      <c r="H116" s="67">
        <v>66.099999999999994</v>
      </c>
      <c r="I116" s="67">
        <v>65.7</v>
      </c>
      <c r="J116" s="67">
        <v>129.6</v>
      </c>
      <c r="K116" s="67"/>
      <c r="L116" s="67">
        <v>65</v>
      </c>
      <c r="M116" s="67">
        <v>64.3</v>
      </c>
      <c r="N116" s="67">
        <v>63.8</v>
      </c>
      <c r="O116" s="67">
        <v>64.3</v>
      </c>
      <c r="P116" s="67">
        <v>64.099999999999994</v>
      </c>
      <c r="Q116" s="67">
        <v>64.8</v>
      </c>
      <c r="R116" s="67">
        <v>64.099999999999994</v>
      </c>
      <c r="S116" s="67">
        <v>64.3</v>
      </c>
      <c r="T116" s="67">
        <v>64.400000000000006</v>
      </c>
      <c r="U116" s="67">
        <v>63.6</v>
      </c>
      <c r="V116" s="67">
        <v>64.7</v>
      </c>
      <c r="W116" s="67">
        <v>65.2</v>
      </c>
      <c r="X116" s="67">
        <v>66</v>
      </c>
      <c r="Y116" s="67">
        <v>65.5</v>
      </c>
      <c r="Z116" s="67">
        <v>65.3</v>
      </c>
      <c r="AA116" s="67">
        <v>64.5</v>
      </c>
      <c r="AB116" s="67">
        <v>65.3</v>
      </c>
      <c r="AC116" s="67">
        <v>65.3</v>
      </c>
      <c r="AD116" s="67">
        <v>65.3</v>
      </c>
      <c r="AE116" s="67">
        <v>66.5</v>
      </c>
      <c r="AF116" s="67">
        <v>66.900000000000006</v>
      </c>
      <c r="AG116" s="66"/>
      <c r="AH116" s="12">
        <f t="shared" si="39"/>
        <v>129.6</v>
      </c>
      <c r="AI116" s="11">
        <f t="shared" si="40"/>
        <v>63.6</v>
      </c>
    </row>
    <row r="117" spans="1:35" ht="15.75" thickBot="1" x14ac:dyDescent="0.3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39"/>
        <v>0</v>
      </c>
      <c r="AI117" s="11">
        <f t="shared" si="40"/>
        <v>0</v>
      </c>
    </row>
    <row r="118" spans="1:35" ht="15.75" thickBot="1" x14ac:dyDescent="0.3">
      <c r="A118" s="65" t="s">
        <v>144</v>
      </c>
      <c r="B118" s="64">
        <f t="shared" ref="B118:C118" si="73">SUM(B22,B28,B31:B32,B66,B68:B69,B71,B73,B119:B123,B155,B161,B167,B176,B178,B190,B197,B200:B201,B208,B210,B212,B216:B218,B220:B222,B227,B233:B234,B236:B238,B246,B251)</f>
        <v>92.240000000000009</v>
      </c>
      <c r="C118" s="64">
        <f t="shared" si="73"/>
        <v>80.240000000000009</v>
      </c>
      <c r="D118" s="64">
        <f t="shared" ref="D118" si="74">SUM(D22,D28,D31:D32,D66,D68:D69,D71,D73,D119:D123,D155,D161,D167,D176,D178,D190,D197,D200:D201,D208,D210,D212,D216:D218,D220:D222,D227,D233:D234,D236:D238,D246,D251)</f>
        <v>77.240000000000009</v>
      </c>
      <c r="E118" s="64">
        <f t="shared" ref="E118:O118" si="75">SUM(E22,E28,E31:E32,E66,E68:E69,E71,E73,E119:E123,E155,E161,E167,E176,E178,E190,E197,E200:E201,E208,E210,E212,E216:E218,E220:E222,E227,E233:E234,E236:E238,E246,E251)</f>
        <v>109.44000000000001</v>
      </c>
      <c r="F118" s="64">
        <f t="shared" si="75"/>
        <v>113.54</v>
      </c>
      <c r="G118" s="64">
        <f t="shared" si="75"/>
        <v>153.13999999999999</v>
      </c>
      <c r="H118" s="64">
        <f t="shared" si="75"/>
        <v>162.94</v>
      </c>
      <c r="I118" s="64">
        <f t="shared" si="75"/>
        <v>189.33999999999997</v>
      </c>
      <c r="J118" s="64">
        <f t="shared" si="75"/>
        <v>223.04</v>
      </c>
      <c r="K118" s="64">
        <f t="shared" si="75"/>
        <v>99.439999999999984</v>
      </c>
      <c r="L118" s="64">
        <f t="shared" si="75"/>
        <v>267.83999999999997</v>
      </c>
      <c r="M118" s="64">
        <f t="shared" si="75"/>
        <v>274.33999999999997</v>
      </c>
      <c r="N118" s="64">
        <f t="shared" si="75"/>
        <v>273.54000000000002</v>
      </c>
      <c r="O118" s="64">
        <f t="shared" si="75"/>
        <v>252.83999999999997</v>
      </c>
      <c r="P118" s="64">
        <v>42</v>
      </c>
      <c r="Q118" s="64">
        <f t="shared" ref="Q118:X118" si="76">SUM(Q22,Q28,Q31:Q32,Q66,Q68:Q69,Q71,Q73,Q119:Q123,Q155,Q161,Q167,Q176,Q178,Q190,Q197,Q200:Q201,Q208,Q210,Q212,Q216:Q218,Q220:Q222,Q227,Q233:Q234,Q236:Q238,Q246,Q251)</f>
        <v>241.83999999999997</v>
      </c>
      <c r="R118" s="64">
        <f t="shared" si="76"/>
        <v>236.84</v>
      </c>
      <c r="S118" s="64">
        <f t="shared" si="76"/>
        <v>233.74</v>
      </c>
      <c r="T118" s="64">
        <f t="shared" si="76"/>
        <v>229.24</v>
      </c>
      <c r="U118" s="64">
        <f t="shared" si="76"/>
        <v>233.94</v>
      </c>
      <c r="V118" s="64">
        <f t="shared" si="76"/>
        <v>234.73999999999998</v>
      </c>
      <c r="W118" s="64">
        <f t="shared" si="76"/>
        <v>241.84</v>
      </c>
      <c r="X118" s="64">
        <f t="shared" si="76"/>
        <v>234.33999999999997</v>
      </c>
      <c r="Y118" s="64">
        <f>SUM(Y20,Y26,Y37:Y38,Y66,Y68:Y69,Y71,Y73,Y119:Y123,Y148,Y154,Y160,Y169,Y171,Y183,Y190,Y193:Y194,Y201,Y203,Y205,Y209:Y211,Y213:Y215,Y220,Y226:Y227,Y229:Y231,Y239,Y244)</f>
        <v>281.39999999999998</v>
      </c>
      <c r="Z118" s="64">
        <f>SUM(Z20,Z26,Z37:Z38,Z66,Z68:Z69,Z71,Z73,Z119:Z123,Z148,Z154,Z160,Z169,Z171,Z183,Z190,Z193:Z194,Z201,Z203,Z205,Z209:Z211,Z213:Z215,Z220,Z226:Z227,Z229:Z231,Z239,Z244)</f>
        <v>297.60000000000002</v>
      </c>
      <c r="AA118" s="64">
        <f>SUM(AA20,AA26,AA37:AA38,AA66,AA68:AA69,AA71,AA73,AA119:AA123,AA148,AA154,AA160,AA169,AA171,AA183,AA190,AA193:AA194,AA201,AA203,AA205,AA209:AA211,AA213:AA215,AA220,AA226:AA227,AA229:AA231,AA239,AA244)</f>
        <v>309.3</v>
      </c>
      <c r="AB118" s="64">
        <f t="shared" ref="AB118:AF118" si="77">SUM(AB22,AB28,AB31:AB32,AB66,AB68:AB69,AB71,AB73,AB119:AB123,AB155,AB161,AB167,AB176,AB178,AB190,AB197,AB200:AB201,AB208,AB210,AB212,AB216:AB218,AB220:AB222,AB227,AB233:AB234,AB236:AB238,AB246,AB251)</f>
        <v>299.33999999999997</v>
      </c>
      <c r="AC118" s="64">
        <f>SUM(AC22,AC28,AC31:AC32,AC66,AC68:AC68,AC71,AC73,AC119:AC123,AC155,AC161,AC167,AC176,AC178,AC190,AC197,AC200:AC201,AC208,AC210,AC212,AC216:AC218,AC220:AC222,AC227,AC233:AC234,AC236:AC238,AC246,AC251)</f>
        <v>290.33999999999997</v>
      </c>
      <c r="AD118" s="64">
        <f t="shared" si="77"/>
        <v>228.24</v>
      </c>
      <c r="AE118" s="64">
        <f t="shared" si="77"/>
        <v>196.14</v>
      </c>
      <c r="AF118" s="64">
        <f t="shared" si="77"/>
        <v>135.44</v>
      </c>
      <c r="AG118" s="63"/>
      <c r="AH118" s="12">
        <f t="shared" si="39"/>
        <v>309.3</v>
      </c>
      <c r="AI118" s="11">
        <f t="shared" si="40"/>
        <v>42</v>
      </c>
    </row>
    <row r="119" spans="1:35" x14ac:dyDescent="0.25">
      <c r="A119" s="59" t="s">
        <v>143</v>
      </c>
      <c r="B119" s="62">
        <v>25</v>
      </c>
      <c r="C119" s="62">
        <v>22</v>
      </c>
      <c r="D119" s="62">
        <v>22</v>
      </c>
      <c r="E119" s="62">
        <v>21.2</v>
      </c>
      <c r="F119" s="62">
        <v>15.3</v>
      </c>
      <c r="G119" s="62">
        <v>16.3</v>
      </c>
      <c r="H119" s="62">
        <v>14</v>
      </c>
      <c r="I119" s="62">
        <v>9.3000000000000007</v>
      </c>
      <c r="J119" s="62">
        <v>14.2</v>
      </c>
      <c r="K119" s="62"/>
      <c r="L119" s="62">
        <v>25.3</v>
      </c>
      <c r="M119" s="62">
        <v>21.6</v>
      </c>
      <c r="N119" s="62">
        <v>21</v>
      </c>
      <c r="O119" s="62">
        <v>16.600000000000001</v>
      </c>
      <c r="P119" s="62">
        <v>12.3</v>
      </c>
      <c r="Q119" s="62">
        <v>21.3</v>
      </c>
      <c r="R119" s="62">
        <v>18</v>
      </c>
      <c r="S119" s="62">
        <v>18</v>
      </c>
      <c r="T119" s="62">
        <v>8.4</v>
      </c>
      <c r="U119" s="62">
        <v>4.0999999999999996</v>
      </c>
      <c r="V119" s="62">
        <v>9.1</v>
      </c>
      <c r="W119" s="62">
        <v>8.9</v>
      </c>
      <c r="X119" s="62">
        <v>19.2</v>
      </c>
      <c r="Y119" s="62">
        <v>32.9</v>
      </c>
      <c r="Z119" s="62">
        <v>41.8</v>
      </c>
      <c r="AA119" s="62">
        <v>39.5</v>
      </c>
      <c r="AB119" s="62">
        <v>43.5</v>
      </c>
      <c r="AC119" s="62">
        <v>43.5</v>
      </c>
      <c r="AD119" s="62">
        <v>40</v>
      </c>
      <c r="AE119" s="62">
        <v>31.8</v>
      </c>
      <c r="AF119" s="62">
        <v>30.7</v>
      </c>
      <c r="AG119" s="55">
        <v>75</v>
      </c>
      <c r="AH119" s="12">
        <f t="shared" si="39"/>
        <v>43.5</v>
      </c>
      <c r="AI119" s="11">
        <f t="shared" si="40"/>
        <v>4.0999999999999996</v>
      </c>
    </row>
    <row r="120" spans="1:35" x14ac:dyDescent="0.25">
      <c r="A120" s="57" t="s">
        <v>142</v>
      </c>
      <c r="B120" s="61">
        <v>42</v>
      </c>
      <c r="C120" s="61">
        <v>38</v>
      </c>
      <c r="D120" s="61">
        <v>38</v>
      </c>
      <c r="E120" s="61">
        <v>38</v>
      </c>
      <c r="F120" s="61">
        <v>29</v>
      </c>
      <c r="G120" s="61">
        <v>28.3</v>
      </c>
      <c r="H120" s="61">
        <v>25</v>
      </c>
      <c r="I120" s="61">
        <v>17</v>
      </c>
      <c r="J120" s="61">
        <v>12.9</v>
      </c>
      <c r="K120" s="61"/>
      <c r="L120" s="61">
        <v>27</v>
      </c>
      <c r="M120" s="61">
        <v>22.2</v>
      </c>
      <c r="N120" s="61">
        <v>19</v>
      </c>
      <c r="O120" s="61">
        <v>15.1</v>
      </c>
      <c r="P120" s="61">
        <v>10.3</v>
      </c>
      <c r="Q120" s="61">
        <v>24</v>
      </c>
      <c r="R120" s="61">
        <v>18</v>
      </c>
      <c r="S120" s="61">
        <v>18</v>
      </c>
      <c r="T120" s="61">
        <v>5.5</v>
      </c>
      <c r="U120" s="61">
        <v>0.1</v>
      </c>
      <c r="V120" s="61">
        <v>7.1</v>
      </c>
      <c r="W120" s="61">
        <v>6.9</v>
      </c>
      <c r="X120" s="61">
        <v>27.8</v>
      </c>
      <c r="Y120" s="61">
        <v>47.5</v>
      </c>
      <c r="Z120" s="61">
        <v>56.1</v>
      </c>
      <c r="AA120" s="61">
        <v>54.9</v>
      </c>
      <c r="AB120" s="61">
        <v>59.6</v>
      </c>
      <c r="AC120" s="61">
        <v>59.6</v>
      </c>
      <c r="AD120" s="61">
        <v>59</v>
      </c>
      <c r="AE120" s="61">
        <v>47.5</v>
      </c>
      <c r="AF120" s="61">
        <v>47</v>
      </c>
      <c r="AG120" s="55">
        <v>240</v>
      </c>
      <c r="AH120" s="12">
        <f t="shared" si="39"/>
        <v>59.6</v>
      </c>
      <c r="AI120" s="11">
        <f t="shared" si="40"/>
        <v>0.1</v>
      </c>
    </row>
    <row r="121" spans="1:35" x14ac:dyDescent="0.25">
      <c r="A121" s="57" t="s">
        <v>141</v>
      </c>
      <c r="B121" s="61">
        <v>-104</v>
      </c>
      <c r="C121" s="61">
        <v>-104</v>
      </c>
      <c r="D121" s="61">
        <v>-104</v>
      </c>
      <c r="E121" s="61">
        <v>-70</v>
      </c>
      <c r="F121" s="61">
        <v>-60</v>
      </c>
      <c r="G121" s="61">
        <v>-52</v>
      </c>
      <c r="H121" s="61">
        <v>-46</v>
      </c>
      <c r="I121" s="61">
        <v>-26</v>
      </c>
      <c r="J121" s="61">
        <v>0</v>
      </c>
      <c r="K121" s="61"/>
      <c r="L121" s="61">
        <v>11</v>
      </c>
      <c r="M121" s="61">
        <v>11</v>
      </c>
      <c r="N121" s="61">
        <v>14</v>
      </c>
      <c r="O121" s="61">
        <v>5</v>
      </c>
      <c r="P121" s="61">
        <v>4.5</v>
      </c>
      <c r="Q121" s="61">
        <v>-4</v>
      </c>
      <c r="R121" s="61">
        <v>-7</v>
      </c>
      <c r="S121" s="61">
        <v>-7</v>
      </c>
      <c r="T121" s="61">
        <v>-3.2</v>
      </c>
      <c r="U121" s="61">
        <v>0.2</v>
      </c>
      <c r="V121" s="61">
        <v>3.3</v>
      </c>
      <c r="W121" s="61">
        <v>7.2</v>
      </c>
      <c r="X121" s="61">
        <v>3.2</v>
      </c>
      <c r="Y121" s="61">
        <v>-17.399999999999999</v>
      </c>
      <c r="Z121" s="61">
        <v>-29.6</v>
      </c>
      <c r="AA121" s="61">
        <v>-45.6</v>
      </c>
      <c r="AB121" s="61">
        <v>-14</v>
      </c>
      <c r="AC121" s="61">
        <v>-14</v>
      </c>
      <c r="AD121" s="61">
        <v>-35</v>
      </c>
      <c r="AE121" s="61">
        <v>-40</v>
      </c>
      <c r="AF121" s="61">
        <v>-60</v>
      </c>
      <c r="AG121" s="55">
        <v>240</v>
      </c>
      <c r="AH121" s="12">
        <f t="shared" si="39"/>
        <v>14</v>
      </c>
      <c r="AI121" s="11">
        <f t="shared" si="40"/>
        <v>-104</v>
      </c>
    </row>
    <row r="122" spans="1:35" ht="15.75" thickBot="1" x14ac:dyDescent="0.3">
      <c r="A122" s="57" t="s">
        <v>140</v>
      </c>
      <c r="B122" s="61">
        <v>25</v>
      </c>
      <c r="C122" s="61">
        <v>25</v>
      </c>
      <c r="D122" s="61">
        <v>25</v>
      </c>
      <c r="E122" s="61">
        <v>20</v>
      </c>
      <c r="F122" s="61">
        <v>22.2</v>
      </c>
      <c r="G122" s="61">
        <v>23.4</v>
      </c>
      <c r="H122" s="61">
        <v>23.1</v>
      </c>
      <c r="I122" s="61">
        <v>23.5</v>
      </c>
      <c r="J122" s="61">
        <v>5.8</v>
      </c>
      <c r="K122" s="61"/>
      <c r="L122" s="61">
        <v>17</v>
      </c>
      <c r="M122" s="61">
        <v>9</v>
      </c>
      <c r="N122" s="61">
        <v>9</v>
      </c>
      <c r="O122" s="61">
        <v>8</v>
      </c>
      <c r="P122" s="61">
        <v>10.199999999999999</v>
      </c>
      <c r="Q122" s="61">
        <v>5</v>
      </c>
      <c r="R122" s="61">
        <v>-2.7</v>
      </c>
      <c r="S122" s="61">
        <v>-2.7</v>
      </c>
      <c r="T122" s="61">
        <v>0.8</v>
      </c>
      <c r="U122" s="61">
        <v>-1.9</v>
      </c>
      <c r="V122" s="61">
        <v>4.5</v>
      </c>
      <c r="W122" s="61">
        <v>9.1</v>
      </c>
      <c r="X122" s="61">
        <v>12.5</v>
      </c>
      <c r="Y122" s="61">
        <v>37.6</v>
      </c>
      <c r="Z122" s="61">
        <v>50.9</v>
      </c>
      <c r="AA122" s="61">
        <v>57.4</v>
      </c>
      <c r="AB122" s="61">
        <v>33</v>
      </c>
      <c r="AC122" s="61">
        <v>33</v>
      </c>
      <c r="AD122" s="61">
        <v>26</v>
      </c>
      <c r="AE122" s="61">
        <v>23.6</v>
      </c>
      <c r="AF122" s="61">
        <v>8</v>
      </c>
      <c r="AG122" s="55">
        <v>60</v>
      </c>
      <c r="AH122" s="12">
        <f t="shared" si="39"/>
        <v>57.4</v>
      </c>
      <c r="AI122" s="11">
        <f t="shared" si="40"/>
        <v>-2.7</v>
      </c>
    </row>
    <row r="123" spans="1:35" x14ac:dyDescent="0.25">
      <c r="A123" s="59" t="s">
        <v>139</v>
      </c>
      <c r="B123" s="58">
        <v>8</v>
      </c>
      <c r="C123" s="58">
        <v>3</v>
      </c>
      <c r="D123" s="58">
        <v>0</v>
      </c>
      <c r="E123" s="58">
        <v>6.2</v>
      </c>
      <c r="F123" s="58">
        <v>13</v>
      </c>
      <c r="G123" s="58">
        <v>40.700000000000003</v>
      </c>
      <c r="H123" s="58">
        <v>50.4</v>
      </c>
      <c r="I123" s="58">
        <v>69.099999999999994</v>
      </c>
      <c r="J123" s="58">
        <v>94.5</v>
      </c>
      <c r="K123" s="58"/>
      <c r="L123" s="58">
        <v>88</v>
      </c>
      <c r="M123" s="58">
        <v>111</v>
      </c>
      <c r="N123" s="58">
        <v>111</v>
      </c>
      <c r="O123" s="58">
        <v>116</v>
      </c>
      <c r="P123" s="58">
        <v>114.9</v>
      </c>
      <c r="Q123" s="58">
        <v>91</v>
      </c>
      <c r="R123" s="58">
        <v>106</v>
      </c>
      <c r="S123" s="58">
        <v>106</v>
      </c>
      <c r="T123" s="58">
        <v>116.9</v>
      </c>
      <c r="U123" s="58">
        <v>134</v>
      </c>
      <c r="V123" s="58">
        <v>117.8</v>
      </c>
      <c r="W123" s="58">
        <v>118.5</v>
      </c>
      <c r="X123" s="58">
        <v>84.8</v>
      </c>
      <c r="Y123" s="58">
        <v>75.400000000000006</v>
      </c>
      <c r="Z123" s="58">
        <v>72.2</v>
      </c>
      <c r="AA123" s="58">
        <v>96.9</v>
      </c>
      <c r="AB123" s="58">
        <v>87</v>
      </c>
      <c r="AC123" s="58">
        <v>87</v>
      </c>
      <c r="AD123" s="58">
        <v>48</v>
      </c>
      <c r="AE123" s="58">
        <v>43</v>
      </c>
      <c r="AF123" s="58">
        <v>19.5</v>
      </c>
      <c r="AG123" s="60">
        <v>120</v>
      </c>
      <c r="AH123" s="12">
        <f t="shared" si="39"/>
        <v>134</v>
      </c>
      <c r="AI123" s="11">
        <f t="shared" si="40"/>
        <v>0</v>
      </c>
    </row>
    <row r="124" spans="1:35" x14ac:dyDescent="0.25">
      <c r="A124" s="57" t="s">
        <v>138</v>
      </c>
      <c r="B124" s="58">
        <v>27</v>
      </c>
      <c r="C124" s="58">
        <v>24</v>
      </c>
      <c r="D124" s="58">
        <v>22</v>
      </c>
      <c r="E124" s="58">
        <v>26</v>
      </c>
      <c r="F124" s="58">
        <v>29.3</v>
      </c>
      <c r="G124" s="58">
        <v>43</v>
      </c>
      <c r="H124" s="58">
        <v>47.6</v>
      </c>
      <c r="I124" s="58">
        <v>57</v>
      </c>
      <c r="J124" s="58">
        <v>70</v>
      </c>
      <c r="K124" s="58"/>
      <c r="L124" s="58">
        <v>66.400000000000006</v>
      </c>
      <c r="M124" s="58">
        <v>77</v>
      </c>
      <c r="N124" s="58">
        <v>77</v>
      </c>
      <c r="O124" s="58">
        <v>80</v>
      </c>
      <c r="P124" s="58">
        <v>80.2</v>
      </c>
      <c r="Q124" s="58">
        <v>66</v>
      </c>
      <c r="R124" s="58">
        <v>76</v>
      </c>
      <c r="S124" s="58">
        <v>76</v>
      </c>
      <c r="T124" s="58">
        <v>80.8</v>
      </c>
      <c r="U124" s="58">
        <v>86.5</v>
      </c>
      <c r="V124" s="58">
        <v>75.900000000000006</v>
      </c>
      <c r="W124" s="58">
        <v>82</v>
      </c>
      <c r="X124" s="58">
        <v>64.900000000000006</v>
      </c>
      <c r="Y124" s="58">
        <v>55.5</v>
      </c>
      <c r="Z124" s="58">
        <v>58</v>
      </c>
      <c r="AA124" s="58">
        <v>70.099999999999994</v>
      </c>
      <c r="AB124" s="58">
        <v>65</v>
      </c>
      <c r="AC124" s="58">
        <v>65</v>
      </c>
      <c r="AD124" s="58">
        <v>46</v>
      </c>
      <c r="AE124" s="58">
        <v>44</v>
      </c>
      <c r="AF124" s="58">
        <v>31.7</v>
      </c>
      <c r="AG124" s="60"/>
      <c r="AH124" s="12">
        <f t="shared" si="39"/>
        <v>86.5</v>
      </c>
      <c r="AI124" s="11">
        <f t="shared" si="40"/>
        <v>22</v>
      </c>
    </row>
    <row r="125" spans="1:35" x14ac:dyDescent="0.25">
      <c r="A125" s="57" t="s">
        <v>137</v>
      </c>
      <c r="B125" s="58">
        <v>-15</v>
      </c>
      <c r="C125" s="58">
        <v>-16</v>
      </c>
      <c r="D125" s="58">
        <v>-18</v>
      </c>
      <c r="E125" s="58">
        <v>-6</v>
      </c>
      <c r="F125" s="58">
        <v>-5.4</v>
      </c>
      <c r="G125" s="58">
        <v>-1.1000000000000001</v>
      </c>
      <c r="H125" s="58">
        <v>0.2</v>
      </c>
      <c r="I125" s="58">
        <v>6</v>
      </c>
      <c r="J125" s="58">
        <v>9</v>
      </c>
      <c r="K125" s="58"/>
      <c r="L125" s="58">
        <v>-21.5</v>
      </c>
      <c r="M125" s="58">
        <v>11.9</v>
      </c>
      <c r="N125" s="58">
        <v>11.9</v>
      </c>
      <c r="O125" s="58">
        <v>-8</v>
      </c>
      <c r="P125" s="58">
        <v>17.5</v>
      </c>
      <c r="Q125" s="58">
        <v>0.5</v>
      </c>
      <c r="R125" s="58">
        <v>26</v>
      </c>
      <c r="S125" s="58">
        <v>26</v>
      </c>
      <c r="T125" s="58">
        <v>42.5</v>
      </c>
      <c r="U125" s="58">
        <v>45.9</v>
      </c>
      <c r="V125" s="58">
        <v>27.6</v>
      </c>
      <c r="W125" s="58">
        <v>21.5</v>
      </c>
      <c r="X125" s="58">
        <v>-12.2</v>
      </c>
      <c r="Y125" s="58">
        <v>-33.200000000000003</v>
      </c>
      <c r="Z125" s="58">
        <v>-54</v>
      </c>
      <c r="AA125" s="58">
        <v>70.8</v>
      </c>
      <c r="AB125" s="58">
        <v>-43</v>
      </c>
      <c r="AC125" s="58">
        <v>-43</v>
      </c>
      <c r="AD125" s="58">
        <v>-38</v>
      </c>
      <c r="AE125" s="58">
        <v>-22</v>
      </c>
      <c r="AF125" s="58">
        <v>-19</v>
      </c>
      <c r="AG125" s="60"/>
      <c r="AH125" s="12">
        <f t="shared" si="39"/>
        <v>70.8</v>
      </c>
      <c r="AI125" s="11">
        <f t="shared" si="40"/>
        <v>-54</v>
      </c>
    </row>
    <row r="126" spans="1:35" ht="15.75" thickBot="1" x14ac:dyDescent="0.3">
      <c r="A126" s="57" t="s">
        <v>136</v>
      </c>
      <c r="B126" s="58">
        <v>23</v>
      </c>
      <c r="C126" s="58">
        <v>15</v>
      </c>
      <c r="D126" s="58">
        <v>17</v>
      </c>
      <c r="E126" s="58">
        <v>27</v>
      </c>
      <c r="F126" s="58">
        <v>25.1</v>
      </c>
      <c r="G126" s="58">
        <v>51.4</v>
      </c>
      <c r="H126" s="58">
        <v>54.1</v>
      </c>
      <c r="I126" s="58">
        <v>66</v>
      </c>
      <c r="J126" s="58">
        <v>68</v>
      </c>
      <c r="K126" s="58"/>
      <c r="L126" s="58">
        <v>59</v>
      </c>
      <c r="M126" s="58">
        <v>72</v>
      </c>
      <c r="N126" s="58">
        <v>72</v>
      </c>
      <c r="O126" s="58">
        <v>85</v>
      </c>
      <c r="P126" s="58">
        <v>89</v>
      </c>
      <c r="Q126" s="58">
        <v>73</v>
      </c>
      <c r="R126" s="58">
        <v>83</v>
      </c>
      <c r="S126" s="58">
        <v>83</v>
      </c>
      <c r="T126" s="58">
        <v>94.9</v>
      </c>
      <c r="U126" s="58">
        <v>105.8</v>
      </c>
      <c r="V126" s="58">
        <v>85.8</v>
      </c>
      <c r="W126" s="58">
        <v>94.4</v>
      </c>
      <c r="X126" s="58">
        <v>62</v>
      </c>
      <c r="Y126" s="58">
        <v>39.4</v>
      </c>
      <c r="Z126" s="58">
        <v>35.5</v>
      </c>
      <c r="AA126" s="58">
        <v>58.1</v>
      </c>
      <c r="AB126" s="58">
        <v>52</v>
      </c>
      <c r="AC126" s="58">
        <v>52</v>
      </c>
      <c r="AD126" s="58">
        <v>31</v>
      </c>
      <c r="AE126" s="58">
        <v>32</v>
      </c>
      <c r="AF126" s="58">
        <v>24.5</v>
      </c>
      <c r="AG126" s="55"/>
      <c r="AH126" s="12">
        <f>MAX(B126:AF126)</f>
        <v>105.8</v>
      </c>
      <c r="AI126" s="11">
        <f>MIN(B126:AF126)</f>
        <v>15</v>
      </c>
    </row>
    <row r="127" spans="1:35" x14ac:dyDescent="0.25">
      <c r="A127" s="59" t="s">
        <v>135</v>
      </c>
      <c r="B127" s="58">
        <v>-109</v>
      </c>
      <c r="C127" s="58">
        <v>-112</v>
      </c>
      <c r="D127" s="58">
        <v>-107</v>
      </c>
      <c r="E127" s="58">
        <v>-94</v>
      </c>
      <c r="F127" s="58">
        <v>-96</v>
      </c>
      <c r="G127" s="58">
        <v>-74</v>
      </c>
      <c r="H127" s="58">
        <v>-75</v>
      </c>
      <c r="I127" s="58">
        <v>-63</v>
      </c>
      <c r="J127" s="58">
        <v>14.3</v>
      </c>
      <c r="K127" s="58"/>
      <c r="L127" s="58">
        <v>12</v>
      </c>
      <c r="M127" s="58">
        <v>24</v>
      </c>
      <c r="N127" s="58">
        <v>24</v>
      </c>
      <c r="O127" s="58">
        <v>30</v>
      </c>
      <c r="P127" s="58">
        <v>29.3</v>
      </c>
      <c r="Q127" s="58">
        <v>33</v>
      </c>
      <c r="R127" s="58">
        <v>52</v>
      </c>
      <c r="S127" s="58">
        <v>52</v>
      </c>
      <c r="T127" s="58">
        <v>59.6</v>
      </c>
      <c r="U127" s="58">
        <v>39</v>
      </c>
      <c r="V127" s="58">
        <v>30.3</v>
      </c>
      <c r="W127" s="58">
        <v>30.7</v>
      </c>
      <c r="X127" s="58">
        <v>16.3</v>
      </c>
      <c r="Y127" s="58">
        <v>-113.3</v>
      </c>
      <c r="Z127" s="58">
        <v>-114.7</v>
      </c>
      <c r="AA127" s="58">
        <v>-130.74</v>
      </c>
      <c r="AB127" s="58">
        <v>-136</v>
      </c>
      <c r="AC127" s="58">
        <v>-136</v>
      </c>
      <c r="AD127" s="58">
        <v>-144</v>
      </c>
      <c r="AE127" s="58">
        <v>-143</v>
      </c>
      <c r="AF127" s="58">
        <v>-117</v>
      </c>
      <c r="AG127" s="55"/>
      <c r="AH127" s="12">
        <f>MAX(B127:AF127)</f>
        <v>59.6</v>
      </c>
      <c r="AI127" s="11">
        <f>MIN(B127:AF127)</f>
        <v>-144</v>
      </c>
    </row>
    <row r="128" spans="1:35" x14ac:dyDescent="0.25">
      <c r="A128" s="57" t="s">
        <v>134</v>
      </c>
      <c r="B128" s="56">
        <v>13</v>
      </c>
      <c r="C128" s="56">
        <v>0</v>
      </c>
      <c r="D128" s="56">
        <v>-10</v>
      </c>
      <c r="E128" s="56">
        <v>-1.4</v>
      </c>
      <c r="F128" s="56">
        <v>-1.4</v>
      </c>
      <c r="G128" s="56">
        <v>-13.1</v>
      </c>
      <c r="H128" s="56">
        <v>-16</v>
      </c>
      <c r="I128" s="56">
        <v>-15</v>
      </c>
      <c r="J128" s="56">
        <v>-19.100000000000001</v>
      </c>
      <c r="K128" s="56"/>
      <c r="L128" s="56">
        <v>-14</v>
      </c>
      <c r="M128" s="56">
        <v>-18</v>
      </c>
      <c r="N128" s="56">
        <v>-18</v>
      </c>
      <c r="O128" s="56">
        <v>-8</v>
      </c>
      <c r="P128" s="56">
        <v>-17.600000000000001</v>
      </c>
      <c r="Q128" s="56">
        <v>-14</v>
      </c>
      <c r="R128" s="56">
        <v>-17</v>
      </c>
      <c r="S128" s="56">
        <v>-17</v>
      </c>
      <c r="T128" s="56">
        <v>-26</v>
      </c>
      <c r="U128" s="56">
        <v>-24.3</v>
      </c>
      <c r="V128" s="56">
        <v>-35.1</v>
      </c>
      <c r="W128" s="56">
        <v>-34.1</v>
      </c>
      <c r="X128" s="56">
        <v>-45</v>
      </c>
      <c r="Y128" s="56">
        <v>-50.4</v>
      </c>
      <c r="Z128" s="56">
        <v>-59</v>
      </c>
      <c r="AA128" s="56">
        <v>-56.6</v>
      </c>
      <c r="AB128" s="56">
        <v>-49</v>
      </c>
      <c r="AC128" s="56">
        <v>-49</v>
      </c>
      <c r="AD128" s="56">
        <v>-44</v>
      </c>
      <c r="AE128" s="56">
        <v>-31</v>
      </c>
      <c r="AF128" s="56">
        <v>-25</v>
      </c>
      <c r="AG128" s="55"/>
      <c r="AH128" s="12">
        <f>MAX(B128:AF128)</f>
        <v>13</v>
      </c>
      <c r="AI128" s="11">
        <f>MIN(B128:AF128)</f>
        <v>-59</v>
      </c>
    </row>
    <row r="129" spans="1:37" x14ac:dyDescent="0.25">
      <c r="A129" s="57" t="s">
        <v>133</v>
      </c>
      <c r="B129" s="56">
        <v>65</v>
      </c>
      <c r="C129" s="56">
        <v>70</v>
      </c>
      <c r="D129" s="56">
        <v>61</v>
      </c>
      <c r="E129" s="56">
        <v>55</v>
      </c>
      <c r="F129" s="56">
        <v>51.4</v>
      </c>
      <c r="G129" s="56">
        <v>45.3</v>
      </c>
      <c r="H129" s="56">
        <v>51.3</v>
      </c>
      <c r="I129" s="56">
        <v>54</v>
      </c>
      <c r="J129" s="56">
        <v>82</v>
      </c>
      <c r="K129" s="56"/>
      <c r="L129" s="56">
        <v>87</v>
      </c>
      <c r="M129" s="56">
        <v>97</v>
      </c>
      <c r="N129" s="56">
        <v>97</v>
      </c>
      <c r="O129" s="56">
        <v>88.5</v>
      </c>
      <c r="P129" s="56">
        <v>94.3</v>
      </c>
      <c r="Q129" s="56">
        <v>92</v>
      </c>
      <c r="R129" s="56">
        <v>108</v>
      </c>
      <c r="S129" s="56">
        <v>108</v>
      </c>
      <c r="T129" s="56">
        <v>73</v>
      </c>
      <c r="U129" s="56">
        <v>67.400000000000006</v>
      </c>
      <c r="V129" s="56">
        <v>64.099999999999994</v>
      </c>
      <c r="W129" s="56">
        <v>69.099999999999994</v>
      </c>
      <c r="X129" s="56">
        <v>53.12</v>
      </c>
      <c r="Y129" s="56">
        <v>92.5</v>
      </c>
      <c r="Z129" s="56">
        <v>111.7</v>
      </c>
      <c r="AA129" s="56">
        <v>110.5</v>
      </c>
      <c r="AB129" s="56">
        <v>112</v>
      </c>
      <c r="AC129" s="56">
        <v>112</v>
      </c>
      <c r="AD129" s="56">
        <v>106</v>
      </c>
      <c r="AE129" s="56">
        <v>98</v>
      </c>
      <c r="AF129" s="56">
        <v>84</v>
      </c>
      <c r="AG129" s="55"/>
      <c r="AH129" s="12">
        <f>MAX(B129:AF129)</f>
        <v>112</v>
      </c>
      <c r="AI129" s="11">
        <f>MIN(B129:AF129)</f>
        <v>45.3</v>
      </c>
    </row>
    <row r="130" spans="1:37" ht="15.75" thickBot="1" x14ac:dyDescent="0.3">
      <c r="A130" s="57" t="s">
        <v>132</v>
      </c>
      <c r="B130" s="56">
        <v>69</v>
      </c>
      <c r="C130" s="56">
        <v>72</v>
      </c>
      <c r="D130" s="56">
        <v>77</v>
      </c>
      <c r="E130" s="56">
        <v>72</v>
      </c>
      <c r="F130" s="56">
        <v>69</v>
      </c>
      <c r="G130" s="56">
        <v>66.5</v>
      </c>
      <c r="H130" s="56">
        <v>67.099999999999994</v>
      </c>
      <c r="I130" s="56">
        <v>65</v>
      </c>
      <c r="J130" s="56">
        <v>91.6</v>
      </c>
      <c r="K130" s="56"/>
      <c r="L130" s="56">
        <v>92</v>
      </c>
      <c r="M130" s="56">
        <v>100</v>
      </c>
      <c r="N130" s="56">
        <v>100</v>
      </c>
      <c r="O130" s="56">
        <v>88</v>
      </c>
      <c r="P130" s="56">
        <v>95</v>
      </c>
      <c r="Q130" s="56">
        <v>101</v>
      </c>
      <c r="R130" s="56">
        <v>109</v>
      </c>
      <c r="S130" s="56">
        <v>109</v>
      </c>
      <c r="T130" s="56">
        <v>74.5</v>
      </c>
      <c r="U130" s="56">
        <v>69</v>
      </c>
      <c r="V130" s="56">
        <v>65.2</v>
      </c>
      <c r="W130" s="56">
        <v>69.400000000000006</v>
      </c>
      <c r="X130" s="56">
        <v>67.2</v>
      </c>
      <c r="Y130" s="56">
        <v>103.9</v>
      </c>
      <c r="Z130" s="56">
        <v>117.6</v>
      </c>
      <c r="AA130" s="56">
        <v>121.3</v>
      </c>
      <c r="AB130" s="56">
        <v>121</v>
      </c>
      <c r="AC130" s="56">
        <v>121</v>
      </c>
      <c r="AD130" s="56">
        <v>116</v>
      </c>
      <c r="AE130" s="56">
        <v>111</v>
      </c>
      <c r="AF130" s="56">
        <v>95.6</v>
      </c>
      <c r="AG130" s="55"/>
      <c r="AH130" s="12">
        <f>MAX(B130:AF130)</f>
        <v>121.3</v>
      </c>
      <c r="AI130" s="11">
        <f>MIN(B130:AF130)</f>
        <v>65</v>
      </c>
    </row>
    <row r="131" spans="1:37" x14ac:dyDescent="0.25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25">
      <c r="A132" s="47" t="s">
        <v>130</v>
      </c>
      <c r="B132" s="51">
        <v>1983.65</v>
      </c>
      <c r="C132" s="51">
        <v>1983.45</v>
      </c>
      <c r="D132" s="51">
        <v>1983.3</v>
      </c>
      <c r="E132" s="51">
        <v>1983.2</v>
      </c>
      <c r="F132" s="51">
        <v>1983.08</v>
      </c>
      <c r="G132" s="51">
        <v>1982.95</v>
      </c>
      <c r="H132" s="51"/>
      <c r="I132" s="51">
        <v>1982.83</v>
      </c>
      <c r="J132" s="51"/>
      <c r="K132" s="51">
        <v>1983</v>
      </c>
      <c r="L132" s="51"/>
      <c r="M132" s="51">
        <v>1983.48</v>
      </c>
      <c r="N132" s="51">
        <v>1983.701</v>
      </c>
      <c r="O132" s="51">
        <v>1984</v>
      </c>
      <c r="P132" s="51">
        <v>1984.28</v>
      </c>
      <c r="Q132" s="51">
        <v>1984.55</v>
      </c>
      <c r="R132" s="51">
        <v>1984.79</v>
      </c>
      <c r="S132" s="51">
        <v>1985.03</v>
      </c>
      <c r="T132" s="51">
        <v>1985.3</v>
      </c>
      <c r="U132" s="51">
        <v>1985.5</v>
      </c>
      <c r="V132" s="51">
        <v>1985.75</v>
      </c>
      <c r="W132" s="51">
        <v>1985.85</v>
      </c>
      <c r="X132" s="51">
        <v>1985.95</v>
      </c>
      <c r="Y132" s="51"/>
      <c r="Z132" s="51">
        <v>1985.8</v>
      </c>
      <c r="AA132" s="51"/>
      <c r="AB132" s="51">
        <v>1985.1</v>
      </c>
      <c r="AC132" s="51"/>
      <c r="AD132" s="51">
        <v>1984.6</v>
      </c>
      <c r="AE132" s="51">
        <v>1984.05</v>
      </c>
      <c r="AF132" s="50">
        <v>1983.5</v>
      </c>
      <c r="AG132" s="44"/>
      <c r="AH132" s="12"/>
      <c r="AI132" s="11"/>
    </row>
    <row r="133" spans="1:37" x14ac:dyDescent="0.25">
      <c r="A133" s="47" t="s">
        <v>129</v>
      </c>
      <c r="B133" s="49">
        <v>519.88</v>
      </c>
      <c r="C133" s="49">
        <v>519.64</v>
      </c>
      <c r="D133" s="49">
        <v>519.57000000000005</v>
      </c>
      <c r="E133" s="49">
        <v>519.54</v>
      </c>
      <c r="F133" s="49">
        <v>519.53</v>
      </c>
      <c r="G133" s="49">
        <v>519.52</v>
      </c>
      <c r="H133" s="49"/>
      <c r="I133" s="49">
        <v>519.54999999999995</v>
      </c>
      <c r="J133" s="49"/>
      <c r="K133" s="49">
        <v>519.69000000000005</v>
      </c>
      <c r="L133" s="49"/>
      <c r="M133" s="49">
        <v>519.79999999999995</v>
      </c>
      <c r="N133" s="49">
        <v>519.94000000000005</v>
      </c>
      <c r="O133" s="49">
        <v>520.05999999999995</v>
      </c>
      <c r="P133" s="49">
        <v>520.26</v>
      </c>
      <c r="Q133" s="49">
        <v>520.4</v>
      </c>
      <c r="R133" s="49">
        <v>520.73</v>
      </c>
      <c r="S133" s="49">
        <v>521.03</v>
      </c>
      <c r="T133" s="49">
        <v>521.26</v>
      </c>
      <c r="U133" s="49">
        <v>521.5</v>
      </c>
      <c r="V133" s="49">
        <v>521.71</v>
      </c>
      <c r="W133" s="49">
        <v>521.9</v>
      </c>
      <c r="X133" s="49">
        <v>521.98</v>
      </c>
      <c r="Y133" s="49"/>
      <c r="Z133" s="49">
        <v>522</v>
      </c>
      <c r="AA133" s="49"/>
      <c r="AB133" s="49">
        <v>521.70000000000005</v>
      </c>
      <c r="AC133" s="49"/>
      <c r="AD133" s="49">
        <v>521.41999999999996</v>
      </c>
      <c r="AE133" s="49">
        <v>521.23</v>
      </c>
      <c r="AF133" s="48">
        <v>521.1</v>
      </c>
      <c r="AG133" s="44"/>
      <c r="AH133" s="12"/>
      <c r="AI133" s="11"/>
    </row>
    <row r="134" spans="1:37" x14ac:dyDescent="0.25">
      <c r="A134" s="47" t="s">
        <v>128</v>
      </c>
      <c r="B134" s="49">
        <v>622.47</v>
      </c>
      <c r="C134" s="49">
        <v>622.33000000000004</v>
      </c>
      <c r="D134" s="49">
        <v>622.22</v>
      </c>
      <c r="E134" s="49">
        <v>622.12</v>
      </c>
      <c r="F134" s="49">
        <v>622.39</v>
      </c>
      <c r="G134" s="49">
        <v>622.67999999999995</v>
      </c>
      <c r="H134" s="49"/>
      <c r="I134" s="49">
        <v>622.82000000000005</v>
      </c>
      <c r="J134" s="49"/>
      <c r="K134" s="49">
        <v>623.04</v>
      </c>
      <c r="L134" s="49"/>
      <c r="M134" s="49"/>
      <c r="N134" s="49"/>
      <c r="O134" s="49">
        <v>623.73</v>
      </c>
      <c r="P134" s="49">
        <v>623.96699999999998</v>
      </c>
      <c r="Q134" s="49">
        <v>624.20000000000005</v>
      </c>
      <c r="R134" s="49">
        <v>624.39</v>
      </c>
      <c r="S134" s="49">
        <v>624.6</v>
      </c>
      <c r="T134" s="49">
        <v>624.74</v>
      </c>
      <c r="U134" s="49">
        <v>624.78</v>
      </c>
      <c r="V134" s="49">
        <v>624.89</v>
      </c>
      <c r="W134" s="49">
        <v>624.87</v>
      </c>
      <c r="X134" s="49">
        <v>624.71</v>
      </c>
      <c r="Y134" s="49"/>
      <c r="Z134" s="49">
        <v>624.64</v>
      </c>
      <c r="AA134" s="49"/>
      <c r="AB134" s="49">
        <v>624.37</v>
      </c>
      <c r="AC134" s="49"/>
      <c r="AD134" s="49">
        <v>624.03</v>
      </c>
      <c r="AE134" s="49">
        <v>623.99</v>
      </c>
      <c r="AF134" s="48">
        <v>623.79999999999995</v>
      </c>
      <c r="AG134" s="44"/>
      <c r="AH134" s="12"/>
      <c r="AI134" s="11"/>
    </row>
    <row r="135" spans="1:37" x14ac:dyDescent="0.25">
      <c r="A135" s="47" t="s">
        <v>127</v>
      </c>
      <c r="B135" s="49">
        <v>335.04</v>
      </c>
      <c r="C135" s="49">
        <v>334.99</v>
      </c>
      <c r="D135" s="49">
        <v>335</v>
      </c>
      <c r="E135" s="49">
        <v>335.02</v>
      </c>
      <c r="F135" s="49">
        <v>335.02</v>
      </c>
      <c r="G135" s="49">
        <v>335</v>
      </c>
      <c r="H135" s="49"/>
      <c r="I135" s="49">
        <v>334.98</v>
      </c>
      <c r="J135" s="49"/>
      <c r="K135" s="49">
        <v>335.02</v>
      </c>
      <c r="L135" s="49"/>
      <c r="M135" s="49">
        <v>335.14</v>
      </c>
      <c r="N135" s="49">
        <v>335.18</v>
      </c>
      <c r="O135" s="49">
        <v>335.2</v>
      </c>
      <c r="P135" s="49">
        <v>335.25</v>
      </c>
      <c r="Q135" s="49">
        <v>335.27</v>
      </c>
      <c r="R135" s="49">
        <v>335.29</v>
      </c>
      <c r="S135" s="49">
        <v>335.44</v>
      </c>
      <c r="T135" s="49">
        <v>335.61</v>
      </c>
      <c r="U135" s="49">
        <v>335.72</v>
      </c>
      <c r="V135" s="49">
        <v>335.8</v>
      </c>
      <c r="W135" s="49">
        <v>335.87</v>
      </c>
      <c r="X135" s="49">
        <v>335.91</v>
      </c>
      <c r="Y135" s="49"/>
      <c r="Z135" s="49">
        <v>335.85</v>
      </c>
      <c r="AA135" s="49"/>
      <c r="AB135" s="49">
        <v>335.43</v>
      </c>
      <c r="AC135" s="49"/>
      <c r="AD135" s="49">
        <v>334.96</v>
      </c>
      <c r="AE135" s="49">
        <v>334.66</v>
      </c>
      <c r="AF135" s="48">
        <v>334.66</v>
      </c>
      <c r="AG135" s="44"/>
      <c r="AH135" s="12"/>
      <c r="AI135" s="11"/>
    </row>
    <row r="136" spans="1:37" x14ac:dyDescent="0.25">
      <c r="A136" s="47" t="s">
        <v>126</v>
      </c>
      <c r="B136" s="49">
        <v>883.2</v>
      </c>
      <c r="C136" s="49">
        <v>882.4</v>
      </c>
      <c r="D136" s="49">
        <v>882.1</v>
      </c>
      <c r="E136" s="49">
        <v>883.2</v>
      </c>
      <c r="F136" s="49">
        <v>884</v>
      </c>
      <c r="G136" s="49">
        <v>884.4</v>
      </c>
      <c r="H136" s="49"/>
      <c r="I136" s="49">
        <v>884.8</v>
      </c>
      <c r="J136" s="49"/>
      <c r="K136" s="49">
        <v>885.2</v>
      </c>
      <c r="L136" s="49"/>
      <c r="M136" s="49"/>
      <c r="N136" s="49">
        <v>886.1</v>
      </c>
      <c r="O136" s="49">
        <v>886.6</v>
      </c>
      <c r="P136" s="49">
        <v>887.4</v>
      </c>
      <c r="Q136" s="49">
        <v>887.9</v>
      </c>
      <c r="R136" s="49">
        <v>887.7</v>
      </c>
      <c r="S136" s="49">
        <v>887</v>
      </c>
      <c r="T136" s="49">
        <v>887</v>
      </c>
      <c r="U136" s="49">
        <v>886</v>
      </c>
      <c r="V136" s="49">
        <v>885.1</v>
      </c>
      <c r="W136" s="49"/>
      <c r="X136" s="49">
        <v>884.9</v>
      </c>
      <c r="Y136" s="49"/>
      <c r="Z136" s="49">
        <v>885.2</v>
      </c>
      <c r="AA136" s="49"/>
      <c r="AB136" s="49">
        <v>885.1</v>
      </c>
      <c r="AC136" s="49"/>
      <c r="AD136" s="49">
        <v>885</v>
      </c>
      <c r="AE136" s="49">
        <v>885</v>
      </c>
      <c r="AF136" s="48">
        <v>884.9</v>
      </c>
      <c r="AG136" s="44"/>
      <c r="AH136" s="12"/>
      <c r="AI136" s="11"/>
    </row>
    <row r="137" spans="1:37" ht="15.75" thickBot="1" x14ac:dyDescent="0.3">
      <c r="A137" s="47" t="s">
        <v>125</v>
      </c>
      <c r="B137" s="46">
        <v>1500.08</v>
      </c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>
        <v>1499.81</v>
      </c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.75" thickBot="1" x14ac:dyDescent="0.3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25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25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25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25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25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25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25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25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25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25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25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25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25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25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25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25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25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25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25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25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25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25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25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25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25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25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25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25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25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25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25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25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25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25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25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25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25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25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25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25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25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25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25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25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25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25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25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25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25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25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25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25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25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25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25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25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25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25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25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25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25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25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25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25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25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25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25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25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25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25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25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25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25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25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25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25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25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25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25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25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25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25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25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25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25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25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25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25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25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25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25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25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25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25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25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25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25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25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25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25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25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25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25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25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.75" thickBot="1" x14ac:dyDescent="0.3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.75" thickBot="1" x14ac:dyDescent="0.3">
      <c r="A244" s="31" t="s">
        <v>17</v>
      </c>
      <c r="B244" s="30">
        <f t="shared" ref="B244:AG244" si="78">SUM(B139:B243)</f>
        <v>0</v>
      </c>
      <c r="C244" s="14">
        <f t="shared" si="78"/>
        <v>0</v>
      </c>
      <c r="D244" s="14">
        <f t="shared" si="78"/>
        <v>0</v>
      </c>
      <c r="E244" s="14">
        <f t="shared" si="78"/>
        <v>0</v>
      </c>
      <c r="F244" s="14">
        <f t="shared" si="78"/>
        <v>0</v>
      </c>
      <c r="G244" s="14">
        <f t="shared" si="78"/>
        <v>0</v>
      </c>
      <c r="H244" s="14">
        <f t="shared" si="78"/>
        <v>0</v>
      </c>
      <c r="I244" s="14">
        <f t="shared" si="78"/>
        <v>0</v>
      </c>
      <c r="J244" s="14">
        <f t="shared" si="78"/>
        <v>0</v>
      </c>
      <c r="K244" s="14">
        <f t="shared" si="78"/>
        <v>0</v>
      </c>
      <c r="L244" s="14">
        <f t="shared" si="78"/>
        <v>0</v>
      </c>
      <c r="M244" s="14">
        <f t="shared" si="78"/>
        <v>0</v>
      </c>
      <c r="N244" s="14">
        <f t="shared" si="78"/>
        <v>0</v>
      </c>
      <c r="O244" s="14">
        <f t="shared" si="78"/>
        <v>0</v>
      </c>
      <c r="P244" s="14">
        <f t="shared" si="78"/>
        <v>0</v>
      </c>
      <c r="Q244" s="14">
        <f t="shared" si="78"/>
        <v>0</v>
      </c>
      <c r="R244" s="14">
        <f t="shared" si="78"/>
        <v>0</v>
      </c>
      <c r="S244" s="14">
        <f t="shared" si="78"/>
        <v>0</v>
      </c>
      <c r="T244" s="14">
        <f t="shared" si="78"/>
        <v>0</v>
      </c>
      <c r="U244" s="14">
        <f t="shared" si="78"/>
        <v>0</v>
      </c>
      <c r="V244" s="14">
        <f t="shared" si="78"/>
        <v>0</v>
      </c>
      <c r="W244" s="14">
        <f t="shared" si="78"/>
        <v>0</v>
      </c>
      <c r="X244" s="14">
        <f t="shared" si="78"/>
        <v>0</v>
      </c>
      <c r="Y244" s="14">
        <f t="shared" si="78"/>
        <v>0</v>
      </c>
      <c r="Z244" s="14">
        <f t="shared" si="78"/>
        <v>0</v>
      </c>
      <c r="AA244" s="14">
        <f t="shared" si="78"/>
        <v>0</v>
      </c>
      <c r="AB244" s="14">
        <f t="shared" si="78"/>
        <v>0</v>
      </c>
      <c r="AC244" s="14">
        <f t="shared" si="78"/>
        <v>0</v>
      </c>
      <c r="AD244" s="14">
        <f t="shared" si="78"/>
        <v>0</v>
      </c>
      <c r="AE244" s="14">
        <f t="shared" si="78"/>
        <v>0</v>
      </c>
      <c r="AF244" s="29">
        <f t="shared" si="78"/>
        <v>0</v>
      </c>
      <c r="AG244" s="28">
        <f t="shared" si="78"/>
        <v>412.72299999999984</v>
      </c>
      <c r="AH244" s="12"/>
      <c r="AI244" s="11"/>
      <c r="AK244" s="19"/>
    </row>
    <row r="245" spans="1:37" ht="15.75" thickBot="1" x14ac:dyDescent="0.3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25">
      <c r="A246" s="25" t="s">
        <v>16</v>
      </c>
      <c r="B246" s="24">
        <f t="shared" ref="B246:B251" si="79">AF246</f>
        <v>0.3</v>
      </c>
      <c r="C246" s="24">
        <v>0.3</v>
      </c>
      <c r="D246" s="24">
        <f t="shared" ref="D246:AF251" si="80">C246</f>
        <v>0.3</v>
      </c>
      <c r="E246" s="24">
        <f t="shared" si="80"/>
        <v>0.3</v>
      </c>
      <c r="F246" s="24">
        <f t="shared" si="80"/>
        <v>0.3</v>
      </c>
      <c r="G246" s="24">
        <f t="shared" si="80"/>
        <v>0.3</v>
      </c>
      <c r="H246" s="24">
        <f t="shared" si="80"/>
        <v>0.3</v>
      </c>
      <c r="I246" s="24">
        <f t="shared" si="80"/>
        <v>0.3</v>
      </c>
      <c r="J246" s="24">
        <f t="shared" si="80"/>
        <v>0.3</v>
      </c>
      <c r="K246" s="24">
        <f t="shared" si="80"/>
        <v>0.3</v>
      </c>
      <c r="L246" s="24">
        <f t="shared" si="80"/>
        <v>0.3</v>
      </c>
      <c r="M246" s="24">
        <f t="shared" si="80"/>
        <v>0.3</v>
      </c>
      <c r="N246" s="24">
        <f t="shared" si="80"/>
        <v>0.3</v>
      </c>
      <c r="O246" s="24">
        <f t="shared" si="80"/>
        <v>0.3</v>
      </c>
      <c r="P246" s="24">
        <f t="shared" si="80"/>
        <v>0.3</v>
      </c>
      <c r="Q246" s="24">
        <f t="shared" si="80"/>
        <v>0.3</v>
      </c>
      <c r="R246" s="24">
        <f t="shared" si="80"/>
        <v>0.3</v>
      </c>
      <c r="S246" s="24">
        <f t="shared" si="80"/>
        <v>0.3</v>
      </c>
      <c r="T246" s="24">
        <f t="shared" si="80"/>
        <v>0.3</v>
      </c>
      <c r="U246" s="24">
        <f t="shared" si="80"/>
        <v>0.3</v>
      </c>
      <c r="V246" s="24">
        <f t="shared" si="80"/>
        <v>0.3</v>
      </c>
      <c r="W246" s="24">
        <f t="shared" si="80"/>
        <v>0.3</v>
      </c>
      <c r="X246" s="24">
        <f t="shared" si="80"/>
        <v>0.3</v>
      </c>
      <c r="Y246" s="24">
        <f t="shared" si="80"/>
        <v>0.3</v>
      </c>
      <c r="Z246" s="24">
        <f t="shared" si="80"/>
        <v>0.3</v>
      </c>
      <c r="AA246" s="24">
        <f t="shared" si="80"/>
        <v>0.3</v>
      </c>
      <c r="AB246" s="24">
        <f t="shared" si="80"/>
        <v>0.3</v>
      </c>
      <c r="AC246" s="24">
        <f t="shared" si="80"/>
        <v>0.3</v>
      </c>
      <c r="AD246" s="24">
        <f t="shared" si="80"/>
        <v>0.3</v>
      </c>
      <c r="AE246" s="24">
        <f t="shared" si="80"/>
        <v>0.3</v>
      </c>
      <c r="AF246" s="24">
        <f t="shared" si="80"/>
        <v>0.3</v>
      </c>
      <c r="AG246" s="23">
        <v>2.4</v>
      </c>
      <c r="AH246" s="12"/>
      <c r="AI246" s="11"/>
      <c r="AK246" s="19"/>
    </row>
    <row r="247" spans="1:37" x14ac:dyDescent="0.25">
      <c r="A247" s="22" t="s">
        <v>15</v>
      </c>
      <c r="B247" s="21">
        <f t="shared" si="79"/>
        <v>0.4</v>
      </c>
      <c r="C247" s="21">
        <v>0.4</v>
      </c>
      <c r="D247" s="21">
        <f t="shared" si="80"/>
        <v>0.4</v>
      </c>
      <c r="E247" s="21">
        <f t="shared" si="80"/>
        <v>0.4</v>
      </c>
      <c r="F247" s="21">
        <f t="shared" si="80"/>
        <v>0.4</v>
      </c>
      <c r="G247" s="21">
        <f t="shared" si="80"/>
        <v>0.4</v>
      </c>
      <c r="H247" s="21">
        <f t="shared" si="80"/>
        <v>0.4</v>
      </c>
      <c r="I247" s="21">
        <f t="shared" si="80"/>
        <v>0.4</v>
      </c>
      <c r="J247" s="21">
        <f t="shared" si="80"/>
        <v>0.4</v>
      </c>
      <c r="K247" s="21">
        <f t="shared" si="80"/>
        <v>0.4</v>
      </c>
      <c r="L247" s="21">
        <f t="shared" si="80"/>
        <v>0.4</v>
      </c>
      <c r="M247" s="21">
        <f t="shared" si="80"/>
        <v>0.4</v>
      </c>
      <c r="N247" s="21">
        <f t="shared" si="80"/>
        <v>0.4</v>
      </c>
      <c r="O247" s="21">
        <f t="shared" si="80"/>
        <v>0.4</v>
      </c>
      <c r="P247" s="21">
        <f t="shared" si="80"/>
        <v>0.4</v>
      </c>
      <c r="Q247" s="21">
        <f t="shared" si="80"/>
        <v>0.4</v>
      </c>
      <c r="R247" s="21">
        <f t="shared" si="80"/>
        <v>0.4</v>
      </c>
      <c r="S247" s="21">
        <f t="shared" si="80"/>
        <v>0.4</v>
      </c>
      <c r="T247" s="21">
        <f t="shared" si="80"/>
        <v>0.4</v>
      </c>
      <c r="U247" s="21">
        <f t="shared" si="80"/>
        <v>0.4</v>
      </c>
      <c r="V247" s="21">
        <f t="shared" si="80"/>
        <v>0.4</v>
      </c>
      <c r="W247" s="21">
        <f t="shared" si="80"/>
        <v>0.4</v>
      </c>
      <c r="X247" s="21">
        <f t="shared" si="80"/>
        <v>0.4</v>
      </c>
      <c r="Y247" s="21">
        <f t="shared" si="80"/>
        <v>0.4</v>
      </c>
      <c r="Z247" s="21">
        <f t="shared" si="80"/>
        <v>0.4</v>
      </c>
      <c r="AA247" s="21">
        <f t="shared" si="80"/>
        <v>0.4</v>
      </c>
      <c r="AB247" s="21">
        <f t="shared" si="80"/>
        <v>0.4</v>
      </c>
      <c r="AC247" s="21">
        <f t="shared" si="80"/>
        <v>0.4</v>
      </c>
      <c r="AD247" s="21">
        <f t="shared" si="80"/>
        <v>0.4</v>
      </c>
      <c r="AE247" s="21">
        <f t="shared" si="80"/>
        <v>0.4</v>
      </c>
      <c r="AF247" s="21">
        <f t="shared" si="80"/>
        <v>0.4</v>
      </c>
      <c r="AG247" s="20">
        <v>2</v>
      </c>
      <c r="AH247" s="12"/>
      <c r="AI247" s="11"/>
      <c r="AK247" s="19"/>
    </row>
    <row r="248" spans="1:37" x14ac:dyDescent="0.25">
      <c r="A248" s="22" t="s">
        <v>14</v>
      </c>
      <c r="B248" s="21">
        <f t="shared" si="79"/>
        <v>1.5</v>
      </c>
      <c r="C248" s="21">
        <v>1.5</v>
      </c>
      <c r="D248" s="21">
        <f t="shared" si="80"/>
        <v>1.5</v>
      </c>
      <c r="E248" s="21">
        <f t="shared" si="80"/>
        <v>1.5</v>
      </c>
      <c r="F248" s="21">
        <f t="shared" si="80"/>
        <v>1.5</v>
      </c>
      <c r="G248" s="21">
        <f t="shared" si="80"/>
        <v>1.5</v>
      </c>
      <c r="H248" s="21">
        <f t="shared" si="80"/>
        <v>1.5</v>
      </c>
      <c r="I248" s="21">
        <f t="shared" si="80"/>
        <v>1.5</v>
      </c>
      <c r="J248" s="21">
        <f t="shared" si="80"/>
        <v>1.5</v>
      </c>
      <c r="K248" s="21">
        <f t="shared" si="80"/>
        <v>1.5</v>
      </c>
      <c r="L248" s="21">
        <f t="shared" si="80"/>
        <v>1.5</v>
      </c>
      <c r="M248" s="21">
        <f t="shared" si="80"/>
        <v>1.5</v>
      </c>
      <c r="N248" s="21">
        <f t="shared" si="80"/>
        <v>1.5</v>
      </c>
      <c r="O248" s="21">
        <f t="shared" si="80"/>
        <v>1.5</v>
      </c>
      <c r="P248" s="21">
        <f t="shared" si="80"/>
        <v>1.5</v>
      </c>
      <c r="Q248" s="21">
        <f t="shared" si="80"/>
        <v>1.5</v>
      </c>
      <c r="R248" s="21">
        <f t="shared" si="80"/>
        <v>1.5</v>
      </c>
      <c r="S248" s="21">
        <f t="shared" si="80"/>
        <v>1.5</v>
      </c>
      <c r="T248" s="21">
        <f t="shared" si="80"/>
        <v>1.5</v>
      </c>
      <c r="U248" s="21">
        <f t="shared" si="80"/>
        <v>1.5</v>
      </c>
      <c r="V248" s="21">
        <f t="shared" si="80"/>
        <v>1.5</v>
      </c>
      <c r="W248" s="21">
        <f t="shared" si="80"/>
        <v>1.5</v>
      </c>
      <c r="X248" s="21">
        <f t="shared" si="80"/>
        <v>1.5</v>
      </c>
      <c r="Y248" s="21">
        <f t="shared" si="80"/>
        <v>1.5</v>
      </c>
      <c r="Z248" s="21">
        <f t="shared" si="80"/>
        <v>1.5</v>
      </c>
      <c r="AA248" s="21">
        <f t="shared" si="80"/>
        <v>1.5</v>
      </c>
      <c r="AB248" s="21">
        <f t="shared" si="80"/>
        <v>1.5</v>
      </c>
      <c r="AC248" s="21">
        <f t="shared" si="80"/>
        <v>1.5</v>
      </c>
      <c r="AD248" s="21">
        <f t="shared" si="80"/>
        <v>1.5</v>
      </c>
      <c r="AE248" s="21">
        <f t="shared" si="80"/>
        <v>1.5</v>
      </c>
      <c r="AF248" s="21">
        <f t="shared" si="80"/>
        <v>1.5</v>
      </c>
      <c r="AG248" s="20">
        <v>1.5</v>
      </c>
      <c r="AH248" s="12"/>
      <c r="AI248" s="11"/>
      <c r="AK248" s="19"/>
    </row>
    <row r="249" spans="1:37" x14ac:dyDescent="0.25">
      <c r="A249" s="22" t="s">
        <v>13</v>
      </c>
      <c r="B249" s="21">
        <f t="shared" si="79"/>
        <v>0.3</v>
      </c>
      <c r="C249" s="21">
        <v>0.3</v>
      </c>
      <c r="D249" s="21">
        <f t="shared" si="80"/>
        <v>0.3</v>
      </c>
      <c r="E249" s="21">
        <f t="shared" si="80"/>
        <v>0.3</v>
      </c>
      <c r="F249" s="21">
        <f t="shared" si="80"/>
        <v>0.3</v>
      </c>
      <c r="G249" s="21">
        <f t="shared" si="80"/>
        <v>0.3</v>
      </c>
      <c r="H249" s="21">
        <f t="shared" si="80"/>
        <v>0.3</v>
      </c>
      <c r="I249" s="21">
        <f t="shared" si="80"/>
        <v>0.3</v>
      </c>
      <c r="J249" s="21">
        <f t="shared" si="80"/>
        <v>0.3</v>
      </c>
      <c r="K249" s="21">
        <f t="shared" si="80"/>
        <v>0.3</v>
      </c>
      <c r="L249" s="21">
        <f t="shared" si="80"/>
        <v>0.3</v>
      </c>
      <c r="M249" s="21">
        <f t="shared" si="80"/>
        <v>0.3</v>
      </c>
      <c r="N249" s="21">
        <f t="shared" si="80"/>
        <v>0.3</v>
      </c>
      <c r="O249" s="21">
        <f t="shared" si="80"/>
        <v>0.3</v>
      </c>
      <c r="P249" s="21">
        <f t="shared" si="80"/>
        <v>0.3</v>
      </c>
      <c r="Q249" s="21">
        <f t="shared" si="80"/>
        <v>0.3</v>
      </c>
      <c r="R249" s="21">
        <f t="shared" si="80"/>
        <v>0.3</v>
      </c>
      <c r="S249" s="21">
        <f t="shared" si="80"/>
        <v>0.3</v>
      </c>
      <c r="T249" s="21">
        <f t="shared" si="80"/>
        <v>0.3</v>
      </c>
      <c r="U249" s="21">
        <f t="shared" si="80"/>
        <v>0.3</v>
      </c>
      <c r="V249" s="21">
        <f t="shared" si="80"/>
        <v>0.3</v>
      </c>
      <c r="W249" s="21">
        <f t="shared" si="80"/>
        <v>0.3</v>
      </c>
      <c r="X249" s="21">
        <f t="shared" si="80"/>
        <v>0.3</v>
      </c>
      <c r="Y249" s="21">
        <f t="shared" si="80"/>
        <v>0.3</v>
      </c>
      <c r="Z249" s="21">
        <f t="shared" si="80"/>
        <v>0.3</v>
      </c>
      <c r="AA249" s="21">
        <f t="shared" si="80"/>
        <v>0.3</v>
      </c>
      <c r="AB249" s="21">
        <f t="shared" si="80"/>
        <v>0.3</v>
      </c>
      <c r="AC249" s="21">
        <f t="shared" si="80"/>
        <v>0.3</v>
      </c>
      <c r="AD249" s="21">
        <f t="shared" si="80"/>
        <v>0.3</v>
      </c>
      <c r="AE249" s="21">
        <f t="shared" si="80"/>
        <v>0.3</v>
      </c>
      <c r="AF249" s="21">
        <f t="shared" si="80"/>
        <v>0.3</v>
      </c>
      <c r="AG249" s="20">
        <v>1</v>
      </c>
      <c r="AH249" s="12"/>
      <c r="AI249" s="11"/>
      <c r="AK249" s="19"/>
    </row>
    <row r="250" spans="1:37" x14ac:dyDescent="0.25">
      <c r="A250" s="22" t="s">
        <v>12</v>
      </c>
      <c r="B250" s="21">
        <f t="shared" si="79"/>
        <v>0.4</v>
      </c>
      <c r="C250" s="21">
        <v>0.4</v>
      </c>
      <c r="D250" s="21">
        <f t="shared" si="80"/>
        <v>0.4</v>
      </c>
      <c r="E250" s="21">
        <f t="shared" si="80"/>
        <v>0.4</v>
      </c>
      <c r="F250" s="21">
        <f t="shared" si="80"/>
        <v>0.4</v>
      </c>
      <c r="G250" s="21">
        <f t="shared" si="80"/>
        <v>0.4</v>
      </c>
      <c r="H250" s="21">
        <f t="shared" si="80"/>
        <v>0.4</v>
      </c>
      <c r="I250" s="21">
        <f t="shared" si="80"/>
        <v>0.4</v>
      </c>
      <c r="J250" s="21">
        <f t="shared" si="80"/>
        <v>0.4</v>
      </c>
      <c r="K250" s="21">
        <f t="shared" si="80"/>
        <v>0.4</v>
      </c>
      <c r="L250" s="21">
        <f t="shared" si="80"/>
        <v>0.4</v>
      </c>
      <c r="M250" s="21">
        <f t="shared" si="80"/>
        <v>0.4</v>
      </c>
      <c r="N250" s="21">
        <f t="shared" si="80"/>
        <v>0.4</v>
      </c>
      <c r="O250" s="21">
        <f t="shared" si="80"/>
        <v>0.4</v>
      </c>
      <c r="P250" s="21">
        <f t="shared" si="80"/>
        <v>0.4</v>
      </c>
      <c r="Q250" s="21">
        <f t="shared" si="80"/>
        <v>0.4</v>
      </c>
      <c r="R250" s="21">
        <f t="shared" si="80"/>
        <v>0.4</v>
      </c>
      <c r="S250" s="21">
        <f t="shared" si="80"/>
        <v>0.4</v>
      </c>
      <c r="T250" s="21">
        <f t="shared" si="80"/>
        <v>0.4</v>
      </c>
      <c r="U250" s="21">
        <f t="shared" si="80"/>
        <v>0.4</v>
      </c>
      <c r="V250" s="21">
        <f t="shared" si="80"/>
        <v>0.4</v>
      </c>
      <c r="W250" s="21">
        <f t="shared" si="80"/>
        <v>0.4</v>
      </c>
      <c r="X250" s="21">
        <f t="shared" si="80"/>
        <v>0.4</v>
      </c>
      <c r="Y250" s="21">
        <f t="shared" si="80"/>
        <v>0.4</v>
      </c>
      <c r="Z250" s="21">
        <f t="shared" si="80"/>
        <v>0.4</v>
      </c>
      <c r="AA250" s="21">
        <f t="shared" si="80"/>
        <v>0.4</v>
      </c>
      <c r="AB250" s="21">
        <f t="shared" si="80"/>
        <v>0.4</v>
      </c>
      <c r="AC250" s="21">
        <f t="shared" si="80"/>
        <v>0.4</v>
      </c>
      <c r="AD250" s="21">
        <f t="shared" si="80"/>
        <v>0.4</v>
      </c>
      <c r="AE250" s="21">
        <f t="shared" si="80"/>
        <v>0.4</v>
      </c>
      <c r="AF250" s="21">
        <f t="shared" si="80"/>
        <v>0.4</v>
      </c>
      <c r="AG250" s="20">
        <v>1</v>
      </c>
      <c r="AH250" s="12"/>
      <c r="AI250" s="11"/>
      <c r="AK250" s="19"/>
    </row>
    <row r="251" spans="1:37" ht="15.75" thickBot="1" x14ac:dyDescent="0.3">
      <c r="A251" s="18" t="s">
        <v>11</v>
      </c>
      <c r="B251" s="17">
        <f t="shared" si="79"/>
        <v>0.64</v>
      </c>
      <c r="C251" s="17">
        <v>0.64</v>
      </c>
      <c r="D251" s="17">
        <f t="shared" si="80"/>
        <v>0.64</v>
      </c>
      <c r="E251" s="17">
        <f t="shared" si="80"/>
        <v>0.64</v>
      </c>
      <c r="F251" s="17">
        <f t="shared" si="80"/>
        <v>0.64</v>
      </c>
      <c r="G251" s="17">
        <f t="shared" si="80"/>
        <v>0.64</v>
      </c>
      <c r="H251" s="17">
        <f t="shared" si="80"/>
        <v>0.64</v>
      </c>
      <c r="I251" s="17">
        <f t="shared" si="80"/>
        <v>0.64</v>
      </c>
      <c r="J251" s="17">
        <f t="shared" si="80"/>
        <v>0.64</v>
      </c>
      <c r="K251" s="17">
        <f t="shared" si="80"/>
        <v>0.64</v>
      </c>
      <c r="L251" s="17">
        <f t="shared" si="80"/>
        <v>0.64</v>
      </c>
      <c r="M251" s="17">
        <f t="shared" si="80"/>
        <v>0.64</v>
      </c>
      <c r="N251" s="17">
        <f t="shared" si="80"/>
        <v>0.64</v>
      </c>
      <c r="O251" s="17">
        <f t="shared" si="80"/>
        <v>0.64</v>
      </c>
      <c r="P251" s="17">
        <f t="shared" si="80"/>
        <v>0.64</v>
      </c>
      <c r="Q251" s="17">
        <f t="shared" si="80"/>
        <v>0.64</v>
      </c>
      <c r="R251" s="17">
        <f t="shared" si="80"/>
        <v>0.64</v>
      </c>
      <c r="S251" s="17">
        <f t="shared" si="80"/>
        <v>0.64</v>
      </c>
      <c r="T251" s="17">
        <f t="shared" si="80"/>
        <v>0.64</v>
      </c>
      <c r="U251" s="17">
        <f t="shared" si="80"/>
        <v>0.64</v>
      </c>
      <c r="V251" s="17">
        <f t="shared" si="80"/>
        <v>0.64</v>
      </c>
      <c r="W251" s="17">
        <f t="shared" si="80"/>
        <v>0.64</v>
      </c>
      <c r="X251" s="17">
        <f t="shared" si="80"/>
        <v>0.64</v>
      </c>
      <c r="Y251" s="17">
        <f t="shared" si="80"/>
        <v>0.64</v>
      </c>
      <c r="Z251" s="17">
        <f t="shared" si="80"/>
        <v>0.64</v>
      </c>
      <c r="AA251" s="17">
        <f t="shared" si="80"/>
        <v>0.64</v>
      </c>
      <c r="AB251" s="17">
        <f t="shared" si="80"/>
        <v>0.64</v>
      </c>
      <c r="AC251" s="17">
        <f t="shared" si="80"/>
        <v>0.64</v>
      </c>
      <c r="AD251" s="17">
        <f t="shared" si="80"/>
        <v>0.64</v>
      </c>
      <c r="AE251" s="17">
        <f t="shared" si="80"/>
        <v>0.64</v>
      </c>
      <c r="AF251" s="17">
        <f t="shared" si="80"/>
        <v>0.64</v>
      </c>
      <c r="AG251" s="16">
        <v>0.66</v>
      </c>
      <c r="AH251" s="12"/>
      <c r="AI251" s="11"/>
    </row>
    <row r="252" spans="1:37" ht="15.75" thickBot="1" x14ac:dyDescent="0.3">
      <c r="A252" s="15" t="s">
        <v>10</v>
      </c>
      <c r="B252" s="14">
        <f t="shared" ref="B252:AG252" si="81">SUM(B246:B251)</f>
        <v>3.54</v>
      </c>
      <c r="C252" s="14">
        <f t="shared" si="81"/>
        <v>3.54</v>
      </c>
      <c r="D252" s="14">
        <f t="shared" si="81"/>
        <v>3.54</v>
      </c>
      <c r="E252" s="14">
        <f t="shared" si="81"/>
        <v>3.54</v>
      </c>
      <c r="F252" s="14">
        <f t="shared" si="81"/>
        <v>3.54</v>
      </c>
      <c r="G252" s="14">
        <f t="shared" si="81"/>
        <v>3.54</v>
      </c>
      <c r="H252" s="14">
        <f t="shared" si="81"/>
        <v>3.54</v>
      </c>
      <c r="I252" s="14">
        <f t="shared" si="81"/>
        <v>3.54</v>
      </c>
      <c r="J252" s="14">
        <f t="shared" si="81"/>
        <v>3.54</v>
      </c>
      <c r="K252" s="14">
        <f t="shared" si="81"/>
        <v>3.54</v>
      </c>
      <c r="L252" s="14">
        <f t="shared" si="81"/>
        <v>3.54</v>
      </c>
      <c r="M252" s="14">
        <f t="shared" si="81"/>
        <v>3.54</v>
      </c>
      <c r="N252" s="14">
        <f t="shared" si="81"/>
        <v>3.54</v>
      </c>
      <c r="O252" s="14">
        <f t="shared" si="81"/>
        <v>3.54</v>
      </c>
      <c r="P252" s="14">
        <f t="shared" si="81"/>
        <v>3.54</v>
      </c>
      <c r="Q252" s="14">
        <f t="shared" si="81"/>
        <v>3.54</v>
      </c>
      <c r="R252" s="14">
        <f t="shared" si="81"/>
        <v>3.54</v>
      </c>
      <c r="S252" s="14">
        <f t="shared" si="81"/>
        <v>3.54</v>
      </c>
      <c r="T252" s="14">
        <f t="shared" si="81"/>
        <v>3.54</v>
      </c>
      <c r="U252" s="14">
        <f t="shared" si="81"/>
        <v>3.54</v>
      </c>
      <c r="V252" s="14">
        <f t="shared" si="81"/>
        <v>3.54</v>
      </c>
      <c r="W252" s="14">
        <f t="shared" si="81"/>
        <v>3.54</v>
      </c>
      <c r="X252" s="14">
        <f t="shared" si="81"/>
        <v>3.54</v>
      </c>
      <c r="Y252" s="14">
        <f t="shared" si="81"/>
        <v>3.54</v>
      </c>
      <c r="Z252" s="14">
        <f t="shared" si="81"/>
        <v>3.54</v>
      </c>
      <c r="AA252" s="14">
        <f t="shared" si="81"/>
        <v>3.54</v>
      </c>
      <c r="AB252" s="14">
        <f t="shared" si="81"/>
        <v>3.54</v>
      </c>
      <c r="AC252" s="14">
        <f t="shared" si="81"/>
        <v>3.54</v>
      </c>
      <c r="AD252" s="14">
        <f t="shared" si="81"/>
        <v>3.54</v>
      </c>
      <c r="AE252" s="14">
        <f t="shared" si="81"/>
        <v>3.54</v>
      </c>
      <c r="AF252" s="14">
        <f t="shared" si="81"/>
        <v>3.54</v>
      </c>
      <c r="AG252" s="13">
        <f t="shared" si="81"/>
        <v>8.56</v>
      </c>
      <c r="AH252" s="12"/>
      <c r="AI252" s="11"/>
    </row>
    <row r="253" spans="1:37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25">
      <c r="A256" s="9" t="s">
        <v>9</v>
      </c>
      <c r="B256" s="8">
        <f>MAX(G99:N99)</f>
        <v>1562.88</v>
      </c>
      <c r="C256" s="7">
        <f>INDEX(G9:N9,1,MATCH(MAX(G99:N99),G99:N99,0))</f>
        <v>0.375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25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2080/10/29)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25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25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25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25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25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25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25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25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25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25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25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25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25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25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522" priority="89">
      <formula>$AH11=0</formula>
    </cfRule>
  </conditionalFormatting>
  <conditionalFormatting sqref="A132:A253">
    <cfRule type="expression" dxfId="521" priority="90">
      <formula>$AH132=0</formula>
    </cfRule>
  </conditionalFormatting>
  <conditionalFormatting sqref="B8">
    <cfRule type="expression" dxfId="520" priority="146">
      <formula>C$9&lt;8/24</formula>
    </cfRule>
    <cfRule type="expression" dxfId="519" priority="144">
      <formula>AND(C$9&gt;=14/24,C$9&lt;20/24)</formula>
    </cfRule>
    <cfRule type="expression" dxfId="518" priority="145">
      <formula>AND(C$9&gt;=8/24,C$9&lt;14/24)</formula>
    </cfRule>
    <cfRule type="expression" dxfId="517" priority="147">
      <formula>C$9&gt;=20/24</formula>
    </cfRule>
  </conditionalFormatting>
  <conditionalFormatting sqref="B11:D80 X11:X55 E11:O57 S56:X56">
    <cfRule type="expression" dxfId="516" priority="45">
      <formula>B11&gt;$AG11</formula>
    </cfRule>
  </conditionalFormatting>
  <conditionalFormatting sqref="B11:O57 Z53:AF54 S53:Y55 P53:R56">
    <cfRule type="expression" dxfId="515" priority="39">
      <formula>AND(B$9&gt;=8/24,B$9&lt;14/24)</formula>
    </cfRule>
    <cfRule type="expression" dxfId="514" priority="38">
      <formula>AND(B$9&gt;=14/24,B$9&lt;20/24)</formula>
    </cfRule>
    <cfRule type="expression" dxfId="513" priority="37">
      <formula>B$9&gt;=20/24</formula>
    </cfRule>
  </conditionalFormatting>
  <conditionalFormatting sqref="B53:X57 B11:O52 X11:X52">
    <cfRule type="expression" dxfId="512" priority="53">
      <formula>B$9&lt;8/24</formula>
    </cfRule>
  </conditionalFormatting>
  <conditionalFormatting sqref="B9:AF10 P12:W52 Y36:Y55 E59:O61 B59:D74 E63:O74 E69:AF74 B77:AF99 B101:AF117 B119:AF137 B244:AF244 B246:B252">
    <cfRule type="expression" dxfId="511" priority="44">
      <formula>B$9&lt;8/24</formula>
    </cfRule>
  </conditionalFormatting>
  <conditionalFormatting sqref="B9:AF10 X11:X52 P12:W52 Y36:Y52 E59:O61 B59:D74 E63:O74 E69:AF74 B77:AF99 B101:AF117 B119:AF137 B244:AF244 B246:B252">
    <cfRule type="expression" dxfId="510" priority="42">
      <formula>AND(B$9&gt;=14/24,B$9&lt;20/24)</formula>
    </cfRule>
    <cfRule type="expression" dxfId="509" priority="43">
      <formula>AND(B$9&gt;=8/24,B$9&lt;14/24)</formula>
    </cfRule>
  </conditionalFormatting>
  <conditionalFormatting sqref="E63:O68">
    <cfRule type="expression" dxfId="508" priority="50">
      <formula>AND(E$9&gt;=14/24,E$9&lt;20/24)</formula>
    </cfRule>
    <cfRule type="expression" dxfId="507" priority="51">
      <formula>AND(E$9&gt;=8/24,E$9&lt;14/24)</formula>
    </cfRule>
    <cfRule type="expression" dxfId="506" priority="52">
      <formula>E$9&lt;8/24</formula>
    </cfRule>
    <cfRule type="expression" dxfId="505" priority="49">
      <formula>E$9&gt;=20/24</formula>
    </cfRule>
  </conditionalFormatting>
  <conditionalFormatting sqref="E59:AF62">
    <cfRule type="expression" dxfId="504" priority="69">
      <formula>AND(E$9&gt;=8/24,E$9&lt;14/24)</formula>
    </cfRule>
    <cfRule type="expression" dxfId="503" priority="68">
      <formula>AND(E$9&gt;=14/24,E$9&lt;20/24)</formula>
    </cfRule>
    <cfRule type="expression" dxfId="502" priority="67">
      <formula>E$9&gt;=20/24</formula>
    </cfRule>
    <cfRule type="expression" dxfId="501" priority="70">
      <formula>E$9&lt;8/24</formula>
    </cfRule>
  </conditionalFormatting>
  <conditionalFormatting sqref="F63:O65">
    <cfRule type="expression" dxfId="500" priority="84">
      <formula>F$9&lt;8/24</formula>
    </cfRule>
    <cfRule type="expression" dxfId="499" priority="83">
      <formula>AND(F$9&gt;=8/24,F$9&lt;14/24)</formula>
    </cfRule>
    <cfRule type="expression" dxfId="498" priority="81">
      <formula>F$9&gt;=20/24</formula>
    </cfRule>
    <cfRule type="expression" dxfId="497" priority="82">
      <formula>AND(F$9&gt;=14/24,F$9&lt;20/24)</formula>
    </cfRule>
  </conditionalFormatting>
  <conditionalFormatting sqref="L68:V68">
    <cfRule type="expression" dxfId="496" priority="80">
      <formula>L$9&lt;8/24</formula>
    </cfRule>
    <cfRule type="expression" dxfId="495" priority="78">
      <formula>AND(L$9&gt;=14/24,L$9&lt;20/24)</formula>
    </cfRule>
    <cfRule type="expression" dxfId="494" priority="77">
      <formula>L$9&gt;=20/24</formula>
    </cfRule>
    <cfRule type="expression" dxfId="493" priority="79">
      <formula>AND(L$9&gt;=8/24,L$9&lt;14/24)</formula>
    </cfRule>
  </conditionalFormatting>
  <conditionalFormatting sqref="M8 S8 AB8">
    <cfRule type="expression" dxfId="492" priority="138">
      <formula>N$9&lt;8/24</formula>
    </cfRule>
    <cfRule type="expression" dxfId="491" priority="137">
      <formula>AND(N$9&gt;=8/24,N$9&lt;14/24)</formula>
    </cfRule>
    <cfRule type="expression" dxfId="490" priority="136">
      <formula>AND(N$9&gt;=14/24,N$9&lt;20/24)</formula>
    </cfRule>
  </conditionalFormatting>
  <conditionalFormatting sqref="M63:V67">
    <cfRule type="expression" dxfId="489" priority="85">
      <formula>M$9&gt;=20/24</formula>
    </cfRule>
    <cfRule type="expression" dxfId="488" priority="88">
      <formula>M$9&lt;8/24</formula>
    </cfRule>
    <cfRule type="expression" dxfId="487" priority="87">
      <formula>AND(M$9&gt;=8/24,M$9&lt;14/24)</formula>
    </cfRule>
    <cfRule type="expression" dxfId="486" priority="86">
      <formula>AND(M$9&gt;=14/24,M$9&lt;20/24)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P11:W11 Y11:AC11 AD11:AF52 Y12:Z35 AA12:AC52 Z36:Z52">
    <cfRule type="expression" dxfId="485" priority="62">
      <formula>P$9&lt;8/24</formula>
    </cfRule>
    <cfRule type="expression" dxfId="484" priority="61">
      <formula>AND(P$9&gt;=8/24,P$9&lt;14/24)</formula>
    </cfRule>
    <cfRule type="expression" dxfId="483" priority="60">
      <formula>AND(P$9&gt;=14/24,P$9&lt;20/24)</formula>
    </cfRule>
    <cfRule type="expression" dxfId="482" priority="59">
      <formula>P$9&gt;=20/24</formula>
    </cfRule>
    <cfRule type="expression" dxfId="481" priority="58">
      <formula>P11&gt;$AG11</formula>
    </cfRule>
  </conditionalFormatting>
  <conditionalFormatting sqref="P12:W52 Y36:Y52 E59:O61 E63:O74 E69:AF74 B77:AF99 B9:AF10 X11:X52 B59:D74 B101:AF117 B119:AF137 B244:AF244 B246:B252">
    <cfRule type="expression" dxfId="480" priority="41">
      <formula>B$9&gt;=20/24</formula>
    </cfRule>
  </conditionalFormatting>
  <conditionalFormatting sqref="S8 AB8 M8">
    <cfRule type="expression" dxfId="479" priority="135">
      <formula>N$9&gt;=20/24</formula>
    </cfRule>
  </conditionalFormatting>
  <conditionalFormatting sqref="S8">
    <cfRule type="expression" dxfId="478" priority="124">
      <formula>AND(U$9&gt;=8/24,U$9&lt;14/24)</formula>
    </cfRule>
    <cfRule type="expression" dxfId="477" priority="123">
      <formula>AND(U$9&gt;=14/24,U$9&lt;20/24)</formula>
    </cfRule>
    <cfRule type="expression" dxfId="476" priority="122">
      <formula>U$9&gt;=20/24</formula>
    </cfRule>
    <cfRule type="expression" dxfId="475" priority="125">
      <formula>U$9&lt;8/24</formula>
    </cfRule>
  </conditionalFormatting>
  <conditionalFormatting sqref="S12:W55 P12:R57 Y36:Y55 S57:W57 X57:X61 E58:W61 Y58:Z61 AB58:AF61 AA58:AA80 AB62:AG62 E62:Z80 AB63:AF80 AG80">
    <cfRule type="expression" dxfId="474" priority="40">
      <formula>E12&gt;$AG12</formula>
    </cfRule>
  </conditionalFormatting>
  <conditionalFormatting sqref="S56:X57 P57:R57">
    <cfRule type="expression" dxfId="473" priority="46">
      <formula>P$9&gt;=20/24</formula>
    </cfRule>
    <cfRule type="expression" dxfId="472" priority="48">
      <formula>AND(P$9&gt;=8/24,P$9&lt;14/24)</formula>
    </cfRule>
    <cfRule type="expression" dxfId="471" priority="47">
      <formula>AND(P$9&gt;=14/24,P$9&lt;20/24)</formula>
    </cfRule>
  </conditionalFormatting>
  <conditionalFormatting sqref="T63:AF68 D246:AF252">
    <cfRule type="expression" dxfId="470" priority="130">
      <formula>AND(D$9&gt;=14/24,D$9&lt;20/24)</formula>
    </cfRule>
    <cfRule type="expression" dxfId="469" priority="129">
      <formula>D$9&gt;=20/24</formula>
    </cfRule>
    <cfRule type="expression" dxfId="468" priority="131">
      <formula>AND(D$9&gt;=8/24,D$9&lt;14/24)</formula>
    </cfRule>
    <cfRule type="expression" dxfId="467" priority="132">
      <formula>D$9&lt;8/24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Y56:AF57">
    <cfRule type="expression" dxfId="466" priority="63">
      <formula>Y56&gt;$AG56</formula>
    </cfRule>
  </conditionalFormatting>
  <conditionalFormatting sqref="Z53:Z55 AA53:AF57 Y56:Z57">
    <cfRule type="expression" dxfId="465" priority="75">
      <formula>Y$9&lt;8/24</formula>
    </cfRule>
  </conditionalFormatting>
  <conditionalFormatting sqref="Z55 AA55:AF57 Y56:Z57">
    <cfRule type="expression" dxfId="464" priority="66">
      <formula>AND(Y$9&gt;=8/24,Y$9&lt;14/24)</formula>
    </cfRule>
    <cfRule type="expression" dxfId="463" priority="65">
      <formula>AND(Y$9&gt;=14/24,Y$9&lt;20/24)</formula>
    </cfRule>
  </conditionalFormatting>
  <conditionalFormatting sqref="Z53:AF55">
    <cfRule type="expression" dxfId="462" priority="76">
      <formula>Z53&gt;$AG53</formula>
    </cfRule>
  </conditionalFormatting>
  <conditionalFormatting sqref="AA55:AF57 Y56:Z57 Z55">
    <cfRule type="expression" dxfId="461" priority="64">
      <formula>Y$9&gt;=20/24</formula>
    </cfRule>
  </conditionalFormatting>
  <conditionalFormatting sqref="AB8">
    <cfRule type="expression" dxfId="460" priority="121">
      <formula>AD$9&lt;8/24</formula>
    </cfRule>
    <cfRule type="expression" dxfId="459" priority="120">
      <formula>AND(AD$9&gt;=8/24,AD$9&lt;14/24)</formula>
    </cfRule>
    <cfRule type="expression" dxfId="458" priority="119">
      <formula>AND(AD$9&gt;=14/24,AD$9&lt;20/24)</formula>
    </cfRule>
    <cfRule type="expression" dxfId="457" priority="118">
      <formula>AD$9&gt;=20/24</formula>
    </cfRule>
  </conditionalFormatting>
  <conditionalFormatting sqref="AG58">
    <cfRule type="expression" dxfId="456" priority="113">
      <formula>AG58&gt;$AG58</formula>
    </cfRule>
  </conditionalFormatting>
  <conditionalFormatting sqref="AG62">
    <cfRule type="expression" dxfId="455" priority="97">
      <formula>AND(AG$9&gt;=14/24,AG$9&lt;20/24)</formula>
    </cfRule>
    <cfRule type="expression" dxfId="454" priority="98">
      <formula>AND(AG$9&gt;=8/24,AG$9&lt;14/24)</formula>
    </cfRule>
    <cfRule type="expression" dxfId="453" priority="99">
      <formula>AG$9&lt;8/24</formula>
    </cfRule>
    <cfRule type="expression" dxfId="452" priority="96">
      <formula>AG$9&gt;=20/24</formula>
    </cfRule>
  </conditionalFormatting>
  <conditionalFormatting sqref="AG75:AG76">
    <cfRule type="expression" dxfId="451" priority="91">
      <formula>AG75&gt;$AG75</formula>
    </cfRule>
  </conditionalFormatting>
  <conditionalFormatting sqref="AG80">
    <cfRule type="expression" dxfId="450" priority="92">
      <formula>AG$9&gt;=20/24</formula>
    </cfRule>
    <cfRule type="expression" dxfId="449" priority="93">
      <formula>AND(AG$9&gt;=14/24,AG$9&lt;20/24)</formula>
    </cfRule>
    <cfRule type="expression" dxfId="448" priority="94">
      <formula>AND(AG$9&gt;=8/24,AG$9&lt;14/24)</formula>
    </cfRule>
    <cfRule type="expression" dxfId="447" priority="95">
      <formula>AG$9&lt;8/24</formula>
    </cfRule>
  </conditionalFormatting>
  <conditionalFormatting sqref="AG97">
    <cfRule type="expression" dxfId="446" priority="116">
      <formula>AND(AG$9&gt;=8/24,AG$9&lt;14/24)</formula>
    </cfRule>
    <cfRule type="expression" dxfId="445" priority="115">
      <formula>AND(AG$9&gt;=14/24,AG$9&lt;20/24)</formula>
    </cfRule>
    <cfRule type="expression" dxfId="444" priority="114">
      <formula>AG$9&gt;=20/24</formula>
    </cfRule>
    <cfRule type="expression" dxfId="443" priority="117">
      <formula>AG$9&lt;8/24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442" priority="141">
      <formula>AND(AJ$9&gt;=8/24,AJ$9&lt;14/24)</formula>
    </cfRule>
    <cfRule type="expression" dxfId="441" priority="142">
      <formula>AJ$9&lt;8/24</formula>
    </cfRule>
    <cfRule type="expression" dxfId="440" priority="140">
      <formula>AND(AJ$9&gt;=14/24,AJ$9&lt;20/24)</formula>
    </cfRule>
    <cfRule type="expression" dxfId="439" priority="139">
      <formula>AJ$9&gt;=20/24</formula>
    </cfRule>
  </conditionalFormatting>
  <conditionalFormatting sqref="AL88:AN88 AL94:AN94">
    <cfRule type="expression" dxfId="438" priority="106">
      <formula>AL$9&gt;=20/24</formula>
    </cfRule>
    <cfRule type="expression" dxfId="437" priority="107">
      <formula>AND(AL$9&gt;=14/24,AL$9&lt;20/24)</formula>
    </cfRule>
    <cfRule type="expression" dxfId="436" priority="108">
      <formula>AND(AL$9&gt;=8/24,AL$9&lt;14/24)</formula>
    </cfRule>
    <cfRule type="expression" dxfId="435" priority="109">
      <formula>AL$9&lt;8/24</formula>
    </cfRule>
  </conditionalFormatting>
  <conditionalFormatting sqref="AM15:AM21 AN16:AR21">
    <cfRule type="expression" dxfId="434" priority="13">
      <formula>AX$9&gt;=20/24</formula>
    </cfRule>
    <cfRule type="expression" dxfId="433" priority="14">
      <formula>AND(AX$9&gt;=14/24,AX$9&lt;20/24)</formula>
    </cfRule>
    <cfRule type="expression" dxfId="432" priority="16">
      <formula>AX$9&lt;8/24</formula>
    </cfRule>
    <cfRule type="expression" dxfId="431" priority="15">
      <formula>AND(AX$9&gt;=8/24,AX$9&lt;14/24)</formula>
    </cfRule>
  </conditionalFormatting>
  <conditionalFormatting sqref="AN89:AN92">
    <cfRule type="expression" dxfId="430" priority="105">
      <formula>AN$9&lt;8/24</formula>
    </cfRule>
    <cfRule type="expression" dxfId="429" priority="104">
      <formula>AND(AN$9&gt;=8/24,AN$9&lt;14/24)</formula>
    </cfRule>
    <cfRule type="expression" dxfId="428" priority="103">
      <formula>AND(AN$9&gt;=14/24,AN$9&lt;20/24)</formula>
    </cfRule>
    <cfRule type="expression" dxfId="427" priority="102">
      <formula>AN$9&gt;=20/24</formula>
    </cfRule>
  </conditionalFormatting>
  <conditionalFormatting sqref="AN15:AR15">
    <cfRule type="expression" dxfId="426" priority="2">
      <formula>AND(U$9&gt;=14/24,U$9&lt;20/24)</formula>
    </cfRule>
    <cfRule type="expression" dxfId="425" priority="3">
      <formula>AND(U$9&gt;=8/24,U$9&lt;14/24)</formula>
    </cfRule>
    <cfRule type="expression" dxfId="424" priority="4">
      <formula>U$9&lt;8/24</formula>
    </cfRule>
    <cfRule type="expression" dxfId="423" priority="1">
      <formula>U$9&gt;=20/24</formula>
    </cfRule>
  </conditionalFormatting>
  <conditionalFormatting sqref="AS15">
    <cfRule type="expression" dxfId="422" priority="9">
      <formula>AA$9&gt;=20/24</formula>
    </cfRule>
    <cfRule type="expression" dxfId="421" priority="11">
      <formula>AND(AA$9&gt;=8/24,AA$9&lt;14/24)</formula>
    </cfRule>
    <cfRule type="expression" dxfId="420" priority="10">
      <formula>AND(AA$9&gt;=14/24,AA$9&lt;20/24)</formula>
    </cfRule>
    <cfRule type="expression" dxfId="419" priority="12">
      <formula>AA$9&lt;8/24</formula>
    </cfRule>
  </conditionalFormatting>
  <conditionalFormatting sqref="AS16:AS21">
    <cfRule type="expression" dxfId="418" priority="18">
      <formula>AND(BE$9&gt;=14/24,BE$9&lt;20/24)</formula>
    </cfRule>
    <cfRule type="expression" dxfId="417" priority="20">
      <formula>BE$9&lt;8/24</formula>
    </cfRule>
    <cfRule type="expression" dxfId="416" priority="19">
      <formula>AND(BE$9&gt;=8/24,BE$9&lt;14/24)</formula>
    </cfRule>
    <cfRule type="expression" dxfId="415" priority="17">
      <formula>BE$9&gt;=20/24</formula>
    </cfRule>
  </conditionalFormatting>
  <conditionalFormatting sqref="AT15 AX15:BJ15">
    <cfRule type="expression" dxfId="414" priority="23">
      <formula>AND(AC$9&gt;=8/24,AC$9&lt;14/24)</formula>
    </cfRule>
    <cfRule type="expression" dxfId="413" priority="21">
      <formula>AC$9&gt;=20/24</formula>
    </cfRule>
    <cfRule type="expression" dxfId="412" priority="24">
      <formula>AC$9&lt;8/24</formula>
    </cfRule>
    <cfRule type="expression" dxfId="411" priority="22">
      <formula>AND(AC$9&gt;=14/24,AC$9&lt;20/24)</formula>
    </cfRule>
  </conditionalFormatting>
  <conditionalFormatting sqref="AT16:AT21">
    <cfRule type="expression" dxfId="410" priority="27">
      <formula>AND(BG$9&gt;=8/24,BG$9&lt;14/24)</formula>
    </cfRule>
    <cfRule type="expression" dxfId="409" priority="26">
      <formula>AND(BG$9&gt;=14/24,BG$9&lt;20/24)</formula>
    </cfRule>
    <cfRule type="expression" dxfId="408" priority="28">
      <formula>BG$9&lt;8/24</formula>
    </cfRule>
    <cfRule type="expression" dxfId="407" priority="25">
      <formula>BG$9&gt;=20/24</formula>
    </cfRule>
  </conditionalFormatting>
  <conditionalFormatting sqref="AU15:AV15">
    <cfRule type="expression" dxfId="406" priority="29">
      <formula>AE$9&gt;=20/24</formula>
    </cfRule>
    <cfRule type="expression" dxfId="405" priority="32">
      <formula>AE$9&lt;8/24</formula>
    </cfRule>
    <cfRule type="expression" dxfId="404" priority="31">
      <formula>AND(AE$9&gt;=8/24,AE$9&lt;14/24)</formula>
    </cfRule>
    <cfRule type="expression" dxfId="403" priority="30">
      <formula>AND(AE$9&gt;=14/24,AE$9&lt;20/24)</formula>
    </cfRule>
  </conditionalFormatting>
  <conditionalFormatting sqref="AU16:BJ21">
    <cfRule type="expression" dxfId="402" priority="35">
      <formula>AND(BI$9&gt;=8/24,BI$9&lt;14/24)</formula>
    </cfRule>
    <cfRule type="expression" dxfId="401" priority="36">
      <formula>BI$9&lt;8/24</formula>
    </cfRule>
    <cfRule type="expression" dxfId="400" priority="34">
      <formula>AND(BI$9&gt;=14/24,BI$9&lt;20/24)</formula>
    </cfRule>
    <cfRule type="expression" dxfId="399" priority="33">
      <formula>BI$9&gt;=20/24</formula>
    </cfRule>
  </conditionalFormatting>
  <conditionalFormatting sqref="AW15">
    <cfRule type="expression" dxfId="398" priority="5">
      <formula>B$9&gt;=20/24</formula>
    </cfRule>
    <cfRule type="expression" dxfId="397" priority="6">
      <formula>AND(B$9&gt;=14/24,B$9&lt;20/24)</formula>
    </cfRule>
    <cfRule type="expression" dxfId="396" priority="8">
      <formula>B$9&lt;8/24</formula>
    </cfRule>
    <cfRule type="expression" dxfId="395" priority="7">
      <formula>AND(B$9&gt;=8/24,B$9&lt;14/24)</formula>
    </cfRule>
  </conditionalFormatting>
  <pageMargins left="0.7" right="0.7" top="0.75" bottom="0.75" header="0.3" footer="0.3"/>
  <drawing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48043-43A8-4744-A993-F03BAD5877BF}">
  <dimension ref="A1:CJ294"/>
  <sheetViews>
    <sheetView zoomScale="106" workbookViewId="0">
      <pane xSplit="1" ySplit="10" topLeftCell="B115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B83" sqref="B83:AE83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7.140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20.25" hidden="1" x14ac:dyDescent="0.2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9.5" hidden="1" thickBot="1" x14ac:dyDescent="0.3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3">
      <c r="A4" s="162" t="s">
        <v>273</v>
      </c>
      <c r="B4" s="205" t="str">
        <f ca="1">"2080/"&amp;"10/"&amp;INT(MID(CELL("filename",D6),FIND("]",CELL("filename",D6))+1,200))</f>
        <v>2080/10/30</v>
      </c>
      <c r="C4" s="205"/>
      <c r="D4" s="205"/>
      <c r="E4" s="206" t="str">
        <f ca="1">"2080/"&amp;"10/"&amp;INT(MID(CELL("filename",G6),FIND("]",CELL("filename",G6))+1,200))</f>
        <v>2080/10/30</v>
      </c>
      <c r="F4" s="206"/>
      <c r="G4" s="206"/>
      <c r="H4" s="206" t="str">
        <f ca="1">TEXT(E4,"dddd")</f>
        <v>Wednesday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3">
      <c r="A5" s="158"/>
      <c r="B5" s="161">
        <f t="shared" ref="B5:AE5" si="0">C92</f>
        <v>144</v>
      </c>
      <c r="C5" s="161">
        <f t="shared" si="0"/>
        <v>146</v>
      </c>
      <c r="D5" s="161">
        <f t="shared" si="0"/>
        <v>205</v>
      </c>
      <c r="E5" s="161">
        <f t="shared" si="0"/>
        <v>119.79999999999998</v>
      </c>
      <c r="F5" s="161">
        <f t="shared" si="0"/>
        <v>120.8</v>
      </c>
      <c r="G5" s="161">
        <f t="shared" si="0"/>
        <v>114.4</v>
      </c>
      <c r="H5" s="161">
        <f t="shared" si="0"/>
        <v>142</v>
      </c>
      <c r="I5" s="161">
        <f t="shared" si="0"/>
        <v>364</v>
      </c>
      <c r="J5" s="161">
        <f t="shared" si="0"/>
        <v>519.90000000000009</v>
      </c>
      <c r="K5" s="161">
        <f t="shared" si="0"/>
        <v>591.6</v>
      </c>
      <c r="L5" s="161">
        <f t="shared" si="0"/>
        <v>587.6</v>
      </c>
      <c r="M5" s="161">
        <f t="shared" si="0"/>
        <v>550.5</v>
      </c>
      <c r="N5" s="161">
        <f t="shared" si="0"/>
        <v>540.4</v>
      </c>
      <c r="O5" s="161">
        <f t="shared" si="0"/>
        <v>488.4</v>
      </c>
      <c r="P5" s="161">
        <f t="shared" si="0"/>
        <v>502.20000000000005</v>
      </c>
      <c r="Q5" s="161">
        <f t="shared" si="0"/>
        <v>510.2</v>
      </c>
      <c r="R5" s="161">
        <f t="shared" si="0"/>
        <v>558.80000000000007</v>
      </c>
      <c r="S5" s="161">
        <f t="shared" si="0"/>
        <v>514.70000000000005</v>
      </c>
      <c r="T5" s="161">
        <f t="shared" si="0"/>
        <v>507.30000000000007</v>
      </c>
      <c r="U5" s="161">
        <f t="shared" si="0"/>
        <v>441.1</v>
      </c>
      <c r="V5" s="161">
        <f t="shared" si="0"/>
        <v>431.1</v>
      </c>
      <c r="W5" s="161">
        <f t="shared" si="0"/>
        <v>441.1</v>
      </c>
      <c r="X5" s="161">
        <f t="shared" si="0"/>
        <v>120.3</v>
      </c>
      <c r="Y5" s="161">
        <f t="shared" si="0"/>
        <v>119.19999999999999</v>
      </c>
      <c r="Z5" s="161">
        <f t="shared" si="0"/>
        <v>90.3</v>
      </c>
      <c r="AA5" s="161">
        <f t="shared" si="0"/>
        <v>70.8</v>
      </c>
      <c r="AB5" s="161">
        <f t="shared" si="0"/>
        <v>68</v>
      </c>
      <c r="AC5" s="161">
        <f t="shared" si="0"/>
        <v>41.3</v>
      </c>
      <c r="AD5" s="161">
        <f t="shared" si="0"/>
        <v>59.9</v>
      </c>
      <c r="AE5" s="161">
        <f t="shared" si="0"/>
        <v>0</v>
      </c>
      <c r="AF5" s="161">
        <f>B92</f>
        <v>199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3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1432MW at 9:00hr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5" thickBot="1" x14ac:dyDescent="0.3">
      <c r="A7" s="151" t="str">
        <f>"Base Load="&amp;ROUND(MIN($B$7:$AF$7),0)</f>
        <v>Base Load=1006</v>
      </c>
      <c r="B7" s="150">
        <f t="shared" ref="B7:AF7" si="1">B100</f>
        <v>1423.04</v>
      </c>
      <c r="C7" s="150">
        <f t="shared" si="1"/>
        <v>1199.04</v>
      </c>
      <c r="D7" s="150">
        <f t="shared" si="1"/>
        <v>1177.04</v>
      </c>
      <c r="E7" s="150">
        <f t="shared" si="1"/>
        <v>1075.94</v>
      </c>
      <c r="F7" s="150">
        <f t="shared" si="1"/>
        <v>1076.8399999999999</v>
      </c>
      <c r="G7" s="150">
        <f t="shared" si="1"/>
        <v>1102.44</v>
      </c>
      <c r="H7" s="150">
        <f t="shared" si="1"/>
        <v>1155.94</v>
      </c>
      <c r="I7" s="150">
        <f t="shared" si="1"/>
        <v>1205.7400000000002</v>
      </c>
      <c r="J7" s="150">
        <f t="shared" si="1"/>
        <v>1207.6400000000001</v>
      </c>
      <c r="K7" s="150">
        <f t="shared" si="1"/>
        <v>1333.5400000000002</v>
      </c>
      <c r="L7" s="150">
        <f t="shared" si="1"/>
        <v>1419.3400000000001</v>
      </c>
      <c r="M7" s="150">
        <f t="shared" si="1"/>
        <v>1416.04</v>
      </c>
      <c r="N7" s="150">
        <f t="shared" si="1"/>
        <v>1431.64</v>
      </c>
      <c r="O7" s="150">
        <f t="shared" si="1"/>
        <v>1449.44</v>
      </c>
      <c r="P7" s="150">
        <f t="shared" si="1"/>
        <v>1386.2399999999998</v>
      </c>
      <c r="Q7" s="150">
        <f t="shared" si="1"/>
        <v>1414.64</v>
      </c>
      <c r="R7" s="150">
        <f t="shared" si="1"/>
        <v>1432.24</v>
      </c>
      <c r="S7" s="150">
        <f t="shared" si="1"/>
        <v>1462.5400000000002</v>
      </c>
      <c r="T7" s="150">
        <f t="shared" si="1"/>
        <v>1443.44</v>
      </c>
      <c r="U7" s="150">
        <f t="shared" si="1"/>
        <v>1475.04</v>
      </c>
      <c r="V7" s="150">
        <f t="shared" si="1"/>
        <v>1353.8400000000001</v>
      </c>
      <c r="W7" s="150">
        <f t="shared" si="1"/>
        <v>1489.94</v>
      </c>
      <c r="X7" s="150">
        <f t="shared" si="1"/>
        <v>1498.94</v>
      </c>
      <c r="Y7" s="150">
        <f t="shared" si="1"/>
        <v>1370.54</v>
      </c>
      <c r="Z7" s="150">
        <f t="shared" si="1"/>
        <v>1589.8</v>
      </c>
      <c r="AA7" s="150">
        <f t="shared" si="1"/>
        <v>1567.84</v>
      </c>
      <c r="AB7" s="150">
        <f t="shared" si="1"/>
        <v>1569.44</v>
      </c>
      <c r="AC7" s="150">
        <f t="shared" si="1"/>
        <v>1518.64</v>
      </c>
      <c r="AD7" s="150">
        <f t="shared" si="1"/>
        <v>1516.24</v>
      </c>
      <c r="AE7" s="150">
        <f t="shared" si="1"/>
        <v>1428.7400000000002</v>
      </c>
      <c r="AF7" s="150">
        <f t="shared" si="1"/>
        <v>1005.94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7.25" thickTop="1" thickBot="1" x14ac:dyDescent="0.3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1589.8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2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1589.8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.75" thickBot="1" x14ac:dyDescent="0.3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25">
      <c r="A11" s="89" t="s">
        <v>264</v>
      </c>
      <c r="B11" s="102">
        <v>21.6</v>
      </c>
      <c r="C11" s="102">
        <v>21.6</v>
      </c>
      <c r="D11" s="102">
        <v>21.6</v>
      </c>
      <c r="E11" s="102">
        <v>21.6</v>
      </c>
      <c r="F11" s="102">
        <v>21.6</v>
      </c>
      <c r="G11" s="102">
        <v>21.9</v>
      </c>
      <c r="H11" s="102">
        <v>25.9</v>
      </c>
      <c r="I11" s="102">
        <v>27.4</v>
      </c>
      <c r="J11" s="102">
        <v>27.4</v>
      </c>
      <c r="K11" s="102">
        <v>27.4</v>
      </c>
      <c r="L11" s="102">
        <v>24.9</v>
      </c>
      <c r="M11" s="102">
        <v>25.2</v>
      </c>
      <c r="N11" s="102">
        <v>30.6</v>
      </c>
      <c r="O11" s="102">
        <v>34.9</v>
      </c>
      <c r="P11" s="102">
        <v>42.3</v>
      </c>
      <c r="Q11" s="102">
        <v>45.8</v>
      </c>
      <c r="R11" s="102">
        <v>47.9</v>
      </c>
      <c r="S11" s="102">
        <v>46.9</v>
      </c>
      <c r="T11" s="102">
        <v>47.2</v>
      </c>
      <c r="U11" s="102">
        <v>47.2</v>
      </c>
      <c r="V11" s="102">
        <v>48.9</v>
      </c>
      <c r="W11" s="102">
        <v>40.9</v>
      </c>
      <c r="X11" s="102">
        <v>40.9</v>
      </c>
      <c r="Y11" s="102">
        <v>32.9</v>
      </c>
      <c r="Z11" s="102">
        <v>36.299999999999997</v>
      </c>
      <c r="AA11" s="102">
        <v>32.9</v>
      </c>
      <c r="AB11" s="102">
        <v>32.9</v>
      </c>
      <c r="AC11" s="102">
        <v>32.9</v>
      </c>
      <c r="AD11" s="102">
        <v>32.9</v>
      </c>
      <c r="AE11" s="102">
        <v>32.9</v>
      </c>
      <c r="AF11" s="102">
        <v>32.9</v>
      </c>
      <c r="AG11" s="140">
        <v>86</v>
      </c>
      <c r="AH11" s="12">
        <f t="shared" ref="AH11:AH16" si="2">MAX(B11:AF11)</f>
        <v>48.9</v>
      </c>
      <c r="AI11" s="11">
        <f t="shared" ref="AI11:AI16" si="3">MIN(B11:AF11)</f>
        <v>21.6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25">
      <c r="A12" s="89" t="s">
        <v>263</v>
      </c>
      <c r="B12" s="102">
        <v>8.6</v>
      </c>
      <c r="C12" s="102">
        <v>8.6</v>
      </c>
      <c r="D12" s="102">
        <v>8.6</v>
      </c>
      <c r="E12" s="102">
        <v>8.6</v>
      </c>
      <c r="F12" s="102">
        <v>8.6</v>
      </c>
      <c r="G12" s="102">
        <v>8.6</v>
      </c>
      <c r="H12" s="102">
        <v>8.9</v>
      </c>
      <c r="I12" s="102">
        <v>8.9</v>
      </c>
      <c r="J12" s="102">
        <v>8.9</v>
      </c>
      <c r="K12" s="102">
        <v>8.9</v>
      </c>
      <c r="L12" s="102">
        <v>8.9</v>
      </c>
      <c r="M12" s="102">
        <v>8.9</v>
      </c>
      <c r="N12" s="102">
        <v>8.9</v>
      </c>
      <c r="O12" s="102">
        <v>8.9</v>
      </c>
      <c r="P12" s="102">
        <v>8.9</v>
      </c>
      <c r="Q12" s="102">
        <v>8.9</v>
      </c>
      <c r="R12" s="102">
        <v>8.9</v>
      </c>
      <c r="S12" s="102">
        <v>8.9</v>
      </c>
      <c r="T12" s="102">
        <v>12</v>
      </c>
      <c r="U12" s="102">
        <v>12</v>
      </c>
      <c r="V12" s="102">
        <v>12</v>
      </c>
      <c r="W12" s="102">
        <v>12</v>
      </c>
      <c r="X12" s="102">
        <v>12</v>
      </c>
      <c r="Y12" s="102">
        <v>12</v>
      </c>
      <c r="Z12" s="102">
        <v>12</v>
      </c>
      <c r="AA12" s="102">
        <v>12</v>
      </c>
      <c r="AB12" s="102">
        <v>12</v>
      </c>
      <c r="AC12" s="102">
        <v>12</v>
      </c>
      <c r="AD12" s="102">
        <v>12</v>
      </c>
      <c r="AE12" s="102">
        <v>12</v>
      </c>
      <c r="AF12" s="102">
        <v>12</v>
      </c>
      <c r="AG12" s="130">
        <v>54</v>
      </c>
      <c r="AH12" s="12">
        <f t="shared" si="2"/>
        <v>12</v>
      </c>
      <c r="AI12" s="11">
        <f t="shared" si="3"/>
        <v>8.6</v>
      </c>
      <c r="AK12" s="19"/>
      <c r="AL12" s="6" t="str">
        <f ca="1">MID(CELL("filename",C7),FIND("]",CELL("filename",C7))+1,600)</f>
        <v>30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25">
      <c r="A13" s="89" t="s">
        <v>262</v>
      </c>
      <c r="B13" s="102">
        <v>16</v>
      </c>
      <c r="C13" s="102">
        <v>16</v>
      </c>
      <c r="D13" s="102">
        <v>16</v>
      </c>
      <c r="E13" s="102">
        <v>16</v>
      </c>
      <c r="F13" s="102">
        <v>16</v>
      </c>
      <c r="G13" s="102">
        <v>16</v>
      </c>
      <c r="H13" s="102">
        <v>15</v>
      </c>
      <c r="I13" s="102">
        <v>15</v>
      </c>
      <c r="J13" s="102">
        <v>15</v>
      </c>
      <c r="K13" s="102">
        <v>15</v>
      </c>
      <c r="L13" s="102">
        <v>15</v>
      </c>
      <c r="M13" s="102">
        <v>15</v>
      </c>
      <c r="N13" s="102">
        <v>15</v>
      </c>
      <c r="O13" s="102">
        <v>15</v>
      </c>
      <c r="P13" s="102">
        <v>15</v>
      </c>
      <c r="Q13" s="102">
        <v>15</v>
      </c>
      <c r="R13" s="102">
        <v>13.5</v>
      </c>
      <c r="S13" s="102">
        <v>13.5</v>
      </c>
      <c r="T13" s="102">
        <v>13.5</v>
      </c>
      <c r="U13" s="102">
        <v>14.2</v>
      </c>
      <c r="V13" s="102">
        <v>14.1</v>
      </c>
      <c r="W13" s="102">
        <v>14.2</v>
      </c>
      <c r="X13" s="102">
        <v>14.2</v>
      </c>
      <c r="Y13" s="102">
        <v>14.9</v>
      </c>
      <c r="Z13" s="102">
        <v>14.9</v>
      </c>
      <c r="AA13" s="102">
        <v>14.9</v>
      </c>
      <c r="AB13" s="102">
        <v>14.9</v>
      </c>
      <c r="AC13" s="102">
        <v>14.9</v>
      </c>
      <c r="AD13" s="102">
        <v>14.9</v>
      </c>
      <c r="AE13" s="102">
        <v>14.9</v>
      </c>
      <c r="AF13" s="102">
        <v>14.9</v>
      </c>
      <c r="AG13" s="130">
        <v>54</v>
      </c>
      <c r="AH13" s="12">
        <f t="shared" si="2"/>
        <v>16</v>
      </c>
      <c r="AI13" s="11">
        <f t="shared" si="3"/>
        <v>13.5</v>
      </c>
      <c r="AK13" s="19"/>
      <c r="AL13" s="6" t="str">
        <f ca="1">"Daily Load Curve(Excluding of Export) of Nepal ("&amp;A4&amp;" "&amp;B4&amp;")"</f>
        <v>Daily Load Curve(Excluding of Export) of Nepal (Nepali Date: 2080/10/30)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.75" thickBot="1" x14ac:dyDescent="0.3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.75" thickTop="1" x14ac:dyDescent="0.25">
      <c r="A15" s="89" t="s">
        <v>260</v>
      </c>
      <c r="B15" s="102">
        <v>44</v>
      </c>
      <c r="C15" s="102">
        <v>44</v>
      </c>
      <c r="D15" s="102">
        <v>50</v>
      </c>
      <c r="E15" s="102">
        <v>50</v>
      </c>
      <c r="F15" s="102">
        <v>50</v>
      </c>
      <c r="G15" s="102">
        <v>50</v>
      </c>
      <c r="H15" s="102">
        <v>50.4</v>
      </c>
      <c r="I15" s="102">
        <v>50.3</v>
      </c>
      <c r="J15" s="102">
        <v>50.3</v>
      </c>
      <c r="K15" s="102">
        <v>50.3</v>
      </c>
      <c r="L15" s="102">
        <v>50.3</v>
      </c>
      <c r="M15" s="102">
        <v>50.5</v>
      </c>
      <c r="N15" s="102">
        <v>50.5</v>
      </c>
      <c r="O15" s="102">
        <v>40</v>
      </c>
      <c r="P15" s="102">
        <v>40</v>
      </c>
      <c r="Q15" s="102">
        <v>40</v>
      </c>
      <c r="R15" s="102">
        <v>49.6</v>
      </c>
      <c r="S15" s="102">
        <v>49.4</v>
      </c>
      <c r="T15" s="102">
        <v>49.8</v>
      </c>
      <c r="U15" s="102">
        <v>49.7</v>
      </c>
      <c r="V15" s="102">
        <v>49.5</v>
      </c>
      <c r="W15" s="102">
        <v>49.5</v>
      </c>
      <c r="X15" s="102">
        <v>49.5</v>
      </c>
      <c r="Y15" s="123">
        <v>49.3</v>
      </c>
      <c r="Z15" s="123">
        <v>49.3</v>
      </c>
      <c r="AA15" s="123">
        <v>49.3</v>
      </c>
      <c r="AB15" s="123">
        <v>49.3</v>
      </c>
      <c r="AC15" s="123">
        <v>49.3</v>
      </c>
      <c r="AD15" s="123">
        <v>49.3</v>
      </c>
      <c r="AE15" s="123">
        <v>49.3</v>
      </c>
      <c r="AF15" s="123">
        <v>49.3</v>
      </c>
      <c r="AG15" s="130">
        <v>50</v>
      </c>
      <c r="AH15" s="12">
        <f t="shared" si="2"/>
        <v>50.5</v>
      </c>
      <c r="AI15" s="11">
        <f t="shared" si="3"/>
        <v>40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25">
      <c r="A16" s="89" t="s">
        <v>258</v>
      </c>
      <c r="B16" s="102">
        <v>15.2</v>
      </c>
      <c r="C16" s="102">
        <v>15.2</v>
      </c>
      <c r="D16" s="102">
        <v>15.2</v>
      </c>
      <c r="E16" s="102">
        <v>15.2</v>
      </c>
      <c r="F16" s="102">
        <v>15.2</v>
      </c>
      <c r="G16" s="102">
        <v>15.2</v>
      </c>
      <c r="H16" s="102">
        <v>16</v>
      </c>
      <c r="I16" s="102">
        <v>16</v>
      </c>
      <c r="J16" s="102">
        <v>16</v>
      </c>
      <c r="K16" s="102">
        <v>16</v>
      </c>
      <c r="L16" s="102">
        <v>16</v>
      </c>
      <c r="M16" s="102">
        <v>16</v>
      </c>
      <c r="N16" s="102">
        <v>16</v>
      </c>
      <c r="O16" s="102">
        <v>16</v>
      </c>
      <c r="P16" s="102">
        <v>16</v>
      </c>
      <c r="Q16" s="102">
        <v>16</v>
      </c>
      <c r="R16" s="102">
        <v>16</v>
      </c>
      <c r="S16" s="102">
        <v>16</v>
      </c>
      <c r="T16" s="102">
        <v>16</v>
      </c>
      <c r="U16" s="102">
        <v>16</v>
      </c>
      <c r="V16" s="102">
        <v>16.5</v>
      </c>
      <c r="W16" s="102">
        <v>16.5</v>
      </c>
      <c r="X16" s="102">
        <v>16.5</v>
      </c>
      <c r="Y16" s="102">
        <v>16.5</v>
      </c>
      <c r="Z16" s="102">
        <v>16.5</v>
      </c>
      <c r="AA16" s="102">
        <v>16.5</v>
      </c>
      <c r="AB16" s="102">
        <v>16.5</v>
      </c>
      <c r="AC16" s="102">
        <v>16.5</v>
      </c>
      <c r="AD16" s="102">
        <v>16.5</v>
      </c>
      <c r="AE16" s="102">
        <v>16.5</v>
      </c>
      <c r="AF16" s="102">
        <v>16.5</v>
      </c>
      <c r="AG16" s="130">
        <v>45</v>
      </c>
      <c r="AH16" s="12">
        <f t="shared" si="2"/>
        <v>16.5</v>
      </c>
      <c r="AI16" s="11">
        <f t="shared" si="3"/>
        <v>15.2</v>
      </c>
      <c r="AK16" s="19"/>
      <c r="AL16" s="135" t="s">
        <v>7</v>
      </c>
      <c r="AM16" s="134">
        <f t="shared" ref="AM16:AR16" si="4">B58</f>
        <v>499.90000000000003</v>
      </c>
      <c r="AN16" s="134">
        <f t="shared" si="4"/>
        <v>499.90000000000003</v>
      </c>
      <c r="AO16" s="134">
        <f t="shared" si="4"/>
        <v>505.9</v>
      </c>
      <c r="AP16" s="134">
        <f t="shared" si="4"/>
        <v>439.8</v>
      </c>
      <c r="AQ16" s="134">
        <f t="shared" si="4"/>
        <v>501.9</v>
      </c>
      <c r="AR16" s="134">
        <f t="shared" si="4"/>
        <v>502.2</v>
      </c>
      <c r="AS16" s="134">
        <f>I58</f>
        <v>471.60000000000008</v>
      </c>
      <c r="AT16" s="134">
        <f>K58</f>
        <v>516.1</v>
      </c>
      <c r="AU16" s="134">
        <f t="shared" ref="AU16:BD16" si="5">M58</f>
        <v>509.10000000000008</v>
      </c>
      <c r="AV16" s="134">
        <f t="shared" si="5"/>
        <v>514.5</v>
      </c>
      <c r="AW16" s="134">
        <f t="shared" si="5"/>
        <v>507.60000000000008</v>
      </c>
      <c r="AX16" s="134">
        <f t="shared" si="5"/>
        <v>515</v>
      </c>
      <c r="AY16" s="134">
        <f t="shared" si="5"/>
        <v>518.5</v>
      </c>
      <c r="AZ16" s="134">
        <f t="shared" si="5"/>
        <v>528.6</v>
      </c>
      <c r="BA16" s="134">
        <f t="shared" si="5"/>
        <v>527.40000000000009</v>
      </c>
      <c r="BB16" s="134">
        <f t="shared" si="5"/>
        <v>531.20000000000005</v>
      </c>
      <c r="BC16" s="134">
        <f t="shared" si="5"/>
        <v>540.90000000000009</v>
      </c>
      <c r="BD16" s="134">
        <f t="shared" si="5"/>
        <v>524.40000000000009</v>
      </c>
      <c r="BE16" s="133">
        <f>X58</f>
        <v>516.5</v>
      </c>
      <c r="BF16" s="133">
        <f>Z58</f>
        <v>539</v>
      </c>
      <c r="BG16" s="133">
        <f>AB58</f>
        <v>522</v>
      </c>
      <c r="BH16" s="133">
        <f>AD58</f>
        <v>522</v>
      </c>
      <c r="BI16" s="133">
        <f>AE58</f>
        <v>522</v>
      </c>
      <c r="BJ16" s="133">
        <f>AF58</f>
        <v>522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25">
      <c r="A17" s="89" t="s">
        <v>257</v>
      </c>
      <c r="B17" s="102">
        <v>16.5</v>
      </c>
      <c r="C17" s="102">
        <v>16.5</v>
      </c>
      <c r="D17" s="102">
        <v>16.5</v>
      </c>
      <c r="E17" s="102">
        <v>0</v>
      </c>
      <c r="F17" s="102">
        <v>16.5</v>
      </c>
      <c r="G17" s="102">
        <v>16.5</v>
      </c>
      <c r="H17" s="102">
        <v>16.5</v>
      </c>
      <c r="I17" s="102">
        <v>5</v>
      </c>
      <c r="J17" s="102">
        <v>16.5</v>
      </c>
      <c r="K17" s="102">
        <v>16.5</v>
      </c>
      <c r="L17" s="102">
        <v>16.5</v>
      </c>
      <c r="M17" s="102">
        <v>16.5</v>
      </c>
      <c r="N17" s="102">
        <v>16.5</v>
      </c>
      <c r="O17" s="102">
        <v>16.5</v>
      </c>
      <c r="P17" s="102">
        <v>16.5</v>
      </c>
      <c r="Q17" s="102">
        <v>16.5</v>
      </c>
      <c r="R17" s="102">
        <v>16.5</v>
      </c>
      <c r="S17" s="102">
        <v>16</v>
      </c>
      <c r="T17" s="102">
        <v>16</v>
      </c>
      <c r="U17" s="102">
        <v>16</v>
      </c>
      <c r="V17" s="102">
        <v>16</v>
      </c>
      <c r="W17" s="102">
        <v>16</v>
      </c>
      <c r="X17" s="102">
        <v>16</v>
      </c>
      <c r="Y17" s="102">
        <v>16</v>
      </c>
      <c r="Z17" s="102">
        <v>16</v>
      </c>
      <c r="AA17" s="102">
        <v>16</v>
      </c>
      <c r="AB17" s="102">
        <v>16</v>
      </c>
      <c r="AC17" s="102">
        <v>16</v>
      </c>
      <c r="AD17" s="102">
        <v>16</v>
      </c>
      <c r="AE17" s="102">
        <v>16</v>
      </c>
      <c r="AF17" s="102">
        <v>16</v>
      </c>
      <c r="AG17" s="130">
        <v>44</v>
      </c>
      <c r="AH17" s="12">
        <f>MAX(B17:AG17)</f>
        <v>44</v>
      </c>
      <c r="AI17" s="11">
        <f>MIN(B17:AG17)</f>
        <v>0</v>
      </c>
      <c r="AK17" s="19"/>
      <c r="AL17" s="135" t="s">
        <v>256</v>
      </c>
      <c r="AM17" s="134">
        <f t="shared" ref="AM17:AR17" si="6">B62</f>
        <v>242</v>
      </c>
      <c r="AN17" s="134">
        <f t="shared" si="6"/>
        <v>161</v>
      </c>
      <c r="AO17" s="134">
        <f t="shared" si="6"/>
        <v>142</v>
      </c>
      <c r="AP17" s="134">
        <f t="shared" si="6"/>
        <v>112</v>
      </c>
      <c r="AQ17" s="134">
        <f t="shared" si="6"/>
        <v>76</v>
      </c>
      <c r="AR17" s="134">
        <f t="shared" si="6"/>
        <v>103.2</v>
      </c>
      <c r="AS17" s="134">
        <f>I62</f>
        <v>147.30000000000001</v>
      </c>
      <c r="AT17" s="134">
        <f>K62</f>
        <v>56.7</v>
      </c>
      <c r="AU17" s="134">
        <f t="shared" ref="AU17:BD17" si="7">M62</f>
        <v>49.1</v>
      </c>
      <c r="AV17" s="134">
        <f t="shared" si="7"/>
        <v>47.2</v>
      </c>
      <c r="AW17" s="134">
        <f t="shared" si="7"/>
        <v>47.2</v>
      </c>
      <c r="AX17" s="134">
        <f t="shared" si="7"/>
        <v>49.400000000000006</v>
      </c>
      <c r="AY17" s="134">
        <f t="shared" si="7"/>
        <v>49.5</v>
      </c>
      <c r="AZ17" s="134">
        <f t="shared" si="7"/>
        <v>44.1</v>
      </c>
      <c r="BA17" s="134">
        <f t="shared" si="7"/>
        <v>54.9</v>
      </c>
      <c r="BB17" s="134">
        <f t="shared" si="7"/>
        <v>56.7</v>
      </c>
      <c r="BC17" s="134">
        <f t="shared" si="7"/>
        <v>61.300000000000004</v>
      </c>
      <c r="BD17" s="134">
        <f t="shared" si="7"/>
        <v>54.7</v>
      </c>
      <c r="BE17" s="133">
        <f>X62</f>
        <v>210.4</v>
      </c>
      <c r="BF17" s="133">
        <f>Z62</f>
        <v>285.89999999999998</v>
      </c>
      <c r="BG17" s="133">
        <f>AB62</f>
        <v>284.89999999999998</v>
      </c>
      <c r="BH17" s="133">
        <f>AD62</f>
        <v>354.9</v>
      </c>
      <c r="BI17" s="133">
        <f>AE62</f>
        <v>262.39999999999998</v>
      </c>
      <c r="BJ17" s="133">
        <f>AF62</f>
        <v>195.4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25">
      <c r="A18" s="89" t="s">
        <v>255</v>
      </c>
      <c r="B18" s="102">
        <v>18</v>
      </c>
      <c r="C18" s="102">
        <v>18</v>
      </c>
      <c r="D18" s="102">
        <v>18</v>
      </c>
      <c r="E18" s="102">
        <v>0</v>
      </c>
      <c r="F18" s="102">
        <v>14</v>
      </c>
      <c r="G18" s="102">
        <v>14</v>
      </c>
      <c r="H18" s="102">
        <v>14</v>
      </c>
      <c r="I18" s="102">
        <v>1.8</v>
      </c>
      <c r="J18" s="102">
        <v>18</v>
      </c>
      <c r="K18" s="102">
        <v>18</v>
      </c>
      <c r="L18" s="102">
        <v>18</v>
      </c>
      <c r="M18" s="102">
        <v>11</v>
      </c>
      <c r="N18" s="102">
        <v>11</v>
      </c>
      <c r="O18" s="102">
        <v>11</v>
      </c>
      <c r="P18" s="102">
        <v>11</v>
      </c>
      <c r="Q18" s="102">
        <v>11</v>
      </c>
      <c r="R18" s="102">
        <v>11.5</v>
      </c>
      <c r="S18" s="102">
        <v>12</v>
      </c>
      <c r="T18" s="102">
        <v>12</v>
      </c>
      <c r="U18" s="102">
        <v>21.3</v>
      </c>
      <c r="V18" s="102">
        <v>14.4</v>
      </c>
      <c r="W18" s="102">
        <v>14.4</v>
      </c>
      <c r="X18" s="102">
        <v>14.4</v>
      </c>
      <c r="Y18" s="102">
        <v>14.4</v>
      </c>
      <c r="Z18" s="102">
        <v>14.4</v>
      </c>
      <c r="AA18" s="102">
        <v>14.4</v>
      </c>
      <c r="AB18" s="102">
        <v>14.4</v>
      </c>
      <c r="AC18" s="102">
        <v>14.4</v>
      </c>
      <c r="AD18" s="102">
        <v>14.4</v>
      </c>
      <c r="AE18" s="102">
        <v>14.4</v>
      </c>
      <c r="AF18" s="102">
        <v>14.4</v>
      </c>
      <c r="AG18" s="130">
        <v>42</v>
      </c>
      <c r="AH18" s="12">
        <f t="shared" ref="AH18:AH81" si="8">MAX(B18:AF18)</f>
        <v>21.3</v>
      </c>
      <c r="AI18" s="11">
        <f t="shared" ref="AI18:AI81" si="9">MIN(B18:AF18)</f>
        <v>0</v>
      </c>
      <c r="AK18" s="19"/>
      <c r="AL18" s="135" t="s">
        <v>254</v>
      </c>
      <c r="AM18" s="134">
        <f t="shared" ref="AM18:AR18" si="10">B76</f>
        <v>271.14</v>
      </c>
      <c r="AN18" s="134">
        <f t="shared" si="10"/>
        <v>194.14</v>
      </c>
      <c r="AO18" s="134">
        <f t="shared" si="10"/>
        <v>183.14</v>
      </c>
      <c r="AP18" s="134">
        <f t="shared" si="10"/>
        <v>119.14000000000001</v>
      </c>
      <c r="AQ18" s="134">
        <f t="shared" si="10"/>
        <v>179.14</v>
      </c>
      <c r="AR18" s="134">
        <f t="shared" si="10"/>
        <v>176.24</v>
      </c>
      <c r="AS18" s="134">
        <f>I76</f>
        <v>244.84</v>
      </c>
      <c r="AT18" s="134">
        <f>K76</f>
        <v>240.84</v>
      </c>
      <c r="AU18" s="134">
        <f t="shared" ref="AU18:BD18" si="11">M76</f>
        <v>270.24</v>
      </c>
      <c r="AV18" s="134">
        <f t="shared" si="11"/>
        <v>319.44</v>
      </c>
      <c r="AW18" s="134">
        <f t="shared" si="11"/>
        <v>354.24000000000007</v>
      </c>
      <c r="AX18" s="134">
        <f t="shared" si="11"/>
        <v>333.44</v>
      </c>
      <c r="AY18" s="134">
        <f t="shared" si="11"/>
        <v>344.44</v>
      </c>
      <c r="AZ18" s="134">
        <f t="shared" si="11"/>
        <v>349.34</v>
      </c>
      <c r="BA18" s="134">
        <f t="shared" si="11"/>
        <v>321.44000000000005</v>
      </c>
      <c r="BB18" s="134">
        <f t="shared" si="11"/>
        <v>340.84000000000003</v>
      </c>
      <c r="BC18" s="134">
        <f t="shared" si="11"/>
        <v>365.53999999999996</v>
      </c>
      <c r="BD18" s="134">
        <f t="shared" si="11"/>
        <v>333.64</v>
      </c>
      <c r="BE18" s="133">
        <f>X76</f>
        <v>331.94</v>
      </c>
      <c r="BF18" s="133">
        <f>Z76</f>
        <v>330.40000000000003</v>
      </c>
      <c r="BG18" s="133">
        <f>AB76</f>
        <v>343.54000000000008</v>
      </c>
      <c r="BH18" s="133">
        <f>AD76</f>
        <v>345.54</v>
      </c>
      <c r="BI18" s="133">
        <f>AE76</f>
        <v>354.44000000000005</v>
      </c>
      <c r="BJ18" s="133">
        <f>AF76</f>
        <v>288.54000000000008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25">
      <c r="A19" s="89" t="s">
        <v>253</v>
      </c>
      <c r="B19" s="102">
        <v>22.6</v>
      </c>
      <c r="C19" s="102">
        <v>22.6</v>
      </c>
      <c r="D19" s="102">
        <v>22.6</v>
      </c>
      <c r="E19" s="102">
        <v>22.6</v>
      </c>
      <c r="F19" s="102">
        <v>22.6</v>
      </c>
      <c r="G19" s="102">
        <v>22.6</v>
      </c>
      <c r="H19" s="102">
        <v>22.6</v>
      </c>
      <c r="I19" s="102">
        <v>22.6</v>
      </c>
      <c r="J19" s="102">
        <v>22.6</v>
      </c>
      <c r="K19" s="102">
        <v>22.6</v>
      </c>
      <c r="L19" s="102">
        <v>22.6</v>
      </c>
      <c r="M19" s="102">
        <v>19.3</v>
      </c>
      <c r="N19" s="102">
        <v>19.3</v>
      </c>
      <c r="O19" s="102">
        <v>19.3</v>
      </c>
      <c r="P19" s="102">
        <v>19.3</v>
      </c>
      <c r="Q19" s="102">
        <v>19.3</v>
      </c>
      <c r="R19" s="102">
        <v>18.3</v>
      </c>
      <c r="S19" s="102">
        <v>18.3</v>
      </c>
      <c r="T19" s="102">
        <v>18.3</v>
      </c>
      <c r="U19" s="102">
        <v>18.3</v>
      </c>
      <c r="V19" s="102">
        <v>17.8</v>
      </c>
      <c r="W19" s="102">
        <v>17.8</v>
      </c>
      <c r="X19" s="102">
        <v>17.8</v>
      </c>
      <c r="Y19" s="102">
        <v>17.8</v>
      </c>
      <c r="Z19" s="102">
        <v>17.8</v>
      </c>
      <c r="AA19" s="102">
        <v>17.8</v>
      </c>
      <c r="AB19" s="102">
        <v>17.8</v>
      </c>
      <c r="AC19" s="102">
        <v>17.8</v>
      </c>
      <c r="AD19" s="102">
        <v>17.8</v>
      </c>
      <c r="AE19" s="102">
        <v>17.8</v>
      </c>
      <c r="AF19" s="102">
        <v>17.8</v>
      </c>
      <c r="AG19" s="130">
        <v>38.46</v>
      </c>
      <c r="AH19" s="12">
        <f t="shared" si="8"/>
        <v>22.6</v>
      </c>
      <c r="AI19" s="11">
        <f t="shared" si="9"/>
        <v>17.8</v>
      </c>
      <c r="AK19" s="19"/>
      <c r="AL19" s="135" t="s">
        <v>252</v>
      </c>
      <c r="AM19" s="134">
        <f t="shared" ref="AM19:AR19" si="12">B92</f>
        <v>199</v>
      </c>
      <c r="AN19" s="134">
        <f t="shared" si="12"/>
        <v>144</v>
      </c>
      <c r="AO19" s="134">
        <f t="shared" si="12"/>
        <v>146</v>
      </c>
      <c r="AP19" s="134">
        <f t="shared" si="12"/>
        <v>205</v>
      </c>
      <c r="AQ19" s="134">
        <f t="shared" si="12"/>
        <v>119.79999999999998</v>
      </c>
      <c r="AR19" s="134">
        <f t="shared" si="12"/>
        <v>120.8</v>
      </c>
      <c r="AS19" s="134">
        <f>I92</f>
        <v>142</v>
      </c>
      <c r="AT19" s="134">
        <f>K92</f>
        <v>519.90000000000009</v>
      </c>
      <c r="AU19" s="134">
        <f t="shared" ref="AU19:BD19" si="13">M92</f>
        <v>587.6</v>
      </c>
      <c r="AV19" s="134">
        <f t="shared" si="13"/>
        <v>550.5</v>
      </c>
      <c r="AW19" s="134">
        <f t="shared" si="13"/>
        <v>540.4</v>
      </c>
      <c r="AX19" s="134">
        <f t="shared" si="13"/>
        <v>488.4</v>
      </c>
      <c r="AY19" s="134">
        <f t="shared" si="13"/>
        <v>502.20000000000005</v>
      </c>
      <c r="AZ19" s="134">
        <f t="shared" si="13"/>
        <v>510.2</v>
      </c>
      <c r="BA19" s="134">
        <f t="shared" si="13"/>
        <v>558.80000000000007</v>
      </c>
      <c r="BB19" s="134">
        <f t="shared" si="13"/>
        <v>514.70000000000005</v>
      </c>
      <c r="BC19" s="134">
        <f t="shared" si="13"/>
        <v>507.30000000000007</v>
      </c>
      <c r="BD19" s="134">
        <f t="shared" si="13"/>
        <v>441.1</v>
      </c>
      <c r="BE19" s="133">
        <f>X92</f>
        <v>441.1</v>
      </c>
      <c r="BF19" s="133">
        <f>Z92</f>
        <v>119.19999999999999</v>
      </c>
      <c r="BG19" s="133">
        <f>AB92</f>
        <v>70.8</v>
      </c>
      <c r="BH19" s="133">
        <f>AD92</f>
        <v>41.3</v>
      </c>
      <c r="BI19" s="133">
        <f>AE92</f>
        <v>59.9</v>
      </c>
      <c r="BJ19" s="133">
        <f>AF92</f>
        <v>0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25">
      <c r="A20" s="89" t="s">
        <v>251</v>
      </c>
      <c r="B20" s="102">
        <v>16.5</v>
      </c>
      <c r="C20" s="102">
        <v>16.5</v>
      </c>
      <c r="D20" s="102">
        <v>16.5</v>
      </c>
      <c r="E20" s="102">
        <v>16.5</v>
      </c>
      <c r="F20" s="102">
        <v>16.5</v>
      </c>
      <c r="G20" s="102">
        <v>16.5</v>
      </c>
      <c r="H20" s="102">
        <v>16.5</v>
      </c>
      <c r="I20" s="102">
        <v>16.5</v>
      </c>
      <c r="J20" s="102">
        <v>16.5</v>
      </c>
      <c r="K20" s="102">
        <v>16.5</v>
      </c>
      <c r="L20" s="102">
        <v>16.5</v>
      </c>
      <c r="M20" s="102">
        <v>16.5</v>
      </c>
      <c r="N20" s="102">
        <v>16.5</v>
      </c>
      <c r="O20" s="102">
        <v>16.5</v>
      </c>
      <c r="P20" s="102">
        <v>16.5</v>
      </c>
      <c r="Q20" s="102">
        <v>16.5</v>
      </c>
      <c r="R20" s="102">
        <v>16.5</v>
      </c>
      <c r="S20" s="102">
        <v>16.5</v>
      </c>
      <c r="T20" s="102">
        <v>16.5</v>
      </c>
      <c r="U20" s="102">
        <v>16.5</v>
      </c>
      <c r="V20" s="102">
        <v>13</v>
      </c>
      <c r="W20" s="102">
        <v>13</v>
      </c>
      <c r="X20" s="102">
        <v>13</v>
      </c>
      <c r="Y20" s="102">
        <v>13</v>
      </c>
      <c r="Z20" s="102">
        <v>13</v>
      </c>
      <c r="AA20" s="102">
        <v>13</v>
      </c>
      <c r="AB20" s="102">
        <v>13</v>
      </c>
      <c r="AC20" s="102">
        <v>13</v>
      </c>
      <c r="AD20" s="102">
        <v>13</v>
      </c>
      <c r="AE20" s="102">
        <v>13</v>
      </c>
      <c r="AF20" s="102">
        <v>13</v>
      </c>
      <c r="AG20" s="130">
        <v>38.46</v>
      </c>
      <c r="AH20" s="12">
        <f t="shared" si="8"/>
        <v>16.5</v>
      </c>
      <c r="AI20" s="11">
        <f t="shared" si="9"/>
        <v>13</v>
      </c>
      <c r="AK20" s="19"/>
      <c r="AL20" s="135" t="s">
        <v>250</v>
      </c>
      <c r="AM20" s="134">
        <f t="shared" ref="AM20:AR20" si="14">B80</f>
        <v>11</v>
      </c>
      <c r="AN20" s="134">
        <f t="shared" si="14"/>
        <v>0</v>
      </c>
      <c r="AO20" s="134">
        <f t="shared" si="14"/>
        <v>0</v>
      </c>
      <c r="AP20" s="134">
        <f t="shared" si="14"/>
        <v>0</v>
      </c>
      <c r="AQ20" s="134">
        <f t="shared" si="14"/>
        <v>0</v>
      </c>
      <c r="AR20" s="134">
        <f t="shared" si="14"/>
        <v>0</v>
      </c>
      <c r="AS20" s="134">
        <f>I80</f>
        <v>0</v>
      </c>
      <c r="AT20" s="134">
        <f>K80</f>
        <v>0</v>
      </c>
      <c r="AU20" s="134">
        <f t="shared" ref="AU20:BD20" si="15">M80</f>
        <v>0</v>
      </c>
      <c r="AV20" s="134">
        <f t="shared" si="15"/>
        <v>0</v>
      </c>
      <c r="AW20" s="134">
        <f t="shared" si="15"/>
        <v>0</v>
      </c>
      <c r="AX20" s="134">
        <f t="shared" si="15"/>
        <v>0</v>
      </c>
      <c r="AY20" s="134">
        <f t="shared" si="15"/>
        <v>0</v>
      </c>
      <c r="AZ20" s="134">
        <f t="shared" si="15"/>
        <v>0</v>
      </c>
      <c r="BA20" s="134">
        <f t="shared" si="15"/>
        <v>0</v>
      </c>
      <c r="BB20" s="134">
        <f t="shared" si="15"/>
        <v>0</v>
      </c>
      <c r="BC20" s="134">
        <f t="shared" si="15"/>
        <v>0</v>
      </c>
      <c r="BD20" s="134">
        <f t="shared" si="15"/>
        <v>0</v>
      </c>
      <c r="BE20" s="133">
        <f>X80</f>
        <v>0</v>
      </c>
      <c r="BF20" s="133">
        <f>Z80</f>
        <v>65.3</v>
      </c>
      <c r="BG20" s="133">
        <f>AB80</f>
        <v>98.2</v>
      </c>
      <c r="BH20" s="133">
        <f>AD80</f>
        <v>22.5</v>
      </c>
      <c r="BI20" s="133">
        <f>AE80</f>
        <v>0</v>
      </c>
      <c r="BJ20" s="133">
        <f>AF80</f>
        <v>0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25">
      <c r="A21" s="89" t="s">
        <v>249</v>
      </c>
      <c r="B21" s="102">
        <v>12</v>
      </c>
      <c r="C21" s="102">
        <v>12</v>
      </c>
      <c r="D21" s="102">
        <v>12</v>
      </c>
      <c r="E21" s="102">
        <v>12</v>
      </c>
      <c r="F21" s="102">
        <v>12</v>
      </c>
      <c r="G21" s="102">
        <v>12</v>
      </c>
      <c r="H21" s="102">
        <v>12</v>
      </c>
      <c r="I21" s="102">
        <v>12</v>
      </c>
      <c r="J21" s="102">
        <v>12</v>
      </c>
      <c r="K21" s="102">
        <v>12</v>
      </c>
      <c r="L21" s="102">
        <v>12</v>
      </c>
      <c r="M21" s="102">
        <v>12</v>
      </c>
      <c r="N21" s="102">
        <v>12</v>
      </c>
      <c r="O21" s="102">
        <v>12</v>
      </c>
      <c r="P21" s="102">
        <v>12</v>
      </c>
      <c r="Q21" s="102">
        <v>12</v>
      </c>
      <c r="R21" s="102">
        <v>12</v>
      </c>
      <c r="S21" s="102">
        <v>12</v>
      </c>
      <c r="T21" s="102">
        <v>12</v>
      </c>
      <c r="U21" s="102">
        <v>12</v>
      </c>
      <c r="V21" s="102">
        <v>12</v>
      </c>
      <c r="W21" s="102">
        <v>12</v>
      </c>
      <c r="X21" s="102">
        <v>12</v>
      </c>
      <c r="Y21" s="102">
        <v>12</v>
      </c>
      <c r="Z21" s="102">
        <v>12</v>
      </c>
      <c r="AA21" s="102">
        <v>12</v>
      </c>
      <c r="AB21" s="102">
        <v>12</v>
      </c>
      <c r="AC21" s="102">
        <v>12</v>
      </c>
      <c r="AD21" s="102">
        <v>12</v>
      </c>
      <c r="AE21" s="102">
        <v>12</v>
      </c>
      <c r="AF21" s="102">
        <v>12</v>
      </c>
      <c r="AG21" s="130">
        <v>36</v>
      </c>
      <c r="AH21" s="12">
        <f t="shared" si="8"/>
        <v>12</v>
      </c>
      <c r="AI21" s="11">
        <f t="shared" si="9"/>
        <v>12</v>
      </c>
      <c r="AK21" s="19"/>
      <c r="AL21" s="135" t="s">
        <v>248</v>
      </c>
      <c r="AM21" s="134">
        <f t="shared" ref="AM21:AR21" si="16">B98</f>
        <v>200</v>
      </c>
      <c r="AN21" s="134">
        <f t="shared" si="16"/>
        <v>200</v>
      </c>
      <c r="AO21" s="134">
        <f t="shared" si="16"/>
        <v>200</v>
      </c>
      <c r="AP21" s="134">
        <f t="shared" si="16"/>
        <v>200</v>
      </c>
      <c r="AQ21" s="134">
        <f t="shared" si="16"/>
        <v>200</v>
      </c>
      <c r="AR21" s="134">
        <f t="shared" si="16"/>
        <v>200</v>
      </c>
      <c r="AS21" s="134">
        <f>I98</f>
        <v>200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250</v>
      </c>
      <c r="BG21" s="133">
        <f>AB98</f>
        <v>250</v>
      </c>
      <c r="BH21" s="133">
        <f>AD98</f>
        <v>230</v>
      </c>
      <c r="BI21" s="133">
        <f>AE98</f>
        <v>230</v>
      </c>
      <c r="BJ21" s="133">
        <f>AF98</f>
        <v>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25">
      <c r="A22" s="89" t="s">
        <v>247</v>
      </c>
      <c r="B22" s="102">
        <v>9.1</v>
      </c>
      <c r="C22" s="102">
        <v>9.1</v>
      </c>
      <c r="D22" s="102">
        <v>9.1</v>
      </c>
      <c r="E22" s="102">
        <v>9.1</v>
      </c>
      <c r="F22" s="102">
        <v>9.1</v>
      </c>
      <c r="G22" s="102">
        <v>9.1</v>
      </c>
      <c r="H22" s="102">
        <v>10</v>
      </c>
      <c r="I22" s="102">
        <v>10</v>
      </c>
      <c r="J22" s="102">
        <v>10</v>
      </c>
      <c r="K22" s="102">
        <v>10</v>
      </c>
      <c r="L22" s="102">
        <v>10</v>
      </c>
      <c r="M22" s="102">
        <v>9.1</v>
      </c>
      <c r="N22" s="102">
        <v>9.1</v>
      </c>
      <c r="O22" s="102">
        <v>9.1</v>
      </c>
      <c r="P22" s="102">
        <v>9.1</v>
      </c>
      <c r="Q22" s="102">
        <v>9.1</v>
      </c>
      <c r="R22" s="102">
        <v>9.1</v>
      </c>
      <c r="S22" s="102">
        <v>9.1</v>
      </c>
      <c r="T22" s="102">
        <v>9.1</v>
      </c>
      <c r="U22" s="102">
        <v>9.1</v>
      </c>
      <c r="V22" s="102">
        <v>9.1</v>
      </c>
      <c r="W22" s="102">
        <v>9.1</v>
      </c>
      <c r="X22" s="102">
        <v>9.1</v>
      </c>
      <c r="Y22" s="102">
        <v>9.1</v>
      </c>
      <c r="Z22" s="102">
        <v>9.1</v>
      </c>
      <c r="AA22" s="102">
        <v>9.1</v>
      </c>
      <c r="AB22" s="102">
        <v>9.1</v>
      </c>
      <c r="AC22" s="102">
        <v>9.1</v>
      </c>
      <c r="AD22" s="102">
        <v>9.1</v>
      </c>
      <c r="AE22" s="102">
        <v>9.1</v>
      </c>
      <c r="AF22" s="102">
        <v>9.1</v>
      </c>
      <c r="AG22" s="88">
        <v>30</v>
      </c>
      <c r="AH22" s="12">
        <f t="shared" si="8"/>
        <v>10</v>
      </c>
      <c r="AI22" s="11">
        <f t="shared" si="9"/>
        <v>9.1</v>
      </c>
      <c r="AK22" s="19"/>
      <c r="AL22" s="132" t="s">
        <v>246</v>
      </c>
      <c r="AM22" s="131">
        <f t="shared" ref="AM22:BJ22" si="18">SUM(AM16:AM21)</f>
        <v>1423.04</v>
      </c>
      <c r="AN22" s="131">
        <f t="shared" si="18"/>
        <v>1199.04</v>
      </c>
      <c r="AO22" s="131">
        <f t="shared" si="18"/>
        <v>1177.04</v>
      </c>
      <c r="AP22" s="131">
        <f t="shared" si="18"/>
        <v>1075.94</v>
      </c>
      <c r="AQ22" s="131">
        <f t="shared" si="18"/>
        <v>1076.8399999999999</v>
      </c>
      <c r="AR22" s="131">
        <f t="shared" si="18"/>
        <v>1102.44</v>
      </c>
      <c r="AS22" s="131">
        <f t="shared" si="18"/>
        <v>1205.7400000000002</v>
      </c>
      <c r="AT22" s="131">
        <f t="shared" si="18"/>
        <v>1333.5400000000002</v>
      </c>
      <c r="AU22" s="131">
        <f t="shared" si="18"/>
        <v>1416.04</v>
      </c>
      <c r="AV22" s="131">
        <f t="shared" si="18"/>
        <v>1431.64</v>
      </c>
      <c r="AW22" s="131">
        <f t="shared" si="18"/>
        <v>1449.44</v>
      </c>
      <c r="AX22" s="131">
        <f t="shared" si="18"/>
        <v>1386.2399999999998</v>
      </c>
      <c r="AY22" s="131">
        <f t="shared" si="18"/>
        <v>1414.64</v>
      </c>
      <c r="AZ22" s="131">
        <f t="shared" si="18"/>
        <v>1432.24</v>
      </c>
      <c r="BA22" s="131">
        <f t="shared" si="18"/>
        <v>1462.5400000000002</v>
      </c>
      <c r="BB22" s="131">
        <f t="shared" si="18"/>
        <v>1443.44</v>
      </c>
      <c r="BC22" s="131">
        <f t="shared" si="18"/>
        <v>1475.04</v>
      </c>
      <c r="BD22" s="131">
        <f t="shared" si="18"/>
        <v>1353.8400000000001</v>
      </c>
      <c r="BE22" s="131">
        <f t="shared" si="18"/>
        <v>1499.94</v>
      </c>
      <c r="BF22" s="131">
        <f t="shared" si="18"/>
        <v>1589.8</v>
      </c>
      <c r="BG22" s="131">
        <f t="shared" si="18"/>
        <v>1569.44</v>
      </c>
      <c r="BH22" s="131">
        <f t="shared" si="18"/>
        <v>1516.24</v>
      </c>
      <c r="BI22" s="131">
        <f t="shared" si="18"/>
        <v>1428.7400000000002</v>
      </c>
      <c r="BJ22" s="131">
        <f t="shared" si="18"/>
        <v>1005.94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25">
      <c r="A23" s="89" t="s">
        <v>245</v>
      </c>
      <c r="B23" s="102">
        <v>6.5</v>
      </c>
      <c r="C23" s="102">
        <v>6.5</v>
      </c>
      <c r="D23" s="102">
        <v>6.5</v>
      </c>
      <c r="E23" s="102">
        <v>6.5</v>
      </c>
      <c r="F23" s="102">
        <v>6.5</v>
      </c>
      <c r="G23" s="102">
        <v>6.5</v>
      </c>
      <c r="H23" s="102">
        <v>6.5</v>
      </c>
      <c r="I23" s="102">
        <v>6.5</v>
      </c>
      <c r="J23" s="102">
        <v>6.5</v>
      </c>
      <c r="K23" s="102">
        <v>6.5</v>
      </c>
      <c r="L23" s="102">
        <v>6.5</v>
      </c>
      <c r="M23" s="102">
        <v>6.5</v>
      </c>
      <c r="N23" s="102">
        <v>6.5</v>
      </c>
      <c r="O23" s="102">
        <v>6.5</v>
      </c>
      <c r="P23" s="102">
        <v>6.5</v>
      </c>
      <c r="Q23" s="102">
        <v>6.5</v>
      </c>
      <c r="R23" s="102">
        <v>6.5</v>
      </c>
      <c r="S23" s="102">
        <v>6.5</v>
      </c>
      <c r="T23" s="102">
        <v>6.5</v>
      </c>
      <c r="U23" s="102">
        <v>6.5</v>
      </c>
      <c r="V23" s="102">
        <v>6.5</v>
      </c>
      <c r="W23" s="102">
        <v>6.5</v>
      </c>
      <c r="X23" s="102">
        <v>6.5</v>
      </c>
      <c r="Y23" s="102">
        <v>6.5</v>
      </c>
      <c r="Z23" s="102">
        <v>6.5</v>
      </c>
      <c r="AA23" s="102">
        <v>6.5</v>
      </c>
      <c r="AB23" s="102">
        <v>6.5</v>
      </c>
      <c r="AC23" s="102">
        <v>6.5</v>
      </c>
      <c r="AD23" s="102">
        <v>6.5</v>
      </c>
      <c r="AE23" s="102">
        <v>6.5</v>
      </c>
      <c r="AF23" s="102">
        <v>6.5</v>
      </c>
      <c r="AG23" s="130">
        <v>24.2</v>
      </c>
      <c r="AH23" s="12">
        <f t="shared" si="8"/>
        <v>6.5</v>
      </c>
      <c r="AI23" s="11">
        <f t="shared" si="9"/>
        <v>6.5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-1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25">
      <c r="A24" s="89" t="s">
        <v>244</v>
      </c>
      <c r="B24" s="102">
        <v>6.2</v>
      </c>
      <c r="C24" s="102">
        <v>6.2</v>
      </c>
      <c r="D24" s="102">
        <v>6.2</v>
      </c>
      <c r="E24" s="102">
        <v>6.2</v>
      </c>
      <c r="F24" s="102">
        <v>6.2</v>
      </c>
      <c r="G24" s="102">
        <v>6.2</v>
      </c>
      <c r="H24" s="102">
        <v>6.2</v>
      </c>
      <c r="I24" s="102">
        <v>6.2</v>
      </c>
      <c r="J24" s="102">
        <v>6.2</v>
      </c>
      <c r="K24" s="102">
        <v>6.2</v>
      </c>
      <c r="L24" s="102">
        <v>6.2</v>
      </c>
      <c r="M24" s="102">
        <v>9</v>
      </c>
      <c r="N24" s="102">
        <v>9</v>
      </c>
      <c r="O24" s="102">
        <v>9</v>
      </c>
      <c r="P24" s="102">
        <v>9</v>
      </c>
      <c r="Q24" s="102">
        <v>9</v>
      </c>
      <c r="R24" s="102">
        <v>11</v>
      </c>
      <c r="S24" s="102">
        <v>11</v>
      </c>
      <c r="T24" s="102">
        <v>11</v>
      </c>
      <c r="U24" s="102">
        <v>12.7</v>
      </c>
      <c r="V24" s="102">
        <v>6.2</v>
      </c>
      <c r="W24" s="102">
        <v>6.2</v>
      </c>
      <c r="X24" s="102">
        <v>6.2</v>
      </c>
      <c r="Y24" s="102">
        <v>6.2</v>
      </c>
      <c r="Z24" s="102">
        <v>6.2</v>
      </c>
      <c r="AA24" s="102">
        <v>6.2</v>
      </c>
      <c r="AB24" s="102">
        <v>6.2</v>
      </c>
      <c r="AC24" s="102">
        <v>6.2</v>
      </c>
      <c r="AD24" s="102">
        <v>6.2</v>
      </c>
      <c r="AE24" s="102">
        <v>6.2</v>
      </c>
      <c r="AF24" s="102">
        <v>6.2</v>
      </c>
      <c r="AG24" s="130">
        <v>28</v>
      </c>
      <c r="AH24" s="12">
        <f t="shared" si="8"/>
        <v>12.7</v>
      </c>
      <c r="AI24" s="11">
        <f t="shared" si="9"/>
        <v>6.2</v>
      </c>
      <c r="AK24" s="19"/>
      <c r="AL24" s="132" t="s">
        <v>243</v>
      </c>
      <c r="AM24" s="131">
        <f t="shared" ref="AM24:BJ24" si="21">AM22+AM23</f>
        <v>1423.04</v>
      </c>
      <c r="AN24" s="131">
        <f t="shared" si="21"/>
        <v>1199.04</v>
      </c>
      <c r="AO24" s="131">
        <f t="shared" si="21"/>
        <v>1177.04</v>
      </c>
      <c r="AP24" s="131">
        <f t="shared" si="21"/>
        <v>1075.94</v>
      </c>
      <c r="AQ24" s="131">
        <f t="shared" si="21"/>
        <v>1076.8399999999999</v>
      </c>
      <c r="AR24" s="131">
        <f t="shared" si="21"/>
        <v>1102.44</v>
      </c>
      <c r="AS24" s="131">
        <f t="shared" si="21"/>
        <v>1205.7400000000002</v>
      </c>
      <c r="AT24" s="131">
        <f t="shared" si="21"/>
        <v>1333.5400000000002</v>
      </c>
      <c r="AU24" s="131">
        <f t="shared" si="21"/>
        <v>1416.04</v>
      </c>
      <c r="AV24" s="131">
        <f t="shared" si="21"/>
        <v>1431.64</v>
      </c>
      <c r="AW24" s="131">
        <f t="shared" si="21"/>
        <v>1449.44</v>
      </c>
      <c r="AX24" s="131">
        <f t="shared" si="21"/>
        <v>1386.2399999999998</v>
      </c>
      <c r="AY24" s="131">
        <f t="shared" si="21"/>
        <v>1414.64</v>
      </c>
      <c r="AZ24" s="131">
        <f t="shared" si="21"/>
        <v>1432.24</v>
      </c>
      <c r="BA24" s="131">
        <f t="shared" si="21"/>
        <v>1462.5400000000002</v>
      </c>
      <c r="BB24" s="131">
        <f t="shared" si="21"/>
        <v>1443.44</v>
      </c>
      <c r="BC24" s="131">
        <f t="shared" si="21"/>
        <v>1475.04</v>
      </c>
      <c r="BD24" s="131">
        <f t="shared" si="21"/>
        <v>1353.8400000000001</v>
      </c>
      <c r="BE24" s="131">
        <f t="shared" si="21"/>
        <v>1498.94</v>
      </c>
      <c r="BF24" s="131">
        <f t="shared" si="21"/>
        <v>1589.8</v>
      </c>
      <c r="BG24" s="131">
        <f t="shared" si="21"/>
        <v>1569.44</v>
      </c>
      <c r="BH24" s="131">
        <f t="shared" si="21"/>
        <v>1516.24</v>
      </c>
      <c r="BI24" s="131">
        <f t="shared" si="21"/>
        <v>1428.7400000000002</v>
      </c>
      <c r="BJ24" s="131">
        <f t="shared" si="21"/>
        <v>1005.94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25">
      <c r="A25" s="89" t="s">
        <v>242</v>
      </c>
      <c r="B25" s="102">
        <v>6.4</v>
      </c>
      <c r="C25" s="102">
        <v>6.4</v>
      </c>
      <c r="D25" s="102">
        <v>6.4</v>
      </c>
      <c r="E25" s="102">
        <v>6.4</v>
      </c>
      <c r="F25" s="102">
        <v>6.4</v>
      </c>
      <c r="G25" s="102">
        <v>6.4</v>
      </c>
      <c r="H25" s="102">
        <v>6.4</v>
      </c>
      <c r="I25" s="102">
        <v>6.4</v>
      </c>
      <c r="J25" s="102">
        <v>6.4</v>
      </c>
      <c r="K25" s="102">
        <v>6.4</v>
      </c>
      <c r="L25" s="102">
        <v>6.4</v>
      </c>
      <c r="M25" s="102">
        <v>8.3000000000000007</v>
      </c>
      <c r="N25" s="102">
        <v>8.3000000000000007</v>
      </c>
      <c r="O25" s="102">
        <v>7.1</v>
      </c>
      <c r="P25" s="102">
        <v>7.1</v>
      </c>
      <c r="Q25" s="102">
        <v>7.1</v>
      </c>
      <c r="R25" s="102">
        <v>7.6</v>
      </c>
      <c r="S25" s="102">
        <v>7.6</v>
      </c>
      <c r="T25" s="102">
        <v>7.6</v>
      </c>
      <c r="U25" s="102">
        <v>6.5</v>
      </c>
      <c r="V25" s="102">
        <v>6.5</v>
      </c>
      <c r="W25" s="102">
        <v>6.5</v>
      </c>
      <c r="X25" s="102">
        <v>6.5</v>
      </c>
      <c r="Y25" s="102">
        <v>6.5</v>
      </c>
      <c r="Z25" s="102">
        <v>6.5</v>
      </c>
      <c r="AA25" s="102">
        <v>6.5</v>
      </c>
      <c r="AB25" s="102">
        <v>6.5</v>
      </c>
      <c r="AC25" s="102">
        <v>6.5</v>
      </c>
      <c r="AD25" s="102">
        <v>6.5</v>
      </c>
      <c r="AE25" s="102">
        <v>6.5</v>
      </c>
      <c r="AF25" s="102">
        <v>6.5</v>
      </c>
      <c r="AG25" s="88">
        <v>30</v>
      </c>
      <c r="AH25" s="12">
        <f t="shared" si="8"/>
        <v>8.3000000000000007</v>
      </c>
      <c r="AI25" s="11">
        <f t="shared" si="9"/>
        <v>6.4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25">
      <c r="A26" s="89" t="s">
        <v>241</v>
      </c>
      <c r="B26" s="102">
        <v>11.7</v>
      </c>
      <c r="C26" s="102">
        <v>11.7</v>
      </c>
      <c r="D26" s="102">
        <v>11.7</v>
      </c>
      <c r="E26" s="102">
        <v>0</v>
      </c>
      <c r="F26" s="102">
        <v>11.7</v>
      </c>
      <c r="G26" s="102">
        <v>11.7</v>
      </c>
      <c r="H26" s="102">
        <v>11.7</v>
      </c>
      <c r="I26" s="102">
        <v>4.3</v>
      </c>
      <c r="J26" s="102">
        <v>13.2</v>
      </c>
      <c r="K26" s="102">
        <v>13.2</v>
      </c>
      <c r="L26" s="102">
        <v>13.2</v>
      </c>
      <c r="M26" s="102">
        <v>12.6</v>
      </c>
      <c r="N26" s="102">
        <v>12.6</v>
      </c>
      <c r="O26" s="102">
        <v>13</v>
      </c>
      <c r="P26" s="102">
        <v>13</v>
      </c>
      <c r="Q26" s="102">
        <v>13</v>
      </c>
      <c r="R26" s="102">
        <v>12.6</v>
      </c>
      <c r="S26" s="102">
        <v>12.6</v>
      </c>
      <c r="T26" s="102">
        <v>12.6</v>
      </c>
      <c r="U26" s="102">
        <v>11.8</v>
      </c>
      <c r="V26" s="102">
        <v>12.3</v>
      </c>
      <c r="W26" s="102">
        <v>12.3</v>
      </c>
      <c r="X26" s="102">
        <v>12.3</v>
      </c>
      <c r="Y26" s="102">
        <v>12.3</v>
      </c>
      <c r="Z26" s="102">
        <v>12.3</v>
      </c>
      <c r="AA26" s="102">
        <v>12.3</v>
      </c>
      <c r="AB26" s="102">
        <v>12.3</v>
      </c>
      <c r="AC26" s="102">
        <v>12.3</v>
      </c>
      <c r="AD26" s="102">
        <v>12.3</v>
      </c>
      <c r="AE26" s="102">
        <v>12.3</v>
      </c>
      <c r="AF26" s="102">
        <v>12.3</v>
      </c>
      <c r="AG26" s="130">
        <v>25</v>
      </c>
      <c r="AH26" s="12">
        <f t="shared" si="8"/>
        <v>13.2</v>
      </c>
      <c r="AI26" s="11">
        <f t="shared" si="9"/>
        <v>0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25">
      <c r="A27" s="89" t="s">
        <v>240</v>
      </c>
      <c r="B27" s="102">
        <v>5</v>
      </c>
      <c r="C27" s="102">
        <v>5</v>
      </c>
      <c r="D27" s="102">
        <v>5</v>
      </c>
      <c r="E27" s="102">
        <v>5</v>
      </c>
      <c r="F27" s="102">
        <v>5</v>
      </c>
      <c r="G27" s="102">
        <v>5</v>
      </c>
      <c r="H27" s="102">
        <v>5</v>
      </c>
      <c r="I27" s="102">
        <v>5</v>
      </c>
      <c r="J27" s="102">
        <v>5</v>
      </c>
      <c r="K27" s="102">
        <v>5</v>
      </c>
      <c r="L27" s="102">
        <v>5</v>
      </c>
      <c r="M27" s="102">
        <v>5</v>
      </c>
      <c r="N27" s="102">
        <v>5</v>
      </c>
      <c r="O27" s="102">
        <v>5</v>
      </c>
      <c r="P27" s="102">
        <v>5</v>
      </c>
      <c r="Q27" s="102">
        <v>5</v>
      </c>
      <c r="R27" s="102">
        <v>5</v>
      </c>
      <c r="S27" s="102">
        <v>5</v>
      </c>
      <c r="T27" s="102">
        <v>5</v>
      </c>
      <c r="U27" s="102">
        <v>5</v>
      </c>
      <c r="V27" s="102">
        <v>5</v>
      </c>
      <c r="W27" s="102">
        <v>5</v>
      </c>
      <c r="X27" s="102">
        <v>5</v>
      </c>
      <c r="Y27" s="102">
        <v>5</v>
      </c>
      <c r="Z27" s="102">
        <v>5</v>
      </c>
      <c r="AA27" s="102">
        <v>5</v>
      </c>
      <c r="AB27" s="102">
        <v>5</v>
      </c>
      <c r="AC27" s="102">
        <v>5</v>
      </c>
      <c r="AD27" s="102">
        <v>5</v>
      </c>
      <c r="AE27" s="102">
        <v>5</v>
      </c>
      <c r="AF27" s="102">
        <v>5</v>
      </c>
      <c r="AG27" s="130">
        <v>25</v>
      </c>
      <c r="AH27" s="12">
        <f t="shared" si="8"/>
        <v>5</v>
      </c>
      <c r="AI27" s="11">
        <f t="shared" si="9"/>
        <v>5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25">
      <c r="A28" s="89" t="s">
        <v>239</v>
      </c>
      <c r="B28" s="102">
        <v>6</v>
      </c>
      <c r="C28" s="102">
        <v>6</v>
      </c>
      <c r="D28" s="102">
        <v>6</v>
      </c>
      <c r="E28" s="102">
        <v>6</v>
      </c>
      <c r="F28" s="102">
        <v>6</v>
      </c>
      <c r="G28" s="102">
        <v>6</v>
      </c>
      <c r="H28" s="102">
        <v>6</v>
      </c>
      <c r="I28" s="102">
        <v>6</v>
      </c>
      <c r="J28" s="102">
        <v>6</v>
      </c>
      <c r="K28" s="102">
        <v>6</v>
      </c>
      <c r="L28" s="102">
        <v>6</v>
      </c>
      <c r="M28" s="102">
        <v>6</v>
      </c>
      <c r="N28" s="102">
        <v>6</v>
      </c>
      <c r="O28" s="102">
        <v>6</v>
      </c>
      <c r="P28" s="102">
        <v>6</v>
      </c>
      <c r="Q28" s="102">
        <v>6</v>
      </c>
      <c r="R28" s="102">
        <v>6</v>
      </c>
      <c r="S28" s="102">
        <v>6</v>
      </c>
      <c r="T28" s="102">
        <v>6</v>
      </c>
      <c r="U28" s="102">
        <v>6</v>
      </c>
      <c r="V28" s="102">
        <v>6</v>
      </c>
      <c r="W28" s="102">
        <v>6</v>
      </c>
      <c r="X28" s="102">
        <v>6</v>
      </c>
      <c r="Y28" s="102">
        <v>6</v>
      </c>
      <c r="Z28" s="102">
        <v>6</v>
      </c>
      <c r="AA28" s="102">
        <v>6</v>
      </c>
      <c r="AB28" s="102">
        <v>6</v>
      </c>
      <c r="AC28" s="102">
        <v>6</v>
      </c>
      <c r="AD28" s="102">
        <v>6</v>
      </c>
      <c r="AE28" s="102">
        <v>6</v>
      </c>
      <c r="AF28" s="102">
        <v>6</v>
      </c>
      <c r="AG28" s="130">
        <v>25</v>
      </c>
      <c r="AH28" s="12">
        <f t="shared" si="8"/>
        <v>6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25">
      <c r="A29" s="89" t="s">
        <v>238</v>
      </c>
      <c r="B29" s="102">
        <v>8.6999999999999993</v>
      </c>
      <c r="C29" s="102">
        <v>8.6999999999999993</v>
      </c>
      <c r="D29" s="102">
        <v>8.6999999999999993</v>
      </c>
      <c r="E29" s="102">
        <v>8.6999999999999993</v>
      </c>
      <c r="F29" s="102">
        <v>8.6999999999999993</v>
      </c>
      <c r="G29" s="102">
        <v>8.6999999999999993</v>
      </c>
      <c r="H29" s="102">
        <v>8.6999999999999993</v>
      </c>
      <c r="I29" s="102">
        <v>10.199999999999999</v>
      </c>
      <c r="J29" s="102">
        <v>10.199999999999999</v>
      </c>
      <c r="K29" s="102">
        <v>10.199999999999999</v>
      </c>
      <c r="L29" s="102">
        <v>10.199999999999999</v>
      </c>
      <c r="M29" s="102">
        <v>9.1999999999999993</v>
      </c>
      <c r="N29" s="102">
        <v>9.1999999999999993</v>
      </c>
      <c r="O29" s="102">
        <v>9.3000000000000007</v>
      </c>
      <c r="P29" s="102">
        <v>9.3000000000000007</v>
      </c>
      <c r="Q29" s="102">
        <v>9.3000000000000007</v>
      </c>
      <c r="R29" s="102">
        <v>8.6</v>
      </c>
      <c r="S29" s="102">
        <v>8.6</v>
      </c>
      <c r="T29" s="102">
        <v>8.6</v>
      </c>
      <c r="U29" s="102">
        <v>8.6</v>
      </c>
      <c r="V29" s="102">
        <v>8.6</v>
      </c>
      <c r="W29" s="102">
        <v>8.6</v>
      </c>
      <c r="X29" s="102">
        <v>8.6</v>
      </c>
      <c r="Y29" s="102">
        <v>8.6</v>
      </c>
      <c r="Z29" s="102">
        <v>8.6</v>
      </c>
      <c r="AA29" s="102">
        <v>8.6</v>
      </c>
      <c r="AB29" s="102">
        <v>8.6</v>
      </c>
      <c r="AC29" s="102">
        <v>8.6</v>
      </c>
      <c r="AD29" s="102">
        <v>8.6</v>
      </c>
      <c r="AE29" s="102">
        <v>8.6</v>
      </c>
      <c r="AF29" s="102">
        <v>8.6</v>
      </c>
      <c r="AG29" s="130">
        <v>25</v>
      </c>
      <c r="AH29" s="12">
        <f t="shared" si="8"/>
        <v>10.199999999999999</v>
      </c>
      <c r="AI29" s="11">
        <f t="shared" si="9"/>
        <v>8.6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25">
      <c r="A30" s="89" t="s">
        <v>237</v>
      </c>
      <c r="B30" s="102">
        <v>4.9000000000000004</v>
      </c>
      <c r="C30" s="102">
        <v>4.9000000000000004</v>
      </c>
      <c r="D30" s="102">
        <v>4.9000000000000004</v>
      </c>
      <c r="E30" s="102">
        <v>4.9000000000000004</v>
      </c>
      <c r="F30" s="102">
        <v>4.9000000000000004</v>
      </c>
      <c r="G30" s="102">
        <v>4.9000000000000004</v>
      </c>
      <c r="H30" s="102">
        <v>4.9000000000000004</v>
      </c>
      <c r="I30" s="102">
        <v>4.9000000000000004</v>
      </c>
      <c r="J30" s="102">
        <v>4.9000000000000004</v>
      </c>
      <c r="K30" s="102">
        <v>4.9000000000000004</v>
      </c>
      <c r="L30" s="102">
        <v>4.9000000000000004</v>
      </c>
      <c r="M30" s="102">
        <v>8.6</v>
      </c>
      <c r="N30" s="102">
        <v>8.6</v>
      </c>
      <c r="O30" s="102">
        <v>8.6</v>
      </c>
      <c r="P30" s="102">
        <v>8.6</v>
      </c>
      <c r="Q30" s="102">
        <v>8.6</v>
      </c>
      <c r="R30" s="102">
        <v>12.2</v>
      </c>
      <c r="S30" s="102">
        <v>12.2</v>
      </c>
      <c r="T30" s="102">
        <v>12.2</v>
      </c>
      <c r="U30" s="102">
        <v>12.2</v>
      </c>
      <c r="V30" s="102">
        <v>10.7</v>
      </c>
      <c r="W30" s="102">
        <v>10.7</v>
      </c>
      <c r="X30" s="102">
        <v>10.7</v>
      </c>
      <c r="Y30" s="102">
        <v>10.7</v>
      </c>
      <c r="Z30" s="102">
        <v>10.7</v>
      </c>
      <c r="AA30" s="102">
        <v>10.7</v>
      </c>
      <c r="AB30" s="102">
        <v>10.7</v>
      </c>
      <c r="AC30" s="102">
        <v>10.7</v>
      </c>
      <c r="AD30" s="102">
        <v>10.7</v>
      </c>
      <c r="AE30" s="102">
        <v>10.7</v>
      </c>
      <c r="AF30" s="102">
        <v>10.7</v>
      </c>
      <c r="AG30" s="130">
        <v>23.5</v>
      </c>
      <c r="AH30" s="12">
        <f t="shared" si="8"/>
        <v>12.2</v>
      </c>
      <c r="AI30" s="11">
        <f t="shared" si="9"/>
        <v>4.9000000000000004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25">
      <c r="A31" s="89" t="s">
        <v>236</v>
      </c>
      <c r="B31" s="102">
        <v>2.5</v>
      </c>
      <c r="C31" s="102">
        <v>2.5</v>
      </c>
      <c r="D31" s="102">
        <v>2.5</v>
      </c>
      <c r="E31" s="102">
        <v>2.5</v>
      </c>
      <c r="F31" s="102">
        <v>2.5</v>
      </c>
      <c r="G31" s="102">
        <v>2.5</v>
      </c>
      <c r="H31" s="102">
        <v>2.5</v>
      </c>
      <c r="I31" s="102">
        <v>2.5</v>
      </c>
      <c r="J31" s="102">
        <v>2.5</v>
      </c>
      <c r="K31" s="102">
        <v>2.5</v>
      </c>
      <c r="L31" s="102">
        <v>2.5</v>
      </c>
      <c r="M31" s="102">
        <v>2.5</v>
      </c>
      <c r="N31" s="102">
        <v>2.5</v>
      </c>
      <c r="O31" s="102">
        <v>2.5</v>
      </c>
      <c r="P31" s="102">
        <v>2.5</v>
      </c>
      <c r="Q31" s="102">
        <v>2.5</v>
      </c>
      <c r="R31" s="102">
        <v>2.5</v>
      </c>
      <c r="S31" s="102">
        <v>2.5</v>
      </c>
      <c r="T31" s="102">
        <v>2.5</v>
      </c>
      <c r="U31" s="102">
        <v>2.5</v>
      </c>
      <c r="V31" s="102">
        <v>2.5</v>
      </c>
      <c r="W31" s="102">
        <v>2.5</v>
      </c>
      <c r="X31" s="102">
        <v>2.5</v>
      </c>
      <c r="Y31" s="102">
        <v>2.5</v>
      </c>
      <c r="Z31" s="102">
        <v>2.5</v>
      </c>
      <c r="AA31" s="102">
        <v>2.5</v>
      </c>
      <c r="AB31" s="102">
        <v>2.5</v>
      </c>
      <c r="AC31" s="102">
        <v>2.5</v>
      </c>
      <c r="AD31" s="102">
        <v>2.5</v>
      </c>
      <c r="AE31" s="102">
        <v>2.5</v>
      </c>
      <c r="AF31" s="102">
        <v>2.5</v>
      </c>
      <c r="AG31" s="130">
        <v>22.2</v>
      </c>
      <c r="AH31" s="12">
        <f t="shared" si="8"/>
        <v>2.5</v>
      </c>
      <c r="AI31" s="11">
        <f t="shared" si="9"/>
        <v>2.5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25">
      <c r="A32" s="89" t="s">
        <v>235</v>
      </c>
      <c r="B32" s="102">
        <v>3</v>
      </c>
      <c r="C32" s="102">
        <v>3</v>
      </c>
      <c r="D32" s="102">
        <v>3</v>
      </c>
      <c r="E32" s="102">
        <v>3</v>
      </c>
      <c r="F32" s="102">
        <v>3</v>
      </c>
      <c r="G32" s="102">
        <v>3</v>
      </c>
      <c r="H32" s="102">
        <v>3</v>
      </c>
      <c r="I32" s="102">
        <v>3</v>
      </c>
      <c r="J32" s="102">
        <v>3</v>
      </c>
      <c r="K32" s="102">
        <v>3</v>
      </c>
      <c r="L32" s="102">
        <v>3</v>
      </c>
      <c r="M32" s="102">
        <v>3</v>
      </c>
      <c r="N32" s="102">
        <v>3</v>
      </c>
      <c r="O32" s="102">
        <v>3</v>
      </c>
      <c r="P32" s="102">
        <v>3</v>
      </c>
      <c r="Q32" s="102">
        <v>3</v>
      </c>
      <c r="R32" s="102">
        <v>3</v>
      </c>
      <c r="S32" s="102">
        <v>3</v>
      </c>
      <c r="T32" s="102">
        <v>3</v>
      </c>
      <c r="U32" s="102">
        <v>3</v>
      </c>
      <c r="V32" s="102">
        <v>3</v>
      </c>
      <c r="W32" s="102">
        <v>3</v>
      </c>
      <c r="X32" s="102">
        <v>3</v>
      </c>
      <c r="Y32" s="102">
        <v>3</v>
      </c>
      <c r="Z32" s="102">
        <v>3</v>
      </c>
      <c r="AA32" s="102">
        <v>3</v>
      </c>
      <c r="AB32" s="102">
        <v>3</v>
      </c>
      <c r="AC32" s="102">
        <v>3</v>
      </c>
      <c r="AD32" s="102">
        <v>3</v>
      </c>
      <c r="AE32" s="102">
        <v>3</v>
      </c>
      <c r="AF32" s="102">
        <v>3</v>
      </c>
      <c r="AG32" s="130">
        <v>22.1</v>
      </c>
      <c r="AH32" s="12">
        <f t="shared" si="8"/>
        <v>3</v>
      </c>
      <c r="AI32" s="11">
        <f t="shared" si="9"/>
        <v>3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25">
      <c r="A33" s="89" t="s">
        <v>234</v>
      </c>
      <c r="B33" s="102">
        <v>5.4</v>
      </c>
      <c r="C33" s="102">
        <v>5.4</v>
      </c>
      <c r="D33" s="102">
        <v>5.4</v>
      </c>
      <c r="E33" s="102">
        <v>5.4</v>
      </c>
      <c r="F33" s="102">
        <v>5.4</v>
      </c>
      <c r="G33" s="102">
        <v>5.4</v>
      </c>
      <c r="H33" s="102">
        <v>5.4</v>
      </c>
      <c r="I33" s="102">
        <v>5.4</v>
      </c>
      <c r="J33" s="102">
        <v>5.4</v>
      </c>
      <c r="K33" s="102">
        <v>5.4</v>
      </c>
      <c r="L33" s="102">
        <v>5.4</v>
      </c>
      <c r="M33" s="102">
        <v>5.4</v>
      </c>
      <c r="N33" s="102">
        <v>5.4</v>
      </c>
      <c r="O33" s="102">
        <v>5.4</v>
      </c>
      <c r="P33" s="102">
        <v>5.4</v>
      </c>
      <c r="Q33" s="102">
        <v>5.4</v>
      </c>
      <c r="R33" s="102">
        <v>5.4</v>
      </c>
      <c r="S33" s="102">
        <v>5.4</v>
      </c>
      <c r="T33" s="102">
        <v>5.4</v>
      </c>
      <c r="U33" s="102">
        <v>5.4</v>
      </c>
      <c r="V33" s="102">
        <v>5.4</v>
      </c>
      <c r="W33" s="102">
        <v>5.4</v>
      </c>
      <c r="X33" s="102">
        <v>5.4</v>
      </c>
      <c r="Y33" s="102">
        <v>5.4</v>
      </c>
      <c r="Z33" s="102">
        <v>19</v>
      </c>
      <c r="AA33" s="102">
        <v>5.4</v>
      </c>
      <c r="AB33" s="102">
        <v>5.4</v>
      </c>
      <c r="AC33" s="102">
        <v>5.4</v>
      </c>
      <c r="AD33" s="102">
        <v>5.4</v>
      </c>
      <c r="AE33" s="102">
        <v>5.4</v>
      </c>
      <c r="AF33" s="102">
        <v>5.4</v>
      </c>
      <c r="AG33" s="130">
        <v>22</v>
      </c>
      <c r="AH33" s="12">
        <f t="shared" si="8"/>
        <v>19</v>
      </c>
      <c r="AI33" s="11">
        <f t="shared" si="9"/>
        <v>5.4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25">
      <c r="A34" s="89" t="s">
        <v>233</v>
      </c>
      <c r="B34" s="102">
        <v>10.9</v>
      </c>
      <c r="C34" s="102">
        <v>10.9</v>
      </c>
      <c r="D34" s="102">
        <v>10.9</v>
      </c>
      <c r="E34" s="102">
        <v>10.9</v>
      </c>
      <c r="F34" s="102">
        <v>10.9</v>
      </c>
      <c r="G34" s="102">
        <v>10.9</v>
      </c>
      <c r="H34" s="102">
        <v>10.9</v>
      </c>
      <c r="I34" s="102">
        <v>10.9</v>
      </c>
      <c r="J34" s="102">
        <v>10.1</v>
      </c>
      <c r="K34" s="102">
        <v>10.1</v>
      </c>
      <c r="L34" s="102">
        <v>10.1</v>
      </c>
      <c r="M34" s="102">
        <v>9.4</v>
      </c>
      <c r="N34" s="102">
        <v>9.4</v>
      </c>
      <c r="O34" s="102">
        <v>9.4</v>
      </c>
      <c r="P34" s="102">
        <v>9.4</v>
      </c>
      <c r="Q34" s="102">
        <v>9.4</v>
      </c>
      <c r="R34" s="102">
        <v>7</v>
      </c>
      <c r="S34" s="102">
        <v>7</v>
      </c>
      <c r="T34" s="102">
        <v>7</v>
      </c>
      <c r="U34" s="102">
        <v>7</v>
      </c>
      <c r="V34" s="102">
        <v>7</v>
      </c>
      <c r="W34" s="102">
        <v>7</v>
      </c>
      <c r="X34" s="102">
        <v>7</v>
      </c>
      <c r="Y34" s="102">
        <v>7</v>
      </c>
      <c r="Z34" s="102">
        <v>20</v>
      </c>
      <c r="AA34" s="102">
        <v>20</v>
      </c>
      <c r="AB34" s="102">
        <v>20</v>
      </c>
      <c r="AC34" s="102">
        <v>20</v>
      </c>
      <c r="AD34" s="102">
        <v>20</v>
      </c>
      <c r="AE34" s="102">
        <v>20</v>
      </c>
      <c r="AF34" s="102">
        <v>20</v>
      </c>
      <c r="AG34" s="130">
        <v>22</v>
      </c>
      <c r="AH34" s="12">
        <f t="shared" si="8"/>
        <v>20</v>
      </c>
      <c r="AI34" s="11">
        <f t="shared" si="9"/>
        <v>7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25">
      <c r="A35" s="89" t="s">
        <v>232</v>
      </c>
      <c r="B35" s="102">
        <v>10.1</v>
      </c>
      <c r="C35" s="102">
        <v>10.1</v>
      </c>
      <c r="D35" s="102">
        <v>10.1</v>
      </c>
      <c r="E35" s="102">
        <v>0</v>
      </c>
      <c r="F35" s="102">
        <v>10.1</v>
      </c>
      <c r="G35" s="102">
        <v>10.1</v>
      </c>
      <c r="H35" s="102">
        <v>10.1</v>
      </c>
      <c r="I35" s="102">
        <v>10.1</v>
      </c>
      <c r="J35" s="102">
        <v>11</v>
      </c>
      <c r="K35" s="102">
        <v>11</v>
      </c>
      <c r="L35" s="102">
        <v>11</v>
      </c>
      <c r="M35" s="102">
        <v>11.1</v>
      </c>
      <c r="N35" s="102">
        <v>11.1</v>
      </c>
      <c r="O35" s="102">
        <v>11.1</v>
      </c>
      <c r="P35" s="102">
        <v>11.1</v>
      </c>
      <c r="Q35" s="102">
        <v>11.1</v>
      </c>
      <c r="R35" s="102">
        <v>8.9</v>
      </c>
      <c r="S35" s="102">
        <v>8.9</v>
      </c>
      <c r="T35" s="102">
        <v>8.9</v>
      </c>
      <c r="U35" s="102">
        <v>8.9</v>
      </c>
      <c r="V35" s="102">
        <v>8.9</v>
      </c>
      <c r="W35" s="102">
        <v>8.9</v>
      </c>
      <c r="X35" s="102">
        <v>8.9</v>
      </c>
      <c r="Y35" s="102">
        <v>8.9</v>
      </c>
      <c r="Z35" s="102">
        <v>8.9</v>
      </c>
      <c r="AA35" s="102">
        <v>8.9</v>
      </c>
      <c r="AB35" s="102">
        <v>8.9</v>
      </c>
      <c r="AC35" s="102">
        <v>8.9</v>
      </c>
      <c r="AD35" s="102">
        <v>8.9</v>
      </c>
      <c r="AE35" s="102">
        <v>8.9</v>
      </c>
      <c r="AF35" s="102">
        <v>8.9</v>
      </c>
      <c r="AG35" s="130">
        <v>20</v>
      </c>
      <c r="AH35" s="12">
        <f t="shared" si="8"/>
        <v>11.1</v>
      </c>
      <c r="AI35" s="11">
        <f t="shared" si="9"/>
        <v>0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25">
      <c r="A36" s="89" t="s">
        <v>231</v>
      </c>
      <c r="B36" s="102">
        <v>4</v>
      </c>
      <c r="C36" s="102">
        <v>4</v>
      </c>
      <c r="D36" s="102">
        <v>4</v>
      </c>
      <c r="E36" s="102">
        <v>4</v>
      </c>
      <c r="F36" s="102">
        <v>4</v>
      </c>
      <c r="G36" s="102">
        <v>4</v>
      </c>
      <c r="H36" s="102">
        <v>4</v>
      </c>
      <c r="I36" s="102">
        <v>4</v>
      </c>
      <c r="J36" s="102">
        <v>4</v>
      </c>
      <c r="K36" s="102">
        <v>4</v>
      </c>
      <c r="L36" s="102">
        <v>4</v>
      </c>
      <c r="M36" s="102">
        <v>4</v>
      </c>
      <c r="N36" s="102">
        <v>4</v>
      </c>
      <c r="O36" s="102">
        <v>4</v>
      </c>
      <c r="P36" s="102">
        <v>4</v>
      </c>
      <c r="Q36" s="102">
        <v>4</v>
      </c>
      <c r="R36" s="102">
        <v>4</v>
      </c>
      <c r="S36" s="102">
        <v>4</v>
      </c>
      <c r="T36" s="102">
        <v>4</v>
      </c>
      <c r="U36" s="102">
        <v>4</v>
      </c>
      <c r="V36" s="102">
        <v>4</v>
      </c>
      <c r="W36" s="102">
        <v>4</v>
      </c>
      <c r="X36" s="102">
        <v>4</v>
      </c>
      <c r="Y36" s="102">
        <v>4</v>
      </c>
      <c r="Z36" s="102">
        <v>4</v>
      </c>
      <c r="AA36" s="102">
        <v>4</v>
      </c>
      <c r="AB36" s="102">
        <v>4</v>
      </c>
      <c r="AC36" s="102">
        <v>4</v>
      </c>
      <c r="AD36" s="102">
        <v>4</v>
      </c>
      <c r="AE36" s="102">
        <v>4</v>
      </c>
      <c r="AF36" s="102">
        <v>4</v>
      </c>
      <c r="AG36" s="130">
        <v>20</v>
      </c>
      <c r="AH36" s="12">
        <f t="shared" si="8"/>
        <v>4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25">
      <c r="A37" s="89" t="s">
        <v>230</v>
      </c>
      <c r="B37" s="102">
        <v>5.8</v>
      </c>
      <c r="C37" s="102">
        <v>5.8</v>
      </c>
      <c r="D37" s="102">
        <v>5.8</v>
      </c>
      <c r="E37" s="102">
        <v>0</v>
      </c>
      <c r="F37" s="102">
        <v>5.8</v>
      </c>
      <c r="G37" s="102">
        <v>5.8</v>
      </c>
      <c r="H37" s="102">
        <v>5.8</v>
      </c>
      <c r="I37" s="102">
        <v>2</v>
      </c>
      <c r="J37" s="102">
        <v>5.8</v>
      </c>
      <c r="K37" s="102">
        <v>5.8</v>
      </c>
      <c r="L37" s="102">
        <v>5.8</v>
      </c>
      <c r="M37" s="102">
        <v>5.8</v>
      </c>
      <c r="N37" s="102">
        <v>5.8</v>
      </c>
      <c r="O37" s="102">
        <v>5.8</v>
      </c>
      <c r="P37" s="102">
        <v>5.8</v>
      </c>
      <c r="Q37" s="102">
        <v>5.8</v>
      </c>
      <c r="R37" s="102">
        <v>5.8</v>
      </c>
      <c r="S37" s="102">
        <v>5.8</v>
      </c>
      <c r="T37" s="102">
        <v>5.8</v>
      </c>
      <c r="U37" s="102">
        <v>5.8</v>
      </c>
      <c r="V37" s="102">
        <v>5.8</v>
      </c>
      <c r="W37" s="102">
        <v>5.8</v>
      </c>
      <c r="X37" s="102">
        <v>5.8</v>
      </c>
      <c r="Y37" s="102">
        <v>5.8</v>
      </c>
      <c r="Z37" s="102">
        <v>5.8</v>
      </c>
      <c r="AA37" s="102">
        <v>5.8</v>
      </c>
      <c r="AB37" s="102">
        <v>5.8</v>
      </c>
      <c r="AC37" s="102">
        <v>5.8</v>
      </c>
      <c r="AD37" s="102">
        <v>5.8</v>
      </c>
      <c r="AE37" s="102">
        <v>5.8</v>
      </c>
      <c r="AF37" s="102">
        <v>5.8</v>
      </c>
      <c r="AG37" s="130">
        <v>18</v>
      </c>
      <c r="AH37" s="12">
        <f t="shared" si="8"/>
        <v>5.8</v>
      </c>
      <c r="AI37" s="11">
        <f t="shared" si="9"/>
        <v>0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25">
      <c r="A38" s="89" t="s">
        <v>229</v>
      </c>
      <c r="B38" s="102">
        <v>5.0999999999999996</v>
      </c>
      <c r="C38" s="102">
        <v>5.0999999999999996</v>
      </c>
      <c r="D38" s="102">
        <v>5.0999999999999996</v>
      </c>
      <c r="E38" s="102">
        <v>5.0999999999999996</v>
      </c>
      <c r="F38" s="102">
        <v>5.0999999999999996</v>
      </c>
      <c r="G38" s="102">
        <v>5.0999999999999996</v>
      </c>
      <c r="H38" s="102">
        <v>5.0999999999999996</v>
      </c>
      <c r="I38" s="102">
        <v>5.0999999999999996</v>
      </c>
      <c r="J38" s="102">
        <v>5.0999999999999996</v>
      </c>
      <c r="K38" s="102">
        <v>5.0999999999999996</v>
      </c>
      <c r="L38" s="102">
        <v>5.0999999999999996</v>
      </c>
      <c r="M38" s="102">
        <v>5.0999999999999996</v>
      </c>
      <c r="N38" s="102">
        <v>5.0999999999999996</v>
      </c>
      <c r="O38" s="102">
        <v>5.0999999999999996</v>
      </c>
      <c r="P38" s="102">
        <v>5.0999999999999996</v>
      </c>
      <c r="Q38" s="102">
        <v>5.0999999999999996</v>
      </c>
      <c r="R38" s="102">
        <v>5.0999999999999996</v>
      </c>
      <c r="S38" s="102">
        <v>5.0999999999999996</v>
      </c>
      <c r="T38" s="102">
        <v>5.0999999999999996</v>
      </c>
      <c r="U38" s="102">
        <v>5.0999999999999996</v>
      </c>
      <c r="V38" s="102">
        <v>5.0999999999999996</v>
      </c>
      <c r="W38" s="102">
        <v>5.0999999999999996</v>
      </c>
      <c r="X38" s="102">
        <v>5.0999999999999996</v>
      </c>
      <c r="Y38" s="102">
        <v>5.0999999999999996</v>
      </c>
      <c r="Z38" s="102">
        <v>5.0999999999999996</v>
      </c>
      <c r="AA38" s="102">
        <v>5.0999999999999996</v>
      </c>
      <c r="AB38" s="102">
        <v>5.0999999999999996</v>
      </c>
      <c r="AC38" s="102">
        <v>5.0999999999999996</v>
      </c>
      <c r="AD38" s="102">
        <v>5.0999999999999996</v>
      </c>
      <c r="AE38" s="102">
        <v>5.0999999999999996</v>
      </c>
      <c r="AF38" s="102">
        <v>5.0999999999999996</v>
      </c>
      <c r="AG38" s="130">
        <v>14.9</v>
      </c>
      <c r="AH38" s="12">
        <f t="shared" si="8"/>
        <v>5.0999999999999996</v>
      </c>
      <c r="AI38" s="11">
        <f t="shared" si="9"/>
        <v>5.0999999999999996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25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25">
      <c r="A40" s="89" t="s">
        <v>227</v>
      </c>
      <c r="B40" s="102">
        <v>0</v>
      </c>
      <c r="C40" s="102">
        <v>0</v>
      </c>
      <c r="D40" s="102">
        <v>0</v>
      </c>
      <c r="E40" s="102">
        <v>0</v>
      </c>
      <c r="F40" s="102">
        <v>0</v>
      </c>
      <c r="G40" s="102">
        <v>0</v>
      </c>
      <c r="H40" s="102">
        <v>0</v>
      </c>
      <c r="I40" s="102">
        <v>0</v>
      </c>
      <c r="J40" s="102">
        <v>0</v>
      </c>
      <c r="K40" s="102">
        <v>0</v>
      </c>
      <c r="L40" s="102">
        <v>0</v>
      </c>
      <c r="M40" s="102">
        <v>0</v>
      </c>
      <c r="N40" s="102">
        <v>0</v>
      </c>
      <c r="O40" s="102">
        <v>0</v>
      </c>
      <c r="P40" s="102">
        <v>0</v>
      </c>
      <c r="Q40" s="102">
        <v>0</v>
      </c>
      <c r="R40" s="102">
        <v>0</v>
      </c>
      <c r="S40" s="102">
        <v>0</v>
      </c>
      <c r="T40" s="102">
        <v>0</v>
      </c>
      <c r="U40" s="102">
        <v>0</v>
      </c>
      <c r="V40" s="102">
        <v>0</v>
      </c>
      <c r="W40" s="102">
        <v>0</v>
      </c>
      <c r="X40" s="102">
        <v>0</v>
      </c>
      <c r="Y40" s="102">
        <v>0</v>
      </c>
      <c r="Z40" s="102">
        <v>0</v>
      </c>
      <c r="AA40" s="102">
        <v>0</v>
      </c>
      <c r="AB40" s="102">
        <v>0</v>
      </c>
      <c r="AC40" s="102">
        <v>0</v>
      </c>
      <c r="AD40" s="102">
        <v>0</v>
      </c>
      <c r="AE40" s="102">
        <v>0</v>
      </c>
      <c r="AF40" s="102">
        <v>0</v>
      </c>
      <c r="AG40" s="130">
        <v>14.9</v>
      </c>
      <c r="AH40" s="12">
        <f t="shared" si="8"/>
        <v>0</v>
      </c>
      <c r="AI40" s="11">
        <f t="shared" si="9"/>
        <v>0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25">
      <c r="A41" s="89" t="s">
        <v>226</v>
      </c>
      <c r="B41" s="102">
        <v>4</v>
      </c>
      <c r="C41" s="102">
        <v>4</v>
      </c>
      <c r="D41" s="102">
        <v>4</v>
      </c>
      <c r="E41" s="102">
        <v>0</v>
      </c>
      <c r="F41" s="102">
        <v>4</v>
      </c>
      <c r="G41" s="102">
        <v>4</v>
      </c>
      <c r="H41" s="102">
        <v>4</v>
      </c>
      <c r="I41" s="102">
        <v>0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0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25">
      <c r="A42" s="89" t="s">
        <v>225</v>
      </c>
      <c r="B42" s="102">
        <v>5</v>
      </c>
      <c r="C42" s="102">
        <v>5</v>
      </c>
      <c r="D42" s="102">
        <v>5</v>
      </c>
      <c r="E42" s="102">
        <v>5</v>
      </c>
      <c r="F42" s="102">
        <v>5</v>
      </c>
      <c r="G42" s="102">
        <v>5</v>
      </c>
      <c r="H42" s="102">
        <v>5</v>
      </c>
      <c r="I42" s="102">
        <v>5</v>
      </c>
      <c r="J42" s="102">
        <v>5</v>
      </c>
      <c r="K42" s="102">
        <v>5</v>
      </c>
      <c r="L42" s="102">
        <v>5</v>
      </c>
      <c r="M42" s="102">
        <v>5</v>
      </c>
      <c r="N42" s="102">
        <v>5</v>
      </c>
      <c r="O42" s="102">
        <v>5</v>
      </c>
      <c r="P42" s="102">
        <v>5</v>
      </c>
      <c r="Q42" s="102">
        <v>5</v>
      </c>
      <c r="R42" s="102">
        <v>5</v>
      </c>
      <c r="S42" s="102">
        <v>5</v>
      </c>
      <c r="T42" s="102">
        <v>5</v>
      </c>
      <c r="U42" s="102">
        <v>5</v>
      </c>
      <c r="V42" s="102">
        <v>5</v>
      </c>
      <c r="W42" s="102">
        <v>5</v>
      </c>
      <c r="X42" s="102">
        <v>5</v>
      </c>
      <c r="Y42" s="102">
        <v>5</v>
      </c>
      <c r="Z42" s="102">
        <v>5</v>
      </c>
      <c r="AA42" s="102">
        <v>5</v>
      </c>
      <c r="AB42" s="102">
        <v>5</v>
      </c>
      <c r="AC42" s="102">
        <v>5</v>
      </c>
      <c r="AD42" s="102">
        <v>5</v>
      </c>
      <c r="AE42" s="102">
        <v>5</v>
      </c>
      <c r="AF42" s="102">
        <v>5</v>
      </c>
      <c r="AG42" s="130">
        <v>13.6</v>
      </c>
      <c r="AH42" s="12">
        <f t="shared" si="8"/>
        <v>5</v>
      </c>
      <c r="AI42" s="11">
        <f t="shared" si="9"/>
        <v>5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25">
      <c r="A43" s="89" t="s">
        <v>224</v>
      </c>
      <c r="B43" s="102">
        <v>3.8</v>
      </c>
      <c r="C43" s="102">
        <v>3.8</v>
      </c>
      <c r="D43" s="102">
        <v>3.8</v>
      </c>
      <c r="E43" s="102">
        <v>3.8</v>
      </c>
      <c r="F43" s="102">
        <v>3.8</v>
      </c>
      <c r="G43" s="102">
        <v>3.8</v>
      </c>
      <c r="H43" s="102">
        <v>3.8</v>
      </c>
      <c r="I43" s="102">
        <v>3.8</v>
      </c>
      <c r="J43" s="102">
        <v>3.8</v>
      </c>
      <c r="K43" s="102">
        <v>3.8</v>
      </c>
      <c r="L43" s="102">
        <v>3.8</v>
      </c>
      <c r="M43" s="102">
        <v>3.8</v>
      </c>
      <c r="N43" s="102">
        <v>3.8</v>
      </c>
      <c r="O43" s="102">
        <v>3.8</v>
      </c>
      <c r="P43" s="102">
        <v>3.8</v>
      </c>
      <c r="Q43" s="102">
        <v>3.8</v>
      </c>
      <c r="R43" s="102">
        <v>3.8</v>
      </c>
      <c r="S43" s="102">
        <v>3.8</v>
      </c>
      <c r="T43" s="102">
        <v>3.8</v>
      </c>
      <c r="U43" s="102">
        <v>3.8</v>
      </c>
      <c r="V43" s="102">
        <v>3.8</v>
      </c>
      <c r="W43" s="102">
        <v>3.8</v>
      </c>
      <c r="X43" s="102">
        <v>3.8</v>
      </c>
      <c r="Y43" s="102">
        <v>3.8</v>
      </c>
      <c r="Z43" s="102">
        <v>3.8</v>
      </c>
      <c r="AA43" s="102">
        <v>3.8</v>
      </c>
      <c r="AB43" s="102">
        <v>3.8</v>
      </c>
      <c r="AC43" s="102">
        <v>3.8</v>
      </c>
      <c r="AD43" s="102">
        <v>3.8</v>
      </c>
      <c r="AE43" s="102">
        <v>3.8</v>
      </c>
      <c r="AF43" s="102">
        <v>3.8</v>
      </c>
      <c r="AG43" s="130">
        <v>13</v>
      </c>
      <c r="AH43" s="12">
        <f t="shared" si="8"/>
        <v>3.8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25">
      <c r="A44" s="89" t="s">
        <v>223</v>
      </c>
      <c r="B44" s="102">
        <v>3</v>
      </c>
      <c r="C44" s="102">
        <v>3</v>
      </c>
      <c r="D44" s="102">
        <v>3</v>
      </c>
      <c r="E44" s="102">
        <v>3</v>
      </c>
      <c r="F44" s="102">
        <v>3</v>
      </c>
      <c r="G44" s="102">
        <v>3</v>
      </c>
      <c r="H44" s="102">
        <v>3</v>
      </c>
      <c r="I44" s="102">
        <v>3</v>
      </c>
      <c r="J44" s="102">
        <v>3</v>
      </c>
      <c r="K44" s="102">
        <v>3</v>
      </c>
      <c r="L44" s="102">
        <v>3</v>
      </c>
      <c r="M44" s="102">
        <v>3</v>
      </c>
      <c r="N44" s="102">
        <v>3</v>
      </c>
      <c r="O44" s="102">
        <v>3</v>
      </c>
      <c r="P44" s="102">
        <v>3</v>
      </c>
      <c r="Q44" s="102">
        <v>3</v>
      </c>
      <c r="R44" s="102">
        <v>3</v>
      </c>
      <c r="S44" s="102">
        <v>3</v>
      </c>
      <c r="T44" s="102">
        <v>3</v>
      </c>
      <c r="U44" s="102">
        <v>3</v>
      </c>
      <c r="V44" s="102">
        <v>3</v>
      </c>
      <c r="W44" s="102">
        <v>3</v>
      </c>
      <c r="X44" s="102">
        <v>3</v>
      </c>
      <c r="Y44" s="102">
        <v>3</v>
      </c>
      <c r="Z44" s="102">
        <v>3</v>
      </c>
      <c r="AA44" s="102">
        <v>3</v>
      </c>
      <c r="AB44" s="102">
        <v>3</v>
      </c>
      <c r="AC44" s="102">
        <v>3</v>
      </c>
      <c r="AD44" s="102">
        <v>3</v>
      </c>
      <c r="AE44" s="102">
        <v>3</v>
      </c>
      <c r="AF44" s="102">
        <v>3</v>
      </c>
      <c r="AG44" s="130">
        <v>12</v>
      </c>
      <c r="AH44" s="12">
        <f t="shared" si="8"/>
        <v>3</v>
      </c>
      <c r="AI44" s="11">
        <f t="shared" si="9"/>
        <v>3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25">
      <c r="A45" s="89" t="s">
        <v>222</v>
      </c>
      <c r="B45" s="102">
        <v>3.5</v>
      </c>
      <c r="C45" s="102">
        <v>3.5</v>
      </c>
      <c r="D45" s="102">
        <v>3.5</v>
      </c>
      <c r="E45" s="102">
        <v>3.5</v>
      </c>
      <c r="F45" s="102">
        <v>3.5</v>
      </c>
      <c r="G45" s="102">
        <v>3.5</v>
      </c>
      <c r="H45" s="102">
        <v>3.5</v>
      </c>
      <c r="I45" s="102">
        <v>3.5</v>
      </c>
      <c r="J45" s="102">
        <v>3.5</v>
      </c>
      <c r="K45" s="102">
        <v>3.5</v>
      </c>
      <c r="L45" s="102">
        <v>3.5</v>
      </c>
      <c r="M45" s="102">
        <v>3.5</v>
      </c>
      <c r="N45" s="102">
        <v>3.5</v>
      </c>
      <c r="O45" s="102">
        <v>3.5</v>
      </c>
      <c r="P45" s="102">
        <v>3.5</v>
      </c>
      <c r="Q45" s="102">
        <v>3.5</v>
      </c>
      <c r="R45" s="102">
        <v>3.5</v>
      </c>
      <c r="S45" s="102">
        <v>3.5</v>
      </c>
      <c r="T45" s="102">
        <v>3.5</v>
      </c>
      <c r="U45" s="102">
        <v>3.5</v>
      </c>
      <c r="V45" s="102">
        <v>3.5</v>
      </c>
      <c r="W45" s="102">
        <v>3.5</v>
      </c>
      <c r="X45" s="102">
        <v>3.5</v>
      </c>
      <c r="Y45" s="102">
        <v>3.5</v>
      </c>
      <c r="Z45" s="102">
        <v>3.5</v>
      </c>
      <c r="AA45" s="102">
        <v>3.5</v>
      </c>
      <c r="AB45" s="102">
        <v>3.5</v>
      </c>
      <c r="AC45" s="102">
        <v>3.5</v>
      </c>
      <c r="AD45" s="102">
        <v>3.5</v>
      </c>
      <c r="AE45" s="102">
        <v>3.5</v>
      </c>
      <c r="AF45" s="102">
        <v>3.5</v>
      </c>
      <c r="AG45" s="130">
        <v>12</v>
      </c>
      <c r="AH45" s="12">
        <f t="shared" si="8"/>
        <v>3.5</v>
      </c>
      <c r="AI45" s="11">
        <f t="shared" si="9"/>
        <v>3.5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25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25">
      <c r="A47" s="89" t="s">
        <v>220</v>
      </c>
      <c r="B47" s="102">
        <v>3.5</v>
      </c>
      <c r="C47" s="102">
        <v>3.5</v>
      </c>
      <c r="D47" s="102">
        <v>3.5</v>
      </c>
      <c r="E47" s="102">
        <v>3.5</v>
      </c>
      <c r="F47" s="102">
        <v>3.5</v>
      </c>
      <c r="G47" s="102">
        <v>3.5</v>
      </c>
      <c r="H47" s="102">
        <v>3.5</v>
      </c>
      <c r="I47" s="102">
        <v>3.5</v>
      </c>
      <c r="J47" s="102">
        <v>3.5</v>
      </c>
      <c r="K47" s="102">
        <v>3.5</v>
      </c>
      <c r="L47" s="102">
        <v>3.5</v>
      </c>
      <c r="M47" s="102">
        <v>3.5</v>
      </c>
      <c r="N47" s="102">
        <v>3.5</v>
      </c>
      <c r="O47" s="102">
        <v>3.5</v>
      </c>
      <c r="P47" s="102">
        <v>3.5</v>
      </c>
      <c r="Q47" s="102">
        <v>3.5</v>
      </c>
      <c r="R47" s="102">
        <v>3.5</v>
      </c>
      <c r="S47" s="102">
        <v>3.5</v>
      </c>
      <c r="T47" s="102">
        <v>3.5</v>
      </c>
      <c r="U47" s="102">
        <v>3.5</v>
      </c>
      <c r="V47" s="102">
        <v>3.5</v>
      </c>
      <c r="W47" s="102">
        <v>3.5</v>
      </c>
      <c r="X47" s="102">
        <v>3.5</v>
      </c>
      <c r="Y47" s="102">
        <v>3.5</v>
      </c>
      <c r="Z47" s="102">
        <v>3.5</v>
      </c>
      <c r="AA47" s="102">
        <v>3.5</v>
      </c>
      <c r="AB47" s="102">
        <v>3.5</v>
      </c>
      <c r="AC47" s="102">
        <v>3.5</v>
      </c>
      <c r="AD47" s="102">
        <v>3.5</v>
      </c>
      <c r="AE47" s="102">
        <v>3.5</v>
      </c>
      <c r="AF47" s="102">
        <v>3.5</v>
      </c>
      <c r="AG47" s="129">
        <v>22</v>
      </c>
      <c r="AH47" s="12">
        <f t="shared" si="8"/>
        <v>3.5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25">
      <c r="A48" s="89" t="s">
        <v>219</v>
      </c>
      <c r="B48" s="102">
        <v>5</v>
      </c>
      <c r="C48" s="102">
        <v>5</v>
      </c>
      <c r="D48" s="102">
        <v>5</v>
      </c>
      <c r="E48" s="102">
        <v>5</v>
      </c>
      <c r="F48" s="102">
        <v>5</v>
      </c>
      <c r="G48" s="102">
        <v>5</v>
      </c>
      <c r="H48" s="102">
        <v>5</v>
      </c>
      <c r="I48" s="102">
        <v>5</v>
      </c>
      <c r="J48" s="102">
        <v>5</v>
      </c>
      <c r="K48" s="102">
        <v>5</v>
      </c>
      <c r="L48" s="102">
        <v>5</v>
      </c>
      <c r="M48" s="102">
        <v>5</v>
      </c>
      <c r="N48" s="102">
        <v>5</v>
      </c>
      <c r="O48" s="102">
        <v>5</v>
      </c>
      <c r="P48" s="102">
        <v>5</v>
      </c>
      <c r="Q48" s="102">
        <v>5</v>
      </c>
      <c r="R48" s="102">
        <v>5</v>
      </c>
      <c r="S48" s="102">
        <v>5</v>
      </c>
      <c r="T48" s="102">
        <v>5</v>
      </c>
      <c r="U48" s="102">
        <v>5</v>
      </c>
      <c r="V48" s="102">
        <v>5</v>
      </c>
      <c r="W48" s="102">
        <v>5</v>
      </c>
      <c r="X48" s="102">
        <v>5</v>
      </c>
      <c r="Y48" s="102">
        <v>5</v>
      </c>
      <c r="Z48" s="102">
        <v>5</v>
      </c>
      <c r="AA48" s="102">
        <v>5</v>
      </c>
      <c r="AB48" s="102">
        <v>5</v>
      </c>
      <c r="AC48" s="102">
        <v>5</v>
      </c>
      <c r="AD48" s="102">
        <v>5</v>
      </c>
      <c r="AE48" s="102">
        <v>5</v>
      </c>
      <c r="AF48" s="102">
        <v>5</v>
      </c>
      <c r="AG48" s="88">
        <v>11.88</v>
      </c>
      <c r="AH48" s="12">
        <f t="shared" si="8"/>
        <v>5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25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25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25">
      <c r="A51" s="87" t="s">
        <v>216</v>
      </c>
      <c r="B51" s="102">
        <v>1.6</v>
      </c>
      <c r="C51" s="102">
        <v>1.6</v>
      </c>
      <c r="D51" s="102">
        <v>1.6</v>
      </c>
      <c r="E51" s="102">
        <v>1.6</v>
      </c>
      <c r="F51" s="102">
        <v>1.6</v>
      </c>
      <c r="G51" s="102">
        <v>1.6</v>
      </c>
      <c r="H51" s="102">
        <v>1.6</v>
      </c>
      <c r="I51" s="102">
        <v>1.6</v>
      </c>
      <c r="J51" s="102">
        <v>1.6</v>
      </c>
      <c r="K51" s="102">
        <v>1.6</v>
      </c>
      <c r="L51" s="102">
        <v>1.6</v>
      </c>
      <c r="M51" s="102">
        <v>1.6</v>
      </c>
      <c r="N51" s="102">
        <v>1.6</v>
      </c>
      <c r="O51" s="102">
        <v>1.6</v>
      </c>
      <c r="P51" s="102">
        <v>1.6</v>
      </c>
      <c r="Q51" s="102">
        <v>1.6</v>
      </c>
      <c r="R51" s="102">
        <v>1.6</v>
      </c>
      <c r="S51" s="102">
        <v>1.6</v>
      </c>
      <c r="T51" s="102">
        <v>1.6</v>
      </c>
      <c r="U51" s="102">
        <v>1.6</v>
      </c>
      <c r="V51" s="102">
        <v>1.6</v>
      </c>
      <c r="W51" s="102">
        <v>1.6</v>
      </c>
      <c r="X51" s="102">
        <v>1.6</v>
      </c>
      <c r="Y51" s="102">
        <v>1.6</v>
      </c>
      <c r="Z51" s="102">
        <v>1.6</v>
      </c>
      <c r="AA51" s="102">
        <v>1.6</v>
      </c>
      <c r="AB51" s="102">
        <v>1.6</v>
      </c>
      <c r="AC51" s="102">
        <v>1.6</v>
      </c>
      <c r="AD51" s="102">
        <v>1.6</v>
      </c>
      <c r="AE51" s="102">
        <v>1.6</v>
      </c>
      <c r="AF51" s="102">
        <v>1.6</v>
      </c>
      <c r="AG51" s="86">
        <v>11</v>
      </c>
      <c r="AH51" s="12">
        <f t="shared" si="8"/>
        <v>1.6</v>
      </c>
      <c r="AI51" s="11">
        <f t="shared" si="9"/>
        <v>1.6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25">
      <c r="A52" s="87" t="s">
        <v>215</v>
      </c>
      <c r="B52" s="102">
        <v>5</v>
      </c>
      <c r="C52" s="102">
        <v>5</v>
      </c>
      <c r="D52" s="102">
        <v>5</v>
      </c>
      <c r="E52" s="102">
        <v>5</v>
      </c>
      <c r="F52" s="102">
        <v>5</v>
      </c>
      <c r="G52" s="102">
        <v>5</v>
      </c>
      <c r="H52" s="102">
        <v>5</v>
      </c>
      <c r="I52" s="102">
        <v>5</v>
      </c>
      <c r="J52" s="102">
        <v>5</v>
      </c>
      <c r="K52" s="102">
        <v>5</v>
      </c>
      <c r="L52" s="102">
        <v>5</v>
      </c>
      <c r="M52" s="102">
        <v>5</v>
      </c>
      <c r="N52" s="102">
        <v>5</v>
      </c>
      <c r="O52" s="102">
        <v>5</v>
      </c>
      <c r="P52" s="102">
        <v>5</v>
      </c>
      <c r="Q52" s="102">
        <v>5</v>
      </c>
      <c r="R52" s="102">
        <v>5</v>
      </c>
      <c r="S52" s="102">
        <v>5</v>
      </c>
      <c r="T52" s="102">
        <v>5</v>
      </c>
      <c r="U52" s="102">
        <v>5</v>
      </c>
      <c r="V52" s="102">
        <v>5</v>
      </c>
      <c r="W52" s="102">
        <v>5</v>
      </c>
      <c r="X52" s="102">
        <v>5</v>
      </c>
      <c r="Y52" s="102">
        <v>5</v>
      </c>
      <c r="Z52" s="102">
        <v>5</v>
      </c>
      <c r="AA52" s="102">
        <v>5</v>
      </c>
      <c r="AB52" s="102">
        <v>5</v>
      </c>
      <c r="AC52" s="102">
        <v>5</v>
      </c>
      <c r="AD52" s="102">
        <v>5</v>
      </c>
      <c r="AE52" s="102">
        <v>5</v>
      </c>
      <c r="AF52" s="102">
        <v>5</v>
      </c>
      <c r="AG52" s="86">
        <v>10</v>
      </c>
      <c r="AH52" s="12">
        <f t="shared" si="8"/>
        <v>5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25">
      <c r="A53" s="87" t="s">
        <v>214</v>
      </c>
      <c r="B53" s="102">
        <v>5</v>
      </c>
      <c r="C53" s="102">
        <v>5</v>
      </c>
      <c r="D53" s="102">
        <v>5</v>
      </c>
      <c r="E53" s="102">
        <v>5</v>
      </c>
      <c r="F53" s="102">
        <v>5</v>
      </c>
      <c r="G53" s="102">
        <v>5</v>
      </c>
      <c r="H53" s="102">
        <v>5</v>
      </c>
      <c r="I53" s="102">
        <v>5</v>
      </c>
      <c r="J53" s="102">
        <v>5</v>
      </c>
      <c r="K53" s="102">
        <v>5</v>
      </c>
      <c r="L53" s="102">
        <v>5</v>
      </c>
      <c r="M53" s="102">
        <v>5</v>
      </c>
      <c r="N53" s="102">
        <v>5</v>
      </c>
      <c r="O53" s="102">
        <v>5</v>
      </c>
      <c r="P53" s="102">
        <v>5</v>
      </c>
      <c r="Q53" s="102">
        <v>5</v>
      </c>
      <c r="R53" s="102">
        <v>5</v>
      </c>
      <c r="S53" s="102">
        <v>5</v>
      </c>
      <c r="T53" s="102">
        <v>5</v>
      </c>
      <c r="U53" s="102">
        <v>5</v>
      </c>
      <c r="V53" s="102">
        <v>5</v>
      </c>
      <c r="W53" s="102">
        <v>5</v>
      </c>
      <c r="X53" s="102">
        <v>5</v>
      </c>
      <c r="Y53" s="102">
        <v>5</v>
      </c>
      <c r="Z53" s="102">
        <v>5</v>
      </c>
      <c r="AA53" s="102">
        <v>5</v>
      </c>
      <c r="AB53" s="102">
        <v>5</v>
      </c>
      <c r="AC53" s="102">
        <v>5</v>
      </c>
      <c r="AD53" s="102">
        <v>5</v>
      </c>
      <c r="AE53" s="102">
        <v>5</v>
      </c>
      <c r="AF53" s="102">
        <v>5</v>
      </c>
      <c r="AG53" s="86">
        <v>10</v>
      </c>
      <c r="AH53" s="12">
        <f t="shared" si="8"/>
        <v>5</v>
      </c>
      <c r="AI53" s="11">
        <f t="shared" si="9"/>
        <v>5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25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25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25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8"/>
        <v>150</v>
      </c>
      <c r="AI56" s="11">
        <f t="shared" si="9"/>
        <v>150</v>
      </c>
      <c r="AK56" s="19"/>
    </row>
    <row r="57" spans="1:88" ht="15.75" thickBot="1" x14ac:dyDescent="0.3">
      <c r="A57" s="124" t="s">
        <v>210</v>
      </c>
      <c r="B57" s="122">
        <v>32.299999999999997</v>
      </c>
      <c r="C57" s="122">
        <v>32.299999999999997</v>
      </c>
      <c r="D57" s="122">
        <v>32.299999999999997</v>
      </c>
      <c r="E57" s="122">
        <v>52</v>
      </c>
      <c r="F57" s="122">
        <v>54</v>
      </c>
      <c r="G57" s="122">
        <v>54</v>
      </c>
      <c r="H57" s="122">
        <v>57</v>
      </c>
      <c r="I57" s="122">
        <v>63</v>
      </c>
      <c r="J57" s="122">
        <v>66</v>
      </c>
      <c r="K57" s="122">
        <v>66</v>
      </c>
      <c r="L57" s="122">
        <v>73</v>
      </c>
      <c r="M57" s="122">
        <f>26.9+50.1</f>
        <v>77</v>
      </c>
      <c r="N57" s="123">
        <f>58.3+29.9</f>
        <v>88.199999999999989</v>
      </c>
      <c r="O57" s="123">
        <f>61+28.9</f>
        <v>89.9</v>
      </c>
      <c r="P57" s="123">
        <f>81.1+40.3</f>
        <v>121.39999999999999</v>
      </c>
      <c r="Q57" s="123">
        <f>76.6+38.1</f>
        <v>114.69999999999999</v>
      </c>
      <c r="R57" s="123">
        <f>40.1+75.8</f>
        <v>115.9</v>
      </c>
      <c r="S57" s="123">
        <f>40.1+75.8</f>
        <v>115.9</v>
      </c>
      <c r="T57" s="123">
        <v>119.3</v>
      </c>
      <c r="U57" s="123">
        <f>38.2+70.8</f>
        <v>109</v>
      </c>
      <c r="V57" s="123">
        <v>106.9</v>
      </c>
      <c r="W57" s="123">
        <v>105.3</v>
      </c>
      <c r="X57" s="123">
        <v>105.3</v>
      </c>
      <c r="Y57" s="123">
        <v>99.9</v>
      </c>
      <c r="Z57" s="123">
        <v>99.9</v>
      </c>
      <c r="AA57" s="123">
        <v>99.9</v>
      </c>
      <c r="AB57" s="123">
        <v>99.9</v>
      </c>
      <c r="AC57" s="123">
        <v>99.9</v>
      </c>
      <c r="AD57" s="123">
        <v>99.9</v>
      </c>
      <c r="AE57" s="123">
        <v>99.9</v>
      </c>
      <c r="AF57" s="123">
        <v>99.9</v>
      </c>
      <c r="AG57" s="86">
        <v>240</v>
      </c>
      <c r="AH57" s="12">
        <f t="shared" si="8"/>
        <v>121.39999999999999</v>
      </c>
      <c r="AI57" s="11">
        <f t="shared" si="9"/>
        <v>32.299999999999997</v>
      </c>
      <c r="AK57" s="19"/>
    </row>
    <row r="58" spans="1:88" ht="15.75" thickBot="1" x14ac:dyDescent="0.3">
      <c r="A58" s="121" t="s">
        <v>209</v>
      </c>
      <c r="B58" s="76">
        <f t="shared" ref="B58:AF58" si="22">SUM(B11:B56)</f>
        <v>499.90000000000003</v>
      </c>
      <c r="C58" s="76">
        <f t="shared" si="22"/>
        <v>499.90000000000003</v>
      </c>
      <c r="D58" s="76">
        <f t="shared" si="22"/>
        <v>505.9</v>
      </c>
      <c r="E58" s="76">
        <f t="shared" si="22"/>
        <v>439.8</v>
      </c>
      <c r="F58" s="76">
        <f t="shared" si="22"/>
        <v>501.9</v>
      </c>
      <c r="G58" s="76">
        <f t="shared" si="22"/>
        <v>502.2</v>
      </c>
      <c r="H58" s="76">
        <f t="shared" si="22"/>
        <v>507.59999999999997</v>
      </c>
      <c r="I58" s="76">
        <f t="shared" si="22"/>
        <v>471.60000000000008</v>
      </c>
      <c r="J58" s="76">
        <f t="shared" si="22"/>
        <v>516.1</v>
      </c>
      <c r="K58" s="76">
        <f t="shared" si="22"/>
        <v>516.1</v>
      </c>
      <c r="L58" s="76">
        <f t="shared" si="22"/>
        <v>513.6</v>
      </c>
      <c r="M58" s="76">
        <f t="shared" si="22"/>
        <v>509.10000000000008</v>
      </c>
      <c r="N58" s="76">
        <f t="shared" si="22"/>
        <v>514.5</v>
      </c>
      <c r="O58" s="76">
        <f t="shared" si="22"/>
        <v>507.60000000000008</v>
      </c>
      <c r="P58" s="76">
        <f t="shared" si="22"/>
        <v>515</v>
      </c>
      <c r="Q58" s="76">
        <f t="shared" si="22"/>
        <v>518.5</v>
      </c>
      <c r="R58" s="76">
        <f t="shared" si="22"/>
        <v>528.6</v>
      </c>
      <c r="S58" s="76">
        <f t="shared" si="22"/>
        <v>527.40000000000009</v>
      </c>
      <c r="T58" s="76">
        <f t="shared" si="22"/>
        <v>531.20000000000005</v>
      </c>
      <c r="U58" s="76">
        <f t="shared" si="22"/>
        <v>540.90000000000009</v>
      </c>
      <c r="V58" s="76">
        <f t="shared" si="22"/>
        <v>524.40000000000009</v>
      </c>
      <c r="W58" s="76">
        <f t="shared" si="22"/>
        <v>516.5</v>
      </c>
      <c r="X58" s="76">
        <f t="shared" si="22"/>
        <v>516.5</v>
      </c>
      <c r="Y58" s="76">
        <f t="shared" si="22"/>
        <v>509</v>
      </c>
      <c r="Z58" s="76">
        <f t="shared" si="22"/>
        <v>539</v>
      </c>
      <c r="AA58" s="76">
        <f t="shared" si="22"/>
        <v>522</v>
      </c>
      <c r="AB58" s="76">
        <f t="shared" si="22"/>
        <v>522</v>
      </c>
      <c r="AC58" s="76">
        <f t="shared" si="22"/>
        <v>522</v>
      </c>
      <c r="AD58" s="76">
        <f t="shared" si="22"/>
        <v>522</v>
      </c>
      <c r="AE58" s="76">
        <f t="shared" si="22"/>
        <v>522</v>
      </c>
      <c r="AF58" s="76">
        <f t="shared" si="22"/>
        <v>522</v>
      </c>
      <c r="AG58" s="93">
        <f>SUM(AG14:AG56)</f>
        <v>1042.4000000000001</v>
      </c>
      <c r="AH58" s="12">
        <f t="shared" si="8"/>
        <v>540.90000000000009</v>
      </c>
      <c r="AI58" s="11">
        <f t="shared" si="9"/>
        <v>439.8</v>
      </c>
      <c r="AK58" s="19"/>
    </row>
    <row r="59" spans="1:88" x14ac:dyDescent="0.25">
      <c r="A59" s="120" t="s">
        <v>208</v>
      </c>
      <c r="B59" s="102">
        <v>200</v>
      </c>
      <c r="C59" s="102">
        <v>119</v>
      </c>
      <c r="D59" s="102">
        <v>100</v>
      </c>
      <c r="E59" s="102">
        <v>70</v>
      </c>
      <c r="F59" s="102">
        <v>30</v>
      </c>
      <c r="G59" s="102">
        <v>50</v>
      </c>
      <c r="H59" s="102">
        <v>70.5</v>
      </c>
      <c r="I59" s="102">
        <v>90.6</v>
      </c>
      <c r="J59" s="102">
        <v>0</v>
      </c>
      <c r="K59" s="102">
        <v>0</v>
      </c>
      <c r="L59" s="102">
        <v>0</v>
      </c>
      <c r="M59" s="102">
        <v>0</v>
      </c>
      <c r="N59" s="119">
        <v>0</v>
      </c>
      <c r="O59" s="119">
        <v>0</v>
      </c>
      <c r="P59" s="119">
        <v>0</v>
      </c>
      <c r="Q59" s="119">
        <v>0</v>
      </c>
      <c r="R59" s="119">
        <v>0</v>
      </c>
      <c r="S59" s="119">
        <v>0</v>
      </c>
      <c r="T59" s="119">
        <v>0</v>
      </c>
      <c r="U59" s="119">
        <v>0</v>
      </c>
      <c r="V59" s="119">
        <v>0</v>
      </c>
      <c r="W59" s="102">
        <v>156</v>
      </c>
      <c r="X59" s="102">
        <v>156</v>
      </c>
      <c r="Y59" s="102">
        <v>120.7</v>
      </c>
      <c r="Z59" s="102">
        <v>231</v>
      </c>
      <c r="AA59" s="102">
        <v>271</v>
      </c>
      <c r="AB59" s="102">
        <v>231</v>
      </c>
      <c r="AC59" s="102">
        <v>251</v>
      </c>
      <c r="AD59" s="102">
        <v>301</v>
      </c>
      <c r="AE59" s="102">
        <v>207</v>
      </c>
      <c r="AF59" s="102">
        <v>140</v>
      </c>
      <c r="AG59" s="88">
        <v>456</v>
      </c>
      <c r="AH59" s="12">
        <f t="shared" si="8"/>
        <v>301</v>
      </c>
      <c r="AI59" s="11">
        <f t="shared" si="9"/>
        <v>0</v>
      </c>
      <c r="AK59" s="19"/>
    </row>
    <row r="60" spans="1:88" x14ac:dyDescent="0.25">
      <c r="A60" s="118" t="s">
        <v>207</v>
      </c>
      <c r="B60" s="70">
        <v>22</v>
      </c>
      <c r="C60" s="70">
        <v>22</v>
      </c>
      <c r="D60" s="70">
        <v>22</v>
      </c>
      <c r="E60" s="70">
        <v>22</v>
      </c>
      <c r="F60" s="70">
        <v>25.7</v>
      </c>
      <c r="G60" s="70">
        <v>32.9</v>
      </c>
      <c r="H60" s="70">
        <v>31.9</v>
      </c>
      <c r="I60" s="70">
        <v>36.4</v>
      </c>
      <c r="J60" s="70">
        <v>36.4</v>
      </c>
      <c r="K60" s="70">
        <v>36.4</v>
      </c>
      <c r="L60" s="70">
        <v>36.4</v>
      </c>
      <c r="M60" s="70">
        <v>34.5</v>
      </c>
      <c r="N60" s="70">
        <v>33.4</v>
      </c>
      <c r="O60" s="70">
        <v>33.4</v>
      </c>
      <c r="P60" s="70">
        <v>35.700000000000003</v>
      </c>
      <c r="Q60" s="70">
        <v>35.700000000000003</v>
      </c>
      <c r="R60" s="70">
        <v>30.3</v>
      </c>
      <c r="S60" s="70">
        <v>32.5</v>
      </c>
      <c r="T60" s="70">
        <v>36.6</v>
      </c>
      <c r="U60" s="70">
        <v>41.2</v>
      </c>
      <c r="V60" s="70">
        <v>39.200000000000003</v>
      </c>
      <c r="W60" s="70">
        <v>39</v>
      </c>
      <c r="X60" s="70">
        <v>39</v>
      </c>
      <c r="Y60" s="70">
        <v>39.700000000000003</v>
      </c>
      <c r="Z60" s="70">
        <v>39.5</v>
      </c>
      <c r="AA60" s="70">
        <v>40.200000000000003</v>
      </c>
      <c r="AB60" s="70">
        <v>38.5</v>
      </c>
      <c r="AC60" s="70">
        <v>38.5</v>
      </c>
      <c r="AD60" s="70">
        <v>38.5</v>
      </c>
      <c r="AE60" s="70">
        <v>40</v>
      </c>
      <c r="AF60" s="70">
        <v>40</v>
      </c>
      <c r="AG60" s="86">
        <v>60</v>
      </c>
      <c r="AH60" s="12">
        <f t="shared" si="8"/>
        <v>41.2</v>
      </c>
      <c r="AI60" s="11">
        <f t="shared" si="9"/>
        <v>22</v>
      </c>
      <c r="AK60" s="19"/>
    </row>
    <row r="61" spans="1:88" ht="15.75" thickBot="1" x14ac:dyDescent="0.3">
      <c r="A61" s="117" t="s">
        <v>206</v>
      </c>
      <c r="B61" s="110">
        <v>20</v>
      </c>
      <c r="C61" s="110">
        <v>20</v>
      </c>
      <c r="D61" s="110">
        <v>20</v>
      </c>
      <c r="E61" s="110">
        <v>20</v>
      </c>
      <c r="F61" s="110">
        <v>20.3</v>
      </c>
      <c r="G61" s="110">
        <v>20.3</v>
      </c>
      <c r="H61" s="110">
        <v>20.3</v>
      </c>
      <c r="I61" s="110">
        <v>20.3</v>
      </c>
      <c r="J61" s="110">
        <v>20.3</v>
      </c>
      <c r="K61" s="110">
        <v>20.3</v>
      </c>
      <c r="L61" s="110">
        <v>20.3</v>
      </c>
      <c r="M61" s="110">
        <v>14.6</v>
      </c>
      <c r="N61" s="110">
        <v>13.8</v>
      </c>
      <c r="O61" s="110">
        <v>13.8</v>
      </c>
      <c r="P61" s="110">
        <v>13.7</v>
      </c>
      <c r="Q61" s="110">
        <v>13.8</v>
      </c>
      <c r="R61" s="110">
        <v>13.8</v>
      </c>
      <c r="S61" s="110">
        <v>22.4</v>
      </c>
      <c r="T61" s="110">
        <v>20.100000000000001</v>
      </c>
      <c r="U61" s="110">
        <v>20.100000000000001</v>
      </c>
      <c r="V61" s="110">
        <v>15.5</v>
      </c>
      <c r="W61" s="110">
        <v>15.4</v>
      </c>
      <c r="X61" s="110">
        <v>15.4</v>
      </c>
      <c r="Y61" s="110">
        <v>15.4</v>
      </c>
      <c r="Z61" s="110">
        <v>15.4</v>
      </c>
      <c r="AA61" s="110">
        <v>15.4</v>
      </c>
      <c r="AB61" s="110">
        <v>15.4</v>
      </c>
      <c r="AC61" s="110">
        <v>15.4</v>
      </c>
      <c r="AD61" s="110">
        <v>15.4</v>
      </c>
      <c r="AE61" s="110">
        <v>15.4</v>
      </c>
      <c r="AF61" s="110">
        <v>15.4</v>
      </c>
      <c r="AG61" s="109">
        <v>22.1</v>
      </c>
      <c r="AH61" s="12">
        <f t="shared" si="8"/>
        <v>22.4</v>
      </c>
      <c r="AI61" s="11">
        <f t="shared" si="9"/>
        <v>13.7</v>
      </c>
      <c r="AK61" s="19"/>
    </row>
    <row r="62" spans="1:88" ht="15.75" thickBot="1" x14ac:dyDescent="0.3">
      <c r="A62" s="116" t="s">
        <v>205</v>
      </c>
      <c r="B62" s="76">
        <f t="shared" ref="B62:AG62" si="23">SUM(B59:B61)</f>
        <v>242</v>
      </c>
      <c r="C62" s="76">
        <f t="shared" si="23"/>
        <v>161</v>
      </c>
      <c r="D62" s="76">
        <f t="shared" si="23"/>
        <v>142</v>
      </c>
      <c r="E62" s="76">
        <f t="shared" si="23"/>
        <v>112</v>
      </c>
      <c r="F62" s="76">
        <f t="shared" si="23"/>
        <v>76</v>
      </c>
      <c r="G62" s="76">
        <f t="shared" si="23"/>
        <v>103.2</v>
      </c>
      <c r="H62" s="76">
        <f t="shared" si="23"/>
        <v>122.7</v>
      </c>
      <c r="I62" s="76">
        <f t="shared" si="23"/>
        <v>147.30000000000001</v>
      </c>
      <c r="J62" s="76">
        <f t="shared" si="23"/>
        <v>56.7</v>
      </c>
      <c r="K62" s="76">
        <f t="shared" si="23"/>
        <v>56.7</v>
      </c>
      <c r="L62" s="76">
        <f t="shared" si="23"/>
        <v>56.7</v>
      </c>
      <c r="M62" s="76">
        <f t="shared" ref="M62" si="24">SUM(M59:M61)</f>
        <v>49.1</v>
      </c>
      <c r="N62" s="76">
        <f t="shared" si="23"/>
        <v>47.2</v>
      </c>
      <c r="O62" s="76">
        <f t="shared" si="23"/>
        <v>47.2</v>
      </c>
      <c r="P62" s="76">
        <f t="shared" si="23"/>
        <v>49.400000000000006</v>
      </c>
      <c r="Q62" s="76">
        <f t="shared" si="23"/>
        <v>49.5</v>
      </c>
      <c r="R62" s="76">
        <f t="shared" ref="R62" si="25">SUM(R59:R61)</f>
        <v>44.1</v>
      </c>
      <c r="S62" s="76">
        <f t="shared" si="23"/>
        <v>54.9</v>
      </c>
      <c r="T62" s="76">
        <f t="shared" si="23"/>
        <v>56.7</v>
      </c>
      <c r="U62" s="76">
        <f t="shared" si="23"/>
        <v>61.300000000000004</v>
      </c>
      <c r="V62" s="76">
        <f t="shared" si="23"/>
        <v>54.7</v>
      </c>
      <c r="W62" s="76">
        <f t="shared" si="23"/>
        <v>210.4</v>
      </c>
      <c r="X62" s="76">
        <f t="shared" ref="X62:Y62" si="26">SUM(X59:X61)</f>
        <v>210.4</v>
      </c>
      <c r="Y62" s="76">
        <f t="shared" si="26"/>
        <v>175.8</v>
      </c>
      <c r="Z62" s="76">
        <f>SUM(Z59:Z61)</f>
        <v>285.89999999999998</v>
      </c>
      <c r="AA62" s="76">
        <f t="shared" ref="AA62" si="27">SUM(AA59:AA61)</f>
        <v>326.59999999999997</v>
      </c>
      <c r="AB62" s="76">
        <f t="shared" si="23"/>
        <v>284.89999999999998</v>
      </c>
      <c r="AC62" s="76">
        <f t="shared" si="23"/>
        <v>304.89999999999998</v>
      </c>
      <c r="AD62" s="76">
        <f t="shared" si="23"/>
        <v>354.9</v>
      </c>
      <c r="AE62" s="76">
        <f t="shared" si="23"/>
        <v>262.39999999999998</v>
      </c>
      <c r="AF62" s="76">
        <f t="shared" si="23"/>
        <v>195.4</v>
      </c>
      <c r="AG62" s="93">
        <f t="shared" si="23"/>
        <v>538.1</v>
      </c>
      <c r="AH62" s="12">
        <f t="shared" si="8"/>
        <v>354.9</v>
      </c>
      <c r="AI62" s="11">
        <f t="shared" si="9"/>
        <v>44.1</v>
      </c>
      <c r="AK62" s="19"/>
    </row>
    <row r="63" spans="1:88" x14ac:dyDescent="0.25">
      <c r="A63" s="89" t="s">
        <v>204</v>
      </c>
      <c r="B63" s="102">
        <v>97</v>
      </c>
      <c r="C63" s="102">
        <v>60</v>
      </c>
      <c r="D63" s="102">
        <v>48</v>
      </c>
      <c r="E63" s="102">
        <v>0</v>
      </c>
      <c r="F63" s="102">
        <v>48</v>
      </c>
      <c r="G63" s="102">
        <v>35.6</v>
      </c>
      <c r="H63" s="102">
        <v>35.4</v>
      </c>
      <c r="I63" s="102">
        <v>30</v>
      </c>
      <c r="J63" s="102">
        <v>65</v>
      </c>
      <c r="K63" s="102">
        <v>55.3</v>
      </c>
      <c r="L63" s="102">
        <v>70</v>
      </c>
      <c r="M63" s="102">
        <v>80.900000000000006</v>
      </c>
      <c r="N63" s="102">
        <v>112.3</v>
      </c>
      <c r="O63" s="102">
        <v>145.9</v>
      </c>
      <c r="P63" s="102">
        <v>101.3</v>
      </c>
      <c r="Q63" s="102">
        <v>126.8</v>
      </c>
      <c r="R63" s="102">
        <v>126.2</v>
      </c>
      <c r="S63" s="102">
        <v>101.5</v>
      </c>
      <c r="T63" s="102">
        <v>111.6</v>
      </c>
      <c r="U63" s="102">
        <v>136</v>
      </c>
      <c r="V63" s="102">
        <v>144</v>
      </c>
      <c r="W63" s="102">
        <v>133.19999999999999</v>
      </c>
      <c r="X63" s="102">
        <v>133.19999999999999</v>
      </c>
      <c r="Y63" s="102">
        <v>122.2</v>
      </c>
      <c r="Z63" s="102">
        <v>101</v>
      </c>
      <c r="AA63" s="102">
        <v>122.2</v>
      </c>
      <c r="AB63" s="102">
        <v>115.6</v>
      </c>
      <c r="AC63" s="102">
        <v>121</v>
      </c>
      <c r="AD63" s="102">
        <v>112</v>
      </c>
      <c r="AE63" s="102">
        <v>121</v>
      </c>
      <c r="AF63" s="102">
        <v>60</v>
      </c>
      <c r="AG63" s="88">
        <v>144</v>
      </c>
      <c r="AH63" s="12">
        <f t="shared" si="8"/>
        <v>145.9</v>
      </c>
      <c r="AI63" s="11">
        <f t="shared" si="9"/>
        <v>0</v>
      </c>
      <c r="AK63" s="19"/>
    </row>
    <row r="64" spans="1:88" x14ac:dyDescent="0.25">
      <c r="A64" s="87" t="s">
        <v>203</v>
      </c>
      <c r="B64" s="70">
        <v>46</v>
      </c>
      <c r="C64" s="70">
        <v>27</v>
      </c>
      <c r="D64" s="70">
        <v>28</v>
      </c>
      <c r="E64" s="70">
        <v>28</v>
      </c>
      <c r="F64" s="70">
        <v>28</v>
      </c>
      <c r="G64" s="70">
        <v>34.799999999999997</v>
      </c>
      <c r="H64" s="70">
        <v>70</v>
      </c>
      <c r="I64" s="70">
        <v>70</v>
      </c>
      <c r="J64" s="70">
        <v>60</v>
      </c>
      <c r="K64" s="70">
        <v>43.4</v>
      </c>
      <c r="L64" s="70">
        <v>43.6</v>
      </c>
      <c r="M64" s="70">
        <v>46</v>
      </c>
      <c r="N64" s="70">
        <v>47.1</v>
      </c>
      <c r="O64" s="70">
        <v>60.7</v>
      </c>
      <c r="P64" s="70">
        <v>70</v>
      </c>
      <c r="Q64" s="70">
        <v>70</v>
      </c>
      <c r="R64" s="70">
        <v>59.5</v>
      </c>
      <c r="S64" s="70">
        <v>47.9</v>
      </c>
      <c r="T64" s="70">
        <v>50</v>
      </c>
      <c r="U64" s="70">
        <v>34</v>
      </c>
      <c r="V64" s="70">
        <v>35</v>
      </c>
      <c r="W64" s="102">
        <v>34.9</v>
      </c>
      <c r="X64" s="102">
        <v>34.9</v>
      </c>
      <c r="Y64" s="102">
        <v>34.6</v>
      </c>
      <c r="Z64" s="102">
        <v>50.5</v>
      </c>
      <c r="AA64" s="102">
        <v>34.6</v>
      </c>
      <c r="AB64" s="102">
        <v>63</v>
      </c>
      <c r="AC64" s="102">
        <v>69</v>
      </c>
      <c r="AD64" s="102">
        <v>69</v>
      </c>
      <c r="AE64" s="102">
        <v>68.900000000000006</v>
      </c>
      <c r="AF64" s="102">
        <v>65</v>
      </c>
      <c r="AG64" s="86">
        <v>70</v>
      </c>
      <c r="AH64" s="12">
        <f t="shared" si="8"/>
        <v>70</v>
      </c>
      <c r="AI64" s="11">
        <f t="shared" si="9"/>
        <v>27</v>
      </c>
      <c r="AK64" s="19"/>
    </row>
    <row r="65" spans="1:75" x14ac:dyDescent="0.25">
      <c r="A65" s="87" t="s">
        <v>202</v>
      </c>
      <c r="B65" s="70">
        <v>33</v>
      </c>
      <c r="C65" s="70">
        <v>16</v>
      </c>
      <c r="D65" s="70">
        <v>16</v>
      </c>
      <c r="E65" s="70">
        <v>0</v>
      </c>
      <c r="F65" s="70">
        <v>0</v>
      </c>
      <c r="G65" s="70">
        <v>0</v>
      </c>
      <c r="H65" s="70">
        <v>0</v>
      </c>
      <c r="I65" s="70">
        <v>39</v>
      </c>
      <c r="J65" s="70">
        <v>40</v>
      </c>
      <c r="K65" s="70">
        <v>35.4</v>
      </c>
      <c r="L65" s="70">
        <v>35.700000000000003</v>
      </c>
      <c r="M65" s="70">
        <v>35.6</v>
      </c>
      <c r="N65" s="70">
        <v>46.9</v>
      </c>
      <c r="O65" s="70">
        <v>33.9</v>
      </c>
      <c r="P65" s="70">
        <v>46.7</v>
      </c>
      <c r="Q65" s="70">
        <v>46.7</v>
      </c>
      <c r="R65" s="70">
        <v>46.7</v>
      </c>
      <c r="S65" s="70">
        <v>58</v>
      </c>
      <c r="T65" s="70">
        <v>57.9</v>
      </c>
      <c r="U65" s="70">
        <v>70</v>
      </c>
      <c r="V65" s="70">
        <v>54</v>
      </c>
      <c r="W65" s="102">
        <v>69.900000000000006</v>
      </c>
      <c r="X65" s="102">
        <v>69.900000000000006</v>
      </c>
      <c r="Y65" s="102">
        <v>50.4</v>
      </c>
      <c r="Z65" s="102">
        <v>70.099999999999994</v>
      </c>
      <c r="AA65" s="102">
        <v>50.4</v>
      </c>
      <c r="AB65" s="102">
        <v>62.2</v>
      </c>
      <c r="AC65" s="102">
        <v>62</v>
      </c>
      <c r="AD65" s="102">
        <v>62</v>
      </c>
      <c r="AE65" s="102">
        <v>62</v>
      </c>
      <c r="AF65" s="102">
        <v>61</v>
      </c>
      <c r="AG65" s="86">
        <v>69</v>
      </c>
      <c r="AH65" s="12">
        <f t="shared" si="8"/>
        <v>70.099999999999994</v>
      </c>
      <c r="AI65" s="11">
        <f t="shared" si="9"/>
        <v>0</v>
      </c>
      <c r="AK65" s="19"/>
    </row>
    <row r="66" spans="1:75" x14ac:dyDescent="0.25">
      <c r="A66" s="87" t="s">
        <v>201</v>
      </c>
      <c r="B66" s="70">
        <v>48</v>
      </c>
      <c r="C66" s="70">
        <v>48</v>
      </c>
      <c r="D66" s="70">
        <v>48</v>
      </c>
      <c r="E66" s="70">
        <v>48</v>
      </c>
      <c r="F66" s="70">
        <v>60</v>
      </c>
      <c r="G66" s="70">
        <v>60.4</v>
      </c>
      <c r="H66" s="70">
        <v>60.4</v>
      </c>
      <c r="I66" s="70">
        <v>60.4</v>
      </c>
      <c r="J66" s="70">
        <v>60.4</v>
      </c>
      <c r="K66" s="70">
        <v>60.4</v>
      </c>
      <c r="L66" s="122">
        <v>60.4</v>
      </c>
      <c r="M66" s="122">
        <v>60.4</v>
      </c>
      <c r="N66" s="70">
        <v>60.2</v>
      </c>
      <c r="O66" s="70">
        <v>58.7</v>
      </c>
      <c r="P66" s="70">
        <v>54.4</v>
      </c>
      <c r="Q66" s="70">
        <v>54.7</v>
      </c>
      <c r="R66" s="70">
        <v>54.7</v>
      </c>
      <c r="S66" s="70">
        <v>54.4</v>
      </c>
      <c r="T66" s="70">
        <v>54.4</v>
      </c>
      <c r="U66" s="70">
        <v>60.4</v>
      </c>
      <c r="V66" s="70">
        <v>58.5</v>
      </c>
      <c r="W66" s="102">
        <v>52.4</v>
      </c>
      <c r="X66" s="102">
        <v>52.4</v>
      </c>
      <c r="Y66" s="102">
        <v>56.2</v>
      </c>
      <c r="Z66" s="102">
        <v>56.2</v>
      </c>
      <c r="AA66" s="102">
        <v>56.2</v>
      </c>
      <c r="AB66" s="102">
        <v>51.1</v>
      </c>
      <c r="AC66" s="102">
        <v>50.9</v>
      </c>
      <c r="AD66" s="102">
        <v>50.9</v>
      </c>
      <c r="AE66" s="102">
        <v>50.9</v>
      </c>
      <c r="AF66" s="102">
        <v>50.9</v>
      </c>
      <c r="AG66" s="86">
        <v>60</v>
      </c>
      <c r="AH66" s="12">
        <f t="shared" si="8"/>
        <v>60.4</v>
      </c>
      <c r="AI66" s="11">
        <f t="shared" si="9"/>
        <v>48</v>
      </c>
      <c r="AK66" s="19"/>
    </row>
    <row r="67" spans="1:75" x14ac:dyDescent="0.25">
      <c r="A67" s="87" t="s">
        <v>200</v>
      </c>
      <c r="B67" s="102">
        <v>14</v>
      </c>
      <c r="C67" s="102">
        <v>10</v>
      </c>
      <c r="D67" s="102">
        <v>10</v>
      </c>
      <c r="E67" s="102">
        <v>10</v>
      </c>
      <c r="F67" s="102">
        <v>10</v>
      </c>
      <c r="G67" s="70">
        <v>10</v>
      </c>
      <c r="H67" s="70">
        <v>10</v>
      </c>
      <c r="I67" s="70">
        <v>10</v>
      </c>
      <c r="J67" s="70">
        <v>10</v>
      </c>
      <c r="K67" s="70">
        <v>10</v>
      </c>
      <c r="L67" s="122">
        <v>10</v>
      </c>
      <c r="M67" s="122">
        <v>10.199999999999999</v>
      </c>
      <c r="N67" s="70">
        <v>14.8</v>
      </c>
      <c r="O67" s="70">
        <v>14.7</v>
      </c>
      <c r="P67" s="70">
        <v>14.8</v>
      </c>
      <c r="Q67" s="70">
        <v>10</v>
      </c>
      <c r="R67" s="70">
        <v>15</v>
      </c>
      <c r="S67" s="70">
        <v>15</v>
      </c>
      <c r="T67" s="70">
        <v>22.8</v>
      </c>
      <c r="U67" s="70">
        <v>22.4</v>
      </c>
      <c r="V67" s="70">
        <v>0</v>
      </c>
      <c r="W67" s="102">
        <v>0</v>
      </c>
      <c r="X67" s="102">
        <v>0</v>
      </c>
      <c r="Y67" s="102">
        <v>10.1</v>
      </c>
      <c r="Z67" s="102">
        <v>10</v>
      </c>
      <c r="AA67" s="102">
        <v>10.1</v>
      </c>
      <c r="AB67" s="102">
        <v>10.4</v>
      </c>
      <c r="AC67" s="102">
        <v>10.4</v>
      </c>
      <c r="AD67" s="102">
        <v>10.4</v>
      </c>
      <c r="AE67" s="102">
        <v>10.4</v>
      </c>
      <c r="AF67" s="102">
        <v>10.4</v>
      </c>
      <c r="AG67" s="86">
        <v>30</v>
      </c>
      <c r="AH67" s="12">
        <f t="shared" si="8"/>
        <v>22.8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25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0</v>
      </c>
      <c r="K68" s="102">
        <v>0.9</v>
      </c>
      <c r="L68" s="70">
        <v>2.2999999999999998</v>
      </c>
      <c r="M68" s="70">
        <v>2.9</v>
      </c>
      <c r="N68" s="70">
        <v>3.9</v>
      </c>
      <c r="O68" s="70">
        <v>6.1</v>
      </c>
      <c r="P68" s="70">
        <v>12</v>
      </c>
      <c r="Q68" s="70">
        <v>2</v>
      </c>
      <c r="R68" s="70">
        <v>8.3000000000000007</v>
      </c>
      <c r="S68" s="70">
        <v>5.8</v>
      </c>
      <c r="T68" s="70">
        <v>4.9000000000000004</v>
      </c>
      <c r="U68" s="70">
        <v>3.8</v>
      </c>
      <c r="V68" s="70">
        <v>2.2999999999999998</v>
      </c>
      <c r="W68" s="102">
        <v>0.7</v>
      </c>
      <c r="X68" s="102">
        <v>0.7</v>
      </c>
      <c r="Y68" s="102">
        <v>0.7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12</v>
      </c>
      <c r="AI68" s="11">
        <f t="shared" si="9"/>
        <v>0</v>
      </c>
      <c r="AK68" s="19"/>
      <c r="AY68" s="1" t="s">
        <v>198</v>
      </c>
      <c r="AZ68" s="78">
        <f>ROUND(C81,0)</f>
        <v>44</v>
      </c>
      <c r="BA68" s="83">
        <f t="shared" ref="BA68:BD72" si="28">D81</f>
        <v>43</v>
      </c>
      <c r="BB68" s="83">
        <f t="shared" si="28"/>
        <v>52</v>
      </c>
      <c r="BC68" s="83">
        <f t="shared" si="28"/>
        <v>35.799999999999997</v>
      </c>
      <c r="BD68" s="83">
        <f t="shared" si="28"/>
        <v>38</v>
      </c>
      <c r="BE68" s="78">
        <f>I81</f>
        <v>42</v>
      </c>
      <c r="BF68" s="78">
        <f>K81</f>
        <v>66</v>
      </c>
      <c r="BG68" s="78">
        <f t="shared" ref="BG68:BP72" si="29">M81</f>
        <v>63.7</v>
      </c>
      <c r="BH68" s="78">
        <f t="shared" si="29"/>
        <v>64.3</v>
      </c>
      <c r="BI68" s="78">
        <f t="shared" si="29"/>
        <v>65.8</v>
      </c>
      <c r="BJ68" s="78">
        <f t="shared" si="29"/>
        <v>63.4</v>
      </c>
      <c r="BK68" s="78">
        <f t="shared" si="29"/>
        <v>68.2</v>
      </c>
      <c r="BL68" s="78">
        <f t="shared" si="29"/>
        <v>76.599999999999994</v>
      </c>
      <c r="BM68" s="78">
        <f t="shared" si="29"/>
        <v>75</v>
      </c>
      <c r="BN68" s="78">
        <f t="shared" si="29"/>
        <v>70.900000000000006</v>
      </c>
      <c r="BO68" s="78">
        <f t="shared" si="29"/>
        <v>69</v>
      </c>
      <c r="BP68" s="78">
        <f t="shared" si="29"/>
        <v>59</v>
      </c>
      <c r="BQ68" s="78">
        <f>X81</f>
        <v>59</v>
      </c>
      <c r="BR68" s="78">
        <f>Z81</f>
        <v>22.4</v>
      </c>
      <c r="BS68" s="83">
        <f>AB81</f>
        <v>30.5</v>
      </c>
      <c r="BT68" s="83">
        <f t="shared" ref="BT68:BV72" si="30">AD81</f>
        <v>38</v>
      </c>
      <c r="BU68" s="83">
        <f t="shared" si="30"/>
        <v>34.9</v>
      </c>
      <c r="BV68" s="83">
        <f t="shared" si="30"/>
        <v>0</v>
      </c>
      <c r="BW68" s="83">
        <f>B81</f>
        <v>40</v>
      </c>
    </row>
    <row r="69" spans="1:75" x14ac:dyDescent="0.25">
      <c r="A69" s="87" t="s">
        <v>197</v>
      </c>
      <c r="B69" s="70">
        <v>9</v>
      </c>
      <c r="C69" s="70">
        <v>9</v>
      </c>
      <c r="D69" s="70">
        <v>9</v>
      </c>
      <c r="E69" s="70">
        <v>9</v>
      </c>
      <c r="F69" s="70">
        <v>9</v>
      </c>
      <c r="G69" s="70">
        <v>10</v>
      </c>
      <c r="H69" s="70">
        <v>10</v>
      </c>
      <c r="I69" s="70">
        <v>10</v>
      </c>
      <c r="J69" s="70">
        <v>10</v>
      </c>
      <c r="K69" s="70">
        <v>10</v>
      </c>
      <c r="L69" s="70">
        <v>10</v>
      </c>
      <c r="M69" s="70">
        <v>10</v>
      </c>
      <c r="N69" s="70">
        <v>10</v>
      </c>
      <c r="O69" s="70">
        <v>10</v>
      </c>
      <c r="P69" s="70">
        <v>10</v>
      </c>
      <c r="Q69" s="70">
        <v>10</v>
      </c>
      <c r="R69" s="70">
        <v>12.7</v>
      </c>
      <c r="S69" s="70">
        <v>12.6</v>
      </c>
      <c r="T69" s="70">
        <v>12.6</v>
      </c>
      <c r="U69" s="70">
        <v>12.5</v>
      </c>
      <c r="V69" s="70">
        <v>13.4</v>
      </c>
      <c r="W69" s="70">
        <v>13.2</v>
      </c>
      <c r="X69" s="70">
        <v>13.2</v>
      </c>
      <c r="Y69" s="70">
        <v>13.6</v>
      </c>
      <c r="Z69" s="70">
        <v>13.6</v>
      </c>
      <c r="AA69" s="70">
        <v>13.6</v>
      </c>
      <c r="AB69" s="70">
        <v>13.6</v>
      </c>
      <c r="AC69" s="70">
        <v>13.6</v>
      </c>
      <c r="AD69" s="70">
        <v>13.6</v>
      </c>
      <c r="AE69" s="70">
        <v>13.6</v>
      </c>
      <c r="AF69" s="70">
        <v>13.6</v>
      </c>
      <c r="AG69" s="86">
        <v>24</v>
      </c>
      <c r="AH69" s="12">
        <f t="shared" si="8"/>
        <v>13.6</v>
      </c>
      <c r="AI69" s="11">
        <f t="shared" si="9"/>
        <v>9</v>
      </c>
      <c r="AK69" s="19"/>
      <c r="AY69" s="1" t="s">
        <v>196</v>
      </c>
      <c r="AZ69" s="78">
        <f>ROUND(C82,0)</f>
        <v>0</v>
      </c>
      <c r="BA69" s="83">
        <f t="shared" si="28"/>
        <v>0</v>
      </c>
      <c r="BB69" s="83">
        <f t="shared" si="28"/>
        <v>0</v>
      </c>
      <c r="BC69" s="83">
        <f t="shared" si="28"/>
        <v>0</v>
      </c>
      <c r="BD69" s="83">
        <f t="shared" si="28"/>
        <v>0</v>
      </c>
      <c r="BE69" s="78">
        <f>I82</f>
        <v>0</v>
      </c>
      <c r="BF69" s="78">
        <f>K82</f>
        <v>0</v>
      </c>
      <c r="BG69" s="78">
        <f t="shared" si="29"/>
        <v>112</v>
      </c>
      <c r="BH69" s="78">
        <f t="shared" si="29"/>
        <v>105</v>
      </c>
      <c r="BI69" s="78">
        <f t="shared" si="29"/>
        <v>60</v>
      </c>
      <c r="BJ69" s="78">
        <f t="shared" si="29"/>
        <v>35</v>
      </c>
      <c r="BK69" s="78">
        <f t="shared" si="29"/>
        <v>52</v>
      </c>
      <c r="BL69" s="78">
        <f t="shared" si="29"/>
        <v>43.8</v>
      </c>
      <c r="BM69" s="78">
        <f t="shared" si="29"/>
        <v>63.6</v>
      </c>
      <c r="BN69" s="78">
        <f t="shared" si="29"/>
        <v>71.400000000000006</v>
      </c>
      <c r="BO69" s="78">
        <f t="shared" si="29"/>
        <v>69.599999999999994</v>
      </c>
      <c r="BP69" s="78">
        <f t="shared" si="29"/>
        <v>51.8</v>
      </c>
      <c r="BQ69" s="78">
        <f>X82</f>
        <v>51.8</v>
      </c>
      <c r="BR69" s="78">
        <f>Z82</f>
        <v>0</v>
      </c>
      <c r="BS69" s="83">
        <f>AB82</f>
        <v>0</v>
      </c>
      <c r="BT69" s="83">
        <f t="shared" si="30"/>
        <v>0</v>
      </c>
      <c r="BU69" s="83">
        <f t="shared" si="30"/>
        <v>0</v>
      </c>
      <c r="BV69" s="83">
        <f t="shared" si="30"/>
        <v>0</v>
      </c>
      <c r="BW69" s="83">
        <f>B82</f>
        <v>0</v>
      </c>
    </row>
    <row r="70" spans="1:75" x14ac:dyDescent="0.25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18</v>
      </c>
      <c r="BA70" s="83">
        <f t="shared" si="28"/>
        <v>20</v>
      </c>
      <c r="BB70" s="83">
        <f t="shared" si="28"/>
        <v>80</v>
      </c>
      <c r="BC70" s="83">
        <f t="shared" si="28"/>
        <v>40</v>
      </c>
      <c r="BD70" s="83">
        <f t="shared" si="28"/>
        <v>34.9</v>
      </c>
      <c r="BE70" s="78">
        <f>I83</f>
        <v>51.5</v>
      </c>
      <c r="BF70" s="78">
        <f>K83</f>
        <v>310.60000000000002</v>
      </c>
      <c r="BG70" s="78">
        <f t="shared" si="29"/>
        <v>270.60000000000002</v>
      </c>
      <c r="BH70" s="78">
        <f t="shared" si="29"/>
        <v>227.6</v>
      </c>
      <c r="BI70" s="78">
        <f t="shared" si="29"/>
        <v>240</v>
      </c>
      <c r="BJ70" s="78">
        <f t="shared" si="29"/>
        <v>229</v>
      </c>
      <c r="BK70" s="78">
        <f t="shared" si="29"/>
        <v>202</v>
      </c>
      <c r="BL70" s="78">
        <f t="shared" si="29"/>
        <v>206</v>
      </c>
      <c r="BM70" s="78">
        <f t="shared" si="29"/>
        <v>247</v>
      </c>
      <c r="BN70" s="78">
        <f t="shared" si="29"/>
        <v>195.8</v>
      </c>
      <c r="BO70" s="78">
        <f t="shared" si="29"/>
        <v>204</v>
      </c>
      <c r="BP70" s="78">
        <f t="shared" si="29"/>
        <v>146</v>
      </c>
      <c r="BQ70" s="78">
        <f>X83</f>
        <v>146</v>
      </c>
      <c r="BR70" s="78">
        <f>Z83</f>
        <v>96.8</v>
      </c>
      <c r="BS70" s="83">
        <f>AB83</f>
        <v>40.299999999999997</v>
      </c>
      <c r="BT70" s="83">
        <f t="shared" si="30"/>
        <v>3.3</v>
      </c>
      <c r="BU70" s="83">
        <f t="shared" si="30"/>
        <v>0</v>
      </c>
      <c r="BV70" s="83">
        <f t="shared" si="30"/>
        <v>0</v>
      </c>
      <c r="BW70" s="83">
        <f>B83</f>
        <v>77</v>
      </c>
    </row>
    <row r="71" spans="1:75" s="115" customFormat="1" x14ac:dyDescent="0.25">
      <c r="A71" s="87" t="s">
        <v>193</v>
      </c>
      <c r="B71" s="70">
        <v>7.7</v>
      </c>
      <c r="C71" s="70">
        <v>7.7</v>
      </c>
      <c r="D71" s="70">
        <v>7.7</v>
      </c>
      <c r="E71" s="70">
        <v>7.7</v>
      </c>
      <c r="F71" s="70">
        <v>7.7</v>
      </c>
      <c r="G71" s="70">
        <v>9</v>
      </c>
      <c r="H71" s="70">
        <v>9</v>
      </c>
      <c r="I71" s="70">
        <v>9</v>
      </c>
      <c r="J71" s="70">
        <v>9</v>
      </c>
      <c r="K71" s="70">
        <v>9</v>
      </c>
      <c r="L71" s="70">
        <v>9</v>
      </c>
      <c r="M71" s="70">
        <v>7.4</v>
      </c>
      <c r="N71" s="70">
        <v>7.4</v>
      </c>
      <c r="O71" s="70">
        <v>7.4</v>
      </c>
      <c r="P71" s="70">
        <v>7.4</v>
      </c>
      <c r="Q71" s="70">
        <v>7.4</v>
      </c>
      <c r="R71" s="70">
        <v>9.4</v>
      </c>
      <c r="S71" s="70">
        <v>9.4</v>
      </c>
      <c r="T71" s="70">
        <v>9.6</v>
      </c>
      <c r="U71" s="70">
        <v>9.3000000000000007</v>
      </c>
      <c r="V71" s="70">
        <v>9.3000000000000007</v>
      </c>
      <c r="W71" s="70">
        <v>10.6</v>
      </c>
      <c r="X71" s="70">
        <v>10.6</v>
      </c>
      <c r="Y71" s="70">
        <v>10.6</v>
      </c>
      <c r="Z71" s="70">
        <v>10</v>
      </c>
      <c r="AA71" s="70">
        <v>10.6</v>
      </c>
      <c r="AB71" s="70">
        <v>10.6</v>
      </c>
      <c r="AC71" s="70">
        <v>10.6</v>
      </c>
      <c r="AD71" s="70">
        <v>10.6</v>
      </c>
      <c r="AE71" s="70">
        <v>10.6</v>
      </c>
      <c r="AF71" s="70">
        <v>10.6</v>
      </c>
      <c r="AG71" s="86">
        <v>14.1</v>
      </c>
      <c r="AH71" s="12">
        <f t="shared" si="8"/>
        <v>10.6</v>
      </c>
      <c r="AI71" s="11">
        <f t="shared" si="9"/>
        <v>7.4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14</v>
      </c>
      <c r="BA71" s="83">
        <f t="shared" si="28"/>
        <v>15</v>
      </c>
      <c r="BB71" s="83">
        <f t="shared" si="28"/>
        <v>8</v>
      </c>
      <c r="BC71" s="83">
        <f t="shared" si="28"/>
        <v>3.6</v>
      </c>
      <c r="BD71" s="83">
        <f t="shared" si="28"/>
        <v>8.6</v>
      </c>
      <c r="BE71" s="78">
        <f>I84</f>
        <v>8.6</v>
      </c>
      <c r="BF71" s="78">
        <f>K84</f>
        <v>10</v>
      </c>
      <c r="BG71" s="78">
        <f t="shared" si="29"/>
        <v>12.3</v>
      </c>
      <c r="BH71" s="78">
        <f t="shared" si="29"/>
        <v>38.6</v>
      </c>
      <c r="BI71" s="78">
        <f t="shared" si="29"/>
        <v>43.2</v>
      </c>
      <c r="BJ71" s="78">
        <f t="shared" si="29"/>
        <v>42</v>
      </c>
      <c r="BK71" s="78">
        <f t="shared" si="29"/>
        <v>41.1</v>
      </c>
      <c r="BL71" s="78">
        <f t="shared" si="29"/>
        <v>38.799999999999997</v>
      </c>
      <c r="BM71" s="78">
        <f t="shared" si="29"/>
        <v>44.3</v>
      </c>
      <c r="BN71" s="78">
        <f t="shared" si="29"/>
        <v>47.5</v>
      </c>
      <c r="BO71" s="78">
        <f t="shared" si="29"/>
        <v>44.8</v>
      </c>
      <c r="BP71" s="78">
        <f t="shared" si="29"/>
        <v>47.9</v>
      </c>
      <c r="BQ71" s="78">
        <f>X84</f>
        <v>47.9</v>
      </c>
      <c r="BR71" s="78">
        <f>Z84</f>
        <v>0</v>
      </c>
      <c r="BS71" s="83">
        <f>AB84</f>
        <v>0</v>
      </c>
      <c r="BT71" s="83">
        <f t="shared" si="30"/>
        <v>0</v>
      </c>
      <c r="BU71" s="83">
        <f t="shared" si="30"/>
        <v>0</v>
      </c>
      <c r="BV71" s="83">
        <f t="shared" si="30"/>
        <v>0</v>
      </c>
      <c r="BW71" s="83">
        <f>B84</f>
        <v>14</v>
      </c>
    </row>
    <row r="72" spans="1:75" x14ac:dyDescent="0.25">
      <c r="A72" s="111" t="s">
        <v>191</v>
      </c>
      <c r="B72" s="70">
        <v>6.9</v>
      </c>
      <c r="C72" s="70">
        <v>6.9</v>
      </c>
      <c r="D72" s="70">
        <v>6.9</v>
      </c>
      <c r="E72" s="70">
        <v>6.9</v>
      </c>
      <c r="F72" s="70">
        <v>6.9</v>
      </c>
      <c r="G72" s="70">
        <v>6.9</v>
      </c>
      <c r="H72" s="70">
        <v>6.9</v>
      </c>
      <c r="I72" s="70">
        <v>6.9</v>
      </c>
      <c r="J72" s="70">
        <v>6.9</v>
      </c>
      <c r="K72" s="70">
        <v>6.9</v>
      </c>
      <c r="L72" s="70">
        <v>6.9</v>
      </c>
      <c r="M72" s="70">
        <v>7.3</v>
      </c>
      <c r="N72" s="70">
        <v>7.3</v>
      </c>
      <c r="O72" s="70">
        <v>7.3</v>
      </c>
      <c r="P72" s="70">
        <v>7.3</v>
      </c>
      <c r="Q72" s="70">
        <v>7.3</v>
      </c>
      <c r="R72" s="70">
        <v>7.3</v>
      </c>
      <c r="S72" s="70">
        <v>7.3</v>
      </c>
      <c r="T72" s="70">
        <v>7.3</v>
      </c>
      <c r="U72" s="70">
        <v>7.4</v>
      </c>
      <c r="V72" s="70">
        <v>7.4</v>
      </c>
      <c r="W72" s="70">
        <v>7.3</v>
      </c>
      <c r="X72" s="70">
        <v>7.3</v>
      </c>
      <c r="Y72" s="70">
        <v>7.3</v>
      </c>
      <c r="Z72" s="70">
        <v>9.3000000000000007</v>
      </c>
      <c r="AA72" s="70">
        <v>7.3</v>
      </c>
      <c r="AB72" s="70">
        <v>7.3</v>
      </c>
      <c r="AC72" s="70">
        <v>7.3</v>
      </c>
      <c r="AD72" s="70">
        <v>7.3</v>
      </c>
      <c r="AE72" s="70">
        <v>7.3</v>
      </c>
      <c r="AF72" s="70">
        <v>7.3</v>
      </c>
      <c r="AG72" s="86">
        <v>14</v>
      </c>
      <c r="AH72" s="12">
        <f t="shared" si="8"/>
        <v>9.3000000000000007</v>
      </c>
      <c r="AI72" s="11">
        <f t="shared" si="9"/>
        <v>6.9</v>
      </c>
      <c r="AK72" s="19"/>
      <c r="AY72" s="1" t="s">
        <v>190</v>
      </c>
      <c r="AZ72" s="78">
        <f>ROUND(C85,0)</f>
        <v>25</v>
      </c>
      <c r="BA72" s="83">
        <f t="shared" si="28"/>
        <v>25</v>
      </c>
      <c r="BB72" s="83">
        <f t="shared" si="28"/>
        <v>24</v>
      </c>
      <c r="BC72" s="83">
        <f t="shared" si="28"/>
        <v>0</v>
      </c>
      <c r="BD72" s="83">
        <f t="shared" si="28"/>
        <v>0</v>
      </c>
      <c r="BE72" s="78">
        <f>I85</f>
        <v>0</v>
      </c>
      <c r="BF72" s="78">
        <f>K85</f>
        <v>101.3</v>
      </c>
      <c r="BG72" s="78">
        <f t="shared" si="29"/>
        <v>129</v>
      </c>
      <c r="BH72" s="78">
        <f t="shared" si="29"/>
        <v>115</v>
      </c>
      <c r="BI72" s="78">
        <f t="shared" si="29"/>
        <v>131.4</v>
      </c>
      <c r="BJ72" s="78">
        <f t="shared" si="29"/>
        <v>119</v>
      </c>
      <c r="BK72" s="78">
        <f t="shared" si="29"/>
        <v>138.9</v>
      </c>
      <c r="BL72" s="78">
        <f t="shared" si="29"/>
        <v>145</v>
      </c>
      <c r="BM72" s="78">
        <f t="shared" si="29"/>
        <v>128.9</v>
      </c>
      <c r="BN72" s="78">
        <f t="shared" si="29"/>
        <v>129.1</v>
      </c>
      <c r="BO72" s="78">
        <f t="shared" si="29"/>
        <v>119.9</v>
      </c>
      <c r="BP72" s="78">
        <f t="shared" si="29"/>
        <v>136.4</v>
      </c>
      <c r="BQ72" s="78">
        <f>X85</f>
        <v>136.4</v>
      </c>
      <c r="BR72" s="78">
        <f>Z85</f>
        <v>0</v>
      </c>
      <c r="BS72" s="83">
        <f>AB85</f>
        <v>0</v>
      </c>
      <c r="BT72" s="83">
        <f t="shared" si="30"/>
        <v>0</v>
      </c>
      <c r="BU72" s="83">
        <f t="shared" si="30"/>
        <v>0</v>
      </c>
      <c r="BV72" s="83">
        <f t="shared" si="30"/>
        <v>0</v>
      </c>
      <c r="BW72" s="83">
        <f>B85</f>
        <v>25</v>
      </c>
    </row>
    <row r="73" spans="1:75" x14ac:dyDescent="0.25">
      <c r="A73" s="87" t="s">
        <v>189</v>
      </c>
      <c r="B73" s="70">
        <v>4</v>
      </c>
      <c r="C73" s="70">
        <v>4</v>
      </c>
      <c r="D73" s="70">
        <v>4</v>
      </c>
      <c r="E73" s="70">
        <v>4</v>
      </c>
      <c r="F73" s="70">
        <v>4</v>
      </c>
      <c r="G73" s="70">
        <v>4</v>
      </c>
      <c r="H73" s="70">
        <v>4</v>
      </c>
      <c r="I73" s="70">
        <v>4</v>
      </c>
      <c r="J73" s="70">
        <v>4</v>
      </c>
      <c r="K73" s="70">
        <v>4</v>
      </c>
      <c r="L73" s="70">
        <v>4</v>
      </c>
      <c r="M73" s="70">
        <v>4</v>
      </c>
      <c r="N73" s="70">
        <v>4</v>
      </c>
      <c r="O73" s="70">
        <v>4</v>
      </c>
      <c r="P73" s="70">
        <v>4</v>
      </c>
      <c r="Q73" s="70">
        <v>4</v>
      </c>
      <c r="R73" s="70">
        <v>4</v>
      </c>
      <c r="S73" s="70">
        <v>4</v>
      </c>
      <c r="T73" s="70">
        <v>4.2</v>
      </c>
      <c r="U73" s="70">
        <v>4.2</v>
      </c>
      <c r="V73" s="70">
        <v>4.2</v>
      </c>
      <c r="W73" s="70">
        <v>4.2</v>
      </c>
      <c r="X73" s="70">
        <v>4.2</v>
      </c>
      <c r="Y73" s="70">
        <v>4.2</v>
      </c>
      <c r="Z73" s="70">
        <v>4.2</v>
      </c>
      <c r="AA73" s="70">
        <v>4.2</v>
      </c>
      <c r="AB73" s="70">
        <v>4.2</v>
      </c>
      <c r="AC73" s="70">
        <v>4.2</v>
      </c>
      <c r="AD73" s="70">
        <v>4.2</v>
      </c>
      <c r="AE73" s="70">
        <v>4.2</v>
      </c>
      <c r="AF73" s="70">
        <v>4.2</v>
      </c>
      <c r="AG73" s="86">
        <v>10.050000000000001</v>
      </c>
      <c r="AH73" s="12">
        <f t="shared" si="8"/>
        <v>4.2</v>
      </c>
      <c r="AI73" s="11">
        <f t="shared" si="9"/>
        <v>4</v>
      </c>
      <c r="AK73" s="19"/>
      <c r="AY73" s="1" t="s">
        <v>188</v>
      </c>
      <c r="AZ73" s="78">
        <f>ROUND(C91,0)</f>
        <v>43</v>
      </c>
      <c r="BA73" s="78">
        <f>D91</f>
        <v>43</v>
      </c>
      <c r="BB73" s="78">
        <f>E91</f>
        <v>41</v>
      </c>
      <c r="BC73" s="78">
        <f>F91</f>
        <v>40.4</v>
      </c>
      <c r="BD73" s="78">
        <f>G91</f>
        <v>39.299999999999997</v>
      </c>
      <c r="BE73" s="78">
        <f>I91</f>
        <v>39.9</v>
      </c>
      <c r="BF73" s="78">
        <f>K91</f>
        <v>32</v>
      </c>
      <c r="BG73" s="78">
        <f t="shared" ref="BG73:BP73" si="31">M91</f>
        <v>0</v>
      </c>
      <c r="BH73" s="78">
        <f t="shared" si="31"/>
        <v>0</v>
      </c>
      <c r="BI73" s="78">
        <f t="shared" si="31"/>
        <v>0</v>
      </c>
      <c r="BJ73" s="78">
        <f t="shared" si="31"/>
        <v>0</v>
      </c>
      <c r="BK73" s="78">
        <f t="shared" si="31"/>
        <v>0</v>
      </c>
      <c r="BL73" s="78">
        <f t="shared" si="31"/>
        <v>0</v>
      </c>
      <c r="BM73" s="78">
        <f t="shared" si="31"/>
        <v>0</v>
      </c>
      <c r="BN73" s="78">
        <f t="shared" si="31"/>
        <v>0</v>
      </c>
      <c r="BO73" s="78">
        <f t="shared" si="31"/>
        <v>0</v>
      </c>
      <c r="BP73" s="78">
        <f t="shared" si="31"/>
        <v>0</v>
      </c>
      <c r="BQ73" s="78">
        <f>X91</f>
        <v>0</v>
      </c>
      <c r="BR73" s="78">
        <f>Z91</f>
        <v>0</v>
      </c>
      <c r="BS73" s="78">
        <f>AB91</f>
        <v>0</v>
      </c>
      <c r="BT73" s="78">
        <f>AD91</f>
        <v>0</v>
      </c>
      <c r="BU73" s="78">
        <f>AE91</f>
        <v>25</v>
      </c>
      <c r="BV73" s="78">
        <f>AF91</f>
        <v>0</v>
      </c>
      <c r="BW73" s="78">
        <f>B91</f>
        <v>43</v>
      </c>
    </row>
    <row r="74" spans="1:75" x14ac:dyDescent="0.25">
      <c r="A74" s="87" t="s">
        <v>187</v>
      </c>
      <c r="B74" s="70">
        <v>2</v>
      </c>
      <c r="C74" s="70">
        <v>2</v>
      </c>
      <c r="D74" s="70">
        <v>2</v>
      </c>
      <c r="E74" s="70">
        <v>2</v>
      </c>
      <c r="F74" s="70">
        <v>2</v>
      </c>
      <c r="G74" s="70">
        <v>2</v>
      </c>
      <c r="H74" s="70">
        <v>2</v>
      </c>
      <c r="I74" s="70">
        <v>2</v>
      </c>
      <c r="J74" s="70">
        <v>2</v>
      </c>
      <c r="K74" s="70">
        <v>2</v>
      </c>
      <c r="L74" s="70">
        <v>2</v>
      </c>
      <c r="M74" s="70">
        <v>2</v>
      </c>
      <c r="N74" s="70">
        <v>2</v>
      </c>
      <c r="O74" s="70">
        <v>2</v>
      </c>
      <c r="P74" s="70">
        <v>2</v>
      </c>
      <c r="Q74" s="70">
        <v>2</v>
      </c>
      <c r="R74" s="70">
        <v>2</v>
      </c>
      <c r="S74" s="70">
        <v>2</v>
      </c>
      <c r="T74" s="70">
        <v>2</v>
      </c>
      <c r="U74" s="70">
        <v>2</v>
      </c>
      <c r="V74" s="70">
        <v>2</v>
      </c>
      <c r="W74" s="70">
        <v>2</v>
      </c>
      <c r="X74" s="70">
        <v>2</v>
      </c>
      <c r="Y74" s="70">
        <v>2</v>
      </c>
      <c r="Z74" s="70">
        <v>2</v>
      </c>
      <c r="AA74" s="70">
        <v>2</v>
      </c>
      <c r="AB74" s="70">
        <v>2</v>
      </c>
      <c r="AC74" s="70">
        <v>2</v>
      </c>
      <c r="AD74" s="70">
        <v>2</v>
      </c>
      <c r="AE74" s="70">
        <v>2</v>
      </c>
      <c r="AF74" s="70">
        <v>2</v>
      </c>
      <c r="AG74" s="86">
        <v>6.2</v>
      </c>
      <c r="AH74" s="12">
        <f t="shared" si="8"/>
        <v>2</v>
      </c>
      <c r="AI74" s="11">
        <f t="shared" si="9"/>
        <v>2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.75" thickBot="1" x14ac:dyDescent="0.3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3.54</v>
      </c>
      <c r="Z75" s="113">
        <v>3.5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3.54</v>
      </c>
      <c r="AI75" s="11">
        <f t="shared" si="9"/>
        <v>3.5</v>
      </c>
      <c r="AK75" s="19"/>
      <c r="AZ75" s="78">
        <f t="shared" ref="AZ75:BW80" si="32">VALUE(AZ68)</f>
        <v>44</v>
      </c>
      <c r="BA75" s="78">
        <f t="shared" si="32"/>
        <v>43</v>
      </c>
      <c r="BB75" s="78">
        <f t="shared" si="32"/>
        <v>52</v>
      </c>
      <c r="BC75" s="78">
        <f t="shared" si="32"/>
        <v>35.799999999999997</v>
      </c>
      <c r="BD75" s="78">
        <f t="shared" si="32"/>
        <v>38</v>
      </c>
      <c r="BE75" s="78">
        <f t="shared" si="32"/>
        <v>42</v>
      </c>
      <c r="BF75" s="78">
        <f t="shared" si="32"/>
        <v>66</v>
      </c>
      <c r="BG75" s="78">
        <f t="shared" si="32"/>
        <v>63.7</v>
      </c>
      <c r="BH75" s="78">
        <f t="shared" si="32"/>
        <v>64.3</v>
      </c>
      <c r="BI75" s="78">
        <f t="shared" si="32"/>
        <v>65.8</v>
      </c>
      <c r="BJ75" s="78">
        <f t="shared" si="32"/>
        <v>63.4</v>
      </c>
      <c r="BK75" s="78">
        <f t="shared" si="32"/>
        <v>68.2</v>
      </c>
      <c r="BL75" s="78">
        <f t="shared" si="32"/>
        <v>76.599999999999994</v>
      </c>
      <c r="BM75" s="78">
        <f t="shared" si="32"/>
        <v>75</v>
      </c>
      <c r="BN75" s="78">
        <f t="shared" si="32"/>
        <v>70.900000000000006</v>
      </c>
      <c r="BO75" s="78">
        <f t="shared" si="32"/>
        <v>69</v>
      </c>
      <c r="BP75" s="78">
        <f t="shared" si="32"/>
        <v>59</v>
      </c>
      <c r="BQ75" s="78">
        <f t="shared" si="32"/>
        <v>59</v>
      </c>
      <c r="BR75" s="78">
        <f t="shared" si="32"/>
        <v>22.4</v>
      </c>
      <c r="BS75" s="78">
        <f t="shared" si="32"/>
        <v>30.5</v>
      </c>
      <c r="BT75" s="78">
        <f t="shared" si="32"/>
        <v>38</v>
      </c>
      <c r="BU75" s="78">
        <f t="shared" si="32"/>
        <v>34.9</v>
      </c>
      <c r="BV75" s="78">
        <f t="shared" si="32"/>
        <v>0</v>
      </c>
      <c r="BW75" s="78">
        <f t="shared" si="32"/>
        <v>40</v>
      </c>
    </row>
    <row r="76" spans="1:75" ht="15.75" thickBot="1" x14ac:dyDescent="0.3">
      <c r="A76" s="77" t="s">
        <v>186</v>
      </c>
      <c r="B76" s="76">
        <f t="shared" ref="B76:AG76" si="33">SUM(B63:B75)</f>
        <v>271.14</v>
      </c>
      <c r="C76" s="76">
        <f t="shared" si="33"/>
        <v>194.14</v>
      </c>
      <c r="D76" s="76">
        <f t="shared" si="33"/>
        <v>183.14</v>
      </c>
      <c r="E76" s="76">
        <f t="shared" si="33"/>
        <v>119.14000000000001</v>
      </c>
      <c r="F76" s="76">
        <f t="shared" si="33"/>
        <v>179.14</v>
      </c>
      <c r="G76" s="76">
        <f t="shared" si="33"/>
        <v>176.24</v>
      </c>
      <c r="H76" s="76">
        <f t="shared" si="33"/>
        <v>211.24</v>
      </c>
      <c r="I76" s="76">
        <f t="shared" si="33"/>
        <v>244.84</v>
      </c>
      <c r="J76" s="76">
        <f t="shared" si="33"/>
        <v>270.84000000000003</v>
      </c>
      <c r="K76" s="76">
        <f t="shared" si="33"/>
        <v>240.84</v>
      </c>
      <c r="L76" s="76">
        <f t="shared" si="33"/>
        <v>257.44000000000005</v>
      </c>
      <c r="M76" s="76">
        <f t="shared" si="33"/>
        <v>270.24</v>
      </c>
      <c r="N76" s="76">
        <f t="shared" si="33"/>
        <v>319.44</v>
      </c>
      <c r="O76" s="76">
        <f t="shared" si="33"/>
        <v>354.24000000000007</v>
      </c>
      <c r="P76" s="76">
        <f t="shared" si="33"/>
        <v>333.44</v>
      </c>
      <c r="Q76" s="76">
        <f t="shared" si="33"/>
        <v>344.44</v>
      </c>
      <c r="R76" s="76">
        <f t="shared" si="33"/>
        <v>349.34</v>
      </c>
      <c r="S76" s="76">
        <f t="shared" si="33"/>
        <v>321.44000000000005</v>
      </c>
      <c r="T76" s="76">
        <f t="shared" si="33"/>
        <v>340.84000000000003</v>
      </c>
      <c r="U76" s="76">
        <f t="shared" si="33"/>
        <v>365.53999999999996</v>
      </c>
      <c r="V76" s="76">
        <f t="shared" si="33"/>
        <v>333.64</v>
      </c>
      <c r="W76" s="76">
        <f t="shared" si="33"/>
        <v>331.94</v>
      </c>
      <c r="X76" s="76">
        <f t="shared" ref="X76:Y76" si="34">SUM(X63:X75)</f>
        <v>331.94</v>
      </c>
      <c r="Y76" s="76">
        <f t="shared" si="34"/>
        <v>315.44000000000011</v>
      </c>
      <c r="Z76" s="76">
        <f>SUM(Z63:Z75)</f>
        <v>330.40000000000003</v>
      </c>
      <c r="AA76" s="76">
        <f t="shared" ref="AA76" si="35">SUM(AA63:AA75)</f>
        <v>314.74000000000012</v>
      </c>
      <c r="AB76" s="76">
        <f t="shared" si="33"/>
        <v>343.54000000000008</v>
      </c>
      <c r="AC76" s="76">
        <f t="shared" si="33"/>
        <v>354.54</v>
      </c>
      <c r="AD76" s="76">
        <f t="shared" si="33"/>
        <v>345.54</v>
      </c>
      <c r="AE76" s="76">
        <f t="shared" si="33"/>
        <v>354.44000000000005</v>
      </c>
      <c r="AF76" s="76">
        <f t="shared" si="33"/>
        <v>288.54000000000008</v>
      </c>
      <c r="AG76" s="93">
        <f t="shared" si="33"/>
        <v>489.91</v>
      </c>
      <c r="AH76" s="12">
        <f t="shared" si="8"/>
        <v>365.53999999999996</v>
      </c>
      <c r="AI76" s="11">
        <f t="shared" si="9"/>
        <v>119.14000000000001</v>
      </c>
      <c r="AK76" s="19"/>
      <c r="AZ76" s="78">
        <f t="shared" si="32"/>
        <v>0</v>
      </c>
      <c r="BA76" s="78">
        <f t="shared" si="32"/>
        <v>0</v>
      </c>
      <c r="BB76" s="78">
        <f t="shared" si="32"/>
        <v>0</v>
      </c>
      <c r="BC76" s="78">
        <f t="shared" si="32"/>
        <v>0</v>
      </c>
      <c r="BD76" s="78">
        <f t="shared" si="32"/>
        <v>0</v>
      </c>
      <c r="BE76" s="78">
        <f t="shared" si="32"/>
        <v>0</v>
      </c>
      <c r="BF76" s="78">
        <f t="shared" si="32"/>
        <v>0</v>
      </c>
      <c r="BG76" s="78">
        <f t="shared" si="32"/>
        <v>112</v>
      </c>
      <c r="BH76" s="78">
        <f t="shared" si="32"/>
        <v>105</v>
      </c>
      <c r="BI76" s="78">
        <f t="shared" si="32"/>
        <v>60</v>
      </c>
      <c r="BJ76" s="78">
        <f t="shared" si="32"/>
        <v>35</v>
      </c>
      <c r="BK76" s="78">
        <f t="shared" si="32"/>
        <v>52</v>
      </c>
      <c r="BL76" s="78">
        <f t="shared" si="32"/>
        <v>43.8</v>
      </c>
      <c r="BM76" s="78">
        <f t="shared" si="32"/>
        <v>63.6</v>
      </c>
      <c r="BN76" s="78">
        <f t="shared" si="32"/>
        <v>71.400000000000006</v>
      </c>
      <c r="BO76" s="78">
        <f t="shared" si="32"/>
        <v>69.599999999999994</v>
      </c>
      <c r="BP76" s="78">
        <f t="shared" si="32"/>
        <v>51.8</v>
      </c>
      <c r="BQ76" s="78">
        <f t="shared" si="32"/>
        <v>51.8</v>
      </c>
      <c r="BR76" s="78">
        <f t="shared" si="32"/>
        <v>0</v>
      </c>
      <c r="BS76" s="78">
        <f t="shared" si="32"/>
        <v>0</v>
      </c>
      <c r="BT76" s="78">
        <f t="shared" si="32"/>
        <v>0</v>
      </c>
      <c r="BU76" s="78">
        <f t="shared" si="32"/>
        <v>0</v>
      </c>
      <c r="BV76" s="78">
        <f t="shared" si="32"/>
        <v>0</v>
      </c>
      <c r="BW76" s="78">
        <f t="shared" si="32"/>
        <v>0</v>
      </c>
    </row>
    <row r="77" spans="1:75" x14ac:dyDescent="0.25">
      <c r="A77" s="89" t="s">
        <v>185</v>
      </c>
      <c r="B77" s="102">
        <v>0</v>
      </c>
      <c r="C77" s="102">
        <v>0</v>
      </c>
      <c r="D77" s="102">
        <v>0</v>
      </c>
      <c r="E77" s="102">
        <v>0</v>
      </c>
      <c r="F77" s="102">
        <v>0</v>
      </c>
      <c r="G77" s="102">
        <v>0</v>
      </c>
      <c r="H77" s="102">
        <v>0</v>
      </c>
      <c r="I77" s="102">
        <v>0</v>
      </c>
      <c r="J77" s="102">
        <v>0</v>
      </c>
      <c r="K77" s="102">
        <v>0</v>
      </c>
      <c r="L77" s="102">
        <v>0</v>
      </c>
      <c r="M77" s="102">
        <v>0</v>
      </c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>
        <v>40</v>
      </c>
      <c r="AA77" s="102">
        <v>40.6</v>
      </c>
      <c r="AB77" s="102">
        <v>59</v>
      </c>
      <c r="AC77" s="102">
        <v>20</v>
      </c>
      <c r="AD77" s="102">
        <v>14.3</v>
      </c>
      <c r="AE77" s="102">
        <v>0</v>
      </c>
      <c r="AF77" s="102"/>
      <c r="AG77" s="88">
        <v>60</v>
      </c>
      <c r="AH77" s="12">
        <f t="shared" si="8"/>
        <v>59</v>
      </c>
      <c r="AI77" s="11">
        <f t="shared" si="9"/>
        <v>0</v>
      </c>
      <c r="AK77" s="19"/>
      <c r="AZ77" s="78">
        <f t="shared" si="32"/>
        <v>18</v>
      </c>
      <c r="BA77" s="78">
        <f t="shared" si="32"/>
        <v>20</v>
      </c>
      <c r="BB77" s="78">
        <f t="shared" si="32"/>
        <v>80</v>
      </c>
      <c r="BC77" s="78">
        <f t="shared" si="32"/>
        <v>40</v>
      </c>
      <c r="BD77" s="78">
        <f t="shared" si="32"/>
        <v>34.9</v>
      </c>
      <c r="BE77" s="78">
        <f t="shared" si="32"/>
        <v>51.5</v>
      </c>
      <c r="BF77" s="78">
        <f t="shared" si="32"/>
        <v>310.60000000000002</v>
      </c>
      <c r="BG77" s="78">
        <f t="shared" si="32"/>
        <v>270.60000000000002</v>
      </c>
      <c r="BH77" s="78">
        <f t="shared" si="32"/>
        <v>227.6</v>
      </c>
      <c r="BI77" s="78">
        <f t="shared" si="32"/>
        <v>240</v>
      </c>
      <c r="BJ77" s="78">
        <f t="shared" si="32"/>
        <v>229</v>
      </c>
      <c r="BK77" s="78">
        <f t="shared" si="32"/>
        <v>202</v>
      </c>
      <c r="BL77" s="78">
        <f t="shared" si="32"/>
        <v>206</v>
      </c>
      <c r="BM77" s="78">
        <f t="shared" si="32"/>
        <v>247</v>
      </c>
      <c r="BN77" s="78">
        <f t="shared" si="32"/>
        <v>195.8</v>
      </c>
      <c r="BO77" s="78">
        <f t="shared" si="32"/>
        <v>204</v>
      </c>
      <c r="BP77" s="78">
        <f t="shared" si="32"/>
        <v>146</v>
      </c>
      <c r="BQ77" s="78">
        <f t="shared" si="32"/>
        <v>146</v>
      </c>
      <c r="BR77" s="78">
        <f t="shared" si="32"/>
        <v>96.8</v>
      </c>
      <c r="BS77" s="78">
        <f t="shared" si="32"/>
        <v>40.299999999999997</v>
      </c>
      <c r="BT77" s="78">
        <f t="shared" si="32"/>
        <v>3.3</v>
      </c>
      <c r="BU77" s="78">
        <f t="shared" si="32"/>
        <v>0</v>
      </c>
      <c r="BV77" s="78">
        <f t="shared" si="32"/>
        <v>0</v>
      </c>
      <c r="BW77" s="78">
        <f t="shared" si="32"/>
        <v>77</v>
      </c>
    </row>
    <row r="78" spans="1:75" x14ac:dyDescent="0.25">
      <c r="A78" s="87" t="s">
        <v>184</v>
      </c>
      <c r="B78" s="70">
        <v>8</v>
      </c>
      <c r="C78" s="70">
        <v>0</v>
      </c>
      <c r="D78" s="70">
        <v>0</v>
      </c>
      <c r="E78" s="70">
        <v>0</v>
      </c>
      <c r="F78" s="70">
        <v>0</v>
      </c>
      <c r="G78" s="70">
        <v>0</v>
      </c>
      <c r="H78" s="70">
        <v>0</v>
      </c>
      <c r="I78" s="70">
        <v>0</v>
      </c>
      <c r="J78" s="70">
        <v>0</v>
      </c>
      <c r="K78" s="70">
        <v>0</v>
      </c>
      <c r="L78" s="70">
        <v>0</v>
      </c>
      <c r="M78" s="70">
        <v>0</v>
      </c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>
        <v>18.5</v>
      </c>
      <c r="AA78" s="70">
        <v>17.3</v>
      </c>
      <c r="AB78" s="70">
        <v>28.7</v>
      </c>
      <c r="AC78" s="70">
        <v>14</v>
      </c>
      <c r="AD78" s="70">
        <v>6</v>
      </c>
      <c r="AE78" s="70">
        <v>0</v>
      </c>
      <c r="AF78" s="70"/>
      <c r="AG78" s="86">
        <v>32</v>
      </c>
      <c r="AH78" s="12">
        <f t="shared" si="8"/>
        <v>28.7</v>
      </c>
      <c r="AI78" s="11">
        <f t="shared" si="9"/>
        <v>0</v>
      </c>
      <c r="AK78" s="19"/>
      <c r="AZ78" s="78">
        <f t="shared" si="32"/>
        <v>14</v>
      </c>
      <c r="BA78" s="78">
        <f t="shared" si="32"/>
        <v>15</v>
      </c>
      <c r="BB78" s="78">
        <f t="shared" si="32"/>
        <v>8</v>
      </c>
      <c r="BC78" s="78">
        <f t="shared" si="32"/>
        <v>3.6</v>
      </c>
      <c r="BD78" s="78">
        <f t="shared" si="32"/>
        <v>8.6</v>
      </c>
      <c r="BE78" s="78">
        <f t="shared" si="32"/>
        <v>8.6</v>
      </c>
      <c r="BF78" s="78">
        <f t="shared" si="32"/>
        <v>10</v>
      </c>
      <c r="BG78" s="78">
        <f t="shared" si="32"/>
        <v>12.3</v>
      </c>
      <c r="BH78" s="78">
        <f t="shared" si="32"/>
        <v>38.6</v>
      </c>
      <c r="BI78" s="78">
        <f t="shared" si="32"/>
        <v>43.2</v>
      </c>
      <c r="BJ78" s="78">
        <f t="shared" si="32"/>
        <v>42</v>
      </c>
      <c r="BK78" s="78">
        <f t="shared" si="32"/>
        <v>41.1</v>
      </c>
      <c r="BL78" s="78">
        <f t="shared" si="32"/>
        <v>38.799999999999997</v>
      </c>
      <c r="BM78" s="78">
        <f t="shared" si="32"/>
        <v>44.3</v>
      </c>
      <c r="BN78" s="78">
        <f t="shared" si="32"/>
        <v>47.5</v>
      </c>
      <c r="BO78" s="78">
        <f t="shared" si="32"/>
        <v>44.8</v>
      </c>
      <c r="BP78" s="78">
        <f t="shared" si="32"/>
        <v>47.9</v>
      </c>
      <c r="BQ78" s="78">
        <f t="shared" si="32"/>
        <v>47.9</v>
      </c>
      <c r="BR78" s="78">
        <f t="shared" si="32"/>
        <v>0</v>
      </c>
      <c r="BS78" s="78">
        <f t="shared" si="32"/>
        <v>0</v>
      </c>
      <c r="BT78" s="78">
        <f t="shared" si="32"/>
        <v>0</v>
      </c>
      <c r="BU78" s="78">
        <f t="shared" si="32"/>
        <v>0</v>
      </c>
      <c r="BV78" s="78">
        <f t="shared" si="32"/>
        <v>0</v>
      </c>
      <c r="BW78" s="78">
        <f t="shared" si="32"/>
        <v>14</v>
      </c>
    </row>
    <row r="79" spans="1:75" ht="15.75" thickBot="1" x14ac:dyDescent="0.3">
      <c r="A79" s="111" t="s">
        <v>183</v>
      </c>
      <c r="B79" s="110">
        <v>3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>
        <v>6.8</v>
      </c>
      <c r="AA79" s="110">
        <v>6.3</v>
      </c>
      <c r="AB79" s="110">
        <v>10.5</v>
      </c>
      <c r="AC79" s="110">
        <v>5.2</v>
      </c>
      <c r="AD79" s="110">
        <v>2.2000000000000002</v>
      </c>
      <c r="AE79" s="110">
        <v>0</v>
      </c>
      <c r="AF79" s="110"/>
      <c r="AG79" s="109">
        <v>14</v>
      </c>
      <c r="AH79" s="12">
        <f t="shared" si="8"/>
        <v>10.5</v>
      </c>
      <c r="AI79" s="11">
        <f t="shared" si="9"/>
        <v>0</v>
      </c>
      <c r="AK79" s="19"/>
      <c r="AZ79" s="78">
        <f t="shared" si="32"/>
        <v>25</v>
      </c>
      <c r="BA79" s="78">
        <f t="shared" si="32"/>
        <v>25</v>
      </c>
      <c r="BB79" s="78">
        <f t="shared" si="32"/>
        <v>24</v>
      </c>
      <c r="BC79" s="78">
        <f t="shared" si="32"/>
        <v>0</v>
      </c>
      <c r="BD79" s="78">
        <f t="shared" si="32"/>
        <v>0</v>
      </c>
      <c r="BE79" s="78">
        <f t="shared" si="32"/>
        <v>0</v>
      </c>
      <c r="BF79" s="78">
        <f t="shared" si="32"/>
        <v>101.3</v>
      </c>
      <c r="BG79" s="78">
        <f t="shared" si="32"/>
        <v>129</v>
      </c>
      <c r="BH79" s="78">
        <f t="shared" si="32"/>
        <v>115</v>
      </c>
      <c r="BI79" s="78">
        <f t="shared" si="32"/>
        <v>131.4</v>
      </c>
      <c r="BJ79" s="78">
        <f t="shared" si="32"/>
        <v>119</v>
      </c>
      <c r="BK79" s="78">
        <f t="shared" si="32"/>
        <v>138.9</v>
      </c>
      <c r="BL79" s="78">
        <f t="shared" si="32"/>
        <v>145</v>
      </c>
      <c r="BM79" s="78">
        <f t="shared" si="32"/>
        <v>128.9</v>
      </c>
      <c r="BN79" s="78">
        <f t="shared" si="32"/>
        <v>129.1</v>
      </c>
      <c r="BO79" s="78">
        <f t="shared" si="32"/>
        <v>119.9</v>
      </c>
      <c r="BP79" s="78">
        <f t="shared" si="32"/>
        <v>136.4</v>
      </c>
      <c r="BQ79" s="78">
        <f t="shared" si="32"/>
        <v>136.4</v>
      </c>
      <c r="BR79" s="78">
        <f t="shared" si="32"/>
        <v>0</v>
      </c>
      <c r="BS79" s="78">
        <f t="shared" si="32"/>
        <v>0</v>
      </c>
      <c r="BT79" s="78">
        <f t="shared" si="32"/>
        <v>0</v>
      </c>
      <c r="BU79" s="78">
        <f t="shared" si="32"/>
        <v>0</v>
      </c>
      <c r="BV79" s="78">
        <f t="shared" si="32"/>
        <v>0</v>
      </c>
      <c r="BW79" s="78">
        <f t="shared" si="32"/>
        <v>25</v>
      </c>
    </row>
    <row r="80" spans="1:75" ht="15.75" thickBot="1" x14ac:dyDescent="0.3">
      <c r="A80" s="77" t="s">
        <v>182</v>
      </c>
      <c r="B80" s="76">
        <f t="shared" ref="B80:AF80" si="36">B77+B78+B79</f>
        <v>11</v>
      </c>
      <c r="C80" s="76">
        <f t="shared" si="36"/>
        <v>0</v>
      </c>
      <c r="D80" s="76">
        <f t="shared" si="36"/>
        <v>0</v>
      </c>
      <c r="E80" s="76">
        <f t="shared" si="36"/>
        <v>0</v>
      </c>
      <c r="F80" s="76">
        <f t="shared" si="36"/>
        <v>0</v>
      </c>
      <c r="G80" s="76">
        <f t="shared" si="36"/>
        <v>0</v>
      </c>
      <c r="H80" s="76">
        <f t="shared" si="36"/>
        <v>0</v>
      </c>
      <c r="I80" s="76">
        <f t="shared" si="36"/>
        <v>0</v>
      </c>
      <c r="J80" s="76">
        <f t="shared" si="36"/>
        <v>0</v>
      </c>
      <c r="K80" s="76">
        <f t="shared" si="36"/>
        <v>0</v>
      </c>
      <c r="L80" s="76">
        <f t="shared" si="36"/>
        <v>0</v>
      </c>
      <c r="M80" s="76">
        <f t="shared" si="36"/>
        <v>0</v>
      </c>
      <c r="N80" s="76">
        <f t="shared" si="36"/>
        <v>0</v>
      </c>
      <c r="O80" s="76">
        <f t="shared" si="36"/>
        <v>0</v>
      </c>
      <c r="P80" s="76">
        <f t="shared" si="36"/>
        <v>0</v>
      </c>
      <c r="Q80" s="76">
        <f t="shared" si="36"/>
        <v>0</v>
      </c>
      <c r="R80" s="76">
        <f t="shared" si="36"/>
        <v>0</v>
      </c>
      <c r="S80" s="76">
        <f t="shared" si="36"/>
        <v>0</v>
      </c>
      <c r="T80" s="76">
        <f t="shared" si="36"/>
        <v>0</v>
      </c>
      <c r="U80" s="76">
        <f t="shared" si="36"/>
        <v>0</v>
      </c>
      <c r="V80" s="76">
        <f t="shared" si="36"/>
        <v>0</v>
      </c>
      <c r="W80" s="76">
        <f t="shared" si="36"/>
        <v>0</v>
      </c>
      <c r="X80" s="76">
        <f t="shared" ref="X80:Y80" si="37">X77+X78+X79</f>
        <v>0</v>
      </c>
      <c r="Y80" s="76">
        <f t="shared" si="37"/>
        <v>0</v>
      </c>
      <c r="Z80" s="76">
        <f>Z77+Z78+Z79</f>
        <v>65.3</v>
      </c>
      <c r="AA80" s="76">
        <f t="shared" ref="AA80" si="38">AA77+AA78+AA79</f>
        <v>64.2</v>
      </c>
      <c r="AB80" s="76">
        <f t="shared" si="36"/>
        <v>98.2</v>
      </c>
      <c r="AC80" s="76">
        <f t="shared" si="36"/>
        <v>39.200000000000003</v>
      </c>
      <c r="AD80" s="76">
        <f t="shared" si="36"/>
        <v>22.5</v>
      </c>
      <c r="AE80" s="76">
        <f t="shared" si="36"/>
        <v>0</v>
      </c>
      <c r="AF80" s="76">
        <f t="shared" si="36"/>
        <v>0</v>
      </c>
      <c r="AG80" s="93">
        <f>SUM(AG77:AG79)</f>
        <v>106</v>
      </c>
      <c r="AH80" s="12">
        <f t="shared" si="8"/>
        <v>98.2</v>
      </c>
      <c r="AI80" s="11">
        <f t="shared" si="9"/>
        <v>0</v>
      </c>
      <c r="AK80" s="19"/>
      <c r="AZ80" s="78">
        <f t="shared" si="32"/>
        <v>43</v>
      </c>
      <c r="BA80" s="78">
        <f t="shared" si="32"/>
        <v>43</v>
      </c>
      <c r="BB80" s="78">
        <f t="shared" si="32"/>
        <v>41</v>
      </c>
      <c r="BC80" s="78">
        <f t="shared" si="32"/>
        <v>40.4</v>
      </c>
      <c r="BD80" s="78">
        <f t="shared" si="32"/>
        <v>39.299999999999997</v>
      </c>
      <c r="BE80" s="78">
        <f t="shared" si="32"/>
        <v>39.9</v>
      </c>
      <c r="BF80" s="78">
        <f t="shared" si="32"/>
        <v>32</v>
      </c>
      <c r="BG80" s="78">
        <f t="shared" si="32"/>
        <v>0</v>
      </c>
      <c r="BH80" s="78">
        <f t="shared" si="32"/>
        <v>0</v>
      </c>
      <c r="BI80" s="78">
        <f t="shared" si="32"/>
        <v>0</v>
      </c>
      <c r="BJ80" s="78">
        <f t="shared" si="32"/>
        <v>0</v>
      </c>
      <c r="BK80" s="78">
        <f t="shared" si="32"/>
        <v>0</v>
      </c>
      <c r="BL80" s="78">
        <f t="shared" si="32"/>
        <v>0</v>
      </c>
      <c r="BM80" s="78">
        <f t="shared" si="32"/>
        <v>0</v>
      </c>
      <c r="BN80" s="78">
        <f t="shared" si="32"/>
        <v>0</v>
      </c>
      <c r="BO80" s="78">
        <f t="shared" si="32"/>
        <v>0</v>
      </c>
      <c r="BP80" s="78">
        <f t="shared" si="32"/>
        <v>0</v>
      </c>
      <c r="BQ80" s="78">
        <f t="shared" si="32"/>
        <v>0</v>
      </c>
      <c r="BR80" s="78">
        <f t="shared" si="32"/>
        <v>0</v>
      </c>
      <c r="BS80" s="78">
        <f t="shared" si="32"/>
        <v>0</v>
      </c>
      <c r="BT80" s="78">
        <f t="shared" si="32"/>
        <v>0</v>
      </c>
      <c r="BU80" s="78">
        <f t="shared" si="32"/>
        <v>25</v>
      </c>
      <c r="BV80" s="78">
        <f t="shared" si="32"/>
        <v>0</v>
      </c>
      <c r="BW80" s="78">
        <f t="shared" si="32"/>
        <v>43</v>
      </c>
    </row>
    <row r="81" spans="1:64" x14ac:dyDescent="0.25">
      <c r="A81" s="89" t="s">
        <v>157</v>
      </c>
      <c r="B81" s="102">
        <v>40</v>
      </c>
      <c r="C81" s="102">
        <v>44</v>
      </c>
      <c r="D81" s="102">
        <v>43</v>
      </c>
      <c r="E81" s="102">
        <v>52</v>
      </c>
      <c r="F81" s="102">
        <v>35.799999999999997</v>
      </c>
      <c r="G81" s="102">
        <v>38</v>
      </c>
      <c r="H81" s="102">
        <v>39</v>
      </c>
      <c r="I81" s="102">
        <v>42</v>
      </c>
      <c r="J81" s="102">
        <v>64</v>
      </c>
      <c r="K81" s="102">
        <v>66</v>
      </c>
      <c r="L81" s="102">
        <v>58</v>
      </c>
      <c r="M81" s="102">
        <v>63.7</v>
      </c>
      <c r="N81" s="102">
        <v>64.3</v>
      </c>
      <c r="O81" s="102">
        <v>65.8</v>
      </c>
      <c r="P81" s="102">
        <v>63.4</v>
      </c>
      <c r="Q81" s="102">
        <v>68.2</v>
      </c>
      <c r="R81" s="102">
        <v>76.599999999999994</v>
      </c>
      <c r="S81" s="102">
        <v>75</v>
      </c>
      <c r="T81" s="102">
        <v>70.900000000000006</v>
      </c>
      <c r="U81" s="102">
        <v>69</v>
      </c>
      <c r="V81" s="102">
        <v>59</v>
      </c>
      <c r="W81" s="102">
        <v>49</v>
      </c>
      <c r="X81" s="102">
        <v>59</v>
      </c>
      <c r="Y81" s="102">
        <v>29.8</v>
      </c>
      <c r="Z81" s="102">
        <v>22.4</v>
      </c>
      <c r="AA81" s="102">
        <v>29.8</v>
      </c>
      <c r="AB81" s="102">
        <v>30.5</v>
      </c>
      <c r="AC81" s="102">
        <v>31</v>
      </c>
      <c r="AD81" s="102">
        <v>38</v>
      </c>
      <c r="AE81" s="102">
        <v>34.9</v>
      </c>
      <c r="AF81" s="102"/>
      <c r="AG81" s="88"/>
      <c r="AH81" s="12">
        <f t="shared" si="8"/>
        <v>76.599999999999994</v>
      </c>
      <c r="AI81" s="11">
        <f t="shared" si="9"/>
        <v>22.4</v>
      </c>
      <c r="AK81" s="19"/>
      <c r="AY81" s="78"/>
    </row>
    <row r="82" spans="1:64" x14ac:dyDescent="0.25">
      <c r="A82" s="87" t="s">
        <v>160</v>
      </c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>
        <v>112</v>
      </c>
      <c r="N82" s="70">
        <v>105</v>
      </c>
      <c r="O82" s="70">
        <v>60</v>
      </c>
      <c r="P82" s="70">
        <v>35</v>
      </c>
      <c r="Q82" s="70">
        <v>52</v>
      </c>
      <c r="R82" s="70">
        <v>43.8</v>
      </c>
      <c r="S82" s="70">
        <v>63.6</v>
      </c>
      <c r="T82" s="70">
        <v>71.400000000000006</v>
      </c>
      <c r="U82" s="70">
        <v>69.599999999999994</v>
      </c>
      <c r="V82" s="70">
        <v>51.8</v>
      </c>
      <c r="W82" s="70">
        <v>51.8</v>
      </c>
      <c r="X82" s="70">
        <v>51.8</v>
      </c>
      <c r="Y82" s="70">
        <v>0</v>
      </c>
      <c r="Z82" s="70">
        <v>0</v>
      </c>
      <c r="AA82" s="70">
        <v>0</v>
      </c>
      <c r="AB82" s="70">
        <v>0</v>
      </c>
      <c r="AC82" s="70"/>
      <c r="AD82" s="70"/>
      <c r="AE82" s="70"/>
      <c r="AF82" s="70"/>
      <c r="AG82" s="86"/>
      <c r="AH82" s="12">
        <f t="shared" ref="AH82:AH125" si="39">MAX(B82:AF82)</f>
        <v>112</v>
      </c>
      <c r="AI82" s="11">
        <f t="shared" ref="AI82:AI125" si="40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25">
      <c r="A83" s="87" t="s">
        <v>181</v>
      </c>
      <c r="B83" s="70">
        <v>77</v>
      </c>
      <c r="C83" s="70">
        <v>18</v>
      </c>
      <c r="D83" s="70">
        <v>20</v>
      </c>
      <c r="E83" s="70">
        <v>80</v>
      </c>
      <c r="F83" s="70">
        <v>40</v>
      </c>
      <c r="G83" s="70">
        <v>34.9</v>
      </c>
      <c r="H83" s="70">
        <v>29</v>
      </c>
      <c r="I83" s="70">
        <v>51.5</v>
      </c>
      <c r="J83" s="70">
        <v>250</v>
      </c>
      <c r="K83" s="70">
        <v>310.60000000000002</v>
      </c>
      <c r="L83" s="70">
        <v>415</v>
      </c>
      <c r="M83" s="70">
        <v>270.60000000000002</v>
      </c>
      <c r="N83" s="70">
        <v>227.6</v>
      </c>
      <c r="O83" s="70">
        <v>240</v>
      </c>
      <c r="P83" s="70">
        <v>229</v>
      </c>
      <c r="Q83" s="70">
        <v>202</v>
      </c>
      <c r="R83" s="70">
        <v>206</v>
      </c>
      <c r="S83" s="70">
        <v>247</v>
      </c>
      <c r="T83" s="70">
        <v>195.8</v>
      </c>
      <c r="U83" s="70">
        <v>204</v>
      </c>
      <c r="V83" s="70">
        <v>146</v>
      </c>
      <c r="W83" s="70">
        <v>146</v>
      </c>
      <c r="X83" s="70">
        <v>146</v>
      </c>
      <c r="Y83" s="70">
        <v>90.5</v>
      </c>
      <c r="Z83" s="70">
        <v>96.8</v>
      </c>
      <c r="AA83" s="70">
        <v>60.5</v>
      </c>
      <c r="AB83" s="70">
        <v>40.299999999999997</v>
      </c>
      <c r="AC83" s="70">
        <v>37</v>
      </c>
      <c r="AD83" s="70">
        <v>3.3</v>
      </c>
      <c r="AE83" s="70">
        <v>0</v>
      </c>
      <c r="AF83" s="70"/>
      <c r="AG83" s="96"/>
      <c r="AH83" s="12">
        <f t="shared" si="39"/>
        <v>415</v>
      </c>
      <c r="AI83" s="11">
        <f t="shared" si="40"/>
        <v>0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25">
      <c r="A84" s="87" t="s">
        <v>161</v>
      </c>
      <c r="B84" s="70">
        <v>14</v>
      </c>
      <c r="C84" s="70">
        <v>14</v>
      </c>
      <c r="D84" s="70">
        <v>15</v>
      </c>
      <c r="E84" s="85">
        <v>8</v>
      </c>
      <c r="F84" s="85">
        <v>3.6</v>
      </c>
      <c r="G84" s="85">
        <v>8.6</v>
      </c>
      <c r="H84" s="85">
        <v>9</v>
      </c>
      <c r="I84" s="85">
        <v>8.6</v>
      </c>
      <c r="J84" s="85">
        <v>10</v>
      </c>
      <c r="K84" s="85">
        <v>10</v>
      </c>
      <c r="L84" s="85">
        <v>17</v>
      </c>
      <c r="M84" s="85">
        <v>12.3</v>
      </c>
      <c r="N84" s="85">
        <v>38.6</v>
      </c>
      <c r="O84" s="85">
        <v>43.2</v>
      </c>
      <c r="P84" s="85">
        <v>42</v>
      </c>
      <c r="Q84" s="85">
        <v>41.1</v>
      </c>
      <c r="R84" s="85">
        <v>38.799999999999997</v>
      </c>
      <c r="S84" s="85">
        <v>44.3</v>
      </c>
      <c r="T84" s="85">
        <v>47.5</v>
      </c>
      <c r="U84" s="85">
        <v>44.8</v>
      </c>
      <c r="V84" s="85">
        <v>47.9</v>
      </c>
      <c r="W84" s="85">
        <v>47.9</v>
      </c>
      <c r="X84" s="85">
        <v>47.9</v>
      </c>
      <c r="Y84" s="85">
        <v>0</v>
      </c>
      <c r="Z84" s="85">
        <v>0</v>
      </c>
      <c r="AA84" s="85">
        <v>0</v>
      </c>
      <c r="AB84" s="85">
        <v>0</v>
      </c>
      <c r="AC84" s="85"/>
      <c r="AD84" s="85"/>
      <c r="AE84" s="85"/>
      <c r="AF84" s="85"/>
      <c r="AG84" s="96"/>
      <c r="AH84" s="12">
        <f t="shared" si="39"/>
        <v>47.9</v>
      </c>
      <c r="AI84" s="11">
        <f t="shared" si="40"/>
        <v>0</v>
      </c>
      <c r="AK84" s="19"/>
      <c r="AY84" s="78"/>
      <c r="BF84" s="83"/>
      <c r="BG84" s="78">
        <f t="array" ref="BG84:BL107">TRANSPOSE(AZ68:BW73)</f>
        <v>44</v>
      </c>
      <c r="BH84" s="78">
        <v>0</v>
      </c>
      <c r="BI84" s="78">
        <v>18</v>
      </c>
      <c r="BJ84" s="78">
        <v>14</v>
      </c>
      <c r="BK84" s="78">
        <v>25</v>
      </c>
      <c r="BL84" s="78">
        <v>43</v>
      </c>
    </row>
    <row r="85" spans="1:64" x14ac:dyDescent="0.25">
      <c r="A85" s="87" t="s">
        <v>180</v>
      </c>
      <c r="B85" s="102">
        <v>25</v>
      </c>
      <c r="C85" s="102">
        <v>25</v>
      </c>
      <c r="D85" s="102">
        <v>25</v>
      </c>
      <c r="E85" s="102">
        <v>24</v>
      </c>
      <c r="F85" s="102">
        <v>0</v>
      </c>
      <c r="G85" s="102">
        <v>0</v>
      </c>
      <c r="H85" s="102">
        <v>0</v>
      </c>
      <c r="I85" s="102">
        <v>0</v>
      </c>
      <c r="J85" s="102">
        <v>0</v>
      </c>
      <c r="K85" s="102">
        <v>101.3</v>
      </c>
      <c r="L85" s="102">
        <v>101.6</v>
      </c>
      <c r="M85" s="102">
        <v>129</v>
      </c>
      <c r="N85" s="102">
        <v>115</v>
      </c>
      <c r="O85" s="102">
        <v>131.4</v>
      </c>
      <c r="P85" s="102">
        <v>119</v>
      </c>
      <c r="Q85" s="102">
        <v>138.9</v>
      </c>
      <c r="R85" s="102">
        <v>145</v>
      </c>
      <c r="S85" s="102">
        <v>128.9</v>
      </c>
      <c r="T85" s="102">
        <v>129.1</v>
      </c>
      <c r="U85" s="102">
        <v>119.9</v>
      </c>
      <c r="V85" s="102">
        <v>136.4</v>
      </c>
      <c r="W85" s="102">
        <v>136.4</v>
      </c>
      <c r="X85" s="102">
        <v>136.4</v>
      </c>
      <c r="Y85" s="102">
        <v>0</v>
      </c>
      <c r="Z85" s="102">
        <v>0</v>
      </c>
      <c r="AA85" s="102">
        <v>0</v>
      </c>
      <c r="AB85" s="102">
        <v>0</v>
      </c>
      <c r="AC85" s="102">
        <v>0</v>
      </c>
      <c r="AD85" s="102"/>
      <c r="AE85" s="102"/>
      <c r="AF85" s="102"/>
      <c r="AG85" s="96"/>
      <c r="AH85" s="12">
        <f t="shared" si="39"/>
        <v>145</v>
      </c>
      <c r="AI85" s="11">
        <f t="shared" si="40"/>
        <v>0</v>
      </c>
      <c r="AK85" s="19"/>
      <c r="AY85" s="78"/>
      <c r="BF85" s="83"/>
      <c r="BG85" s="78">
        <v>43</v>
      </c>
      <c r="BH85" s="78">
        <v>0</v>
      </c>
      <c r="BI85" s="78">
        <v>20</v>
      </c>
      <c r="BJ85" s="78">
        <v>15</v>
      </c>
      <c r="BK85" s="78">
        <v>25</v>
      </c>
      <c r="BL85" s="78">
        <v>43</v>
      </c>
    </row>
    <row r="86" spans="1:64" x14ac:dyDescent="0.25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>
        <v>0</v>
      </c>
      <c r="AA86" s="97"/>
      <c r="AB86" s="97"/>
      <c r="AC86" s="97"/>
      <c r="AD86" s="97"/>
      <c r="AE86" s="97"/>
      <c r="AF86" s="97"/>
      <c r="AG86" s="96"/>
      <c r="AH86" s="12">
        <f t="shared" si="39"/>
        <v>0</v>
      </c>
      <c r="AI86" s="11">
        <f t="shared" si="40"/>
        <v>0</v>
      </c>
      <c r="AK86" s="19"/>
      <c r="AY86" s="78"/>
      <c r="BF86" s="83"/>
      <c r="BG86" s="78">
        <v>52</v>
      </c>
      <c r="BH86" s="78">
        <v>0</v>
      </c>
      <c r="BI86" s="78">
        <v>80</v>
      </c>
      <c r="BJ86" s="78">
        <v>8</v>
      </c>
      <c r="BK86" s="78">
        <v>24</v>
      </c>
      <c r="BL86" s="78">
        <v>41</v>
      </c>
    </row>
    <row r="87" spans="1:64" ht="15.75" thickBot="1" x14ac:dyDescent="0.3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39"/>
        <v>0</v>
      </c>
      <c r="AI87" s="11">
        <f t="shared" si="40"/>
        <v>0</v>
      </c>
      <c r="AK87" s="19"/>
      <c r="AL87" s="108" t="s">
        <v>177</v>
      </c>
      <c r="AM87" s="108"/>
      <c r="AY87" s="78"/>
      <c r="BF87" s="78"/>
      <c r="BG87" s="78">
        <v>35.799999999999997</v>
      </c>
      <c r="BH87" s="78">
        <v>0</v>
      </c>
      <c r="BI87" s="78">
        <v>40</v>
      </c>
      <c r="BJ87" s="78">
        <v>3.6</v>
      </c>
      <c r="BK87" s="78">
        <v>0</v>
      </c>
      <c r="BL87" s="78">
        <v>40.4</v>
      </c>
    </row>
    <row r="88" spans="1:64" x14ac:dyDescent="0.25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39"/>
        <v>0</v>
      </c>
      <c r="AI88" s="11">
        <f t="shared" si="40"/>
        <v>0</v>
      </c>
      <c r="AK88" s="107"/>
      <c r="AL88" s="106"/>
      <c r="AM88" s="106"/>
      <c r="AN88" s="105"/>
      <c r="AY88" s="78"/>
      <c r="BF88" s="78"/>
      <c r="BG88" s="78">
        <v>38</v>
      </c>
      <c r="BH88" s="78">
        <v>0</v>
      </c>
      <c r="BI88" s="78">
        <v>34.9</v>
      </c>
      <c r="BJ88" s="78">
        <v>8.6</v>
      </c>
      <c r="BK88" s="78">
        <v>0</v>
      </c>
      <c r="BL88" s="78">
        <v>39.299999999999997</v>
      </c>
    </row>
    <row r="89" spans="1:64" x14ac:dyDescent="0.25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39"/>
        <v>0</v>
      </c>
      <c r="AI89" s="11">
        <f t="shared" si="40"/>
        <v>0</v>
      </c>
      <c r="AK89" s="104" t="s">
        <v>174</v>
      </c>
      <c r="AL89" s="70"/>
      <c r="AM89" s="85"/>
      <c r="AN89" s="103"/>
      <c r="AY89" s="78"/>
      <c r="BF89" s="78"/>
      <c r="BG89" s="78">
        <v>42</v>
      </c>
      <c r="BH89" s="78">
        <v>0</v>
      </c>
      <c r="BI89" s="78">
        <v>51.5</v>
      </c>
      <c r="BJ89" s="78">
        <v>8.6</v>
      </c>
      <c r="BK89" s="78">
        <v>0</v>
      </c>
      <c r="BL89" s="78">
        <v>39.9</v>
      </c>
    </row>
    <row r="90" spans="1:64" x14ac:dyDescent="0.25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39"/>
        <v>0</v>
      </c>
      <c r="AI90" s="11">
        <f t="shared" si="40"/>
        <v>0</v>
      </c>
      <c r="AK90" s="104" t="s">
        <v>172</v>
      </c>
      <c r="AL90" s="85"/>
      <c r="AM90" s="85"/>
      <c r="AN90" s="103"/>
      <c r="AY90" s="78"/>
      <c r="BF90" s="78"/>
      <c r="BG90" s="78">
        <v>66</v>
      </c>
      <c r="BH90" s="78">
        <v>0</v>
      </c>
      <c r="BI90" s="78">
        <v>310.60000000000002</v>
      </c>
      <c r="BJ90" s="78">
        <v>10</v>
      </c>
      <c r="BK90" s="78">
        <v>101.3</v>
      </c>
      <c r="BL90" s="78">
        <v>32</v>
      </c>
    </row>
    <row r="91" spans="1:64" ht="15.75" thickBot="1" x14ac:dyDescent="0.3">
      <c r="A91" s="82" t="s">
        <v>171</v>
      </c>
      <c r="B91" s="97">
        <v>43</v>
      </c>
      <c r="C91" s="97">
        <v>43</v>
      </c>
      <c r="D91" s="97">
        <v>43</v>
      </c>
      <c r="E91" s="97">
        <v>41</v>
      </c>
      <c r="F91" s="97">
        <v>40.4</v>
      </c>
      <c r="G91" s="97">
        <v>39.299999999999997</v>
      </c>
      <c r="H91" s="97">
        <v>37.4</v>
      </c>
      <c r="I91" s="97">
        <v>39.9</v>
      </c>
      <c r="J91" s="97">
        <v>40</v>
      </c>
      <c r="K91" s="97">
        <v>32</v>
      </c>
      <c r="L91" s="97">
        <v>0</v>
      </c>
      <c r="M91" s="97">
        <v>0</v>
      </c>
      <c r="N91" s="97">
        <v>0</v>
      </c>
      <c r="O91" s="97">
        <v>0</v>
      </c>
      <c r="P91" s="97"/>
      <c r="Q91" s="97"/>
      <c r="R91" s="97">
        <v>0</v>
      </c>
      <c r="S91" s="97">
        <v>0</v>
      </c>
      <c r="T91" s="97">
        <v>0</v>
      </c>
      <c r="U91" s="97">
        <v>0</v>
      </c>
      <c r="V91" s="97">
        <v>0</v>
      </c>
      <c r="W91" s="97">
        <v>0</v>
      </c>
      <c r="X91" s="97">
        <v>0</v>
      </c>
      <c r="Y91" s="97">
        <v>0</v>
      </c>
      <c r="Z91" s="97">
        <v>0</v>
      </c>
      <c r="AA91" s="97">
        <v>0</v>
      </c>
      <c r="AB91" s="97">
        <v>0</v>
      </c>
      <c r="AC91" s="97">
        <v>0</v>
      </c>
      <c r="AD91" s="97"/>
      <c r="AE91" s="97">
        <v>25</v>
      </c>
      <c r="AF91" s="97"/>
      <c r="AG91" s="80"/>
      <c r="AH91" s="12">
        <f t="shared" si="39"/>
        <v>43</v>
      </c>
      <c r="AI91" s="11">
        <f t="shared" si="40"/>
        <v>0</v>
      </c>
      <c r="AK91" s="98"/>
      <c r="AL91" s="102"/>
      <c r="AM91" s="102"/>
      <c r="AN91" s="101"/>
      <c r="AY91" s="78"/>
      <c r="BF91" s="78"/>
      <c r="BG91" s="78">
        <v>63.7</v>
      </c>
      <c r="BH91" s="78">
        <v>112</v>
      </c>
      <c r="BI91" s="78">
        <v>270.60000000000002</v>
      </c>
      <c r="BJ91" s="78">
        <v>12.3</v>
      </c>
      <c r="BK91" s="78">
        <v>129</v>
      </c>
      <c r="BL91" s="78">
        <v>0</v>
      </c>
    </row>
    <row r="92" spans="1:64" ht="15.75" thickBot="1" x14ac:dyDescent="0.3">
      <c r="A92" s="77" t="s">
        <v>170</v>
      </c>
      <c r="B92" s="76">
        <f t="shared" ref="B92:AF92" si="41">SUMIF(B81:B91,"&gt;0")</f>
        <v>199</v>
      </c>
      <c r="C92" s="76">
        <f t="shared" si="41"/>
        <v>144</v>
      </c>
      <c r="D92" s="76">
        <f t="shared" si="41"/>
        <v>146</v>
      </c>
      <c r="E92" s="76">
        <f t="shared" si="41"/>
        <v>205</v>
      </c>
      <c r="F92" s="76">
        <f t="shared" si="41"/>
        <v>119.79999999999998</v>
      </c>
      <c r="G92" s="76">
        <f t="shared" si="41"/>
        <v>120.8</v>
      </c>
      <c r="H92" s="76">
        <f t="shared" si="41"/>
        <v>114.4</v>
      </c>
      <c r="I92" s="76">
        <f t="shared" si="41"/>
        <v>142</v>
      </c>
      <c r="J92" s="76">
        <f t="shared" si="41"/>
        <v>364</v>
      </c>
      <c r="K92" s="76">
        <f t="shared" si="41"/>
        <v>519.90000000000009</v>
      </c>
      <c r="L92" s="76">
        <f t="shared" si="41"/>
        <v>591.6</v>
      </c>
      <c r="M92" s="76">
        <f t="shared" si="41"/>
        <v>587.6</v>
      </c>
      <c r="N92" s="76">
        <f t="shared" si="41"/>
        <v>550.5</v>
      </c>
      <c r="O92" s="76">
        <f t="shared" si="41"/>
        <v>540.4</v>
      </c>
      <c r="P92" s="76">
        <f t="shared" si="41"/>
        <v>488.4</v>
      </c>
      <c r="Q92" s="76">
        <f t="shared" si="41"/>
        <v>502.20000000000005</v>
      </c>
      <c r="R92" s="76">
        <f t="shared" si="41"/>
        <v>510.2</v>
      </c>
      <c r="S92" s="76">
        <f t="shared" si="41"/>
        <v>558.80000000000007</v>
      </c>
      <c r="T92" s="76">
        <f t="shared" si="41"/>
        <v>514.70000000000005</v>
      </c>
      <c r="U92" s="76">
        <f t="shared" si="41"/>
        <v>507.30000000000007</v>
      </c>
      <c r="V92" s="76">
        <f t="shared" si="41"/>
        <v>441.1</v>
      </c>
      <c r="W92" s="76">
        <f t="shared" si="41"/>
        <v>431.1</v>
      </c>
      <c r="X92" s="76">
        <f t="shared" ref="X92" si="42">SUMIF(X81:X91,"&gt;0")</f>
        <v>441.1</v>
      </c>
      <c r="Y92" s="76">
        <f t="shared" si="41"/>
        <v>120.3</v>
      </c>
      <c r="Z92" s="76">
        <f>SUMIF(Z81:Z91,"&gt;0")</f>
        <v>119.19999999999999</v>
      </c>
      <c r="AA92" s="76">
        <f t="shared" ref="AA92" si="43">SUMIF(AA81:AA91,"&gt;0")</f>
        <v>90.3</v>
      </c>
      <c r="AB92" s="76">
        <f t="shared" si="41"/>
        <v>70.8</v>
      </c>
      <c r="AC92" s="76">
        <f t="shared" si="41"/>
        <v>68</v>
      </c>
      <c r="AD92" s="76">
        <f t="shared" si="41"/>
        <v>41.3</v>
      </c>
      <c r="AE92" s="76">
        <f t="shared" si="41"/>
        <v>59.9</v>
      </c>
      <c r="AF92" s="76">
        <f t="shared" si="41"/>
        <v>0</v>
      </c>
      <c r="AG92" s="75">
        <f>SUM(AG81:AG91)</f>
        <v>0</v>
      </c>
      <c r="AH92" s="12">
        <f t="shared" si="39"/>
        <v>591.6</v>
      </c>
      <c r="AI92" s="11">
        <f t="shared" si="40"/>
        <v>0</v>
      </c>
      <c r="AK92" s="98"/>
      <c r="AL92" s="97"/>
      <c r="AM92" s="100"/>
      <c r="AN92" s="220"/>
      <c r="AY92" s="78"/>
      <c r="BF92" s="78"/>
      <c r="BG92" s="78">
        <v>64.3</v>
      </c>
      <c r="BH92" s="78">
        <v>105</v>
      </c>
      <c r="BI92" s="78">
        <v>227.6</v>
      </c>
      <c r="BJ92" s="78">
        <v>38.6</v>
      </c>
      <c r="BK92" s="78">
        <v>115</v>
      </c>
      <c r="BL92" s="78">
        <v>0</v>
      </c>
    </row>
    <row r="93" spans="1:64" x14ac:dyDescent="0.25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39"/>
        <v>0</v>
      </c>
      <c r="AI93" s="11">
        <f t="shared" si="40"/>
        <v>0</v>
      </c>
      <c r="AK93" s="98"/>
      <c r="AL93" s="97"/>
      <c r="AM93" s="97"/>
      <c r="AN93" s="221"/>
      <c r="BF93" s="78"/>
      <c r="BG93" s="78">
        <v>65.8</v>
      </c>
      <c r="BH93" s="78">
        <v>60</v>
      </c>
      <c r="BI93" s="78">
        <v>240</v>
      </c>
      <c r="BJ93" s="78">
        <v>43.2</v>
      </c>
      <c r="BK93" s="78">
        <v>131.4</v>
      </c>
      <c r="BL93" s="78">
        <v>0</v>
      </c>
    </row>
    <row r="94" spans="1:64" ht="15.75" thickBot="1" x14ac:dyDescent="0.3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39"/>
        <v>0</v>
      </c>
      <c r="AI94" s="11">
        <f t="shared" si="40"/>
        <v>0</v>
      </c>
      <c r="AK94" s="95"/>
      <c r="AL94" s="67"/>
      <c r="AM94" s="67"/>
      <c r="AN94" s="94"/>
      <c r="BF94" s="78"/>
      <c r="BG94" s="78">
        <v>63.4</v>
      </c>
      <c r="BH94" s="78">
        <v>35</v>
      </c>
      <c r="BI94" s="78">
        <v>229</v>
      </c>
      <c r="BJ94" s="78">
        <v>42</v>
      </c>
      <c r="BK94" s="78">
        <v>119</v>
      </c>
      <c r="BL94" s="78">
        <v>0</v>
      </c>
    </row>
    <row r="95" spans="1:64" ht="15.75" thickBot="1" x14ac:dyDescent="0.3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39"/>
        <v>0</v>
      </c>
      <c r="AI95" s="11">
        <f t="shared" si="40"/>
        <v>0</v>
      </c>
      <c r="BF95" s="78"/>
      <c r="BG95" s="78">
        <v>68.2</v>
      </c>
      <c r="BH95" s="78">
        <v>52</v>
      </c>
      <c r="BI95" s="78">
        <v>202</v>
      </c>
      <c r="BJ95" s="78">
        <v>41.1</v>
      </c>
      <c r="BK95" s="78">
        <v>138.9</v>
      </c>
      <c r="BL95" s="78">
        <v>0</v>
      </c>
    </row>
    <row r="96" spans="1:64" ht="15.75" thickBot="1" x14ac:dyDescent="0.3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39"/>
        <v>0</v>
      </c>
      <c r="AI96" s="11">
        <f t="shared" si="40"/>
        <v>0</v>
      </c>
      <c r="BF96" s="78"/>
      <c r="BG96" s="78">
        <v>76.599999999999994</v>
      </c>
      <c r="BH96" s="78">
        <v>43.8</v>
      </c>
      <c r="BI96" s="78">
        <v>206</v>
      </c>
      <c r="BJ96" s="78">
        <v>38.799999999999997</v>
      </c>
      <c r="BK96" s="78">
        <v>145</v>
      </c>
      <c r="BL96" s="78">
        <v>0</v>
      </c>
    </row>
    <row r="97" spans="1:64" ht="15.75" thickBot="1" x14ac:dyDescent="0.3">
      <c r="A97" s="77" t="s">
        <v>165</v>
      </c>
      <c r="B97" s="90">
        <f t="shared" ref="B97:AG97" si="44">B58+B62+B80+B76+B92+B96</f>
        <v>1223.04</v>
      </c>
      <c r="C97" s="90">
        <f t="shared" si="44"/>
        <v>999.04000000000008</v>
      </c>
      <c r="D97" s="90">
        <f t="shared" si="44"/>
        <v>977.04</v>
      </c>
      <c r="E97" s="90">
        <f t="shared" si="44"/>
        <v>875.93999999999994</v>
      </c>
      <c r="F97" s="90">
        <f t="shared" si="44"/>
        <v>876.83999999999992</v>
      </c>
      <c r="G97" s="90">
        <f t="shared" si="44"/>
        <v>902.43999999999994</v>
      </c>
      <c r="H97" s="90">
        <f t="shared" si="44"/>
        <v>955.93999999999994</v>
      </c>
      <c r="I97" s="90">
        <f t="shared" si="44"/>
        <v>1005.7400000000001</v>
      </c>
      <c r="J97" s="90">
        <f t="shared" si="44"/>
        <v>1207.6400000000001</v>
      </c>
      <c r="K97" s="90">
        <f t="shared" si="44"/>
        <v>1333.5400000000002</v>
      </c>
      <c r="L97" s="90">
        <f t="shared" si="44"/>
        <v>1419.3400000000001</v>
      </c>
      <c r="M97" s="90">
        <f t="shared" si="44"/>
        <v>1416.04</v>
      </c>
      <c r="N97" s="90">
        <f t="shared" si="44"/>
        <v>1431.64</v>
      </c>
      <c r="O97" s="90">
        <f t="shared" si="44"/>
        <v>1449.44</v>
      </c>
      <c r="P97" s="90">
        <f t="shared" si="44"/>
        <v>1386.2399999999998</v>
      </c>
      <c r="Q97" s="90">
        <f t="shared" si="44"/>
        <v>1414.64</v>
      </c>
      <c r="R97" s="90">
        <f t="shared" si="44"/>
        <v>1432.24</v>
      </c>
      <c r="S97" s="90">
        <f t="shared" si="44"/>
        <v>1462.5400000000002</v>
      </c>
      <c r="T97" s="90">
        <f t="shared" si="44"/>
        <v>1443.44</v>
      </c>
      <c r="U97" s="90">
        <f t="shared" si="44"/>
        <v>1475.04</v>
      </c>
      <c r="V97" s="90">
        <f t="shared" si="44"/>
        <v>1353.8400000000001</v>
      </c>
      <c r="W97" s="90">
        <f t="shared" si="44"/>
        <v>1489.94</v>
      </c>
      <c r="X97" s="90">
        <f t="shared" ref="X97" si="45">X58+X62+X80+X76+X92+X96</f>
        <v>1499.94</v>
      </c>
      <c r="Y97" s="90">
        <f t="shared" si="44"/>
        <v>1120.54</v>
      </c>
      <c r="Z97" s="90">
        <f>Z58+Z62+Z80+Z76+Z92+Z96</f>
        <v>1339.8</v>
      </c>
      <c r="AA97" s="90">
        <f t="shared" ref="AA97" si="46">AA58+AA62+AA80+AA76+AA92+AA96</f>
        <v>1317.84</v>
      </c>
      <c r="AB97" s="90">
        <f t="shared" si="44"/>
        <v>1319.44</v>
      </c>
      <c r="AC97" s="90">
        <f t="shared" si="44"/>
        <v>1288.6400000000001</v>
      </c>
      <c r="AD97" s="90">
        <f t="shared" si="44"/>
        <v>1286.24</v>
      </c>
      <c r="AE97" s="90">
        <f t="shared" si="44"/>
        <v>1198.7400000000002</v>
      </c>
      <c r="AF97" s="90">
        <f t="shared" si="44"/>
        <v>1005.94</v>
      </c>
      <c r="AG97" s="93">
        <f t="shared" si="44"/>
        <v>2231.81</v>
      </c>
      <c r="AH97" s="12">
        <f t="shared" si="39"/>
        <v>1499.94</v>
      </c>
      <c r="AI97" s="11">
        <f t="shared" si="40"/>
        <v>875.93999999999994</v>
      </c>
      <c r="BF97" s="78"/>
      <c r="BG97" s="78">
        <v>75</v>
      </c>
      <c r="BH97" s="78">
        <v>63.6</v>
      </c>
      <c r="BI97" s="78">
        <v>247</v>
      </c>
      <c r="BJ97" s="78">
        <v>44.3</v>
      </c>
      <c r="BK97" s="78">
        <v>128.9</v>
      </c>
      <c r="BL97" s="78">
        <v>0</v>
      </c>
    </row>
    <row r="98" spans="1:64" ht="15.75" thickBot="1" x14ac:dyDescent="0.3">
      <c r="A98" s="92" t="s">
        <v>164</v>
      </c>
      <c r="B98" s="91">
        <v>200</v>
      </c>
      <c r="C98" s="91">
        <v>200</v>
      </c>
      <c r="D98" s="91">
        <v>200</v>
      </c>
      <c r="E98" s="91">
        <v>200</v>
      </c>
      <c r="F98" s="91">
        <v>200</v>
      </c>
      <c r="G98" s="91">
        <v>200</v>
      </c>
      <c r="H98" s="91">
        <v>200</v>
      </c>
      <c r="I98" s="91">
        <v>200</v>
      </c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>
        <v>250</v>
      </c>
      <c r="Z98" s="91">
        <v>250</v>
      </c>
      <c r="AA98" s="91">
        <v>252</v>
      </c>
      <c r="AB98" s="91">
        <v>250</v>
      </c>
      <c r="AC98" s="91">
        <v>230</v>
      </c>
      <c r="AD98" s="91">
        <v>230</v>
      </c>
      <c r="AE98" s="91">
        <v>230</v>
      </c>
      <c r="AF98" s="91"/>
      <c r="AG98" s="75"/>
      <c r="AH98" s="12">
        <f t="shared" si="39"/>
        <v>252</v>
      </c>
      <c r="AI98" s="11">
        <f t="shared" si="40"/>
        <v>200</v>
      </c>
      <c r="BF98" s="78"/>
      <c r="BG98" s="78">
        <v>70.900000000000006</v>
      </c>
      <c r="BH98" s="78">
        <v>71.400000000000006</v>
      </c>
      <c r="BI98" s="78">
        <v>195.8</v>
      </c>
      <c r="BJ98" s="78">
        <v>47.5</v>
      </c>
      <c r="BK98" s="78">
        <v>129.1</v>
      </c>
      <c r="BL98" s="78">
        <v>0</v>
      </c>
    </row>
    <row r="99" spans="1:64" ht="15.75" thickBot="1" x14ac:dyDescent="0.3">
      <c r="A99" s="77" t="s">
        <v>163</v>
      </c>
      <c r="B99" s="90">
        <f t="shared" ref="B99:AF99" si="47">B97+B98</f>
        <v>1423.04</v>
      </c>
      <c r="C99" s="90">
        <f t="shared" si="47"/>
        <v>1199.04</v>
      </c>
      <c r="D99" s="90">
        <f t="shared" si="47"/>
        <v>1177.04</v>
      </c>
      <c r="E99" s="90">
        <f t="shared" si="47"/>
        <v>1075.94</v>
      </c>
      <c r="F99" s="90">
        <f t="shared" si="47"/>
        <v>1076.8399999999999</v>
      </c>
      <c r="G99" s="90">
        <f t="shared" si="47"/>
        <v>1102.44</v>
      </c>
      <c r="H99" s="90">
        <f t="shared" si="47"/>
        <v>1155.94</v>
      </c>
      <c r="I99" s="90">
        <f t="shared" si="47"/>
        <v>1205.7400000000002</v>
      </c>
      <c r="J99" s="90">
        <f t="shared" si="47"/>
        <v>1207.6400000000001</v>
      </c>
      <c r="K99" s="90">
        <f t="shared" si="47"/>
        <v>1333.5400000000002</v>
      </c>
      <c r="L99" s="90">
        <f t="shared" si="47"/>
        <v>1419.3400000000001</v>
      </c>
      <c r="M99" s="90">
        <f t="shared" si="47"/>
        <v>1416.04</v>
      </c>
      <c r="N99" s="90">
        <f t="shared" si="47"/>
        <v>1431.64</v>
      </c>
      <c r="O99" s="90">
        <f t="shared" si="47"/>
        <v>1449.44</v>
      </c>
      <c r="P99" s="90">
        <f t="shared" si="47"/>
        <v>1386.2399999999998</v>
      </c>
      <c r="Q99" s="90">
        <f t="shared" si="47"/>
        <v>1414.64</v>
      </c>
      <c r="R99" s="90">
        <f t="shared" si="47"/>
        <v>1432.24</v>
      </c>
      <c r="S99" s="90">
        <f t="shared" si="47"/>
        <v>1462.5400000000002</v>
      </c>
      <c r="T99" s="90">
        <f t="shared" si="47"/>
        <v>1443.44</v>
      </c>
      <c r="U99" s="90">
        <f t="shared" si="47"/>
        <v>1475.04</v>
      </c>
      <c r="V99" s="90">
        <f t="shared" si="47"/>
        <v>1353.8400000000001</v>
      </c>
      <c r="W99" s="90">
        <f t="shared" si="47"/>
        <v>1489.94</v>
      </c>
      <c r="X99" s="90">
        <f t="shared" ref="X99" si="48">X97+X98</f>
        <v>1499.94</v>
      </c>
      <c r="Y99" s="90">
        <f t="shared" si="47"/>
        <v>1370.54</v>
      </c>
      <c r="Z99" s="90">
        <f>Z97+Z98</f>
        <v>1589.8</v>
      </c>
      <c r="AA99" s="90">
        <f t="shared" ref="AA99" si="49">AA97+AA98</f>
        <v>1569.84</v>
      </c>
      <c r="AB99" s="90">
        <f t="shared" si="47"/>
        <v>1569.44</v>
      </c>
      <c r="AC99" s="90">
        <f t="shared" si="47"/>
        <v>1518.64</v>
      </c>
      <c r="AD99" s="90">
        <f t="shared" si="47"/>
        <v>1516.24</v>
      </c>
      <c r="AE99" s="90">
        <f t="shared" si="47"/>
        <v>1428.7400000000002</v>
      </c>
      <c r="AF99" s="90">
        <f t="shared" si="47"/>
        <v>1005.94</v>
      </c>
      <c r="AG99" s="75">
        <f>AG96+AG92+AG80+AG76+AG58+AG98</f>
        <v>1693.71</v>
      </c>
      <c r="AH99" s="12">
        <f t="shared" si="39"/>
        <v>1589.8</v>
      </c>
      <c r="AI99" s="11">
        <f t="shared" si="40"/>
        <v>1005.94</v>
      </c>
      <c r="BF99" s="78"/>
      <c r="BG99" s="78">
        <v>69</v>
      </c>
      <c r="BH99" s="78">
        <v>69.599999999999994</v>
      </c>
      <c r="BI99" s="78">
        <v>204</v>
      </c>
      <c r="BJ99" s="78">
        <v>44.8</v>
      </c>
      <c r="BK99" s="78">
        <v>119.9</v>
      </c>
      <c r="BL99" s="78">
        <v>0</v>
      </c>
    </row>
    <row r="100" spans="1:64" ht="15.75" thickBot="1" x14ac:dyDescent="0.3">
      <c r="A100" s="77" t="s">
        <v>162</v>
      </c>
      <c r="B100" s="90">
        <f t="shared" ref="B100:AF100" si="50">B99-(B107)</f>
        <v>1423.04</v>
      </c>
      <c r="C100" s="90">
        <f t="shared" si="50"/>
        <v>1199.04</v>
      </c>
      <c r="D100" s="90">
        <f t="shared" si="50"/>
        <v>1177.04</v>
      </c>
      <c r="E100" s="90">
        <f t="shared" si="50"/>
        <v>1075.94</v>
      </c>
      <c r="F100" s="90">
        <f t="shared" si="50"/>
        <v>1076.8399999999999</v>
      </c>
      <c r="G100" s="90">
        <f t="shared" si="50"/>
        <v>1102.44</v>
      </c>
      <c r="H100" s="90">
        <f t="shared" si="50"/>
        <v>1155.94</v>
      </c>
      <c r="I100" s="90">
        <f t="shared" si="50"/>
        <v>1205.7400000000002</v>
      </c>
      <c r="J100" s="90">
        <f t="shared" si="50"/>
        <v>1207.6400000000001</v>
      </c>
      <c r="K100" s="90">
        <f t="shared" si="50"/>
        <v>1333.5400000000002</v>
      </c>
      <c r="L100" s="90">
        <f t="shared" si="50"/>
        <v>1419.3400000000001</v>
      </c>
      <c r="M100" s="90">
        <f t="shared" si="50"/>
        <v>1416.04</v>
      </c>
      <c r="N100" s="90">
        <f t="shared" si="50"/>
        <v>1431.64</v>
      </c>
      <c r="O100" s="90">
        <f t="shared" si="50"/>
        <v>1449.44</v>
      </c>
      <c r="P100" s="90">
        <f t="shared" si="50"/>
        <v>1386.2399999999998</v>
      </c>
      <c r="Q100" s="90">
        <f t="shared" si="50"/>
        <v>1414.64</v>
      </c>
      <c r="R100" s="90">
        <f t="shared" si="50"/>
        <v>1432.24</v>
      </c>
      <c r="S100" s="90">
        <f t="shared" si="50"/>
        <v>1462.5400000000002</v>
      </c>
      <c r="T100" s="90">
        <f t="shared" si="50"/>
        <v>1443.44</v>
      </c>
      <c r="U100" s="90">
        <f t="shared" si="50"/>
        <v>1475.04</v>
      </c>
      <c r="V100" s="90">
        <f t="shared" si="50"/>
        <v>1353.8400000000001</v>
      </c>
      <c r="W100" s="90">
        <f t="shared" si="50"/>
        <v>1489.94</v>
      </c>
      <c r="X100" s="90">
        <f t="shared" ref="X100" si="51">X99-(X107)</f>
        <v>1498.94</v>
      </c>
      <c r="Y100" s="90">
        <f t="shared" si="50"/>
        <v>1370.54</v>
      </c>
      <c r="Z100" s="90">
        <f>Z99-(Z107)</f>
        <v>1589.8</v>
      </c>
      <c r="AA100" s="90">
        <f t="shared" ref="AA100" si="52">AA99-(AA107)</f>
        <v>1567.84</v>
      </c>
      <c r="AB100" s="90">
        <f t="shared" si="50"/>
        <v>1569.44</v>
      </c>
      <c r="AC100" s="90">
        <f t="shared" si="50"/>
        <v>1518.64</v>
      </c>
      <c r="AD100" s="90">
        <f t="shared" si="50"/>
        <v>1516.24</v>
      </c>
      <c r="AE100" s="90">
        <f t="shared" si="50"/>
        <v>1428.7400000000002</v>
      </c>
      <c r="AF100" s="90">
        <f t="shared" si="50"/>
        <v>1005.94</v>
      </c>
      <c r="AG100" s="75"/>
      <c r="AH100" s="12">
        <f t="shared" si="39"/>
        <v>1589.8</v>
      </c>
      <c r="AI100" s="11">
        <f t="shared" si="40"/>
        <v>1005.94</v>
      </c>
      <c r="BF100" s="78"/>
      <c r="BG100" s="78">
        <v>59</v>
      </c>
      <c r="BH100" s="78">
        <v>51.8</v>
      </c>
      <c r="BI100" s="78">
        <v>146</v>
      </c>
      <c r="BJ100" s="78">
        <v>47.9</v>
      </c>
      <c r="BK100" s="78">
        <v>136.4</v>
      </c>
      <c r="BL100" s="78">
        <v>0</v>
      </c>
    </row>
    <row r="101" spans="1:64" x14ac:dyDescent="0.25">
      <c r="A101" s="89" t="s">
        <v>161</v>
      </c>
      <c r="B101" s="85">
        <f t="shared" ref="B101:AF101" si="53">IF(B84&lt;0,B84*-1,0)</f>
        <v>0</v>
      </c>
      <c r="C101" s="85">
        <f t="shared" si="53"/>
        <v>0</v>
      </c>
      <c r="D101" s="85">
        <f t="shared" si="53"/>
        <v>0</v>
      </c>
      <c r="E101" s="85">
        <f t="shared" si="53"/>
        <v>0</v>
      </c>
      <c r="F101" s="85">
        <f t="shared" si="53"/>
        <v>0</v>
      </c>
      <c r="G101" s="85">
        <f t="shared" si="53"/>
        <v>0</v>
      </c>
      <c r="H101" s="85">
        <f t="shared" si="53"/>
        <v>0</v>
      </c>
      <c r="I101" s="85">
        <f t="shared" si="53"/>
        <v>0</v>
      </c>
      <c r="J101" s="85">
        <f t="shared" si="53"/>
        <v>0</v>
      </c>
      <c r="K101" s="85">
        <f t="shared" si="53"/>
        <v>0</v>
      </c>
      <c r="L101" s="85">
        <f t="shared" si="53"/>
        <v>0</v>
      </c>
      <c r="M101" s="85">
        <f t="shared" si="53"/>
        <v>0</v>
      </c>
      <c r="N101" s="85">
        <f t="shared" si="53"/>
        <v>0</v>
      </c>
      <c r="O101" s="85">
        <f t="shared" si="53"/>
        <v>0</v>
      </c>
      <c r="P101" s="85">
        <f t="shared" si="53"/>
        <v>0</v>
      </c>
      <c r="Q101" s="85">
        <f t="shared" si="53"/>
        <v>0</v>
      </c>
      <c r="R101" s="85">
        <f t="shared" si="53"/>
        <v>0</v>
      </c>
      <c r="S101" s="85">
        <f t="shared" si="53"/>
        <v>0</v>
      </c>
      <c r="T101" s="85">
        <f t="shared" si="53"/>
        <v>0</v>
      </c>
      <c r="U101" s="85">
        <f t="shared" si="53"/>
        <v>0</v>
      </c>
      <c r="V101" s="85">
        <f t="shared" si="53"/>
        <v>0</v>
      </c>
      <c r="W101" s="85">
        <f t="shared" si="53"/>
        <v>0</v>
      </c>
      <c r="X101" s="85">
        <f t="shared" ref="X101" si="54">IF(X84&lt;0,X84*-1,0)</f>
        <v>0</v>
      </c>
      <c r="Y101" s="85">
        <f t="shared" si="53"/>
        <v>0</v>
      </c>
      <c r="Z101" s="85">
        <f>IF(Z84&lt;0,Z84*-1,0)</f>
        <v>0</v>
      </c>
      <c r="AA101" s="85">
        <f t="shared" ref="AA101" si="55">IF(AA84&lt;0,AA84*-1,0)</f>
        <v>0</v>
      </c>
      <c r="AB101" s="85">
        <f t="shared" si="53"/>
        <v>0</v>
      </c>
      <c r="AC101" s="85">
        <f t="shared" si="53"/>
        <v>0</v>
      </c>
      <c r="AD101" s="85">
        <f t="shared" si="53"/>
        <v>0</v>
      </c>
      <c r="AE101" s="85">
        <f t="shared" si="53"/>
        <v>0</v>
      </c>
      <c r="AF101" s="85">
        <f t="shared" si="53"/>
        <v>0</v>
      </c>
      <c r="AG101" s="88"/>
      <c r="AH101" s="12">
        <f t="shared" si="39"/>
        <v>0</v>
      </c>
      <c r="AI101" s="11">
        <f t="shared" si="40"/>
        <v>0</v>
      </c>
      <c r="BF101" s="83"/>
      <c r="BG101" s="78">
        <v>59</v>
      </c>
      <c r="BH101" s="78">
        <v>51.8</v>
      </c>
      <c r="BI101" s="78">
        <v>146</v>
      </c>
      <c r="BJ101" s="78">
        <v>47.9</v>
      </c>
      <c r="BK101" s="78">
        <v>136.4</v>
      </c>
      <c r="BL101" s="78">
        <v>0</v>
      </c>
    </row>
    <row r="102" spans="1:64" x14ac:dyDescent="0.25">
      <c r="A102" s="87" t="s">
        <v>160</v>
      </c>
      <c r="B102" s="85">
        <f t="shared" ref="B102:AF102" si="56">IF(B82&lt;0,B82*-1,0)</f>
        <v>0</v>
      </c>
      <c r="C102" s="85">
        <f t="shared" si="56"/>
        <v>0</v>
      </c>
      <c r="D102" s="85">
        <f t="shared" si="56"/>
        <v>0</v>
      </c>
      <c r="E102" s="85">
        <f t="shared" si="56"/>
        <v>0</v>
      </c>
      <c r="F102" s="85">
        <f t="shared" si="56"/>
        <v>0</v>
      </c>
      <c r="G102" s="85">
        <f t="shared" si="56"/>
        <v>0</v>
      </c>
      <c r="H102" s="85">
        <f t="shared" si="56"/>
        <v>0</v>
      </c>
      <c r="I102" s="85">
        <f t="shared" si="56"/>
        <v>0</v>
      </c>
      <c r="J102" s="85">
        <f t="shared" si="56"/>
        <v>0</v>
      </c>
      <c r="K102" s="85">
        <f t="shared" si="56"/>
        <v>0</v>
      </c>
      <c r="L102" s="85">
        <f t="shared" si="56"/>
        <v>0</v>
      </c>
      <c r="M102" s="85">
        <f t="shared" si="56"/>
        <v>0</v>
      </c>
      <c r="N102" s="85">
        <f t="shared" si="56"/>
        <v>0</v>
      </c>
      <c r="O102" s="85">
        <f t="shared" si="56"/>
        <v>0</v>
      </c>
      <c r="P102" s="85">
        <f t="shared" si="56"/>
        <v>0</v>
      </c>
      <c r="Q102" s="85">
        <f t="shared" si="56"/>
        <v>0</v>
      </c>
      <c r="R102" s="85">
        <f t="shared" si="56"/>
        <v>0</v>
      </c>
      <c r="S102" s="85">
        <f t="shared" si="56"/>
        <v>0</v>
      </c>
      <c r="T102" s="85">
        <f t="shared" si="56"/>
        <v>0</v>
      </c>
      <c r="U102" s="85">
        <f t="shared" si="56"/>
        <v>0</v>
      </c>
      <c r="V102" s="85">
        <f t="shared" si="56"/>
        <v>0</v>
      </c>
      <c r="W102" s="85">
        <f t="shared" si="56"/>
        <v>0</v>
      </c>
      <c r="X102" s="85">
        <f t="shared" ref="X102" si="57">IF(X82&lt;0,X82*-1,0)</f>
        <v>0</v>
      </c>
      <c r="Y102" s="85">
        <f t="shared" si="56"/>
        <v>0</v>
      </c>
      <c r="Z102" s="85">
        <f>IF(Z82&lt;0,Z82*-1,0)</f>
        <v>0</v>
      </c>
      <c r="AA102" s="85">
        <f t="shared" ref="AA102" si="58">IF(AA82&lt;0,AA82*-1,0)</f>
        <v>0</v>
      </c>
      <c r="AB102" s="85">
        <f t="shared" si="56"/>
        <v>0</v>
      </c>
      <c r="AC102" s="85">
        <f t="shared" si="56"/>
        <v>0</v>
      </c>
      <c r="AD102" s="85">
        <f t="shared" si="56"/>
        <v>0</v>
      </c>
      <c r="AE102" s="85">
        <f t="shared" si="56"/>
        <v>0</v>
      </c>
      <c r="AF102" s="85">
        <f t="shared" si="56"/>
        <v>0</v>
      </c>
      <c r="AG102" s="86"/>
      <c r="AH102" s="12">
        <f t="shared" si="39"/>
        <v>0</v>
      </c>
      <c r="AI102" s="11">
        <f t="shared" si="40"/>
        <v>0</v>
      </c>
      <c r="BF102" s="83"/>
      <c r="BG102" s="78">
        <v>22.4</v>
      </c>
      <c r="BH102" s="78">
        <v>0</v>
      </c>
      <c r="BI102" s="78">
        <v>96.8</v>
      </c>
      <c r="BJ102" s="78">
        <v>0</v>
      </c>
      <c r="BK102" s="78">
        <v>0</v>
      </c>
      <c r="BL102" s="78">
        <v>0</v>
      </c>
    </row>
    <row r="103" spans="1:64" x14ac:dyDescent="0.25">
      <c r="A103" s="82" t="s">
        <v>159</v>
      </c>
      <c r="B103" s="85">
        <f t="shared" ref="B103:AF103" si="59">IF(B85&lt;0,B85*-1,0)</f>
        <v>0</v>
      </c>
      <c r="C103" s="85">
        <f t="shared" si="59"/>
        <v>0</v>
      </c>
      <c r="D103" s="85">
        <f t="shared" si="59"/>
        <v>0</v>
      </c>
      <c r="E103" s="85">
        <f t="shared" si="59"/>
        <v>0</v>
      </c>
      <c r="F103" s="85">
        <f t="shared" si="59"/>
        <v>0</v>
      </c>
      <c r="G103" s="85">
        <f t="shared" si="59"/>
        <v>0</v>
      </c>
      <c r="H103" s="85">
        <f t="shared" si="59"/>
        <v>0</v>
      </c>
      <c r="I103" s="85">
        <f t="shared" si="59"/>
        <v>0</v>
      </c>
      <c r="J103" s="85">
        <f t="shared" si="59"/>
        <v>0</v>
      </c>
      <c r="K103" s="85">
        <f t="shared" si="59"/>
        <v>0</v>
      </c>
      <c r="L103" s="85">
        <f t="shared" si="59"/>
        <v>0</v>
      </c>
      <c r="M103" s="85">
        <f t="shared" si="59"/>
        <v>0</v>
      </c>
      <c r="N103" s="85">
        <f t="shared" si="59"/>
        <v>0</v>
      </c>
      <c r="O103" s="85">
        <f t="shared" si="59"/>
        <v>0</v>
      </c>
      <c r="P103" s="85">
        <f t="shared" si="59"/>
        <v>0</v>
      </c>
      <c r="Q103" s="85">
        <f t="shared" si="59"/>
        <v>0</v>
      </c>
      <c r="R103" s="85">
        <f t="shared" si="59"/>
        <v>0</v>
      </c>
      <c r="S103" s="85">
        <f t="shared" si="59"/>
        <v>0</v>
      </c>
      <c r="T103" s="85">
        <f t="shared" si="59"/>
        <v>0</v>
      </c>
      <c r="U103" s="85">
        <f t="shared" si="59"/>
        <v>0</v>
      </c>
      <c r="V103" s="85">
        <f t="shared" si="59"/>
        <v>0</v>
      </c>
      <c r="W103" s="85">
        <f t="shared" si="59"/>
        <v>0</v>
      </c>
      <c r="X103" s="85">
        <f t="shared" ref="X103" si="60">IF(X85&lt;0,X85*-1,0)</f>
        <v>0</v>
      </c>
      <c r="Y103" s="85">
        <f t="shared" si="59"/>
        <v>0</v>
      </c>
      <c r="Z103" s="85">
        <f>IF(Z85&lt;0,Z85*-1,0)</f>
        <v>0</v>
      </c>
      <c r="AA103" s="85">
        <f t="shared" ref="AA103" si="61">IF(AA85&lt;0,AA85*-1,0)</f>
        <v>0</v>
      </c>
      <c r="AB103" s="85">
        <f t="shared" si="59"/>
        <v>0</v>
      </c>
      <c r="AC103" s="85">
        <f t="shared" si="59"/>
        <v>0</v>
      </c>
      <c r="AD103" s="85">
        <f t="shared" si="59"/>
        <v>0</v>
      </c>
      <c r="AE103" s="85">
        <f t="shared" si="59"/>
        <v>0</v>
      </c>
      <c r="AF103" s="85">
        <f t="shared" si="59"/>
        <v>0</v>
      </c>
      <c r="AG103" s="84"/>
      <c r="AH103" s="12">
        <f t="shared" si="39"/>
        <v>0</v>
      </c>
      <c r="AI103" s="11">
        <f t="shared" si="40"/>
        <v>0</v>
      </c>
      <c r="BF103" s="83"/>
      <c r="BG103" s="78">
        <v>30.5</v>
      </c>
      <c r="BH103" s="78">
        <v>0</v>
      </c>
      <c r="BI103" s="78">
        <v>40.299999999999997</v>
      </c>
      <c r="BJ103" s="78">
        <v>0</v>
      </c>
      <c r="BK103" s="78">
        <v>0</v>
      </c>
      <c r="BL103" s="78">
        <v>0</v>
      </c>
    </row>
    <row r="104" spans="1:64" x14ac:dyDescent="0.25">
      <c r="A104" s="82" t="s">
        <v>158</v>
      </c>
      <c r="B104" s="85">
        <f t="shared" ref="B104:AF104" si="62">IF(B83&lt;0,B83*-1,0)</f>
        <v>0</v>
      </c>
      <c r="C104" s="85">
        <f t="shared" si="62"/>
        <v>0</v>
      </c>
      <c r="D104" s="85">
        <f t="shared" si="62"/>
        <v>0</v>
      </c>
      <c r="E104" s="85">
        <f t="shared" si="62"/>
        <v>0</v>
      </c>
      <c r="F104" s="85">
        <f t="shared" si="62"/>
        <v>0</v>
      </c>
      <c r="G104" s="85">
        <f t="shared" si="62"/>
        <v>0</v>
      </c>
      <c r="H104" s="85">
        <f t="shared" si="62"/>
        <v>0</v>
      </c>
      <c r="I104" s="85">
        <f t="shared" si="62"/>
        <v>0</v>
      </c>
      <c r="J104" s="85">
        <f t="shared" si="62"/>
        <v>0</v>
      </c>
      <c r="K104" s="85">
        <f t="shared" si="62"/>
        <v>0</v>
      </c>
      <c r="L104" s="85">
        <f t="shared" si="62"/>
        <v>0</v>
      </c>
      <c r="M104" s="85">
        <f t="shared" si="62"/>
        <v>0</v>
      </c>
      <c r="N104" s="85">
        <f t="shared" si="62"/>
        <v>0</v>
      </c>
      <c r="O104" s="85">
        <f t="shared" si="62"/>
        <v>0</v>
      </c>
      <c r="P104" s="85">
        <f t="shared" si="62"/>
        <v>0</v>
      </c>
      <c r="Q104" s="85">
        <f t="shared" si="62"/>
        <v>0</v>
      </c>
      <c r="R104" s="85">
        <f t="shared" si="62"/>
        <v>0</v>
      </c>
      <c r="S104" s="85">
        <f t="shared" si="62"/>
        <v>0</v>
      </c>
      <c r="T104" s="85">
        <f t="shared" si="62"/>
        <v>0</v>
      </c>
      <c r="U104" s="85">
        <f t="shared" si="62"/>
        <v>0</v>
      </c>
      <c r="V104" s="85">
        <f t="shared" si="62"/>
        <v>0</v>
      </c>
      <c r="W104" s="85">
        <f t="shared" si="62"/>
        <v>0</v>
      </c>
      <c r="X104" s="85">
        <f t="shared" ref="X104" si="63">IF(X83&lt;0,X83*-1,0)</f>
        <v>0</v>
      </c>
      <c r="Y104" s="85">
        <f t="shared" si="62"/>
        <v>0</v>
      </c>
      <c r="Z104" s="85">
        <f>IF(Z83&lt;0,Z83*-1,0)</f>
        <v>0</v>
      </c>
      <c r="AA104" s="85">
        <f t="shared" ref="AA104" si="64">IF(AA83&lt;0,AA83*-1,0)</f>
        <v>0</v>
      </c>
      <c r="AB104" s="85">
        <f t="shared" si="62"/>
        <v>0</v>
      </c>
      <c r="AC104" s="85">
        <f t="shared" si="62"/>
        <v>0</v>
      </c>
      <c r="AD104" s="85">
        <f t="shared" si="62"/>
        <v>0</v>
      </c>
      <c r="AE104" s="85">
        <f t="shared" si="62"/>
        <v>0</v>
      </c>
      <c r="AF104" s="85">
        <f t="shared" si="62"/>
        <v>0</v>
      </c>
      <c r="AG104" s="84"/>
      <c r="AH104" s="12">
        <f t="shared" si="39"/>
        <v>0</v>
      </c>
      <c r="AI104" s="11">
        <f t="shared" si="40"/>
        <v>0</v>
      </c>
      <c r="BF104" s="83"/>
      <c r="BG104" s="78">
        <v>38</v>
      </c>
      <c r="BH104" s="78">
        <v>0</v>
      </c>
      <c r="BI104" s="78">
        <v>3.3</v>
      </c>
      <c r="BJ104" s="78">
        <v>0</v>
      </c>
      <c r="BK104" s="78">
        <v>0</v>
      </c>
      <c r="BL104" s="78">
        <v>0</v>
      </c>
    </row>
    <row r="105" spans="1:64" x14ac:dyDescent="0.25">
      <c r="A105" s="82" t="s">
        <v>157</v>
      </c>
      <c r="B105" s="85">
        <f t="shared" ref="B105:AF105" si="65">IF(B81&lt;0,B81*-1,0)</f>
        <v>0</v>
      </c>
      <c r="C105" s="85">
        <f t="shared" si="65"/>
        <v>0</v>
      </c>
      <c r="D105" s="85">
        <f t="shared" si="65"/>
        <v>0</v>
      </c>
      <c r="E105" s="85">
        <f t="shared" si="65"/>
        <v>0</v>
      </c>
      <c r="F105" s="85">
        <f t="shared" si="65"/>
        <v>0</v>
      </c>
      <c r="G105" s="85">
        <f t="shared" si="65"/>
        <v>0</v>
      </c>
      <c r="H105" s="85">
        <f t="shared" si="65"/>
        <v>0</v>
      </c>
      <c r="I105" s="85">
        <f t="shared" si="65"/>
        <v>0</v>
      </c>
      <c r="J105" s="85">
        <f t="shared" si="65"/>
        <v>0</v>
      </c>
      <c r="K105" s="85">
        <f t="shared" si="65"/>
        <v>0</v>
      </c>
      <c r="L105" s="85">
        <f t="shared" si="65"/>
        <v>0</v>
      </c>
      <c r="M105" s="85">
        <f t="shared" si="65"/>
        <v>0</v>
      </c>
      <c r="N105" s="85">
        <f t="shared" si="65"/>
        <v>0</v>
      </c>
      <c r="O105" s="85">
        <f t="shared" si="65"/>
        <v>0</v>
      </c>
      <c r="P105" s="85">
        <f t="shared" si="65"/>
        <v>0</v>
      </c>
      <c r="Q105" s="85">
        <f t="shared" si="65"/>
        <v>0</v>
      </c>
      <c r="R105" s="85">
        <f t="shared" si="65"/>
        <v>0</v>
      </c>
      <c r="S105" s="85">
        <f t="shared" si="65"/>
        <v>0</v>
      </c>
      <c r="T105" s="85">
        <f t="shared" si="65"/>
        <v>0</v>
      </c>
      <c r="U105" s="85">
        <f t="shared" si="65"/>
        <v>0</v>
      </c>
      <c r="V105" s="85">
        <f t="shared" si="65"/>
        <v>0</v>
      </c>
      <c r="W105" s="85">
        <f t="shared" si="65"/>
        <v>0</v>
      </c>
      <c r="X105" s="85">
        <f t="shared" ref="X105" si="66">IF(X81&lt;0,X81*-1,0)</f>
        <v>0</v>
      </c>
      <c r="Y105" s="85">
        <f t="shared" si="65"/>
        <v>0</v>
      </c>
      <c r="Z105" s="85">
        <f>IF(Z81&lt;0,Z81*-1,0)</f>
        <v>0</v>
      </c>
      <c r="AA105" s="85">
        <f t="shared" ref="AA105" si="67">IF(AA81&lt;0,AA81*-1,0)</f>
        <v>0</v>
      </c>
      <c r="AB105" s="85">
        <f t="shared" si="65"/>
        <v>0</v>
      </c>
      <c r="AC105" s="85">
        <f t="shared" si="65"/>
        <v>0</v>
      </c>
      <c r="AD105" s="85">
        <f t="shared" si="65"/>
        <v>0</v>
      </c>
      <c r="AE105" s="85">
        <f t="shared" si="65"/>
        <v>0</v>
      </c>
      <c r="AF105" s="85">
        <f t="shared" si="65"/>
        <v>0</v>
      </c>
      <c r="AG105" s="84"/>
      <c r="AH105" s="12">
        <f t="shared" si="39"/>
        <v>0</v>
      </c>
      <c r="AI105" s="11">
        <f t="shared" si="40"/>
        <v>0</v>
      </c>
      <c r="BF105" s="83"/>
      <c r="BG105" s="78">
        <v>34.9</v>
      </c>
      <c r="BH105" s="78">
        <v>0</v>
      </c>
      <c r="BI105" s="78">
        <v>0</v>
      </c>
      <c r="BJ105" s="78">
        <v>0</v>
      </c>
      <c r="BK105" s="78">
        <v>0</v>
      </c>
      <c r="BL105" s="78">
        <v>25</v>
      </c>
    </row>
    <row r="106" spans="1:64" ht="15.75" thickBot="1" x14ac:dyDescent="0.3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1</v>
      </c>
      <c r="Y106" s="81">
        <v>0</v>
      </c>
      <c r="Z106" s="81">
        <v>0</v>
      </c>
      <c r="AA106" s="81">
        <v>2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39"/>
        <v>2</v>
      </c>
      <c r="AI106" s="11">
        <f t="shared" si="40"/>
        <v>0</v>
      </c>
      <c r="BG106" s="78">
        <v>0</v>
      </c>
      <c r="BH106" s="78">
        <v>0</v>
      </c>
      <c r="BI106" s="78">
        <v>0</v>
      </c>
      <c r="BJ106" s="78">
        <v>0</v>
      </c>
      <c r="BK106" s="78">
        <v>0</v>
      </c>
      <c r="BL106" s="78">
        <v>0</v>
      </c>
    </row>
    <row r="107" spans="1:64" ht="15.75" thickBot="1" x14ac:dyDescent="0.3">
      <c r="A107" s="79" t="s">
        <v>155</v>
      </c>
      <c r="B107" s="76">
        <f t="shared" ref="B107:AF107" si="68">SUM(B101:B106)</f>
        <v>0</v>
      </c>
      <c r="C107" s="76">
        <f t="shared" si="68"/>
        <v>0</v>
      </c>
      <c r="D107" s="76">
        <f t="shared" si="68"/>
        <v>0</v>
      </c>
      <c r="E107" s="76">
        <f t="shared" si="68"/>
        <v>0</v>
      </c>
      <c r="F107" s="76">
        <f t="shared" si="68"/>
        <v>0</v>
      </c>
      <c r="G107" s="76">
        <f t="shared" si="68"/>
        <v>0</v>
      </c>
      <c r="H107" s="76">
        <f t="shared" si="68"/>
        <v>0</v>
      </c>
      <c r="I107" s="76">
        <f t="shared" si="68"/>
        <v>0</v>
      </c>
      <c r="J107" s="76">
        <f t="shared" si="68"/>
        <v>0</v>
      </c>
      <c r="K107" s="76">
        <f t="shared" si="68"/>
        <v>0</v>
      </c>
      <c r="L107" s="76">
        <f t="shared" si="68"/>
        <v>0</v>
      </c>
      <c r="M107" s="76">
        <f t="shared" si="68"/>
        <v>0</v>
      </c>
      <c r="N107" s="76">
        <f t="shared" si="68"/>
        <v>0</v>
      </c>
      <c r="O107" s="76">
        <f t="shared" si="68"/>
        <v>0</v>
      </c>
      <c r="P107" s="76">
        <f t="shared" si="68"/>
        <v>0</v>
      </c>
      <c r="Q107" s="76">
        <f t="shared" si="68"/>
        <v>0</v>
      </c>
      <c r="R107" s="76">
        <f t="shared" si="68"/>
        <v>0</v>
      </c>
      <c r="S107" s="76">
        <f t="shared" si="68"/>
        <v>0</v>
      </c>
      <c r="T107" s="76">
        <f t="shared" si="68"/>
        <v>0</v>
      </c>
      <c r="U107" s="76">
        <f t="shared" si="68"/>
        <v>0</v>
      </c>
      <c r="V107" s="76">
        <f t="shared" si="68"/>
        <v>0</v>
      </c>
      <c r="W107" s="76">
        <f t="shared" si="68"/>
        <v>0</v>
      </c>
      <c r="X107" s="76">
        <f t="shared" ref="X107" si="69">SUM(X101:X106)</f>
        <v>1</v>
      </c>
      <c r="Y107" s="76">
        <f t="shared" si="68"/>
        <v>0</v>
      </c>
      <c r="Z107" s="76">
        <f>SUM(Z101:Z106)</f>
        <v>0</v>
      </c>
      <c r="AA107" s="76">
        <f t="shared" ref="AA107" si="70">SUM(AA101:AA106)</f>
        <v>2</v>
      </c>
      <c r="AB107" s="76">
        <f t="shared" si="68"/>
        <v>0</v>
      </c>
      <c r="AC107" s="76">
        <f t="shared" si="68"/>
        <v>0</v>
      </c>
      <c r="AD107" s="76">
        <f t="shared" si="68"/>
        <v>0</v>
      </c>
      <c r="AE107" s="76">
        <f t="shared" si="68"/>
        <v>0</v>
      </c>
      <c r="AF107" s="76">
        <f t="shared" si="68"/>
        <v>0</v>
      </c>
      <c r="AG107" s="75"/>
      <c r="AH107" s="12">
        <f t="shared" si="39"/>
        <v>2</v>
      </c>
      <c r="AI107" s="11">
        <f t="shared" si="40"/>
        <v>0</v>
      </c>
      <c r="AK107" s="19"/>
      <c r="BG107" s="78">
        <v>40</v>
      </c>
      <c r="BH107" s="78">
        <v>0</v>
      </c>
      <c r="BI107" s="78">
        <v>77</v>
      </c>
      <c r="BJ107" s="78">
        <v>14</v>
      </c>
      <c r="BK107" s="78">
        <v>25</v>
      </c>
      <c r="BL107" s="78">
        <v>43</v>
      </c>
    </row>
    <row r="108" spans="1:64" ht="15.75" thickBot="1" x14ac:dyDescent="0.3">
      <c r="A108" s="77" t="s">
        <v>154</v>
      </c>
      <c r="B108" s="76">
        <f t="shared" ref="B108:AF108" si="71">B92-B107</f>
        <v>199</v>
      </c>
      <c r="C108" s="76">
        <f t="shared" si="71"/>
        <v>144</v>
      </c>
      <c r="D108" s="76">
        <f t="shared" si="71"/>
        <v>146</v>
      </c>
      <c r="E108" s="76">
        <f t="shared" si="71"/>
        <v>205</v>
      </c>
      <c r="F108" s="76">
        <f t="shared" si="71"/>
        <v>119.79999999999998</v>
      </c>
      <c r="G108" s="76">
        <f t="shared" si="71"/>
        <v>120.8</v>
      </c>
      <c r="H108" s="76">
        <f t="shared" si="71"/>
        <v>114.4</v>
      </c>
      <c r="I108" s="76">
        <f t="shared" si="71"/>
        <v>142</v>
      </c>
      <c r="J108" s="76">
        <f t="shared" si="71"/>
        <v>364</v>
      </c>
      <c r="K108" s="76">
        <f t="shared" si="71"/>
        <v>519.90000000000009</v>
      </c>
      <c r="L108" s="76">
        <f t="shared" si="71"/>
        <v>591.6</v>
      </c>
      <c r="M108" s="76">
        <f t="shared" si="71"/>
        <v>587.6</v>
      </c>
      <c r="N108" s="76">
        <f t="shared" si="71"/>
        <v>550.5</v>
      </c>
      <c r="O108" s="76">
        <f t="shared" si="71"/>
        <v>540.4</v>
      </c>
      <c r="P108" s="76">
        <f t="shared" si="71"/>
        <v>488.4</v>
      </c>
      <c r="Q108" s="76">
        <f t="shared" si="71"/>
        <v>502.20000000000005</v>
      </c>
      <c r="R108" s="76">
        <f t="shared" si="71"/>
        <v>510.2</v>
      </c>
      <c r="S108" s="76">
        <f t="shared" si="71"/>
        <v>558.80000000000007</v>
      </c>
      <c r="T108" s="76">
        <f t="shared" si="71"/>
        <v>514.70000000000005</v>
      </c>
      <c r="U108" s="76">
        <f t="shared" si="71"/>
        <v>507.30000000000007</v>
      </c>
      <c r="V108" s="76">
        <f t="shared" si="71"/>
        <v>441.1</v>
      </c>
      <c r="W108" s="76">
        <f t="shared" si="71"/>
        <v>431.1</v>
      </c>
      <c r="X108" s="76">
        <f t="shared" ref="X108" si="72">X92-X107</f>
        <v>440.1</v>
      </c>
      <c r="Y108" s="76">
        <f t="shared" si="71"/>
        <v>120.3</v>
      </c>
      <c r="Z108" s="76">
        <f>Z92-Z107</f>
        <v>119.19999999999999</v>
      </c>
      <c r="AA108" s="76">
        <f t="shared" ref="AA108" si="73">AA92-AA107</f>
        <v>88.3</v>
      </c>
      <c r="AB108" s="76">
        <f t="shared" si="71"/>
        <v>70.8</v>
      </c>
      <c r="AC108" s="76">
        <f t="shared" si="71"/>
        <v>68</v>
      </c>
      <c r="AD108" s="76">
        <f t="shared" si="71"/>
        <v>41.3</v>
      </c>
      <c r="AE108" s="76">
        <f t="shared" si="71"/>
        <v>59.9</v>
      </c>
      <c r="AF108" s="76">
        <f t="shared" si="71"/>
        <v>0</v>
      </c>
      <c r="AG108" s="75"/>
      <c r="AH108" s="12">
        <f t="shared" si="39"/>
        <v>591.6</v>
      </c>
      <c r="AI108" s="11">
        <f t="shared" si="40"/>
        <v>0</v>
      </c>
    </row>
    <row r="109" spans="1:64" x14ac:dyDescent="0.25">
      <c r="A109" s="25" t="s">
        <v>153</v>
      </c>
      <c r="B109" s="74">
        <v>50.033999999999999</v>
      </c>
      <c r="C109" s="74">
        <v>49.957999999999998</v>
      </c>
      <c r="D109" s="74">
        <v>49.994999999999997</v>
      </c>
      <c r="E109" s="74">
        <v>49.99</v>
      </c>
      <c r="F109" s="74">
        <v>50</v>
      </c>
      <c r="G109" s="74">
        <v>50.024000000000001</v>
      </c>
      <c r="H109" s="74">
        <v>49.966000000000001</v>
      </c>
      <c r="I109" s="74">
        <v>50</v>
      </c>
      <c r="J109" s="74">
        <v>49.99</v>
      </c>
      <c r="K109" s="74">
        <v>50</v>
      </c>
      <c r="L109" s="74">
        <v>50.033999999999999</v>
      </c>
      <c r="M109" s="74">
        <v>50.048999999999999</v>
      </c>
      <c r="N109" s="74">
        <v>49.972000000000001</v>
      </c>
      <c r="O109" s="74">
        <v>49.939</v>
      </c>
      <c r="P109" s="74">
        <v>49.981999999999999</v>
      </c>
      <c r="Q109" s="74">
        <v>49.963000000000001</v>
      </c>
      <c r="R109" s="74">
        <v>50.03</v>
      </c>
      <c r="S109" s="74">
        <v>50.131999999999998</v>
      </c>
      <c r="T109" s="74">
        <v>50.037999999999997</v>
      </c>
      <c r="U109" s="74">
        <v>50.143000000000001</v>
      </c>
      <c r="V109" s="74">
        <v>49.976999999999997</v>
      </c>
      <c r="W109" s="74">
        <v>50.006</v>
      </c>
      <c r="X109" s="74">
        <v>50.006</v>
      </c>
      <c r="Y109" s="74">
        <v>49.991999999999997</v>
      </c>
      <c r="Z109" s="74">
        <v>49.96</v>
      </c>
      <c r="AA109" s="74">
        <v>49.991999999999997</v>
      </c>
      <c r="AB109" s="74">
        <v>49.99</v>
      </c>
      <c r="AC109" s="74">
        <v>50.027999999999999</v>
      </c>
      <c r="AD109" s="74">
        <v>50.018999999999998</v>
      </c>
      <c r="AE109" s="74">
        <v>50.036000000000001</v>
      </c>
      <c r="AF109" s="74"/>
      <c r="AG109" s="73"/>
      <c r="AH109" s="12">
        <f t="shared" si="39"/>
        <v>50.143000000000001</v>
      </c>
      <c r="AI109" s="11">
        <f t="shared" si="40"/>
        <v>49.939</v>
      </c>
    </row>
    <row r="110" spans="1:64" x14ac:dyDescent="0.25">
      <c r="A110" s="22" t="s">
        <v>152</v>
      </c>
      <c r="B110" s="70">
        <v>130.5</v>
      </c>
      <c r="C110" s="70">
        <v>131</v>
      </c>
      <c r="D110" s="70">
        <v>131</v>
      </c>
      <c r="E110" s="70">
        <v>131</v>
      </c>
      <c r="F110" s="70">
        <v>129.69999999999999</v>
      </c>
      <c r="G110" s="70">
        <v>127.7</v>
      </c>
      <c r="H110" s="70">
        <v>127.7</v>
      </c>
      <c r="I110" s="70">
        <v>127.7</v>
      </c>
      <c r="J110" s="70">
        <v>127.7</v>
      </c>
      <c r="K110" s="70">
        <v>125</v>
      </c>
      <c r="L110" s="70">
        <v>125</v>
      </c>
      <c r="M110" s="70">
        <v>124.4</v>
      </c>
      <c r="N110" s="70">
        <v>125.1</v>
      </c>
      <c r="O110" s="70">
        <v>122.9</v>
      </c>
      <c r="P110" s="70">
        <v>122.2</v>
      </c>
      <c r="Q110" s="70">
        <v>122.4</v>
      </c>
      <c r="R110" s="70">
        <v>122.5</v>
      </c>
      <c r="S110" s="70">
        <v>122</v>
      </c>
      <c r="T110" s="70">
        <v>123.4</v>
      </c>
      <c r="U110" s="70">
        <v>122.5</v>
      </c>
      <c r="V110" s="70">
        <v>126.6</v>
      </c>
      <c r="W110" s="70">
        <v>127.9</v>
      </c>
      <c r="X110" s="70">
        <v>127.9</v>
      </c>
      <c r="Y110" s="70">
        <v>127</v>
      </c>
      <c r="Z110" s="70">
        <v>125.9</v>
      </c>
      <c r="AA110" s="70">
        <v>127</v>
      </c>
      <c r="AB110" s="70">
        <v>127.6</v>
      </c>
      <c r="AC110" s="70">
        <v>126.8</v>
      </c>
      <c r="AD110" s="70">
        <v>125.9</v>
      </c>
      <c r="AE110" s="70">
        <v>126.6</v>
      </c>
      <c r="AF110" s="70"/>
      <c r="AG110" s="69"/>
      <c r="AH110" s="12">
        <f t="shared" si="39"/>
        <v>131</v>
      </c>
      <c r="AI110" s="11">
        <f t="shared" si="40"/>
        <v>122</v>
      </c>
    </row>
    <row r="111" spans="1:64" x14ac:dyDescent="0.25">
      <c r="A111" s="22" t="s">
        <v>151</v>
      </c>
      <c r="B111" s="70">
        <v>133.5</v>
      </c>
      <c r="C111" s="70">
        <v>133.6</v>
      </c>
      <c r="D111" s="70">
        <v>133.6</v>
      </c>
      <c r="E111" s="70">
        <v>133.6</v>
      </c>
      <c r="F111" s="70">
        <v>133</v>
      </c>
      <c r="G111" s="70">
        <v>131.5</v>
      </c>
      <c r="H111" s="70">
        <v>131.5</v>
      </c>
      <c r="I111" s="70">
        <v>131.5</v>
      </c>
      <c r="J111" s="70">
        <v>131.5</v>
      </c>
      <c r="K111" s="70">
        <v>127</v>
      </c>
      <c r="L111" s="70">
        <v>127</v>
      </c>
      <c r="M111" s="70">
        <v>126.6</v>
      </c>
      <c r="N111" s="70">
        <v>128.5</v>
      </c>
      <c r="O111" s="70">
        <v>126.4</v>
      </c>
      <c r="P111" s="70">
        <v>126</v>
      </c>
      <c r="Q111" s="70">
        <v>125.6</v>
      </c>
      <c r="R111" s="70">
        <v>125.5</v>
      </c>
      <c r="S111" s="70">
        <v>125.1</v>
      </c>
      <c r="T111" s="70">
        <v>126.1</v>
      </c>
      <c r="U111" s="70">
        <v>125.3</v>
      </c>
      <c r="V111" s="70">
        <v>128.9</v>
      </c>
      <c r="W111" s="70">
        <v>129.80000000000001</v>
      </c>
      <c r="X111" s="70">
        <v>129.80000000000001</v>
      </c>
      <c r="Y111" s="70">
        <v>129.6</v>
      </c>
      <c r="Z111" s="70">
        <v>128.30000000000001</v>
      </c>
      <c r="AA111" s="70">
        <v>129.6</v>
      </c>
      <c r="AB111" s="70">
        <v>129.80000000000001</v>
      </c>
      <c r="AC111" s="70">
        <v>129.19999999999999</v>
      </c>
      <c r="AD111" s="70">
        <v>129.6</v>
      </c>
      <c r="AE111" s="70">
        <v>130.69999999999999</v>
      </c>
      <c r="AF111" s="70"/>
      <c r="AG111" s="69"/>
      <c r="AH111" s="12">
        <f t="shared" si="39"/>
        <v>133.6</v>
      </c>
      <c r="AI111" s="11">
        <f t="shared" si="40"/>
        <v>125.1</v>
      </c>
    </row>
    <row r="112" spans="1:64" x14ac:dyDescent="0.25">
      <c r="A112" s="22" t="s">
        <v>150</v>
      </c>
      <c r="B112" s="70">
        <v>132.9</v>
      </c>
      <c r="C112" s="70">
        <v>132.30000000000001</v>
      </c>
      <c r="D112" s="70">
        <v>133.5</v>
      </c>
      <c r="E112" s="70">
        <v>133.5</v>
      </c>
      <c r="F112" s="70">
        <v>135</v>
      </c>
      <c r="G112" s="70">
        <v>133</v>
      </c>
      <c r="H112" s="70">
        <v>133</v>
      </c>
      <c r="I112" s="70">
        <v>133</v>
      </c>
      <c r="J112" s="70">
        <v>133</v>
      </c>
      <c r="K112" s="70">
        <v>133</v>
      </c>
      <c r="L112" s="70">
        <v>133</v>
      </c>
      <c r="M112" s="70">
        <v>133</v>
      </c>
      <c r="N112" s="70">
        <v>130.6</v>
      </c>
      <c r="O112" s="70">
        <v>132.6</v>
      </c>
      <c r="P112" s="70">
        <v>130.69999999999999</v>
      </c>
      <c r="Q112" s="70">
        <v>131.19999999999999</v>
      </c>
      <c r="R112" s="70">
        <v>131.6</v>
      </c>
      <c r="S112" s="70">
        <v>129.6</v>
      </c>
      <c r="T112" s="70">
        <v>128</v>
      </c>
      <c r="U112" s="70">
        <v>130.30000000000001</v>
      </c>
      <c r="V112" s="70">
        <v>130.69999999999999</v>
      </c>
      <c r="W112" s="70">
        <v>132.1</v>
      </c>
      <c r="X112" s="70">
        <v>132.1</v>
      </c>
      <c r="Y112" s="70">
        <v>129.19999999999999</v>
      </c>
      <c r="Z112" s="70">
        <v>129</v>
      </c>
      <c r="AA112" s="70">
        <v>129.19999999999999</v>
      </c>
      <c r="AB112" s="70">
        <v>132</v>
      </c>
      <c r="AC112" s="70">
        <v>132.4</v>
      </c>
      <c r="AD112" s="70">
        <v>132.30000000000001</v>
      </c>
      <c r="AE112" s="70">
        <v>131.6</v>
      </c>
      <c r="AF112" s="70"/>
      <c r="AG112" s="69"/>
      <c r="AH112" s="12">
        <f t="shared" si="39"/>
        <v>135</v>
      </c>
      <c r="AI112" s="11">
        <f t="shared" si="40"/>
        <v>128</v>
      </c>
    </row>
    <row r="113" spans="1:35" x14ac:dyDescent="0.25">
      <c r="A113" s="72" t="s">
        <v>149</v>
      </c>
      <c r="B113" s="70">
        <v>135.30000000000001</v>
      </c>
      <c r="C113" s="70">
        <v>135.69999999999999</v>
      </c>
      <c r="D113" s="70">
        <v>135.80000000000001</v>
      </c>
      <c r="E113" s="70">
        <v>135.80000000000001</v>
      </c>
      <c r="F113" s="70">
        <v>137</v>
      </c>
      <c r="G113" s="70">
        <v>135</v>
      </c>
      <c r="H113" s="70">
        <v>135</v>
      </c>
      <c r="I113" s="70">
        <v>135</v>
      </c>
      <c r="J113" s="70">
        <v>135</v>
      </c>
      <c r="K113" s="70">
        <v>128</v>
      </c>
      <c r="L113" s="70">
        <v>128</v>
      </c>
      <c r="M113" s="70">
        <v>134.19999999999999</v>
      </c>
      <c r="N113" s="70">
        <v>132.30000000000001</v>
      </c>
      <c r="O113" s="70">
        <v>134.5</v>
      </c>
      <c r="P113" s="70">
        <v>132.80000000000001</v>
      </c>
      <c r="Q113" s="70">
        <v>133.80000000000001</v>
      </c>
      <c r="R113" s="70">
        <v>134</v>
      </c>
      <c r="S113" s="70">
        <v>132.4</v>
      </c>
      <c r="T113" s="70">
        <v>131.69999999999999</v>
      </c>
      <c r="U113" s="70">
        <v>132.9</v>
      </c>
      <c r="V113" s="70">
        <v>134.4</v>
      </c>
      <c r="W113" s="70">
        <v>134.69999999999999</v>
      </c>
      <c r="X113" s="70">
        <v>134.69999999999999</v>
      </c>
      <c r="Y113" s="70">
        <v>132.30000000000001</v>
      </c>
      <c r="Z113" s="70">
        <v>131.9</v>
      </c>
      <c r="AA113" s="70">
        <v>132.30000000000001</v>
      </c>
      <c r="AB113" s="70">
        <v>132.9</v>
      </c>
      <c r="AC113" s="70">
        <v>132.9</v>
      </c>
      <c r="AD113" s="70">
        <v>133.30000000000001</v>
      </c>
      <c r="AE113" s="70">
        <v>133.30000000000001</v>
      </c>
      <c r="AF113" s="70"/>
      <c r="AG113" s="69"/>
      <c r="AH113" s="12">
        <f t="shared" si="39"/>
        <v>137</v>
      </c>
      <c r="AI113" s="11">
        <f t="shared" si="40"/>
        <v>128</v>
      </c>
    </row>
    <row r="114" spans="1:35" x14ac:dyDescent="0.25">
      <c r="A114" s="72" t="s">
        <v>148</v>
      </c>
      <c r="B114" s="56">
        <v>135</v>
      </c>
      <c r="C114" s="56">
        <v>134</v>
      </c>
      <c r="D114" s="56">
        <v>133.80000000000001</v>
      </c>
      <c r="E114" s="56">
        <v>133.80000000000001</v>
      </c>
      <c r="F114" s="56">
        <v>134</v>
      </c>
      <c r="G114" s="56">
        <v>131.80000000000001</v>
      </c>
      <c r="H114" s="56">
        <v>131.80000000000001</v>
      </c>
      <c r="I114" s="56">
        <v>131.80000000000001</v>
      </c>
      <c r="J114" s="56">
        <v>131.80000000000001</v>
      </c>
      <c r="K114" s="56">
        <v>129.6</v>
      </c>
      <c r="L114" s="56">
        <v>129.6</v>
      </c>
      <c r="M114" s="56">
        <v>133.6</v>
      </c>
      <c r="N114" s="56">
        <v>135</v>
      </c>
      <c r="O114" s="56">
        <v>130</v>
      </c>
      <c r="P114" s="56">
        <v>129.69999999999999</v>
      </c>
      <c r="Q114" s="56">
        <v>133.69999999999999</v>
      </c>
      <c r="R114" s="56">
        <v>133.30000000000001</v>
      </c>
      <c r="S114" s="56">
        <v>130.80000000000001</v>
      </c>
      <c r="T114" s="56">
        <v>133.5</v>
      </c>
      <c r="U114" s="56">
        <v>131.4</v>
      </c>
      <c r="V114" s="56">
        <v>137.6</v>
      </c>
      <c r="W114" s="56">
        <v>133.9</v>
      </c>
      <c r="X114" s="56">
        <v>133.9</v>
      </c>
      <c r="Y114" s="56">
        <v>133.9</v>
      </c>
      <c r="Z114" s="56">
        <v>132.1</v>
      </c>
      <c r="AA114" s="56">
        <v>133.9</v>
      </c>
      <c r="AB114" s="56">
        <v>133</v>
      </c>
      <c r="AC114" s="56">
        <v>133</v>
      </c>
      <c r="AD114" s="56">
        <v>134</v>
      </c>
      <c r="AE114" s="56">
        <v>135.80000000000001</v>
      </c>
      <c r="AF114" s="56"/>
      <c r="AG114" s="71"/>
      <c r="AH114" s="12">
        <f t="shared" si="39"/>
        <v>137.6</v>
      </c>
      <c r="AI114" s="11">
        <f t="shared" si="40"/>
        <v>129.6</v>
      </c>
    </row>
    <row r="115" spans="1:35" x14ac:dyDescent="0.25">
      <c r="A115" s="22" t="s">
        <v>147</v>
      </c>
      <c r="B115" s="70">
        <v>131.54</v>
      </c>
      <c r="C115" s="70">
        <v>133.80000000000001</v>
      </c>
      <c r="D115" s="70">
        <v>134.1</v>
      </c>
      <c r="E115" s="70">
        <v>134.1</v>
      </c>
      <c r="F115" s="70">
        <v>134</v>
      </c>
      <c r="G115" s="70">
        <v>134.69999999999999</v>
      </c>
      <c r="H115" s="70">
        <v>134.69999999999999</v>
      </c>
      <c r="I115" s="70">
        <v>134.69999999999999</v>
      </c>
      <c r="J115" s="70">
        <v>134.69999999999999</v>
      </c>
      <c r="K115" s="70">
        <v>132</v>
      </c>
      <c r="L115" s="70">
        <v>132</v>
      </c>
      <c r="M115" s="70">
        <v>126.4</v>
      </c>
      <c r="N115" s="70">
        <v>126.9</v>
      </c>
      <c r="O115" s="70">
        <v>125.2</v>
      </c>
      <c r="P115" s="70">
        <v>128.6</v>
      </c>
      <c r="Q115" s="70">
        <v>1127.7</v>
      </c>
      <c r="R115" s="70">
        <v>126.3</v>
      </c>
      <c r="S115" s="70">
        <v>128.80000000000001</v>
      </c>
      <c r="T115" s="70">
        <v>123.3</v>
      </c>
      <c r="U115" s="70">
        <v>126.5</v>
      </c>
      <c r="V115" s="70">
        <v>133.19999999999999</v>
      </c>
      <c r="W115" s="70">
        <v>130.69999999999999</v>
      </c>
      <c r="X115" s="70">
        <v>130.69999999999999</v>
      </c>
      <c r="Y115" s="70">
        <v>133.19999999999999</v>
      </c>
      <c r="Z115" s="70">
        <v>132.69999999999999</v>
      </c>
      <c r="AA115" s="70">
        <v>133.19999999999999</v>
      </c>
      <c r="AB115" s="70">
        <v>131.9</v>
      </c>
      <c r="AC115" s="70">
        <v>131.9</v>
      </c>
      <c r="AD115" s="70">
        <v>129.1</v>
      </c>
      <c r="AE115" s="70">
        <v>128.69999999999999</v>
      </c>
      <c r="AF115" s="70"/>
      <c r="AG115" s="69"/>
      <c r="AH115" s="12">
        <f t="shared" si="39"/>
        <v>1127.7</v>
      </c>
      <c r="AI115" s="11">
        <f t="shared" si="40"/>
        <v>123.3</v>
      </c>
    </row>
    <row r="116" spans="1:35" ht="15.75" thickBot="1" x14ac:dyDescent="0.3">
      <c r="A116" s="22" t="s">
        <v>146</v>
      </c>
      <c r="B116" s="67">
        <v>66.900000000000006</v>
      </c>
      <c r="C116" s="67">
        <v>67</v>
      </c>
      <c r="D116" s="67">
        <v>67</v>
      </c>
      <c r="E116" s="67">
        <v>67</v>
      </c>
      <c r="F116" s="67">
        <v>66.599999999999994</v>
      </c>
      <c r="G116" s="67">
        <v>65.8</v>
      </c>
      <c r="H116" s="67">
        <v>65.8</v>
      </c>
      <c r="I116" s="67">
        <v>65.8</v>
      </c>
      <c r="J116" s="67">
        <v>65.8</v>
      </c>
      <c r="K116" s="67">
        <v>64.2</v>
      </c>
      <c r="L116" s="67">
        <v>64.2</v>
      </c>
      <c r="M116" s="67">
        <v>63.5</v>
      </c>
      <c r="N116" s="67">
        <v>64.2</v>
      </c>
      <c r="O116" s="67">
        <v>63.1</v>
      </c>
      <c r="P116" s="67">
        <v>63</v>
      </c>
      <c r="Q116" s="67">
        <v>62.9</v>
      </c>
      <c r="R116" s="67">
        <v>62.9</v>
      </c>
      <c r="S116" s="67">
        <v>62.7</v>
      </c>
      <c r="T116" s="67">
        <v>63.2</v>
      </c>
      <c r="U116" s="67">
        <v>62.8</v>
      </c>
      <c r="V116" s="67">
        <v>64.8</v>
      </c>
      <c r="W116" s="67">
        <v>65.3</v>
      </c>
      <c r="X116" s="67">
        <v>65.3</v>
      </c>
      <c r="Y116" s="67">
        <v>65.400000000000006</v>
      </c>
      <c r="Z116" s="67">
        <v>64.5</v>
      </c>
      <c r="AA116" s="67">
        <v>65.400000000000006</v>
      </c>
      <c r="AB116" s="67">
        <v>65.3</v>
      </c>
      <c r="AC116" s="67">
        <v>65</v>
      </c>
      <c r="AD116" s="67">
        <v>65.5</v>
      </c>
      <c r="AE116" s="67">
        <v>65.900000000000006</v>
      </c>
      <c r="AF116" s="67"/>
      <c r="AG116" s="66"/>
      <c r="AH116" s="12">
        <f t="shared" si="39"/>
        <v>67</v>
      </c>
      <c r="AI116" s="11">
        <f t="shared" si="40"/>
        <v>62.7</v>
      </c>
    </row>
    <row r="117" spans="1:35" ht="15.75" thickBot="1" x14ac:dyDescent="0.3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39"/>
        <v>0</v>
      </c>
      <c r="AI117" s="11">
        <f t="shared" si="40"/>
        <v>0</v>
      </c>
    </row>
    <row r="118" spans="1:35" ht="15.75" thickBot="1" x14ac:dyDescent="0.3">
      <c r="A118" s="65" t="s">
        <v>144</v>
      </c>
      <c r="B118" s="64">
        <f t="shared" ref="B118:O118" si="74">SUM(B22,B28,B31:B32,B66,B68:B69,B71,B73,B119:B123,B155,B161,B167,B176,B178,B190,B197,B200:B201,B208,B210,B212,B216:B218,B220:B222,B227,B233:B234,B236:B238,B246,B251)</f>
        <v>108.14000000000001</v>
      </c>
      <c r="C118" s="64">
        <f t="shared" si="74"/>
        <v>93.140000000000015</v>
      </c>
      <c r="D118" s="64">
        <f t="shared" si="74"/>
        <v>88.039999999999992</v>
      </c>
      <c r="E118" s="64">
        <f t="shared" si="74"/>
        <v>87.440000000000012</v>
      </c>
      <c r="F118" s="64">
        <f t="shared" si="74"/>
        <v>68.839999999999989</v>
      </c>
      <c r="G118" s="64">
        <f t="shared" si="74"/>
        <v>115.13999999999999</v>
      </c>
      <c r="H118" s="64">
        <f t="shared" si="74"/>
        <v>144.73999999999998</v>
      </c>
      <c r="I118" s="64">
        <f t="shared" si="74"/>
        <v>144.73999999999998</v>
      </c>
      <c r="J118" s="64">
        <f t="shared" si="74"/>
        <v>144.73999999999998</v>
      </c>
      <c r="K118" s="64">
        <f t="shared" si="74"/>
        <v>267.83999999999997</v>
      </c>
      <c r="L118" s="64">
        <f t="shared" si="74"/>
        <v>311.33999999999997</v>
      </c>
      <c r="M118" s="64">
        <f t="shared" si="74"/>
        <v>305.64000000000004</v>
      </c>
      <c r="N118" s="64">
        <f t="shared" si="74"/>
        <v>295.14000000000004</v>
      </c>
      <c r="O118" s="64">
        <f t="shared" si="74"/>
        <v>292.54000000000002</v>
      </c>
      <c r="P118" s="64">
        <v>42</v>
      </c>
      <c r="Q118" s="64">
        <f t="shared" ref="Q118:X118" si="75">SUM(Q22,Q28,Q31:Q32,Q66,Q68:Q69,Q71,Q73,Q119:Q123,Q155,Q161,Q167,Q176,Q178,Q190,Q197,Q200:Q201,Q208,Q210,Q212,Q216:Q218,Q220:Q222,Q227,Q233:Q234,Q236:Q238,Q246,Q251)</f>
        <v>257.14</v>
      </c>
      <c r="R118" s="64">
        <f t="shared" si="75"/>
        <v>256.34000000000003</v>
      </c>
      <c r="S118" s="64">
        <f t="shared" si="75"/>
        <v>249.23999999999995</v>
      </c>
      <c r="T118" s="64">
        <f t="shared" si="75"/>
        <v>245.24</v>
      </c>
      <c r="U118" s="64">
        <f t="shared" si="75"/>
        <v>255.94</v>
      </c>
      <c r="V118" s="64">
        <f t="shared" si="75"/>
        <v>256.94</v>
      </c>
      <c r="W118" s="64">
        <f t="shared" si="75"/>
        <v>252.03999999999996</v>
      </c>
      <c r="X118" s="64">
        <f t="shared" si="75"/>
        <v>252.03999999999996</v>
      </c>
      <c r="Y118" s="64">
        <f>SUM(Y20,Y26,Y37:Y38,Y66,Y68:Y69,Y71,Y73,Y119:Y123,Y148,Y154,Y160,Y169,Y171,Y183,Y190,Y193:Y194,Y201,Y203,Y205,Y209:Y211,Y213:Y215,Y220,Y226:Y227,Y229:Y231,Y239,Y244)</f>
        <v>287.39999999999998</v>
      </c>
      <c r="Z118" s="64">
        <f>SUM(Z20,Z26,Z37:Z38,Z66,Z68:Z69,Z71,Z73,Z119:Z123,Z148,Z154,Z160,Z169,Z171,Z183,Z190,Z193:Z194,Z201,Z203,Z205,Z209:Z211,Z213:Z215,Z220,Z226:Z227,Z229:Z231,Z239,Z244)</f>
        <v>311.39999999999998</v>
      </c>
      <c r="AA118" s="64">
        <f>SUM(AA20,AA26,AA37:AA38,AA66,AA68:AA69,AA71,AA73,AA119:AA123,AA148,AA154,AA160,AA169,AA171,AA183,AA190,AA193:AA194,AA201,AA203,AA205,AA209:AA211,AA213:AA215,AA220,AA226:AA227,AA229:AA231,AA239,AA244)</f>
        <v>326.2</v>
      </c>
      <c r="AB118" s="64">
        <f t="shared" ref="AB118:AF118" si="76">SUM(AB22,AB28,AB31:AB32,AB66,AB68:AB69,AB71,AB73,AB119:AB123,AB155,AB161,AB167,AB176,AB178,AB190,AB197,AB200:AB201,AB208,AB210,AB212,AB216:AB218,AB220:AB222,AB227,AB233:AB234,AB236:AB238,AB246,AB251)</f>
        <v>250.44</v>
      </c>
      <c r="AC118" s="64">
        <f t="shared" si="76"/>
        <v>280.33999999999997</v>
      </c>
      <c r="AD118" s="64">
        <f t="shared" si="76"/>
        <v>228.23999999999998</v>
      </c>
      <c r="AE118" s="64">
        <f t="shared" si="76"/>
        <v>174.33999999999997</v>
      </c>
      <c r="AF118" s="64">
        <f t="shared" si="76"/>
        <v>123.73999999999998</v>
      </c>
      <c r="AG118" s="63"/>
      <c r="AH118" s="12">
        <f t="shared" si="39"/>
        <v>326.2</v>
      </c>
      <c r="AI118" s="11">
        <f t="shared" si="40"/>
        <v>42</v>
      </c>
    </row>
    <row r="119" spans="1:35" x14ac:dyDescent="0.25">
      <c r="A119" s="59" t="s">
        <v>143</v>
      </c>
      <c r="B119" s="62">
        <v>17</v>
      </c>
      <c r="C119" s="62">
        <v>26</v>
      </c>
      <c r="D119" s="62">
        <v>22.8</v>
      </c>
      <c r="E119" s="62">
        <v>22.5</v>
      </c>
      <c r="F119" s="62">
        <v>23.1</v>
      </c>
      <c r="G119" s="62">
        <v>33.9</v>
      </c>
      <c r="H119" s="62">
        <v>28.7</v>
      </c>
      <c r="I119" s="62">
        <v>28.7</v>
      </c>
      <c r="J119" s="62">
        <v>28.7</v>
      </c>
      <c r="K119" s="62">
        <v>17.100000000000001</v>
      </c>
      <c r="L119" s="62">
        <v>22.2</v>
      </c>
      <c r="M119" s="62">
        <v>21.1</v>
      </c>
      <c r="N119" s="62">
        <v>31.8</v>
      </c>
      <c r="O119" s="62">
        <v>27.1</v>
      </c>
      <c r="P119" s="62">
        <v>16</v>
      </c>
      <c r="Q119" s="62">
        <v>27.1</v>
      </c>
      <c r="R119" s="62">
        <v>20.399999999999999</v>
      </c>
      <c r="S119" s="62">
        <v>12.3</v>
      </c>
      <c r="T119" s="62">
        <v>12</v>
      </c>
      <c r="U119" s="62">
        <v>14.2</v>
      </c>
      <c r="V119" s="62">
        <v>21.5</v>
      </c>
      <c r="W119" s="62">
        <v>36</v>
      </c>
      <c r="X119" s="62">
        <v>36</v>
      </c>
      <c r="Y119" s="62">
        <v>33.200000000000003</v>
      </c>
      <c r="Z119" s="62">
        <v>18.100000000000001</v>
      </c>
      <c r="AA119" s="62">
        <v>13.3</v>
      </c>
      <c r="AB119" s="62">
        <v>23.5</v>
      </c>
      <c r="AC119" s="62">
        <v>21</v>
      </c>
      <c r="AD119" s="62">
        <v>17.3</v>
      </c>
      <c r="AE119" s="62">
        <v>32</v>
      </c>
      <c r="AF119" s="62">
        <v>25.9</v>
      </c>
      <c r="AG119" s="55">
        <v>75</v>
      </c>
      <c r="AH119" s="12">
        <f t="shared" si="39"/>
        <v>36</v>
      </c>
      <c r="AI119" s="11">
        <f t="shared" si="40"/>
        <v>12</v>
      </c>
    </row>
    <row r="120" spans="1:35" x14ac:dyDescent="0.25">
      <c r="A120" s="57" t="s">
        <v>142</v>
      </c>
      <c r="B120" s="61">
        <v>27</v>
      </c>
      <c r="C120" s="61">
        <v>43</v>
      </c>
      <c r="D120" s="61">
        <v>37</v>
      </c>
      <c r="E120" s="61">
        <v>39</v>
      </c>
      <c r="F120" s="61">
        <v>41.3</v>
      </c>
      <c r="G120" s="61">
        <v>55.8</v>
      </c>
      <c r="H120" s="61">
        <v>47.6</v>
      </c>
      <c r="I120" s="61">
        <v>47.6</v>
      </c>
      <c r="J120" s="61">
        <v>47.6</v>
      </c>
      <c r="K120" s="61">
        <v>17.3</v>
      </c>
      <c r="L120" s="61">
        <v>21.6</v>
      </c>
      <c r="M120" s="61">
        <v>21</v>
      </c>
      <c r="N120" s="61">
        <v>35.200000000000003</v>
      </c>
      <c r="O120" s="61">
        <v>29.6</v>
      </c>
      <c r="P120" s="61">
        <v>18.3</v>
      </c>
      <c r="Q120" s="61">
        <v>32.6</v>
      </c>
      <c r="R120" s="61">
        <v>21.6</v>
      </c>
      <c r="S120" s="61">
        <v>9.6999999999999993</v>
      </c>
      <c r="T120" s="61">
        <v>10.1</v>
      </c>
      <c r="U120" s="61">
        <v>12</v>
      </c>
      <c r="V120" s="61">
        <v>21.6</v>
      </c>
      <c r="W120" s="61">
        <v>48.2</v>
      </c>
      <c r="X120" s="61">
        <v>48.2</v>
      </c>
      <c r="Y120" s="61">
        <v>31.5</v>
      </c>
      <c r="Z120" s="61">
        <v>26.3</v>
      </c>
      <c r="AA120" s="61">
        <v>20.100000000000001</v>
      </c>
      <c r="AB120" s="61">
        <v>36</v>
      </c>
      <c r="AC120" s="61">
        <v>32.9</v>
      </c>
      <c r="AD120" s="61">
        <v>30.1</v>
      </c>
      <c r="AE120" s="61">
        <v>50</v>
      </c>
      <c r="AF120" s="61">
        <v>42</v>
      </c>
      <c r="AG120" s="55">
        <v>240</v>
      </c>
      <c r="AH120" s="12">
        <f t="shared" si="39"/>
        <v>55.8</v>
      </c>
      <c r="AI120" s="11">
        <f t="shared" si="40"/>
        <v>9.6999999999999993</v>
      </c>
    </row>
    <row r="121" spans="1:35" x14ac:dyDescent="0.25">
      <c r="A121" s="57" t="s">
        <v>141</v>
      </c>
      <c r="B121" s="61">
        <v>-52</v>
      </c>
      <c r="C121" s="61">
        <v>-64</v>
      </c>
      <c r="D121" s="61">
        <v>-62</v>
      </c>
      <c r="E121" s="61">
        <v>-62</v>
      </c>
      <c r="F121" s="61">
        <v>-90</v>
      </c>
      <c r="G121" s="61">
        <v>-88</v>
      </c>
      <c r="H121" s="61">
        <v>-61</v>
      </c>
      <c r="I121" s="61">
        <v>-61</v>
      </c>
      <c r="J121" s="61">
        <v>-61</v>
      </c>
      <c r="K121" s="61">
        <v>7.7</v>
      </c>
      <c r="L121" s="61">
        <v>24</v>
      </c>
      <c r="M121" s="61">
        <f>9.3+10.1</f>
        <v>19.399999999999999</v>
      </c>
      <c r="N121" s="61">
        <v>-0.2</v>
      </c>
      <c r="O121" s="61">
        <v>11</v>
      </c>
      <c r="P121" s="61">
        <f>-1.2-1.1</f>
        <v>-2.2999999999999998</v>
      </c>
      <c r="Q121" s="61">
        <f>-5.5-5.8</f>
        <v>-11.3</v>
      </c>
      <c r="R121" s="61">
        <f>-4.3-5.4</f>
        <v>-9.6999999999999993</v>
      </c>
      <c r="S121" s="61">
        <v>-4.9000000000000004</v>
      </c>
      <c r="T121" s="61">
        <v>-5.7</v>
      </c>
      <c r="U121" s="61">
        <v>-5.8</v>
      </c>
      <c r="V121" s="61">
        <v>-6.4</v>
      </c>
      <c r="W121" s="61">
        <v>-16.3</v>
      </c>
      <c r="X121" s="61">
        <v>-16.3</v>
      </c>
      <c r="Y121" s="61">
        <v>-17.600000000000001</v>
      </c>
      <c r="Z121" s="61">
        <v>-32.6</v>
      </c>
      <c r="AA121" s="61">
        <v>-24.5</v>
      </c>
      <c r="AB121" s="61">
        <v>-46</v>
      </c>
      <c r="AC121" s="61">
        <v>-11</v>
      </c>
      <c r="AD121" s="61">
        <v>-40</v>
      </c>
      <c r="AE121" s="61">
        <v>-66</v>
      </c>
      <c r="AF121" s="61">
        <v>-90</v>
      </c>
      <c r="AG121" s="55">
        <v>240</v>
      </c>
      <c r="AH121" s="12">
        <f t="shared" si="39"/>
        <v>24</v>
      </c>
      <c r="AI121" s="11">
        <f t="shared" si="40"/>
        <v>-90</v>
      </c>
    </row>
    <row r="122" spans="1:35" ht="15.75" thickBot="1" x14ac:dyDescent="0.3">
      <c r="A122" s="57" t="s">
        <v>140</v>
      </c>
      <c r="B122" s="61">
        <v>-1.1000000000000001</v>
      </c>
      <c r="C122" s="61">
        <v>-2</v>
      </c>
      <c r="D122" s="61">
        <v>-2.4</v>
      </c>
      <c r="E122" s="61">
        <v>-4.8</v>
      </c>
      <c r="F122" s="61">
        <v>-5.8</v>
      </c>
      <c r="G122" s="61">
        <v>-5.4</v>
      </c>
      <c r="H122" s="61">
        <v>-7.3</v>
      </c>
      <c r="I122" s="61">
        <v>-7.3</v>
      </c>
      <c r="J122" s="61">
        <v>-7.3</v>
      </c>
      <c r="K122" s="61">
        <v>3.6</v>
      </c>
      <c r="L122" s="61">
        <v>8.6999999999999993</v>
      </c>
      <c r="M122" s="61">
        <v>5.9</v>
      </c>
      <c r="N122" s="61">
        <v>2.1</v>
      </c>
      <c r="O122" s="61">
        <v>4.4000000000000004</v>
      </c>
      <c r="P122" s="61">
        <v>1.4</v>
      </c>
      <c r="Q122" s="61">
        <v>0.7</v>
      </c>
      <c r="R122" s="61">
        <v>0</v>
      </c>
      <c r="S122" s="61">
        <v>1.8</v>
      </c>
      <c r="T122" s="61">
        <v>3.5</v>
      </c>
      <c r="U122" s="61">
        <v>1.9</v>
      </c>
      <c r="V122" s="61">
        <v>3.9</v>
      </c>
      <c r="W122" s="61">
        <v>9.6</v>
      </c>
      <c r="X122" s="61">
        <v>9.6</v>
      </c>
      <c r="Y122" s="61">
        <v>26.6</v>
      </c>
      <c r="Z122" s="61">
        <v>56.3</v>
      </c>
      <c r="AA122" s="61">
        <v>59.5</v>
      </c>
      <c r="AB122" s="61">
        <v>46.6</v>
      </c>
      <c r="AC122" s="61">
        <v>27.6</v>
      </c>
      <c r="AD122" s="61">
        <v>18</v>
      </c>
      <c r="AE122" s="61">
        <v>6.7</v>
      </c>
      <c r="AF122" s="61">
        <v>0</v>
      </c>
      <c r="AG122" s="55">
        <v>60</v>
      </c>
      <c r="AH122" s="12">
        <f t="shared" si="39"/>
        <v>59.5</v>
      </c>
      <c r="AI122" s="11">
        <f t="shared" si="40"/>
        <v>-7.3</v>
      </c>
    </row>
    <row r="123" spans="1:35" x14ac:dyDescent="0.25">
      <c r="A123" s="59" t="s">
        <v>139</v>
      </c>
      <c r="B123" s="58">
        <v>27</v>
      </c>
      <c r="C123" s="58">
        <v>-0.1</v>
      </c>
      <c r="D123" s="58">
        <v>2.4</v>
      </c>
      <c r="E123" s="58">
        <v>2.5</v>
      </c>
      <c r="F123" s="58">
        <v>-2</v>
      </c>
      <c r="G123" s="58">
        <v>13.9</v>
      </c>
      <c r="H123" s="58">
        <v>30.9</v>
      </c>
      <c r="I123" s="58">
        <v>30.9</v>
      </c>
      <c r="J123" s="58">
        <v>30.9</v>
      </c>
      <c r="K123" s="58">
        <v>115.4</v>
      </c>
      <c r="L123" s="58">
        <v>126.7</v>
      </c>
      <c r="M123" s="58">
        <v>132</v>
      </c>
      <c r="N123" s="58">
        <v>119.2</v>
      </c>
      <c r="O123" s="58">
        <v>112.7</v>
      </c>
      <c r="P123" s="58">
        <v>128.19999999999999</v>
      </c>
      <c r="Q123" s="58">
        <v>108.4</v>
      </c>
      <c r="R123" s="58">
        <v>113.4</v>
      </c>
      <c r="S123" s="58">
        <v>122.6</v>
      </c>
      <c r="T123" s="58">
        <v>118.1</v>
      </c>
      <c r="U123" s="58">
        <v>121.9</v>
      </c>
      <c r="V123" s="58">
        <v>107.1</v>
      </c>
      <c r="W123" s="58">
        <v>71.900000000000006</v>
      </c>
      <c r="X123" s="58">
        <v>71.900000000000006</v>
      </c>
      <c r="Y123" s="58">
        <v>92.2</v>
      </c>
      <c r="Z123" s="58">
        <v>123.1</v>
      </c>
      <c r="AA123" s="58">
        <v>137</v>
      </c>
      <c r="AB123" s="58">
        <v>89.3</v>
      </c>
      <c r="AC123" s="58">
        <v>109</v>
      </c>
      <c r="AD123" s="58">
        <v>102</v>
      </c>
      <c r="AE123" s="58">
        <v>50.8</v>
      </c>
      <c r="AF123" s="58">
        <v>45</v>
      </c>
      <c r="AG123" s="60">
        <v>120</v>
      </c>
      <c r="AH123" s="12">
        <f t="shared" si="39"/>
        <v>137</v>
      </c>
      <c r="AI123" s="11">
        <f t="shared" si="40"/>
        <v>-2</v>
      </c>
    </row>
    <row r="124" spans="1:35" x14ac:dyDescent="0.25">
      <c r="A124" s="57" t="s">
        <v>138</v>
      </c>
      <c r="B124" s="58">
        <v>39</v>
      </c>
      <c r="C124" s="58">
        <v>26</v>
      </c>
      <c r="D124" s="58">
        <v>29</v>
      </c>
      <c r="E124" s="58">
        <v>24.1</v>
      </c>
      <c r="F124" s="58">
        <v>24.1</v>
      </c>
      <c r="G124" s="58">
        <v>32.700000000000003</v>
      </c>
      <c r="H124" s="58">
        <v>40.5</v>
      </c>
      <c r="I124" s="58">
        <v>40.5</v>
      </c>
      <c r="J124" s="58">
        <v>40.5</v>
      </c>
      <c r="K124" s="58">
        <v>83.2</v>
      </c>
      <c r="L124" s="58">
        <v>81.8</v>
      </c>
      <c r="M124" s="58">
        <v>84.9</v>
      </c>
      <c r="N124" s="58">
        <v>84.9</v>
      </c>
      <c r="O124" s="58">
        <v>85.2</v>
      </c>
      <c r="P124" s="58">
        <v>90</v>
      </c>
      <c r="Q124" s="58">
        <v>81.400000000000006</v>
      </c>
      <c r="R124" s="58">
        <v>83.6</v>
      </c>
      <c r="S124" s="58">
        <v>88.3</v>
      </c>
      <c r="T124" s="58">
        <v>87.9</v>
      </c>
      <c r="U124" s="58">
        <v>88.8</v>
      </c>
      <c r="V124" s="58">
        <v>80.099999999999994</v>
      </c>
      <c r="W124" s="58">
        <v>63</v>
      </c>
      <c r="X124" s="58">
        <v>63</v>
      </c>
      <c r="Y124" s="58">
        <v>73.099999999999994</v>
      </c>
      <c r="Z124" s="58">
        <v>87.6</v>
      </c>
      <c r="AA124" s="58">
        <v>94.1</v>
      </c>
      <c r="AB124" s="58">
        <v>74.8</v>
      </c>
      <c r="AC124" s="58">
        <v>85</v>
      </c>
      <c r="AD124" s="58">
        <v>80</v>
      </c>
      <c r="AE124" s="58">
        <v>55</v>
      </c>
      <c r="AF124" s="58">
        <v>52</v>
      </c>
      <c r="AG124" s="60"/>
      <c r="AH124" s="12">
        <f t="shared" si="39"/>
        <v>94.1</v>
      </c>
      <c r="AI124" s="11">
        <f t="shared" si="40"/>
        <v>24.1</v>
      </c>
    </row>
    <row r="125" spans="1:35" x14ac:dyDescent="0.25">
      <c r="A125" s="57" t="s">
        <v>137</v>
      </c>
      <c r="B125" s="58">
        <v>4</v>
      </c>
      <c r="C125" s="58">
        <v>-14</v>
      </c>
      <c r="D125" s="58">
        <v>-12</v>
      </c>
      <c r="E125" s="58">
        <v>-14.7</v>
      </c>
      <c r="F125" s="58">
        <v>-14.7</v>
      </c>
      <c r="G125" s="58">
        <v>-7.1</v>
      </c>
      <c r="H125" s="58">
        <v>-8.1</v>
      </c>
      <c r="I125" s="58">
        <v>-8.1</v>
      </c>
      <c r="J125" s="58">
        <v>-8.1</v>
      </c>
      <c r="K125" s="58">
        <v>5.3</v>
      </c>
      <c r="L125" s="58">
        <v>-15.2</v>
      </c>
      <c r="M125" s="58">
        <v>-5.9</v>
      </c>
      <c r="N125" s="58">
        <v>0</v>
      </c>
      <c r="O125" s="58">
        <v>0</v>
      </c>
      <c r="P125" s="58">
        <v>35</v>
      </c>
      <c r="Q125" s="58">
        <v>23.5</v>
      </c>
      <c r="R125" s="58">
        <v>31.3</v>
      </c>
      <c r="S125" s="58">
        <v>47.3</v>
      </c>
      <c r="T125" s="58">
        <v>43.6</v>
      </c>
      <c r="U125" s="58">
        <v>34.200000000000003</v>
      </c>
      <c r="V125" s="58">
        <v>14</v>
      </c>
      <c r="W125" s="58">
        <v>-23.1</v>
      </c>
      <c r="X125" s="58">
        <v>-23.1</v>
      </c>
      <c r="Y125" s="58">
        <v>-20.8</v>
      </c>
      <c r="Z125" s="58">
        <v>-27.8</v>
      </c>
      <c r="AA125" s="58">
        <v>-19.600000000000001</v>
      </c>
      <c r="AB125" s="58">
        <v>-28.2</v>
      </c>
      <c r="AC125" s="58">
        <v>-2.4</v>
      </c>
      <c r="AD125" s="58">
        <v>23</v>
      </c>
      <c r="AE125" s="58">
        <v>14</v>
      </c>
      <c r="AF125" s="58">
        <v>38</v>
      </c>
      <c r="AG125" s="60"/>
      <c r="AH125" s="12">
        <f t="shared" si="39"/>
        <v>47.3</v>
      </c>
      <c r="AI125" s="11">
        <f t="shared" si="40"/>
        <v>-28.2</v>
      </c>
    </row>
    <row r="126" spans="1:35" ht="15.75" thickBot="1" x14ac:dyDescent="0.3">
      <c r="A126" s="57" t="s">
        <v>136</v>
      </c>
      <c r="B126" s="58">
        <v>30</v>
      </c>
      <c r="C126" s="58">
        <v>10</v>
      </c>
      <c r="D126" s="58">
        <v>10</v>
      </c>
      <c r="E126" s="58">
        <v>22.5</v>
      </c>
      <c r="F126" s="58">
        <v>22.5</v>
      </c>
      <c r="G126" s="58">
        <v>33.6</v>
      </c>
      <c r="H126" s="58">
        <v>42.5</v>
      </c>
      <c r="I126" s="58">
        <v>42.5</v>
      </c>
      <c r="J126" s="58">
        <v>42.5</v>
      </c>
      <c r="K126" s="58">
        <v>82</v>
      </c>
      <c r="L126" s="58">
        <v>88.1</v>
      </c>
      <c r="M126" s="58">
        <v>94</v>
      </c>
      <c r="N126" s="58">
        <v>82</v>
      </c>
      <c r="O126" s="58">
        <v>96.3</v>
      </c>
      <c r="P126" s="58">
        <v>99</v>
      </c>
      <c r="Q126" s="58">
        <v>85</v>
      </c>
      <c r="R126" s="58">
        <v>94.9</v>
      </c>
      <c r="S126" s="58">
        <v>102.6</v>
      </c>
      <c r="T126" s="58">
        <v>93</v>
      </c>
      <c r="U126" s="58">
        <v>95.7</v>
      </c>
      <c r="V126" s="58">
        <v>78</v>
      </c>
      <c r="W126" s="58">
        <v>48.8</v>
      </c>
      <c r="X126" s="58">
        <v>48.8</v>
      </c>
      <c r="Y126" s="58">
        <v>63.6</v>
      </c>
      <c r="Z126" s="58">
        <v>80.3</v>
      </c>
      <c r="AA126" s="58">
        <v>92.5</v>
      </c>
      <c r="AB126" s="58">
        <v>64.599999999999994</v>
      </c>
      <c r="AC126" s="58">
        <v>64.599999999999994</v>
      </c>
      <c r="AD126" s="58">
        <v>83</v>
      </c>
      <c r="AE126" s="58">
        <v>58</v>
      </c>
      <c r="AF126" s="58">
        <v>64</v>
      </c>
      <c r="AG126" s="55"/>
      <c r="AH126" s="12">
        <f>MAX(B126:AF126)</f>
        <v>102.6</v>
      </c>
      <c r="AI126" s="11">
        <f>MIN(B126:AF126)</f>
        <v>10</v>
      </c>
    </row>
    <row r="127" spans="1:35" x14ac:dyDescent="0.25">
      <c r="A127" s="59" t="s">
        <v>135</v>
      </c>
      <c r="B127" s="58">
        <v>-89</v>
      </c>
      <c r="C127" s="58">
        <v>-78</v>
      </c>
      <c r="D127" s="58">
        <v>-77</v>
      </c>
      <c r="E127" s="58">
        <v>-45.4</v>
      </c>
      <c r="F127" s="58">
        <v>-45.4</v>
      </c>
      <c r="G127" s="58">
        <v>-54.7</v>
      </c>
      <c r="H127" s="58">
        <v>-52.4</v>
      </c>
      <c r="I127" s="58">
        <v>-52.4</v>
      </c>
      <c r="J127" s="58">
        <v>-52.4</v>
      </c>
      <c r="K127" s="58">
        <v>23.8</v>
      </c>
      <c r="L127" s="58">
        <v>48.6</v>
      </c>
      <c r="M127" s="58">
        <v>26.8</v>
      </c>
      <c r="N127" s="58">
        <v>23.1</v>
      </c>
      <c r="O127" s="58">
        <v>15.9</v>
      </c>
      <c r="P127" s="58">
        <v>17.5</v>
      </c>
      <c r="Q127" s="58">
        <v>7</v>
      </c>
      <c r="R127" s="58">
        <v>13.7</v>
      </c>
      <c r="S127" s="58">
        <v>16.7</v>
      </c>
      <c r="T127" s="58">
        <v>7.3</v>
      </c>
      <c r="U127" s="58">
        <v>-1.9</v>
      </c>
      <c r="V127" s="58">
        <v>-17.5</v>
      </c>
      <c r="W127" s="58">
        <v>-83.5</v>
      </c>
      <c r="X127" s="58">
        <v>-83.5</v>
      </c>
      <c r="Y127" s="58">
        <v>-60</v>
      </c>
      <c r="Z127" s="58">
        <v>-97.2</v>
      </c>
      <c r="AA127" s="58">
        <v>-109.8</v>
      </c>
      <c r="AB127" s="58">
        <v>-112.7</v>
      </c>
      <c r="AC127" s="58">
        <v>-112.7</v>
      </c>
      <c r="AD127" s="58">
        <v>-140</v>
      </c>
      <c r="AE127" s="58">
        <v>-102</v>
      </c>
      <c r="AF127" s="58">
        <v>-90</v>
      </c>
      <c r="AG127" s="55"/>
      <c r="AH127" s="12">
        <f>MAX(B127:AF127)</f>
        <v>48.6</v>
      </c>
      <c r="AI127" s="11">
        <f>MIN(B127:AF127)</f>
        <v>-140</v>
      </c>
    </row>
    <row r="128" spans="1:35" x14ac:dyDescent="0.25">
      <c r="A128" s="57" t="s">
        <v>134</v>
      </c>
      <c r="B128" s="56">
        <v>1.4</v>
      </c>
      <c r="C128" s="56">
        <v>10</v>
      </c>
      <c r="D128" s="56">
        <v>9.8000000000000007</v>
      </c>
      <c r="E128" s="56">
        <v>20.9</v>
      </c>
      <c r="F128" s="56">
        <v>20.9</v>
      </c>
      <c r="G128" s="56">
        <v>17</v>
      </c>
      <c r="H128" s="56">
        <v>15.5</v>
      </c>
      <c r="I128" s="56">
        <v>15.5</v>
      </c>
      <c r="J128" s="56">
        <v>15.5</v>
      </c>
      <c r="K128" s="56">
        <v>8.5</v>
      </c>
      <c r="L128" s="56">
        <v>6.4</v>
      </c>
      <c r="M128" s="56">
        <v>7.7</v>
      </c>
      <c r="N128" s="56">
        <v>24</v>
      </c>
      <c r="O128" s="56">
        <v>43</v>
      </c>
      <c r="P128" s="56">
        <v>69</v>
      </c>
      <c r="Q128" s="56">
        <v>-69</v>
      </c>
      <c r="R128" s="56">
        <v>84</v>
      </c>
      <c r="S128" s="56">
        <v>67</v>
      </c>
      <c r="T128" s="56">
        <v>68</v>
      </c>
      <c r="U128" s="56">
        <v>59</v>
      </c>
      <c r="V128" s="56">
        <v>58.1</v>
      </c>
      <c r="W128" s="56">
        <v>42.3</v>
      </c>
      <c r="X128" s="56">
        <v>42.3</v>
      </c>
      <c r="Y128" s="56">
        <v>37</v>
      </c>
      <c r="Z128" s="56">
        <v>26.2</v>
      </c>
      <c r="AA128" s="56">
        <v>30.1</v>
      </c>
      <c r="AB128" s="56">
        <v>33.4</v>
      </c>
      <c r="AC128" s="56">
        <v>33.4</v>
      </c>
      <c r="AD128" s="56">
        <v>35</v>
      </c>
      <c r="AE128" s="56">
        <v>41</v>
      </c>
      <c r="AF128" s="56">
        <v>46</v>
      </c>
      <c r="AG128" s="55"/>
      <c r="AH128" s="12">
        <f>MAX(B128:AF128)</f>
        <v>84</v>
      </c>
      <c r="AI128" s="11">
        <f>MIN(B128:AF128)</f>
        <v>-69</v>
      </c>
    </row>
    <row r="129" spans="1:37" x14ac:dyDescent="0.25">
      <c r="A129" s="57" t="s">
        <v>133</v>
      </c>
      <c r="B129" s="56">
        <v>62</v>
      </c>
      <c r="C129" s="56">
        <v>40</v>
      </c>
      <c r="D129" s="56">
        <v>41</v>
      </c>
      <c r="E129" s="56">
        <v>15.6</v>
      </c>
      <c r="F129" s="56">
        <v>15.6</v>
      </c>
      <c r="G129" s="56">
        <v>11.4</v>
      </c>
      <c r="H129" s="56">
        <v>6.7</v>
      </c>
      <c r="I129" s="56">
        <v>6.7</v>
      </c>
      <c r="J129" s="56">
        <v>6.7</v>
      </c>
      <c r="K129" s="56">
        <v>63.2</v>
      </c>
      <c r="L129" s="56">
        <v>63.2</v>
      </c>
      <c r="M129" s="56">
        <v>6.3</v>
      </c>
      <c r="N129" s="56">
        <v>-4.5999999999999996</v>
      </c>
      <c r="O129" s="56">
        <v>-12</v>
      </c>
      <c r="P129" s="56">
        <v>20.3</v>
      </c>
      <c r="Q129" s="56">
        <v>-22.1</v>
      </c>
      <c r="R129" s="56">
        <v>-22</v>
      </c>
      <c r="S129" s="56">
        <v>-19.899999999999999</v>
      </c>
      <c r="T129" s="56">
        <v>21.3</v>
      </c>
      <c r="U129" s="56">
        <v>-10.5</v>
      </c>
      <c r="V129" s="56">
        <v>-9.3000000000000007</v>
      </c>
      <c r="W129" s="56">
        <v>16.600000000000001</v>
      </c>
      <c r="X129" s="56">
        <v>16.600000000000001</v>
      </c>
      <c r="Y129" s="56">
        <v>12</v>
      </c>
      <c r="Z129" s="56">
        <v>35.200000000000003</v>
      </c>
      <c r="AA129" s="56">
        <v>33.6</v>
      </c>
      <c r="AB129" s="56">
        <v>27.3</v>
      </c>
      <c r="AC129" s="56">
        <v>27.3</v>
      </c>
      <c r="AD129" s="56">
        <v>26</v>
      </c>
      <c r="AE129" s="56">
        <v>19</v>
      </c>
      <c r="AF129" s="56">
        <v>10</v>
      </c>
      <c r="AG129" s="55"/>
      <c r="AH129" s="12">
        <f>MAX(B129:AF129)</f>
        <v>63.2</v>
      </c>
      <c r="AI129" s="11">
        <f>MIN(B129:AF129)</f>
        <v>-22.1</v>
      </c>
    </row>
    <row r="130" spans="1:37" ht="15.75" thickBot="1" x14ac:dyDescent="0.3">
      <c r="A130" s="57" t="s">
        <v>132</v>
      </c>
      <c r="B130" s="56">
        <v>68</v>
      </c>
      <c r="C130" s="56">
        <v>56</v>
      </c>
      <c r="D130" s="56">
        <v>55</v>
      </c>
      <c r="E130" s="56">
        <v>27.5</v>
      </c>
      <c r="F130" s="56">
        <v>27.5</v>
      </c>
      <c r="G130" s="56">
        <v>23.6</v>
      </c>
      <c r="H130" s="56">
        <v>23.2</v>
      </c>
      <c r="I130" s="56">
        <v>23.2</v>
      </c>
      <c r="J130" s="56">
        <v>23.2</v>
      </c>
      <c r="K130" s="56">
        <v>66.7</v>
      </c>
      <c r="L130" s="56">
        <v>69.900000000000006</v>
      </c>
      <c r="M130" s="56">
        <v>10.199999999999999</v>
      </c>
      <c r="N130" s="56">
        <v>9.1</v>
      </c>
      <c r="O130" s="56">
        <v>9.9</v>
      </c>
      <c r="P130" s="56">
        <v>7.8</v>
      </c>
      <c r="Q130" s="56"/>
      <c r="R130" s="56">
        <v>0</v>
      </c>
      <c r="S130" s="56">
        <v>0</v>
      </c>
      <c r="T130" s="56">
        <v>0</v>
      </c>
      <c r="U130" s="56">
        <v>0</v>
      </c>
      <c r="V130" s="56">
        <v>15.6</v>
      </c>
      <c r="W130" s="56">
        <v>6.3</v>
      </c>
      <c r="X130" s="56">
        <v>6.3</v>
      </c>
      <c r="Y130" s="56">
        <v>31.7</v>
      </c>
      <c r="Z130" s="56">
        <v>50.3</v>
      </c>
      <c r="AA130" s="56">
        <v>49.9</v>
      </c>
      <c r="AB130" s="56">
        <v>50.7</v>
      </c>
      <c r="AC130" s="56">
        <v>50.7</v>
      </c>
      <c r="AD130" s="56">
        <v>40</v>
      </c>
      <c r="AE130" s="56">
        <v>32.5</v>
      </c>
      <c r="AF130" s="56">
        <v>23</v>
      </c>
      <c r="AG130" s="55"/>
      <c r="AH130" s="12">
        <f>MAX(B130:AF130)</f>
        <v>69.900000000000006</v>
      </c>
      <c r="AI130" s="11">
        <f>MIN(B130:AF130)</f>
        <v>0</v>
      </c>
    </row>
    <row r="131" spans="1:37" x14ac:dyDescent="0.25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25">
      <c r="A132" s="47" t="s">
        <v>130</v>
      </c>
      <c r="B132" s="51">
        <v>1983.1</v>
      </c>
      <c r="C132" s="51">
        <v>1982.95</v>
      </c>
      <c r="D132" s="51">
        <v>1982.9</v>
      </c>
      <c r="E132" s="51">
        <v>1983.08</v>
      </c>
      <c r="F132" s="51">
        <v>1983.29</v>
      </c>
      <c r="G132" s="51">
        <v>1983.55</v>
      </c>
      <c r="H132" s="51"/>
      <c r="I132" s="51"/>
      <c r="J132" s="51"/>
      <c r="K132" s="51">
        <v>1983.98</v>
      </c>
      <c r="L132" s="51"/>
      <c r="M132" s="51">
        <v>1984.28</v>
      </c>
      <c r="N132" s="51">
        <v>1984.59</v>
      </c>
      <c r="O132" s="51">
        <v>1984.89</v>
      </c>
      <c r="P132" s="51">
        <v>1985.19</v>
      </c>
      <c r="Q132" s="51">
        <v>1985.47</v>
      </c>
      <c r="R132" s="51">
        <v>1985.73</v>
      </c>
      <c r="S132" s="51">
        <v>1986</v>
      </c>
      <c r="T132" s="51">
        <v>1986.25</v>
      </c>
      <c r="U132" s="51">
        <v>1986.5</v>
      </c>
      <c r="V132" s="51">
        <v>1986.69</v>
      </c>
      <c r="W132" s="51"/>
      <c r="X132" s="51">
        <v>1986.6</v>
      </c>
      <c r="Y132" s="51"/>
      <c r="Z132" s="51">
        <v>1986.49</v>
      </c>
      <c r="AA132" s="51"/>
      <c r="AB132" s="51">
        <v>1986.1</v>
      </c>
      <c r="AC132" s="51"/>
      <c r="AD132" s="51">
        <v>1985.7</v>
      </c>
      <c r="AE132" s="51">
        <v>1985.2</v>
      </c>
      <c r="AF132" s="50">
        <v>1985.02</v>
      </c>
      <c r="AG132" s="44"/>
      <c r="AH132" s="12"/>
      <c r="AI132" s="11"/>
    </row>
    <row r="133" spans="1:37" x14ac:dyDescent="0.25">
      <c r="A133" s="47" t="s">
        <v>129</v>
      </c>
      <c r="B133" s="49">
        <v>520.94000000000005</v>
      </c>
      <c r="C133" s="49">
        <v>520.97</v>
      </c>
      <c r="D133" s="49">
        <v>521.1</v>
      </c>
      <c r="E133" s="49">
        <v>521.44000000000005</v>
      </c>
      <c r="F133" s="49">
        <v>521.76</v>
      </c>
      <c r="G133" s="49">
        <v>522.07000000000005</v>
      </c>
      <c r="H133" s="49"/>
      <c r="I133" s="49"/>
      <c r="J133" s="49"/>
      <c r="K133" s="49"/>
      <c r="L133" s="49"/>
      <c r="M133" s="49">
        <v>522.95000000000005</v>
      </c>
      <c r="N133" s="49">
        <v>523.22</v>
      </c>
      <c r="O133" s="49">
        <v>523.16999999999996</v>
      </c>
      <c r="P133" s="49">
        <v>522.92999999999995</v>
      </c>
      <c r="Q133" s="49">
        <v>522.86</v>
      </c>
      <c r="R133" s="49">
        <v>522.63</v>
      </c>
      <c r="S133" s="49">
        <v>522.47</v>
      </c>
      <c r="T133" s="49">
        <v>522.32000000000005</v>
      </c>
      <c r="U133" s="49">
        <v>522.20000000000005</v>
      </c>
      <c r="V133" s="49">
        <v>521.97</v>
      </c>
      <c r="W133" s="49"/>
      <c r="X133" s="49">
        <v>521.65</v>
      </c>
      <c r="Y133" s="49"/>
      <c r="Z133" s="49">
        <v>521.5</v>
      </c>
      <c r="AA133" s="49"/>
      <c r="AB133" s="49">
        <v>521.38</v>
      </c>
      <c r="AC133" s="49"/>
      <c r="AD133" s="49">
        <v>521.14</v>
      </c>
      <c r="AE133" s="49">
        <v>520.9</v>
      </c>
      <c r="AF133" s="48">
        <v>520.9</v>
      </c>
      <c r="AG133" s="44"/>
      <c r="AH133" s="12"/>
      <c r="AI133" s="11"/>
    </row>
    <row r="134" spans="1:37" x14ac:dyDescent="0.25">
      <c r="A134" s="47" t="s">
        <v>128</v>
      </c>
      <c r="B134" s="49">
        <v>624.23</v>
      </c>
      <c r="C134" s="49">
        <v>624.47</v>
      </c>
      <c r="D134" s="49">
        <v>624.70000000000005</v>
      </c>
      <c r="E134" s="49">
        <v>624.9</v>
      </c>
      <c r="F134" s="49">
        <v>625.07000000000005</v>
      </c>
      <c r="G134" s="49">
        <v>625.20000000000005</v>
      </c>
      <c r="H134" s="49"/>
      <c r="I134" s="49"/>
      <c r="J134" s="49"/>
      <c r="K134" s="49"/>
      <c r="L134" s="49"/>
      <c r="M134" s="49"/>
      <c r="N134" s="49">
        <v>624.91</v>
      </c>
      <c r="O134" s="49">
        <v>624.86</v>
      </c>
      <c r="P134" s="49">
        <v>624.70000000000005</v>
      </c>
      <c r="Q134" s="49">
        <v>624.4</v>
      </c>
      <c r="R134" s="49">
        <v>624.35</v>
      </c>
      <c r="S134" s="49">
        <v>624.17999999999995</v>
      </c>
      <c r="T134" s="49">
        <v>624.1</v>
      </c>
      <c r="U134" s="49">
        <v>624.12</v>
      </c>
      <c r="V134" s="49">
        <v>624.19000000000005</v>
      </c>
      <c r="W134" s="49"/>
      <c r="X134" s="49">
        <v>624.29999999999995</v>
      </c>
      <c r="Y134" s="49"/>
      <c r="Z134" s="49">
        <v>624.35</v>
      </c>
      <c r="AA134" s="49"/>
      <c r="AB134" s="49">
        <v>624.34100000000001</v>
      </c>
      <c r="AC134" s="49"/>
      <c r="AD134" s="49">
        <v>623.99</v>
      </c>
      <c r="AE134" s="49">
        <v>623.71</v>
      </c>
      <c r="AF134" s="48">
        <v>623.22</v>
      </c>
      <c r="AG134" s="44"/>
      <c r="AH134" s="12"/>
      <c r="AI134" s="11"/>
    </row>
    <row r="135" spans="1:37" x14ac:dyDescent="0.25">
      <c r="A135" s="47" t="s">
        <v>127</v>
      </c>
      <c r="B135" s="49">
        <v>334.79</v>
      </c>
      <c r="C135" s="49">
        <v>335.63</v>
      </c>
      <c r="D135" s="49">
        <v>335.63</v>
      </c>
      <c r="E135" s="49">
        <v>336.01</v>
      </c>
      <c r="F135" s="49">
        <v>336.5</v>
      </c>
      <c r="G135" s="49">
        <v>336.88</v>
      </c>
      <c r="H135" s="49"/>
      <c r="I135" s="49"/>
      <c r="J135" s="49"/>
      <c r="K135" s="49"/>
      <c r="L135" s="49"/>
      <c r="M135" s="49">
        <v>337.03</v>
      </c>
      <c r="N135" s="49">
        <v>336.99</v>
      </c>
      <c r="O135" s="49">
        <v>336.9</v>
      </c>
      <c r="P135" s="49">
        <v>337.03</v>
      </c>
      <c r="Q135" s="49">
        <v>337.15</v>
      </c>
      <c r="R135" s="49">
        <v>337.18</v>
      </c>
      <c r="S135" s="49">
        <v>337.19</v>
      </c>
      <c r="T135" s="49">
        <v>337.18</v>
      </c>
      <c r="U135" s="49">
        <v>337.25</v>
      </c>
      <c r="V135" s="49">
        <v>337.22</v>
      </c>
      <c r="W135" s="49"/>
      <c r="X135" s="49">
        <v>337.17</v>
      </c>
      <c r="Y135" s="49"/>
      <c r="Z135" s="49">
        <v>337.07</v>
      </c>
      <c r="AA135" s="49"/>
      <c r="AB135" s="49">
        <v>336.98</v>
      </c>
      <c r="AC135" s="49"/>
      <c r="AD135" s="49">
        <v>336.81</v>
      </c>
      <c r="AE135" s="49">
        <v>336.75</v>
      </c>
      <c r="AF135" s="48">
        <v>336.55</v>
      </c>
      <c r="AG135" s="44"/>
      <c r="AH135" s="12"/>
      <c r="AI135" s="11"/>
    </row>
    <row r="136" spans="1:37" x14ac:dyDescent="0.25">
      <c r="A136" s="47" t="s">
        <v>126</v>
      </c>
      <c r="B136" s="49">
        <v>884.8</v>
      </c>
      <c r="C136" s="49">
        <v>884.8</v>
      </c>
      <c r="D136" s="49">
        <v>885</v>
      </c>
      <c r="E136" s="49">
        <v>885.2</v>
      </c>
      <c r="F136" s="49">
        <v>885.1</v>
      </c>
      <c r="G136" s="49"/>
      <c r="H136" s="49"/>
      <c r="I136" s="49"/>
      <c r="J136" s="49"/>
      <c r="K136" s="49"/>
      <c r="L136" s="49"/>
      <c r="M136" s="49"/>
      <c r="N136" s="49">
        <v>885.9</v>
      </c>
      <c r="O136" s="49">
        <v>885.7</v>
      </c>
      <c r="P136" s="49">
        <v>885.6</v>
      </c>
      <c r="Q136" s="49">
        <v>885.3</v>
      </c>
      <c r="R136" s="49">
        <v>885.4</v>
      </c>
      <c r="S136" s="49">
        <v>885.5</v>
      </c>
      <c r="T136" s="49">
        <v>884.7</v>
      </c>
      <c r="U136" s="49">
        <v>883.7</v>
      </c>
      <c r="V136" s="49">
        <v>883.7</v>
      </c>
      <c r="W136" s="49"/>
      <c r="X136" s="49">
        <v>884.5</v>
      </c>
      <c r="Y136" s="49"/>
      <c r="Z136" s="49">
        <v>884.8</v>
      </c>
      <c r="AA136" s="49"/>
      <c r="AB136" s="49">
        <v>884.9</v>
      </c>
      <c r="AC136" s="49"/>
      <c r="AD136" s="49">
        <v>885</v>
      </c>
      <c r="AE136" s="49">
        <v>885.1</v>
      </c>
      <c r="AF136" s="48">
        <v>885.1</v>
      </c>
      <c r="AG136" s="44"/>
      <c r="AH136" s="12"/>
      <c r="AI136" s="11"/>
    </row>
    <row r="137" spans="1:37" ht="15.75" thickBot="1" x14ac:dyDescent="0.3">
      <c r="A137" s="47" t="s">
        <v>125</v>
      </c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>
        <v>1499.72</v>
      </c>
      <c r="S137" s="46">
        <v>1499.73</v>
      </c>
      <c r="T137" s="46">
        <v>1499.73</v>
      </c>
      <c r="U137" s="46"/>
      <c r="V137" s="46"/>
      <c r="W137" s="46"/>
      <c r="X137" s="46"/>
      <c r="Y137" s="46"/>
      <c r="Z137" s="46"/>
      <c r="AA137" s="46"/>
      <c r="AB137" s="46">
        <v>1499.71</v>
      </c>
      <c r="AC137" s="46"/>
      <c r="AD137" s="46"/>
      <c r="AE137" s="46"/>
      <c r="AF137" s="45"/>
      <c r="AG137" s="44"/>
      <c r="AH137" s="12"/>
      <c r="AI137" s="11"/>
    </row>
    <row r="138" spans="1:37" ht="15.75" thickBot="1" x14ac:dyDescent="0.3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25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25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25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25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25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25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25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25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25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25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25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25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25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25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25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25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25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25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25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25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25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25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25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25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25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25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25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25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25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25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25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25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25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25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25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25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25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25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25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25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25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25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25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25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25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25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25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25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25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25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25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25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25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25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25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25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25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25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25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25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25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25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25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25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25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25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25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25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25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25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25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25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25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25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25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25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25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25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25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25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25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25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25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25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25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25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25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25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25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25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25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25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25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25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25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25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25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25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25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25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25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25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25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25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.75" thickBot="1" x14ac:dyDescent="0.3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.75" thickBot="1" x14ac:dyDescent="0.3">
      <c r="A244" s="31" t="s">
        <v>17</v>
      </c>
      <c r="B244" s="30">
        <f t="shared" ref="B244:AG244" si="77">SUM(B139:B243)</f>
        <v>0</v>
      </c>
      <c r="C244" s="14">
        <f t="shared" si="77"/>
        <v>0</v>
      </c>
      <c r="D244" s="14">
        <f t="shared" si="77"/>
        <v>0</v>
      </c>
      <c r="E244" s="14">
        <f t="shared" si="77"/>
        <v>0</v>
      </c>
      <c r="F244" s="14">
        <f t="shared" si="77"/>
        <v>0</v>
      </c>
      <c r="G244" s="14">
        <f t="shared" si="77"/>
        <v>0</v>
      </c>
      <c r="H244" s="14">
        <f t="shared" si="77"/>
        <v>0</v>
      </c>
      <c r="I244" s="14">
        <f t="shared" si="77"/>
        <v>0</v>
      </c>
      <c r="J244" s="14">
        <f t="shared" si="77"/>
        <v>0</v>
      </c>
      <c r="K244" s="14">
        <f t="shared" si="77"/>
        <v>0</v>
      </c>
      <c r="L244" s="14">
        <f t="shared" si="77"/>
        <v>0</v>
      </c>
      <c r="M244" s="14">
        <f t="shared" si="77"/>
        <v>0</v>
      </c>
      <c r="N244" s="14">
        <f t="shared" si="77"/>
        <v>0</v>
      </c>
      <c r="O244" s="14">
        <f t="shared" si="77"/>
        <v>0</v>
      </c>
      <c r="P244" s="14">
        <f t="shared" si="77"/>
        <v>0</v>
      </c>
      <c r="Q244" s="14">
        <f t="shared" si="77"/>
        <v>0</v>
      </c>
      <c r="R244" s="14">
        <f t="shared" si="77"/>
        <v>0</v>
      </c>
      <c r="S244" s="14">
        <f t="shared" si="77"/>
        <v>0</v>
      </c>
      <c r="T244" s="14">
        <f t="shared" si="77"/>
        <v>0</v>
      </c>
      <c r="U244" s="14">
        <f t="shared" si="77"/>
        <v>0</v>
      </c>
      <c r="V244" s="14">
        <f t="shared" si="77"/>
        <v>0</v>
      </c>
      <c r="W244" s="14">
        <f t="shared" si="77"/>
        <v>0</v>
      </c>
      <c r="X244" s="14">
        <f t="shared" si="77"/>
        <v>0</v>
      </c>
      <c r="Y244" s="14">
        <f t="shared" si="77"/>
        <v>0</v>
      </c>
      <c r="Z244" s="14">
        <f t="shared" si="77"/>
        <v>0</v>
      </c>
      <c r="AA244" s="14">
        <f t="shared" si="77"/>
        <v>0</v>
      </c>
      <c r="AB244" s="14">
        <f t="shared" si="77"/>
        <v>0</v>
      </c>
      <c r="AC244" s="14">
        <f t="shared" si="77"/>
        <v>0</v>
      </c>
      <c r="AD244" s="14">
        <f t="shared" si="77"/>
        <v>0</v>
      </c>
      <c r="AE244" s="14">
        <f t="shared" si="77"/>
        <v>0</v>
      </c>
      <c r="AF244" s="29">
        <f t="shared" si="77"/>
        <v>0</v>
      </c>
      <c r="AG244" s="28">
        <f t="shared" si="77"/>
        <v>412.72299999999984</v>
      </c>
      <c r="AH244" s="12"/>
      <c r="AI244" s="11"/>
      <c r="AK244" s="19"/>
    </row>
    <row r="245" spans="1:37" ht="15.75" thickBot="1" x14ac:dyDescent="0.3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25">
      <c r="A246" s="25" t="s">
        <v>16</v>
      </c>
      <c r="B246" s="24">
        <f t="shared" ref="B246:B251" si="78">AF246</f>
        <v>0.3</v>
      </c>
      <c r="C246" s="24">
        <v>0.3</v>
      </c>
      <c r="D246" s="24">
        <f t="shared" ref="D246:AF251" si="79">C246</f>
        <v>0.3</v>
      </c>
      <c r="E246" s="24">
        <f t="shared" si="79"/>
        <v>0.3</v>
      </c>
      <c r="F246" s="24">
        <f t="shared" si="79"/>
        <v>0.3</v>
      </c>
      <c r="G246" s="24">
        <f t="shared" si="79"/>
        <v>0.3</v>
      </c>
      <c r="H246" s="24">
        <f t="shared" si="79"/>
        <v>0.3</v>
      </c>
      <c r="I246" s="24">
        <f t="shared" si="79"/>
        <v>0.3</v>
      </c>
      <c r="J246" s="24">
        <f t="shared" si="79"/>
        <v>0.3</v>
      </c>
      <c r="K246" s="24">
        <f t="shared" si="79"/>
        <v>0.3</v>
      </c>
      <c r="L246" s="24">
        <f t="shared" si="79"/>
        <v>0.3</v>
      </c>
      <c r="M246" s="24">
        <f t="shared" si="79"/>
        <v>0.3</v>
      </c>
      <c r="N246" s="24">
        <f t="shared" si="79"/>
        <v>0.3</v>
      </c>
      <c r="O246" s="24">
        <f t="shared" si="79"/>
        <v>0.3</v>
      </c>
      <c r="P246" s="24">
        <f t="shared" si="79"/>
        <v>0.3</v>
      </c>
      <c r="Q246" s="24">
        <f t="shared" si="79"/>
        <v>0.3</v>
      </c>
      <c r="R246" s="24">
        <f t="shared" si="79"/>
        <v>0.3</v>
      </c>
      <c r="S246" s="24">
        <f t="shared" si="79"/>
        <v>0.3</v>
      </c>
      <c r="T246" s="24">
        <f t="shared" si="79"/>
        <v>0.3</v>
      </c>
      <c r="U246" s="24">
        <f t="shared" si="79"/>
        <v>0.3</v>
      </c>
      <c r="V246" s="24">
        <f t="shared" si="79"/>
        <v>0.3</v>
      </c>
      <c r="W246" s="24">
        <f t="shared" si="79"/>
        <v>0.3</v>
      </c>
      <c r="X246" s="24">
        <f t="shared" si="79"/>
        <v>0.3</v>
      </c>
      <c r="Y246" s="24">
        <f t="shared" si="79"/>
        <v>0.3</v>
      </c>
      <c r="Z246" s="24">
        <f t="shared" si="79"/>
        <v>0.3</v>
      </c>
      <c r="AA246" s="24">
        <f t="shared" si="79"/>
        <v>0.3</v>
      </c>
      <c r="AB246" s="24">
        <f t="shared" si="79"/>
        <v>0.3</v>
      </c>
      <c r="AC246" s="24">
        <f t="shared" si="79"/>
        <v>0.3</v>
      </c>
      <c r="AD246" s="24">
        <f t="shared" si="79"/>
        <v>0.3</v>
      </c>
      <c r="AE246" s="24">
        <f t="shared" si="79"/>
        <v>0.3</v>
      </c>
      <c r="AF246" s="24">
        <f t="shared" si="79"/>
        <v>0.3</v>
      </c>
      <c r="AG246" s="23">
        <v>2.4</v>
      </c>
      <c r="AH246" s="12"/>
      <c r="AI246" s="11"/>
      <c r="AK246" s="19"/>
    </row>
    <row r="247" spans="1:37" x14ac:dyDescent="0.25">
      <c r="A247" s="22" t="s">
        <v>15</v>
      </c>
      <c r="B247" s="21">
        <f t="shared" si="78"/>
        <v>0.4</v>
      </c>
      <c r="C247" s="21">
        <v>0.4</v>
      </c>
      <c r="D247" s="21">
        <f t="shared" si="79"/>
        <v>0.4</v>
      </c>
      <c r="E247" s="21">
        <f t="shared" si="79"/>
        <v>0.4</v>
      </c>
      <c r="F247" s="21">
        <f t="shared" si="79"/>
        <v>0.4</v>
      </c>
      <c r="G247" s="21">
        <f t="shared" si="79"/>
        <v>0.4</v>
      </c>
      <c r="H247" s="21">
        <f t="shared" si="79"/>
        <v>0.4</v>
      </c>
      <c r="I247" s="21">
        <f t="shared" si="79"/>
        <v>0.4</v>
      </c>
      <c r="J247" s="21">
        <f t="shared" si="79"/>
        <v>0.4</v>
      </c>
      <c r="K247" s="21">
        <f t="shared" si="79"/>
        <v>0.4</v>
      </c>
      <c r="L247" s="21">
        <f t="shared" si="79"/>
        <v>0.4</v>
      </c>
      <c r="M247" s="21">
        <f t="shared" si="79"/>
        <v>0.4</v>
      </c>
      <c r="N247" s="21">
        <f t="shared" si="79"/>
        <v>0.4</v>
      </c>
      <c r="O247" s="21">
        <f t="shared" si="79"/>
        <v>0.4</v>
      </c>
      <c r="P247" s="21">
        <f t="shared" si="79"/>
        <v>0.4</v>
      </c>
      <c r="Q247" s="21">
        <f t="shared" si="79"/>
        <v>0.4</v>
      </c>
      <c r="R247" s="21">
        <f t="shared" si="79"/>
        <v>0.4</v>
      </c>
      <c r="S247" s="21">
        <f t="shared" si="79"/>
        <v>0.4</v>
      </c>
      <c r="T247" s="21">
        <f t="shared" si="79"/>
        <v>0.4</v>
      </c>
      <c r="U247" s="21">
        <f t="shared" si="79"/>
        <v>0.4</v>
      </c>
      <c r="V247" s="21">
        <f t="shared" si="79"/>
        <v>0.4</v>
      </c>
      <c r="W247" s="21">
        <f t="shared" si="79"/>
        <v>0.4</v>
      </c>
      <c r="X247" s="21">
        <f t="shared" si="79"/>
        <v>0.4</v>
      </c>
      <c r="Y247" s="21">
        <f t="shared" si="79"/>
        <v>0.4</v>
      </c>
      <c r="Z247" s="21">
        <f t="shared" si="79"/>
        <v>0.4</v>
      </c>
      <c r="AA247" s="21">
        <f t="shared" si="79"/>
        <v>0.4</v>
      </c>
      <c r="AB247" s="21">
        <f t="shared" si="79"/>
        <v>0.4</v>
      </c>
      <c r="AC247" s="21">
        <f t="shared" si="79"/>
        <v>0.4</v>
      </c>
      <c r="AD247" s="21">
        <f t="shared" si="79"/>
        <v>0.4</v>
      </c>
      <c r="AE247" s="21">
        <f t="shared" si="79"/>
        <v>0.4</v>
      </c>
      <c r="AF247" s="21">
        <f t="shared" si="79"/>
        <v>0.4</v>
      </c>
      <c r="AG247" s="20">
        <v>2</v>
      </c>
      <c r="AH247" s="12"/>
      <c r="AI247" s="11"/>
      <c r="AK247" s="19"/>
    </row>
    <row r="248" spans="1:37" x14ac:dyDescent="0.25">
      <c r="A248" s="22" t="s">
        <v>14</v>
      </c>
      <c r="B248" s="21">
        <f t="shared" si="78"/>
        <v>1.5</v>
      </c>
      <c r="C248" s="21">
        <v>1.5</v>
      </c>
      <c r="D248" s="21">
        <f t="shared" si="79"/>
        <v>1.5</v>
      </c>
      <c r="E248" s="21">
        <f t="shared" si="79"/>
        <v>1.5</v>
      </c>
      <c r="F248" s="21">
        <f t="shared" si="79"/>
        <v>1.5</v>
      </c>
      <c r="G248" s="21">
        <f t="shared" si="79"/>
        <v>1.5</v>
      </c>
      <c r="H248" s="21">
        <f t="shared" si="79"/>
        <v>1.5</v>
      </c>
      <c r="I248" s="21">
        <f t="shared" si="79"/>
        <v>1.5</v>
      </c>
      <c r="J248" s="21">
        <f t="shared" si="79"/>
        <v>1.5</v>
      </c>
      <c r="K248" s="21">
        <f t="shared" si="79"/>
        <v>1.5</v>
      </c>
      <c r="L248" s="21">
        <f t="shared" si="79"/>
        <v>1.5</v>
      </c>
      <c r="M248" s="21">
        <f t="shared" si="79"/>
        <v>1.5</v>
      </c>
      <c r="N248" s="21">
        <f t="shared" si="79"/>
        <v>1.5</v>
      </c>
      <c r="O248" s="21">
        <f t="shared" si="79"/>
        <v>1.5</v>
      </c>
      <c r="P248" s="21">
        <f t="shared" si="79"/>
        <v>1.5</v>
      </c>
      <c r="Q248" s="21">
        <f t="shared" si="79"/>
        <v>1.5</v>
      </c>
      <c r="R248" s="21">
        <f t="shared" si="79"/>
        <v>1.5</v>
      </c>
      <c r="S248" s="21">
        <f t="shared" si="79"/>
        <v>1.5</v>
      </c>
      <c r="T248" s="21">
        <f t="shared" si="79"/>
        <v>1.5</v>
      </c>
      <c r="U248" s="21">
        <f t="shared" si="79"/>
        <v>1.5</v>
      </c>
      <c r="V248" s="21">
        <f t="shared" si="79"/>
        <v>1.5</v>
      </c>
      <c r="W248" s="21">
        <f t="shared" si="79"/>
        <v>1.5</v>
      </c>
      <c r="X248" s="21">
        <f t="shared" si="79"/>
        <v>1.5</v>
      </c>
      <c r="Y248" s="21">
        <f t="shared" si="79"/>
        <v>1.5</v>
      </c>
      <c r="Z248" s="21">
        <f t="shared" si="79"/>
        <v>1.5</v>
      </c>
      <c r="AA248" s="21">
        <f t="shared" si="79"/>
        <v>1.5</v>
      </c>
      <c r="AB248" s="21">
        <f t="shared" si="79"/>
        <v>1.5</v>
      </c>
      <c r="AC248" s="21">
        <f t="shared" si="79"/>
        <v>1.5</v>
      </c>
      <c r="AD248" s="21">
        <f t="shared" si="79"/>
        <v>1.5</v>
      </c>
      <c r="AE248" s="21">
        <f t="shared" si="79"/>
        <v>1.5</v>
      </c>
      <c r="AF248" s="21">
        <f t="shared" si="79"/>
        <v>1.5</v>
      </c>
      <c r="AG248" s="20">
        <v>1.5</v>
      </c>
      <c r="AH248" s="12"/>
      <c r="AI248" s="11"/>
      <c r="AK248" s="19"/>
    </row>
    <row r="249" spans="1:37" x14ac:dyDescent="0.25">
      <c r="A249" s="22" t="s">
        <v>13</v>
      </c>
      <c r="B249" s="21">
        <f t="shared" si="78"/>
        <v>0.3</v>
      </c>
      <c r="C249" s="21">
        <v>0.3</v>
      </c>
      <c r="D249" s="21">
        <f t="shared" si="79"/>
        <v>0.3</v>
      </c>
      <c r="E249" s="21">
        <f t="shared" si="79"/>
        <v>0.3</v>
      </c>
      <c r="F249" s="21">
        <f t="shared" si="79"/>
        <v>0.3</v>
      </c>
      <c r="G249" s="21">
        <f t="shared" si="79"/>
        <v>0.3</v>
      </c>
      <c r="H249" s="21">
        <f t="shared" si="79"/>
        <v>0.3</v>
      </c>
      <c r="I249" s="21">
        <f t="shared" si="79"/>
        <v>0.3</v>
      </c>
      <c r="J249" s="21">
        <f t="shared" si="79"/>
        <v>0.3</v>
      </c>
      <c r="K249" s="21">
        <f t="shared" si="79"/>
        <v>0.3</v>
      </c>
      <c r="L249" s="21">
        <f t="shared" si="79"/>
        <v>0.3</v>
      </c>
      <c r="M249" s="21">
        <f t="shared" si="79"/>
        <v>0.3</v>
      </c>
      <c r="N249" s="21">
        <f t="shared" si="79"/>
        <v>0.3</v>
      </c>
      <c r="O249" s="21">
        <f t="shared" si="79"/>
        <v>0.3</v>
      </c>
      <c r="P249" s="21">
        <f t="shared" si="79"/>
        <v>0.3</v>
      </c>
      <c r="Q249" s="21">
        <f t="shared" si="79"/>
        <v>0.3</v>
      </c>
      <c r="R249" s="21">
        <f t="shared" si="79"/>
        <v>0.3</v>
      </c>
      <c r="S249" s="21">
        <f t="shared" si="79"/>
        <v>0.3</v>
      </c>
      <c r="T249" s="21">
        <f t="shared" si="79"/>
        <v>0.3</v>
      </c>
      <c r="U249" s="21">
        <f t="shared" si="79"/>
        <v>0.3</v>
      </c>
      <c r="V249" s="21">
        <f t="shared" si="79"/>
        <v>0.3</v>
      </c>
      <c r="W249" s="21">
        <f t="shared" si="79"/>
        <v>0.3</v>
      </c>
      <c r="X249" s="21">
        <f t="shared" si="79"/>
        <v>0.3</v>
      </c>
      <c r="Y249" s="21">
        <f t="shared" si="79"/>
        <v>0.3</v>
      </c>
      <c r="Z249" s="21">
        <f t="shared" si="79"/>
        <v>0.3</v>
      </c>
      <c r="AA249" s="21">
        <f t="shared" si="79"/>
        <v>0.3</v>
      </c>
      <c r="AB249" s="21">
        <f t="shared" si="79"/>
        <v>0.3</v>
      </c>
      <c r="AC249" s="21">
        <f t="shared" si="79"/>
        <v>0.3</v>
      </c>
      <c r="AD249" s="21">
        <f t="shared" si="79"/>
        <v>0.3</v>
      </c>
      <c r="AE249" s="21">
        <f t="shared" si="79"/>
        <v>0.3</v>
      </c>
      <c r="AF249" s="21">
        <f t="shared" si="79"/>
        <v>0.3</v>
      </c>
      <c r="AG249" s="20">
        <v>1</v>
      </c>
      <c r="AH249" s="12"/>
      <c r="AI249" s="11"/>
      <c r="AK249" s="19"/>
    </row>
    <row r="250" spans="1:37" x14ac:dyDescent="0.25">
      <c r="A250" s="22" t="s">
        <v>12</v>
      </c>
      <c r="B250" s="21">
        <f t="shared" si="78"/>
        <v>0.4</v>
      </c>
      <c r="C250" s="21">
        <v>0.4</v>
      </c>
      <c r="D250" s="21">
        <f t="shared" si="79"/>
        <v>0.4</v>
      </c>
      <c r="E250" s="21">
        <f t="shared" si="79"/>
        <v>0.4</v>
      </c>
      <c r="F250" s="21">
        <f t="shared" si="79"/>
        <v>0.4</v>
      </c>
      <c r="G250" s="21">
        <f t="shared" si="79"/>
        <v>0.4</v>
      </c>
      <c r="H250" s="21">
        <f t="shared" si="79"/>
        <v>0.4</v>
      </c>
      <c r="I250" s="21">
        <f t="shared" si="79"/>
        <v>0.4</v>
      </c>
      <c r="J250" s="21">
        <f t="shared" si="79"/>
        <v>0.4</v>
      </c>
      <c r="K250" s="21">
        <f t="shared" si="79"/>
        <v>0.4</v>
      </c>
      <c r="L250" s="21">
        <f t="shared" si="79"/>
        <v>0.4</v>
      </c>
      <c r="M250" s="21">
        <f t="shared" si="79"/>
        <v>0.4</v>
      </c>
      <c r="N250" s="21">
        <f t="shared" si="79"/>
        <v>0.4</v>
      </c>
      <c r="O250" s="21">
        <f t="shared" si="79"/>
        <v>0.4</v>
      </c>
      <c r="P250" s="21">
        <f t="shared" si="79"/>
        <v>0.4</v>
      </c>
      <c r="Q250" s="21">
        <f t="shared" si="79"/>
        <v>0.4</v>
      </c>
      <c r="R250" s="21">
        <f t="shared" si="79"/>
        <v>0.4</v>
      </c>
      <c r="S250" s="21">
        <f t="shared" si="79"/>
        <v>0.4</v>
      </c>
      <c r="T250" s="21">
        <f t="shared" si="79"/>
        <v>0.4</v>
      </c>
      <c r="U250" s="21">
        <f t="shared" si="79"/>
        <v>0.4</v>
      </c>
      <c r="V250" s="21">
        <f t="shared" si="79"/>
        <v>0.4</v>
      </c>
      <c r="W250" s="21">
        <f t="shared" si="79"/>
        <v>0.4</v>
      </c>
      <c r="X250" s="21">
        <f t="shared" si="79"/>
        <v>0.4</v>
      </c>
      <c r="Y250" s="21">
        <f t="shared" si="79"/>
        <v>0.4</v>
      </c>
      <c r="Z250" s="21">
        <f t="shared" si="79"/>
        <v>0.4</v>
      </c>
      <c r="AA250" s="21">
        <f t="shared" si="79"/>
        <v>0.4</v>
      </c>
      <c r="AB250" s="21">
        <f t="shared" si="79"/>
        <v>0.4</v>
      </c>
      <c r="AC250" s="21">
        <f t="shared" si="79"/>
        <v>0.4</v>
      </c>
      <c r="AD250" s="21">
        <f t="shared" si="79"/>
        <v>0.4</v>
      </c>
      <c r="AE250" s="21">
        <f t="shared" si="79"/>
        <v>0.4</v>
      </c>
      <c r="AF250" s="21">
        <f t="shared" si="79"/>
        <v>0.4</v>
      </c>
      <c r="AG250" s="20">
        <v>1</v>
      </c>
      <c r="AH250" s="12"/>
      <c r="AI250" s="11"/>
      <c r="AK250" s="19"/>
    </row>
    <row r="251" spans="1:37" ht="15.75" thickBot="1" x14ac:dyDescent="0.3">
      <c r="A251" s="18" t="s">
        <v>11</v>
      </c>
      <c r="B251" s="17">
        <f t="shared" si="78"/>
        <v>0.64</v>
      </c>
      <c r="C251" s="17">
        <v>0.64</v>
      </c>
      <c r="D251" s="17">
        <f t="shared" si="79"/>
        <v>0.64</v>
      </c>
      <c r="E251" s="17">
        <f t="shared" si="79"/>
        <v>0.64</v>
      </c>
      <c r="F251" s="17">
        <f t="shared" si="79"/>
        <v>0.64</v>
      </c>
      <c r="G251" s="17">
        <f t="shared" si="79"/>
        <v>0.64</v>
      </c>
      <c r="H251" s="17">
        <f t="shared" si="79"/>
        <v>0.64</v>
      </c>
      <c r="I251" s="17">
        <f t="shared" si="79"/>
        <v>0.64</v>
      </c>
      <c r="J251" s="17">
        <f t="shared" si="79"/>
        <v>0.64</v>
      </c>
      <c r="K251" s="17">
        <f t="shared" si="79"/>
        <v>0.64</v>
      </c>
      <c r="L251" s="17">
        <f t="shared" si="79"/>
        <v>0.64</v>
      </c>
      <c r="M251" s="17">
        <f t="shared" si="79"/>
        <v>0.64</v>
      </c>
      <c r="N251" s="17">
        <f t="shared" si="79"/>
        <v>0.64</v>
      </c>
      <c r="O251" s="17">
        <f t="shared" si="79"/>
        <v>0.64</v>
      </c>
      <c r="P251" s="17">
        <f t="shared" si="79"/>
        <v>0.64</v>
      </c>
      <c r="Q251" s="17">
        <f t="shared" si="79"/>
        <v>0.64</v>
      </c>
      <c r="R251" s="17">
        <f t="shared" si="79"/>
        <v>0.64</v>
      </c>
      <c r="S251" s="17">
        <f t="shared" si="79"/>
        <v>0.64</v>
      </c>
      <c r="T251" s="17">
        <f t="shared" si="79"/>
        <v>0.64</v>
      </c>
      <c r="U251" s="17">
        <f t="shared" si="79"/>
        <v>0.64</v>
      </c>
      <c r="V251" s="17">
        <f t="shared" si="79"/>
        <v>0.64</v>
      </c>
      <c r="W251" s="17">
        <f t="shared" si="79"/>
        <v>0.64</v>
      </c>
      <c r="X251" s="17">
        <f t="shared" si="79"/>
        <v>0.64</v>
      </c>
      <c r="Y251" s="17">
        <f t="shared" si="79"/>
        <v>0.64</v>
      </c>
      <c r="Z251" s="17">
        <f t="shared" si="79"/>
        <v>0.64</v>
      </c>
      <c r="AA251" s="17">
        <f t="shared" si="79"/>
        <v>0.64</v>
      </c>
      <c r="AB251" s="17">
        <f t="shared" si="79"/>
        <v>0.64</v>
      </c>
      <c r="AC251" s="17">
        <f t="shared" si="79"/>
        <v>0.64</v>
      </c>
      <c r="AD251" s="17">
        <f t="shared" si="79"/>
        <v>0.64</v>
      </c>
      <c r="AE251" s="17">
        <f t="shared" si="79"/>
        <v>0.64</v>
      </c>
      <c r="AF251" s="17">
        <f t="shared" si="79"/>
        <v>0.64</v>
      </c>
      <c r="AG251" s="16">
        <v>0.66</v>
      </c>
      <c r="AH251" s="12"/>
      <c r="AI251" s="11"/>
    </row>
    <row r="252" spans="1:37" ht="15.75" thickBot="1" x14ac:dyDescent="0.3">
      <c r="A252" s="15" t="s">
        <v>10</v>
      </c>
      <c r="B252" s="14">
        <f t="shared" ref="B252:AG252" si="80">SUM(B246:B251)</f>
        <v>3.54</v>
      </c>
      <c r="C252" s="14">
        <f t="shared" si="80"/>
        <v>3.54</v>
      </c>
      <c r="D252" s="14">
        <f t="shared" si="80"/>
        <v>3.54</v>
      </c>
      <c r="E252" s="14">
        <f t="shared" si="80"/>
        <v>3.54</v>
      </c>
      <c r="F252" s="14">
        <f t="shared" si="80"/>
        <v>3.54</v>
      </c>
      <c r="G252" s="14">
        <f t="shared" si="80"/>
        <v>3.54</v>
      </c>
      <c r="H252" s="14">
        <f t="shared" si="80"/>
        <v>3.54</v>
      </c>
      <c r="I252" s="14">
        <f t="shared" si="80"/>
        <v>3.54</v>
      </c>
      <c r="J252" s="14">
        <f t="shared" si="80"/>
        <v>3.54</v>
      </c>
      <c r="K252" s="14">
        <f t="shared" si="80"/>
        <v>3.54</v>
      </c>
      <c r="L252" s="14">
        <f t="shared" si="80"/>
        <v>3.54</v>
      </c>
      <c r="M252" s="14">
        <f t="shared" si="80"/>
        <v>3.54</v>
      </c>
      <c r="N252" s="14">
        <f t="shared" si="80"/>
        <v>3.54</v>
      </c>
      <c r="O252" s="14">
        <f t="shared" si="80"/>
        <v>3.54</v>
      </c>
      <c r="P252" s="14">
        <f t="shared" si="80"/>
        <v>3.54</v>
      </c>
      <c r="Q252" s="14">
        <f t="shared" si="80"/>
        <v>3.54</v>
      </c>
      <c r="R252" s="14">
        <f t="shared" si="80"/>
        <v>3.54</v>
      </c>
      <c r="S252" s="14">
        <f t="shared" si="80"/>
        <v>3.54</v>
      </c>
      <c r="T252" s="14">
        <f t="shared" si="80"/>
        <v>3.54</v>
      </c>
      <c r="U252" s="14">
        <f t="shared" si="80"/>
        <v>3.54</v>
      </c>
      <c r="V252" s="14">
        <f t="shared" si="80"/>
        <v>3.54</v>
      </c>
      <c r="W252" s="14">
        <f t="shared" si="80"/>
        <v>3.54</v>
      </c>
      <c r="X252" s="14">
        <f t="shared" si="80"/>
        <v>3.54</v>
      </c>
      <c r="Y252" s="14">
        <f t="shared" si="80"/>
        <v>3.54</v>
      </c>
      <c r="Z252" s="14">
        <f t="shared" si="80"/>
        <v>3.54</v>
      </c>
      <c r="AA252" s="14">
        <f t="shared" si="80"/>
        <v>3.54</v>
      </c>
      <c r="AB252" s="14">
        <f t="shared" si="80"/>
        <v>3.54</v>
      </c>
      <c r="AC252" s="14">
        <f t="shared" si="80"/>
        <v>3.54</v>
      </c>
      <c r="AD252" s="14">
        <f t="shared" si="80"/>
        <v>3.54</v>
      </c>
      <c r="AE252" s="14">
        <f t="shared" si="80"/>
        <v>3.54</v>
      </c>
      <c r="AF252" s="14">
        <f t="shared" si="80"/>
        <v>3.54</v>
      </c>
      <c r="AG252" s="13">
        <f t="shared" si="80"/>
        <v>8.56</v>
      </c>
      <c r="AH252" s="12"/>
      <c r="AI252" s="11"/>
    </row>
    <row r="253" spans="1:37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25">
      <c r="A256" s="9" t="s">
        <v>9</v>
      </c>
      <c r="B256" s="8">
        <f>MAX(G99:N99)</f>
        <v>1431.64</v>
      </c>
      <c r="C256" s="7">
        <f>INDEX(G9:N9,1,MATCH(MAX(G99:N99),G99:N99,0))</f>
        <v>0.375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25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2080/10/30)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25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25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25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25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25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25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25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25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25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25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25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25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25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25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phoneticPr fontId="34" type="noConversion"/>
  <conditionalFormatting sqref="A11:A130">
    <cfRule type="expression" dxfId="394" priority="89">
      <formula>$AH11=0</formula>
    </cfRule>
  </conditionalFormatting>
  <conditionalFormatting sqref="A132:A253">
    <cfRule type="expression" dxfId="393" priority="90">
      <formula>$AH132=0</formula>
    </cfRule>
  </conditionalFormatting>
  <conditionalFormatting sqref="B8">
    <cfRule type="expression" dxfId="392" priority="145">
      <formula>AND(C$9&gt;=8/24,C$9&lt;14/24)</formula>
    </cfRule>
    <cfRule type="expression" dxfId="391" priority="144">
      <formula>AND(C$9&gt;=14/24,C$9&lt;20/24)</formula>
    </cfRule>
    <cfRule type="expression" dxfId="390" priority="146">
      <formula>C$9&lt;8/24</formula>
    </cfRule>
    <cfRule type="expression" dxfId="389" priority="147">
      <formula>C$9&gt;=20/24</formula>
    </cfRule>
  </conditionalFormatting>
  <conditionalFormatting sqref="B11:F52 Y11:AF52 G12:P52 Q13:V52 W15:X52 B59:D68 E60:E61 D63:F74 C64:C74 B69:AF74 B77:AF99 B9:AF10 B101:AF117 B119:AF137 B244:AF244 B246:B252">
    <cfRule type="expression" dxfId="388" priority="41">
      <formula>B$9&gt;=20/24</formula>
    </cfRule>
  </conditionalFormatting>
  <conditionalFormatting sqref="B9:AF10 B11:F52 Y11:AF52 G12:P52 Q13:V52 W15:X52 B59:D68 E60:E61 D63:F74 C64:C74 B69:AF74 B77:AF99 B101:AF117 B119:AF137 B244:AF244 B246:B252">
    <cfRule type="expression" dxfId="387" priority="42">
      <formula>AND(B$9&gt;=14/24,B$9&lt;20/24)</formula>
    </cfRule>
    <cfRule type="expression" dxfId="386" priority="43">
      <formula>AND(B$9&gt;=8/24,B$9&lt;14/24)</formula>
    </cfRule>
    <cfRule type="expression" dxfId="385" priority="44">
      <formula>B$9&lt;8/24</formula>
    </cfRule>
  </conditionalFormatting>
  <conditionalFormatting sqref="B53:AF57">
    <cfRule type="expression" dxfId="384" priority="53">
      <formula>B$9&lt;8/24</formula>
    </cfRule>
  </conditionalFormatting>
  <conditionalFormatting sqref="D246:AF252">
    <cfRule type="expression" dxfId="383" priority="132">
      <formula>D$9&lt;8/24</formula>
    </cfRule>
    <cfRule type="expression" dxfId="382" priority="131">
      <formula>AND(D$9&gt;=8/24,D$9&lt;14/24)</formula>
    </cfRule>
    <cfRule type="expression" dxfId="381" priority="129">
      <formula>D$9&gt;=20/24</formula>
    </cfRule>
    <cfRule type="expression" dxfId="380" priority="130">
      <formula>AND(D$9&gt;=14/24,D$9&lt;20/24)</formula>
    </cfRule>
  </conditionalFormatting>
  <conditionalFormatting sqref="E63:I67 J64:J67 J66:K67">
    <cfRule type="expression" dxfId="379" priority="55">
      <formula>AND(E$9&gt;=14/24,E$9&lt;20/24)</formula>
    </cfRule>
    <cfRule type="expression" dxfId="378" priority="56">
      <formula>AND(E$9&gt;=8/24,E$9&lt;14/24)</formula>
    </cfRule>
    <cfRule type="expression" dxfId="377" priority="57">
      <formula>E$9&lt;8/24</formula>
    </cfRule>
    <cfRule type="expression" dxfId="376" priority="54">
      <formula>E$9&gt;=20/24</formula>
    </cfRule>
  </conditionalFormatting>
  <conditionalFormatting sqref="E68:K68">
    <cfRule type="expression" dxfId="375" priority="49">
      <formula>E$9&gt;=20/24</formula>
    </cfRule>
    <cfRule type="expression" dxfId="374" priority="50">
      <formula>AND(E$9&gt;=14/24,E$9&lt;20/24)</formula>
    </cfRule>
    <cfRule type="expression" dxfId="373" priority="51">
      <formula>AND(E$9&gt;=8/24,E$9&lt;14/24)</formula>
    </cfRule>
    <cfRule type="expression" dxfId="372" priority="52">
      <formula>E$9&lt;8/24</formula>
    </cfRule>
  </conditionalFormatting>
  <conditionalFormatting sqref="E59:AF62">
    <cfRule type="expression" dxfId="371" priority="67">
      <formula>E$9&gt;=20/24</formula>
    </cfRule>
    <cfRule type="expression" dxfId="370" priority="68">
      <formula>AND(E$9&gt;=14/24,E$9&lt;20/24)</formula>
    </cfRule>
    <cfRule type="expression" dxfId="369" priority="69">
      <formula>AND(E$9&gt;=8/24,E$9&lt;14/24)</formula>
    </cfRule>
    <cfRule type="expression" dxfId="368" priority="70">
      <formula>E$9&lt;8/24</formula>
    </cfRule>
  </conditionalFormatting>
  <conditionalFormatting sqref="F63:M65">
    <cfRule type="expression" dxfId="367" priority="84">
      <formula>F$9&lt;8/24</formula>
    </cfRule>
    <cfRule type="expression" dxfId="366" priority="83">
      <formula>AND(F$9&gt;=8/24,F$9&lt;14/24)</formula>
    </cfRule>
    <cfRule type="expression" dxfId="365" priority="82">
      <formula>AND(F$9&gt;=14/24,F$9&lt;20/24)</formula>
    </cfRule>
    <cfRule type="expression" dxfId="364" priority="81">
      <formula>F$9&gt;=20/24</formula>
    </cfRule>
  </conditionalFormatting>
  <conditionalFormatting sqref="G11:Q11 V11:W11 R11:U12 X11:X14 Q12 V12 W12:W14">
    <cfRule type="expression" dxfId="363" priority="58">
      <formula>G11&gt;$AG11</formula>
    </cfRule>
    <cfRule type="expression" dxfId="362" priority="59">
      <formula>G$9&gt;=20/24</formula>
    </cfRule>
    <cfRule type="expression" dxfId="361" priority="60">
      <formula>AND(G$9&gt;=14/24,G$9&lt;20/24)</formula>
    </cfRule>
    <cfRule type="expression" dxfId="360" priority="61">
      <formula>AND(G$9&gt;=8/24,G$9&lt;14/24)</formula>
    </cfRule>
    <cfRule type="expression" dxfId="359" priority="62">
      <formula>G$9&lt;8/24</formula>
    </cfRule>
  </conditionalFormatting>
  <conditionalFormatting sqref="L68:V68">
    <cfRule type="expression" dxfId="358" priority="79">
      <formula>AND(L$9&gt;=8/24,L$9&lt;14/24)</formula>
    </cfRule>
    <cfRule type="expression" dxfId="357" priority="80">
      <formula>L$9&lt;8/24</formula>
    </cfRule>
    <cfRule type="expression" dxfId="356" priority="77">
      <formula>L$9&gt;=20/24</formula>
    </cfRule>
    <cfRule type="expression" dxfId="355" priority="78">
      <formula>AND(L$9&gt;=14/24,L$9&lt;20/24)</formula>
    </cfRule>
  </conditionalFormatting>
  <conditionalFormatting sqref="M8 S8 AB8">
    <cfRule type="expression" dxfId="354" priority="138">
      <formula>N$9&lt;8/24</formula>
    </cfRule>
    <cfRule type="expression" dxfId="353" priority="137">
      <formula>AND(N$9&gt;=8/24,N$9&lt;14/24)</formula>
    </cfRule>
    <cfRule type="expression" dxfId="352" priority="136">
      <formula>AND(N$9&gt;=14/24,N$9&lt;20/24)</formula>
    </cfRule>
  </conditionalFormatting>
  <conditionalFormatting sqref="N63:V67">
    <cfRule type="expression" dxfId="351" priority="85">
      <formula>N$9&gt;=20/24</formula>
    </cfRule>
    <cfRule type="expression" dxfId="350" priority="86">
      <formula>AND(N$9&gt;=14/24,N$9&lt;20/24)</formula>
    </cfRule>
    <cfRule type="expression" dxfId="349" priority="87">
      <formula>AND(N$9&gt;=8/24,N$9&lt;14/24)</formula>
    </cfRule>
    <cfRule type="expression" dxfId="348" priority="88">
      <formula>N$9&lt;8/24</formula>
    </cfRule>
  </conditionalFormatting>
  <conditionalFormatting sqref="N56:AF56">
    <cfRule type="expression" dxfId="347" priority="45">
      <formula>N56&gt;$AG56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O55:U55 V55:AF57 N56:U57">
    <cfRule type="expression" dxfId="346" priority="48">
      <formula>AND(N$9&gt;=8/24,N$9&lt;14/24)</formula>
    </cfRule>
    <cfRule type="expression" dxfId="345" priority="47">
      <formula>AND(N$9&gt;=14/24,N$9&lt;20/24)</formula>
    </cfRule>
  </conditionalFormatting>
  <conditionalFormatting sqref="O53:AF54 N53:N55 B53:M57">
    <cfRule type="expression" dxfId="344" priority="37">
      <formula>B$9&gt;=20/24</formula>
    </cfRule>
    <cfRule type="expression" dxfId="343" priority="38">
      <formula>AND(B$9&gt;=14/24,B$9&lt;20/24)</formula>
    </cfRule>
    <cfRule type="expression" dxfId="342" priority="39">
      <formula>AND(B$9&gt;=8/24,B$9&lt;14/24)</formula>
    </cfRule>
  </conditionalFormatting>
  <conditionalFormatting sqref="S8 AB8 M8">
    <cfRule type="expression" dxfId="341" priority="135">
      <formula>N$9&gt;=20/24</formula>
    </cfRule>
  </conditionalFormatting>
  <conditionalFormatting sqref="S8">
    <cfRule type="expression" dxfId="340" priority="124">
      <formula>AND(U$9&gt;=8/24,U$9&lt;14/24)</formula>
    </cfRule>
    <cfRule type="expression" dxfId="339" priority="122">
      <formula>U$9&gt;=20/24</formula>
    </cfRule>
    <cfRule type="expression" dxfId="338" priority="123">
      <formula>AND(U$9&gt;=14/24,U$9&lt;20/24)</formula>
    </cfRule>
    <cfRule type="expression" dxfId="337" priority="125">
      <formula>U$9&lt;8/24</formula>
    </cfRule>
  </conditionalFormatting>
  <conditionalFormatting sqref="T63:AF68">
    <cfRule type="expression" dxfId="336" priority="74">
      <formula>T$9&lt;8/24</formula>
    </cfRule>
    <cfRule type="expression" dxfId="335" priority="73">
      <formula>AND(T$9&gt;=8/24,T$9&lt;14/24)</formula>
    </cfRule>
    <cfRule type="expression" dxfId="334" priority="72">
      <formula>AND(T$9&gt;=14/24,T$9&lt;20/24)</formula>
    </cfRule>
    <cfRule type="expression" dxfId="333" priority="71">
      <formula>T$9&gt;=20/24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V55:AF57 N56:U57 O55:U55">
    <cfRule type="expression" dxfId="332" priority="46">
      <formula>N$9&gt;=20/24</formula>
    </cfRule>
  </conditionalFormatting>
  <conditionalFormatting sqref="Y11:AF55 E11:F57 B11:D61 N12:P55 G12:L57 M12:M74 Q13:V55 W15:X55 AB57:AF61 N57:R74 S57:W75 X57:AA80 E58:L61 AB62:AG62 B62:L74 AB63:AF80 B75:R75 B76:W80 AG80">
    <cfRule type="expression" dxfId="331" priority="40">
      <formula>B11&gt;$AG11</formula>
    </cfRule>
  </conditionalFormatting>
  <conditionalFormatting sqref="AB8">
    <cfRule type="expression" dxfId="330" priority="121">
      <formula>AD$9&lt;8/24</formula>
    </cfRule>
    <cfRule type="expression" dxfId="329" priority="120">
      <formula>AND(AD$9&gt;=8/24,AD$9&lt;14/24)</formula>
    </cfRule>
    <cfRule type="expression" dxfId="328" priority="119">
      <formula>AND(AD$9&gt;=14/24,AD$9&lt;20/24)</formula>
    </cfRule>
    <cfRule type="expression" dxfId="327" priority="118">
      <formula>AD$9&gt;=20/24</formula>
    </cfRule>
  </conditionalFormatting>
  <conditionalFormatting sqref="AG58">
    <cfRule type="expression" dxfId="326" priority="113">
      <formula>AG58&gt;$AG58</formula>
    </cfRule>
  </conditionalFormatting>
  <conditionalFormatting sqref="AG62">
    <cfRule type="expression" dxfId="325" priority="98">
      <formula>AND(AG$9&gt;=8/24,AG$9&lt;14/24)</formula>
    </cfRule>
    <cfRule type="expression" dxfId="324" priority="99">
      <formula>AG$9&lt;8/24</formula>
    </cfRule>
    <cfRule type="expression" dxfId="323" priority="96">
      <formula>AG$9&gt;=20/24</formula>
    </cfRule>
    <cfRule type="expression" dxfId="322" priority="97">
      <formula>AND(AG$9&gt;=14/24,AG$9&lt;20/24)</formula>
    </cfRule>
  </conditionalFormatting>
  <conditionalFormatting sqref="AG75:AG76">
    <cfRule type="expression" dxfId="321" priority="91">
      <formula>AG75&gt;$AG75</formula>
    </cfRule>
  </conditionalFormatting>
  <conditionalFormatting sqref="AG80">
    <cfRule type="expression" dxfId="320" priority="94">
      <formula>AND(AG$9&gt;=8/24,AG$9&lt;14/24)</formula>
    </cfRule>
    <cfRule type="expression" dxfId="319" priority="92">
      <formula>AG$9&gt;=20/24</formula>
    </cfRule>
    <cfRule type="expression" dxfId="318" priority="93">
      <formula>AND(AG$9&gt;=14/24,AG$9&lt;20/24)</formula>
    </cfRule>
    <cfRule type="expression" dxfId="317" priority="95">
      <formula>AG$9&lt;8/24</formula>
    </cfRule>
  </conditionalFormatting>
  <conditionalFormatting sqref="AG97">
    <cfRule type="expression" dxfId="316" priority="117">
      <formula>AG$9&lt;8/24</formula>
    </cfRule>
    <cfRule type="expression" dxfId="315" priority="116">
      <formula>AND(AG$9&gt;=8/24,AG$9&lt;14/24)</formula>
    </cfRule>
    <cfRule type="expression" dxfId="314" priority="115">
      <formula>AND(AG$9&gt;=14/24,AG$9&lt;20/24)</formula>
    </cfRule>
    <cfRule type="expression" dxfId="313" priority="114">
      <formula>AG$9&gt;=20/24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312" priority="139">
      <formula>AJ$9&gt;=20/24</formula>
    </cfRule>
    <cfRule type="expression" dxfId="311" priority="140">
      <formula>AND(AJ$9&gt;=14/24,AJ$9&lt;20/24)</formula>
    </cfRule>
    <cfRule type="expression" dxfId="310" priority="141">
      <formula>AND(AJ$9&gt;=8/24,AJ$9&lt;14/24)</formula>
    </cfRule>
    <cfRule type="expression" dxfId="309" priority="142">
      <formula>AJ$9&lt;8/24</formula>
    </cfRule>
  </conditionalFormatting>
  <conditionalFormatting sqref="AL88:AN88 AL94:AN94">
    <cfRule type="expression" dxfId="308" priority="107">
      <formula>AND(AL$9&gt;=14/24,AL$9&lt;20/24)</formula>
    </cfRule>
    <cfRule type="expression" dxfId="307" priority="106">
      <formula>AL$9&gt;=20/24</formula>
    </cfRule>
    <cfRule type="expression" dxfId="306" priority="108">
      <formula>AND(AL$9&gt;=8/24,AL$9&lt;14/24)</formula>
    </cfRule>
    <cfRule type="expression" dxfId="305" priority="109">
      <formula>AL$9&lt;8/24</formula>
    </cfRule>
  </conditionalFormatting>
  <conditionalFormatting sqref="AM15:AM21 AN16:AR21">
    <cfRule type="expression" dxfId="304" priority="16">
      <formula>AX$9&lt;8/24</formula>
    </cfRule>
    <cfRule type="expression" dxfId="303" priority="15">
      <formula>AND(AX$9&gt;=8/24,AX$9&lt;14/24)</formula>
    </cfRule>
    <cfRule type="expression" dxfId="302" priority="14">
      <formula>AND(AX$9&gt;=14/24,AX$9&lt;20/24)</formula>
    </cfRule>
    <cfRule type="expression" dxfId="301" priority="13">
      <formula>AX$9&gt;=20/24</formula>
    </cfRule>
  </conditionalFormatting>
  <conditionalFormatting sqref="AN89:AN92">
    <cfRule type="expression" dxfId="300" priority="102">
      <formula>AN$9&gt;=20/24</formula>
    </cfRule>
    <cfRule type="expression" dxfId="299" priority="103">
      <formula>AND(AN$9&gt;=14/24,AN$9&lt;20/24)</formula>
    </cfRule>
    <cfRule type="expression" dxfId="298" priority="104">
      <formula>AND(AN$9&gt;=8/24,AN$9&lt;14/24)</formula>
    </cfRule>
    <cfRule type="expression" dxfId="297" priority="105">
      <formula>AN$9&lt;8/24</formula>
    </cfRule>
  </conditionalFormatting>
  <conditionalFormatting sqref="AN15:AR15">
    <cfRule type="expression" dxfId="296" priority="2">
      <formula>AND(U$9&gt;=14/24,U$9&lt;20/24)</formula>
    </cfRule>
    <cfRule type="expression" dxfId="295" priority="3">
      <formula>AND(U$9&gt;=8/24,U$9&lt;14/24)</formula>
    </cfRule>
    <cfRule type="expression" dxfId="294" priority="4">
      <formula>U$9&lt;8/24</formula>
    </cfRule>
    <cfRule type="expression" dxfId="293" priority="1">
      <formula>U$9&gt;=20/24</formula>
    </cfRule>
  </conditionalFormatting>
  <conditionalFormatting sqref="AS15">
    <cfRule type="expression" dxfId="292" priority="10">
      <formula>AND(AA$9&gt;=14/24,AA$9&lt;20/24)</formula>
    </cfRule>
    <cfRule type="expression" dxfId="291" priority="11">
      <formula>AND(AA$9&gt;=8/24,AA$9&lt;14/24)</formula>
    </cfRule>
    <cfRule type="expression" dxfId="290" priority="12">
      <formula>AA$9&lt;8/24</formula>
    </cfRule>
    <cfRule type="expression" dxfId="289" priority="9">
      <formula>AA$9&gt;=20/24</formula>
    </cfRule>
  </conditionalFormatting>
  <conditionalFormatting sqref="AS16:AS21">
    <cfRule type="expression" dxfId="288" priority="20">
      <formula>BE$9&lt;8/24</formula>
    </cfRule>
    <cfRule type="expression" dxfId="287" priority="19">
      <formula>AND(BE$9&gt;=8/24,BE$9&lt;14/24)</formula>
    </cfRule>
    <cfRule type="expression" dxfId="286" priority="18">
      <formula>AND(BE$9&gt;=14/24,BE$9&lt;20/24)</formula>
    </cfRule>
    <cfRule type="expression" dxfId="285" priority="17">
      <formula>BE$9&gt;=20/24</formula>
    </cfRule>
  </conditionalFormatting>
  <conditionalFormatting sqref="AT15 AX15:BJ15">
    <cfRule type="expression" dxfId="284" priority="24">
      <formula>AC$9&lt;8/24</formula>
    </cfRule>
    <cfRule type="expression" dxfId="283" priority="21">
      <formula>AC$9&gt;=20/24</formula>
    </cfRule>
    <cfRule type="expression" dxfId="282" priority="23">
      <formula>AND(AC$9&gt;=8/24,AC$9&lt;14/24)</formula>
    </cfRule>
    <cfRule type="expression" dxfId="281" priority="22">
      <formula>AND(AC$9&gt;=14/24,AC$9&lt;20/24)</formula>
    </cfRule>
  </conditionalFormatting>
  <conditionalFormatting sqref="AT16:AT21">
    <cfRule type="expression" dxfId="280" priority="28">
      <formula>BG$9&lt;8/24</formula>
    </cfRule>
    <cfRule type="expression" dxfId="279" priority="27">
      <formula>AND(BG$9&gt;=8/24,BG$9&lt;14/24)</formula>
    </cfRule>
    <cfRule type="expression" dxfId="278" priority="26">
      <formula>AND(BG$9&gt;=14/24,BG$9&lt;20/24)</formula>
    </cfRule>
    <cfRule type="expression" dxfId="277" priority="25">
      <formula>BG$9&gt;=20/24</formula>
    </cfRule>
  </conditionalFormatting>
  <conditionalFormatting sqref="AU15:AV15">
    <cfRule type="expression" dxfId="276" priority="32">
      <formula>AE$9&lt;8/24</formula>
    </cfRule>
    <cfRule type="expression" dxfId="275" priority="31">
      <formula>AND(AE$9&gt;=8/24,AE$9&lt;14/24)</formula>
    </cfRule>
    <cfRule type="expression" dxfId="274" priority="29">
      <formula>AE$9&gt;=20/24</formula>
    </cfRule>
    <cfRule type="expression" dxfId="273" priority="30">
      <formula>AND(AE$9&gt;=14/24,AE$9&lt;20/24)</formula>
    </cfRule>
  </conditionalFormatting>
  <conditionalFormatting sqref="AU16:BJ21">
    <cfRule type="expression" dxfId="272" priority="33">
      <formula>BI$9&gt;=20/24</formula>
    </cfRule>
    <cfRule type="expression" dxfId="271" priority="35">
      <formula>AND(BI$9&gt;=8/24,BI$9&lt;14/24)</formula>
    </cfRule>
    <cfRule type="expression" dxfId="270" priority="34">
      <formula>AND(BI$9&gt;=14/24,BI$9&lt;20/24)</formula>
    </cfRule>
    <cfRule type="expression" dxfId="269" priority="36">
      <formula>BI$9&lt;8/24</formula>
    </cfRule>
  </conditionalFormatting>
  <conditionalFormatting sqref="AW15">
    <cfRule type="expression" dxfId="268" priority="5">
      <formula>B$9&gt;=20/24</formula>
    </cfRule>
    <cfRule type="expression" dxfId="267" priority="8">
      <formula>B$9&lt;8/24</formula>
    </cfRule>
    <cfRule type="expression" dxfId="266" priority="7">
      <formula>AND(B$9&gt;=8/24,B$9&lt;14/24)</formula>
    </cfRule>
    <cfRule type="expression" dxfId="265" priority="6">
      <formula>AND(B$9&gt;=14/24,B$9&lt;20/24)</formula>
    </cfRule>
  </conditionalFormatting>
  <pageMargins left="0.7" right="0.7" top="0.75" bottom="0.75" header="0.3" footer="0.3"/>
  <drawing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C1217-B588-4F6F-9437-6A456C0B61CB}">
  <dimension ref="A1:CJ294"/>
  <sheetViews>
    <sheetView tabSelected="1" zoomScaleNormal="100" workbookViewId="0">
      <pane xSplit="1" ySplit="10" topLeftCell="B11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B16" sqref="AB16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20.25" hidden="1" x14ac:dyDescent="0.2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9.5" hidden="1" thickBot="1" x14ac:dyDescent="0.3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3">
      <c r="A4" s="162" t="s">
        <v>273</v>
      </c>
      <c r="B4" s="205" t="str">
        <f ca="1">"2080/"&amp;"10/"&amp;INT(MID(CELL("filename",D6),FIND("]",CELL("filename",D6))+1,200))</f>
        <v>2080/10/31</v>
      </c>
      <c r="C4" s="205"/>
      <c r="D4" s="205"/>
      <c r="E4" s="206" t="str">
        <f ca="1">"2080/"&amp;"10/"&amp;INT(MID(CELL("filename",G6),FIND("]",CELL("filename",G6))+1,200))</f>
        <v>2080/10/31</v>
      </c>
      <c r="F4" s="206"/>
      <c r="G4" s="206"/>
      <c r="H4" s="206" t="str">
        <f ca="1">TEXT(E4,"dddd")</f>
        <v>Thursday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3">
      <c r="A5" s="158"/>
      <c r="B5" s="161">
        <f t="shared" ref="B5:AE5" si="0">C92</f>
        <v>142.9</v>
      </c>
      <c r="C5" s="161">
        <f t="shared" si="0"/>
        <v>111.1</v>
      </c>
      <c r="D5" s="161">
        <f t="shared" si="0"/>
        <v>155.89999999999998</v>
      </c>
      <c r="E5" s="161">
        <f t="shared" si="0"/>
        <v>177.3</v>
      </c>
      <c r="F5" s="161">
        <f t="shared" si="0"/>
        <v>201.7</v>
      </c>
      <c r="G5" s="161">
        <f t="shared" si="0"/>
        <v>158.9</v>
      </c>
      <c r="H5" s="161">
        <f t="shared" si="0"/>
        <v>182.39999999999998</v>
      </c>
      <c r="I5" s="161">
        <f t="shared" si="0"/>
        <v>465.8</v>
      </c>
      <c r="J5" s="161">
        <f t="shared" si="0"/>
        <v>583.19999999999993</v>
      </c>
      <c r="K5" s="161">
        <f t="shared" si="0"/>
        <v>617.59999999999991</v>
      </c>
      <c r="L5" s="161">
        <f t="shared" si="0"/>
        <v>574.9</v>
      </c>
      <c r="M5" s="161">
        <f t="shared" si="0"/>
        <v>598.19999999999993</v>
      </c>
      <c r="N5" s="161">
        <f t="shared" si="0"/>
        <v>577.4</v>
      </c>
      <c r="O5" s="161">
        <f t="shared" si="0"/>
        <v>635</v>
      </c>
      <c r="P5" s="161">
        <f t="shared" si="0"/>
        <v>558.6</v>
      </c>
      <c r="Q5" s="161">
        <f t="shared" si="0"/>
        <v>579.69999999999993</v>
      </c>
      <c r="R5" s="161">
        <f t="shared" si="0"/>
        <v>612.29999999999995</v>
      </c>
      <c r="S5" s="161">
        <f t="shared" si="0"/>
        <v>652.20000000000005</v>
      </c>
      <c r="T5" s="161">
        <f t="shared" si="0"/>
        <v>691.59999999999991</v>
      </c>
      <c r="U5" s="161">
        <f t="shared" si="0"/>
        <v>618.1</v>
      </c>
      <c r="V5" s="161">
        <f t="shared" si="0"/>
        <v>600</v>
      </c>
      <c r="W5" s="161">
        <f t="shared" si="0"/>
        <v>576.40000000000009</v>
      </c>
      <c r="X5" s="161">
        <f t="shared" si="0"/>
        <v>260.5</v>
      </c>
      <c r="Y5" s="161">
        <f t="shared" si="0"/>
        <v>113.30000000000001</v>
      </c>
      <c r="Z5" s="161">
        <f t="shared" si="0"/>
        <v>126.1</v>
      </c>
      <c r="AA5" s="161">
        <f t="shared" si="0"/>
        <v>145.19999999999999</v>
      </c>
      <c r="AB5" s="161">
        <f t="shared" si="0"/>
        <v>97.9</v>
      </c>
      <c r="AC5" s="161">
        <f t="shared" si="0"/>
        <v>96.7</v>
      </c>
      <c r="AD5" s="161">
        <f t="shared" si="0"/>
        <v>78.599999999999994</v>
      </c>
      <c r="AE5" s="161">
        <f t="shared" si="0"/>
        <v>59</v>
      </c>
      <c r="AF5" s="161">
        <f>B92</f>
        <v>92.4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3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1616MW at 9:00hr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5" thickBot="1" x14ac:dyDescent="0.3">
      <c r="A7" s="151" t="str">
        <f>"Base Load="&amp;ROUND(MIN($B$7:$AF$7),0)</f>
        <v>Base Load=1317</v>
      </c>
      <c r="B7" s="150">
        <f t="shared" ref="B7:AF7" si="1">B100</f>
        <v>1361.94</v>
      </c>
      <c r="C7" s="150">
        <f t="shared" si="1"/>
        <v>1348.44</v>
      </c>
      <c r="D7" s="150">
        <f t="shared" si="1"/>
        <v>1316.6399999999999</v>
      </c>
      <c r="E7" s="150">
        <f t="shared" si="1"/>
        <v>1352.88</v>
      </c>
      <c r="F7" s="150">
        <f t="shared" si="1"/>
        <v>1360.94</v>
      </c>
      <c r="G7" s="150">
        <f t="shared" si="1"/>
        <v>1394.64</v>
      </c>
      <c r="H7" s="150">
        <f t="shared" si="1"/>
        <v>1431.14</v>
      </c>
      <c r="I7" s="150">
        <f t="shared" si="1"/>
        <v>1518.44</v>
      </c>
      <c r="J7" s="150">
        <f t="shared" si="1"/>
        <v>1401.64</v>
      </c>
      <c r="K7" s="150">
        <f t="shared" si="1"/>
        <v>1500.44</v>
      </c>
      <c r="L7" s="150">
        <f t="shared" si="1"/>
        <v>1576.6599999999999</v>
      </c>
      <c r="M7" s="150">
        <f t="shared" si="1"/>
        <v>1568.24</v>
      </c>
      <c r="N7" s="150">
        <f t="shared" si="1"/>
        <v>1615.94</v>
      </c>
      <c r="O7" s="150">
        <f t="shared" si="1"/>
        <v>1630.6400000000003</v>
      </c>
      <c r="P7" s="150">
        <f t="shared" si="1"/>
        <v>1617.9400000000003</v>
      </c>
      <c r="Q7" s="150">
        <f t="shared" si="1"/>
        <v>1567.94</v>
      </c>
      <c r="R7" s="150">
        <f t="shared" si="1"/>
        <v>1611.54</v>
      </c>
      <c r="S7" s="150">
        <f t="shared" si="1"/>
        <v>1686.8400000000001</v>
      </c>
      <c r="T7" s="150">
        <f t="shared" si="1"/>
        <v>1713.94</v>
      </c>
      <c r="U7" s="150">
        <f t="shared" si="1"/>
        <v>1747.1399999999999</v>
      </c>
      <c r="V7" s="150">
        <f t="shared" si="1"/>
        <v>1658.7400000000002</v>
      </c>
      <c r="W7" s="150">
        <f t="shared" si="1"/>
        <v>1619.1400000000003</v>
      </c>
      <c r="X7" s="150">
        <f t="shared" si="1"/>
        <v>1545.6400000000003</v>
      </c>
      <c r="Y7" s="150">
        <f t="shared" si="1"/>
        <v>1627.5</v>
      </c>
      <c r="Z7" s="150">
        <f t="shared" si="1"/>
        <v>1771.9099999999999</v>
      </c>
      <c r="AA7" s="150">
        <f t="shared" si="1"/>
        <v>1870.24</v>
      </c>
      <c r="AB7" s="150">
        <f t="shared" si="1"/>
        <v>1838.14</v>
      </c>
      <c r="AC7" s="150">
        <f t="shared" si="1"/>
        <v>1784.5400000000002</v>
      </c>
      <c r="AD7" s="150">
        <f t="shared" si="1"/>
        <v>1740.0400000000002</v>
      </c>
      <c r="AE7" s="150">
        <f t="shared" si="1"/>
        <v>1623.5400000000002</v>
      </c>
      <c r="AF7" s="150">
        <f t="shared" si="1"/>
        <v>1484.24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7.25" thickTop="1" thickBot="1" x14ac:dyDescent="0.3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1838.14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2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1838.14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.75" thickBot="1" x14ac:dyDescent="0.3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25">
      <c r="A11" s="89" t="s">
        <v>264</v>
      </c>
      <c r="B11" s="102">
        <v>32.9</v>
      </c>
      <c r="C11" s="102">
        <v>32.9</v>
      </c>
      <c r="D11" s="102">
        <v>32.9</v>
      </c>
      <c r="E11" s="102">
        <v>27.1</v>
      </c>
      <c r="F11" s="102">
        <v>27.1</v>
      </c>
      <c r="G11" s="102">
        <v>30.5</v>
      </c>
      <c r="H11" s="102">
        <v>24.2</v>
      </c>
      <c r="I11" s="102">
        <v>27.9</v>
      </c>
      <c r="J11" s="102">
        <v>27.1</v>
      </c>
      <c r="K11" s="102">
        <v>27.9</v>
      </c>
      <c r="L11" s="102">
        <v>27.1</v>
      </c>
      <c r="M11" s="102">
        <v>27.4</v>
      </c>
      <c r="N11" s="102">
        <v>30.5</v>
      </c>
      <c r="O11" s="102">
        <v>27.4</v>
      </c>
      <c r="P11" s="102">
        <v>27.4</v>
      </c>
      <c r="Q11" s="102">
        <v>27.4</v>
      </c>
      <c r="R11" s="102">
        <v>24.1</v>
      </c>
      <c r="S11" s="102">
        <v>26.2</v>
      </c>
      <c r="T11" s="102">
        <v>27.4</v>
      </c>
      <c r="U11" s="102">
        <v>24.1</v>
      </c>
      <c r="V11" s="102">
        <v>26.5</v>
      </c>
      <c r="W11" s="102">
        <v>26.5</v>
      </c>
      <c r="X11" s="102">
        <v>26.5</v>
      </c>
      <c r="Y11" s="102">
        <v>29</v>
      </c>
      <c r="Z11" s="102">
        <v>27.7</v>
      </c>
      <c r="AA11" s="102">
        <v>27.7</v>
      </c>
      <c r="AB11" s="102">
        <v>27.7</v>
      </c>
      <c r="AC11" s="102">
        <v>29.7</v>
      </c>
      <c r="AD11" s="102">
        <v>26.5</v>
      </c>
      <c r="AE11" s="102">
        <v>25.9</v>
      </c>
      <c r="AF11" s="102">
        <v>27.9</v>
      </c>
      <c r="AG11" s="140">
        <v>86</v>
      </c>
      <c r="AH11" s="12">
        <f t="shared" ref="AH11:AH16" si="2">MAX(B11:AF11)</f>
        <v>32.9</v>
      </c>
      <c r="AI11" s="11">
        <f t="shared" ref="AI11:AI16" si="3">MIN(B11:AF11)</f>
        <v>24.1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25">
      <c r="A12" s="89" t="s">
        <v>263</v>
      </c>
      <c r="B12" s="102">
        <v>12</v>
      </c>
      <c r="C12" s="102">
        <v>12</v>
      </c>
      <c r="D12" s="102">
        <v>12</v>
      </c>
      <c r="E12" s="102">
        <v>12</v>
      </c>
      <c r="F12" s="102">
        <v>12</v>
      </c>
      <c r="G12" s="102">
        <v>12</v>
      </c>
      <c r="H12" s="102">
        <v>12</v>
      </c>
      <c r="I12" s="102">
        <v>12</v>
      </c>
      <c r="J12" s="102">
        <v>12</v>
      </c>
      <c r="K12" s="102">
        <v>12</v>
      </c>
      <c r="L12" s="102">
        <v>12</v>
      </c>
      <c r="M12" s="102">
        <v>12</v>
      </c>
      <c r="N12" s="102">
        <v>12</v>
      </c>
      <c r="O12" s="102">
        <v>12</v>
      </c>
      <c r="P12" s="102">
        <v>12</v>
      </c>
      <c r="Q12" s="102">
        <v>12</v>
      </c>
      <c r="R12" s="102">
        <v>12</v>
      </c>
      <c r="S12" s="102">
        <v>12</v>
      </c>
      <c r="T12" s="102">
        <v>12</v>
      </c>
      <c r="U12" s="102">
        <v>12</v>
      </c>
      <c r="V12" s="102">
        <v>12</v>
      </c>
      <c r="W12" s="102">
        <v>12</v>
      </c>
      <c r="X12" s="102">
        <v>12</v>
      </c>
      <c r="Y12" s="102">
        <v>12</v>
      </c>
      <c r="Z12" s="102">
        <v>12</v>
      </c>
      <c r="AA12" s="102">
        <v>12</v>
      </c>
      <c r="AB12" s="102">
        <v>12</v>
      </c>
      <c r="AC12" s="102">
        <v>12</v>
      </c>
      <c r="AD12" s="102">
        <v>12</v>
      </c>
      <c r="AE12" s="102">
        <v>12</v>
      </c>
      <c r="AF12" s="102">
        <v>12</v>
      </c>
      <c r="AG12" s="130">
        <v>54</v>
      </c>
      <c r="AH12" s="12">
        <f t="shared" si="2"/>
        <v>12</v>
      </c>
      <c r="AI12" s="11">
        <f t="shared" si="3"/>
        <v>12</v>
      </c>
      <c r="AK12" s="19"/>
      <c r="AL12" s="6" t="str">
        <f ca="1">MID(CELL("filename",C7),FIND("]",CELL("filename",C7))+1,600)</f>
        <v>31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25">
      <c r="A13" s="89" t="s">
        <v>262</v>
      </c>
      <c r="B13" s="102">
        <v>14.9</v>
      </c>
      <c r="C13" s="102">
        <v>14.9</v>
      </c>
      <c r="D13" s="102">
        <v>14.9</v>
      </c>
      <c r="E13" s="102">
        <v>15</v>
      </c>
      <c r="F13" s="102">
        <v>15</v>
      </c>
      <c r="G13" s="102">
        <v>15</v>
      </c>
      <c r="H13" s="102">
        <v>15</v>
      </c>
      <c r="I13" s="102">
        <v>15</v>
      </c>
      <c r="J13" s="102">
        <v>15</v>
      </c>
      <c r="K13" s="102">
        <v>15</v>
      </c>
      <c r="L13" s="102">
        <v>15</v>
      </c>
      <c r="M13" s="102">
        <v>15</v>
      </c>
      <c r="N13" s="102">
        <v>15</v>
      </c>
      <c r="O13" s="102">
        <v>15</v>
      </c>
      <c r="P13" s="102">
        <v>15</v>
      </c>
      <c r="Q13" s="102">
        <v>15</v>
      </c>
      <c r="R13" s="102">
        <v>13.9</v>
      </c>
      <c r="S13" s="102">
        <v>13.9</v>
      </c>
      <c r="T13" s="102">
        <v>13.9</v>
      </c>
      <c r="U13" s="102">
        <v>13.9</v>
      </c>
      <c r="V13" s="102">
        <v>13.9</v>
      </c>
      <c r="W13" s="102">
        <v>13.9</v>
      </c>
      <c r="X13" s="102">
        <v>13.9</v>
      </c>
      <c r="Y13" s="102">
        <v>13.9</v>
      </c>
      <c r="Z13" s="102">
        <v>17.5</v>
      </c>
      <c r="AA13" s="102">
        <v>17.5</v>
      </c>
      <c r="AB13" s="102">
        <v>17.5</v>
      </c>
      <c r="AC13" s="102">
        <v>17.8</v>
      </c>
      <c r="AD13" s="102">
        <v>17.899999999999999</v>
      </c>
      <c r="AE13" s="102">
        <v>17.899999999999999</v>
      </c>
      <c r="AF13" s="102">
        <v>17.899999999999999</v>
      </c>
      <c r="AG13" s="130">
        <v>54</v>
      </c>
      <c r="AH13" s="12">
        <f t="shared" si="2"/>
        <v>17.899999999999999</v>
      </c>
      <c r="AI13" s="11">
        <f t="shared" si="3"/>
        <v>13.9</v>
      </c>
      <c r="AK13" s="19"/>
      <c r="AL13" s="6" t="str">
        <f ca="1">"Daily Load Curve(Excluding of Export) of Nepal ("&amp;A4&amp;" "&amp;B4&amp;")"</f>
        <v>Daily Load Curve(Excluding of Export) of Nepal (Nepali Date: 2080/10/31)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.75" thickBot="1" x14ac:dyDescent="0.3">
      <c r="A14" s="89" t="s">
        <v>261</v>
      </c>
      <c r="B14" s="102">
        <v>0</v>
      </c>
      <c r="C14" s="102">
        <v>0</v>
      </c>
      <c r="D14" s="102">
        <v>0</v>
      </c>
      <c r="E14" s="102">
        <v>0</v>
      </c>
      <c r="F14" s="102">
        <v>0</v>
      </c>
      <c r="G14" s="102">
        <v>0</v>
      </c>
      <c r="H14" s="102">
        <v>0</v>
      </c>
      <c r="I14" s="102">
        <v>0</v>
      </c>
      <c r="J14" s="102">
        <v>0</v>
      </c>
      <c r="K14" s="102">
        <v>0</v>
      </c>
      <c r="L14" s="102">
        <v>0</v>
      </c>
      <c r="M14" s="102">
        <v>0</v>
      </c>
      <c r="N14" s="102">
        <v>0</v>
      </c>
      <c r="O14" s="102">
        <v>0</v>
      </c>
      <c r="P14" s="102">
        <v>0</v>
      </c>
      <c r="Q14" s="102">
        <v>0</v>
      </c>
      <c r="R14" s="102">
        <v>0</v>
      </c>
      <c r="S14" s="102">
        <v>0</v>
      </c>
      <c r="T14" s="102">
        <v>0</v>
      </c>
      <c r="U14" s="102">
        <v>0</v>
      </c>
      <c r="V14" s="102">
        <v>0</v>
      </c>
      <c r="W14" s="102">
        <v>0</v>
      </c>
      <c r="X14" s="102">
        <v>0</v>
      </c>
      <c r="Y14" s="102">
        <v>0</v>
      </c>
      <c r="Z14" s="102">
        <v>0</v>
      </c>
      <c r="AA14" s="102">
        <v>0</v>
      </c>
      <c r="AB14" s="102">
        <v>0</v>
      </c>
      <c r="AC14" s="102">
        <v>0</v>
      </c>
      <c r="AD14" s="102">
        <v>0</v>
      </c>
      <c r="AE14" s="102">
        <v>0</v>
      </c>
      <c r="AF14" s="102">
        <v>0</v>
      </c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.75" thickTop="1" x14ac:dyDescent="0.25">
      <c r="A15" s="89" t="s">
        <v>260</v>
      </c>
      <c r="B15" s="102">
        <v>49.3</v>
      </c>
      <c r="C15" s="102">
        <v>49.3</v>
      </c>
      <c r="D15" s="102">
        <v>49.3</v>
      </c>
      <c r="E15" s="102">
        <v>50</v>
      </c>
      <c r="F15" s="102">
        <v>50</v>
      </c>
      <c r="G15" s="102">
        <v>50</v>
      </c>
      <c r="H15" s="102">
        <v>50</v>
      </c>
      <c r="I15" s="102">
        <v>50</v>
      </c>
      <c r="J15" s="102">
        <v>50</v>
      </c>
      <c r="K15" s="102">
        <v>50</v>
      </c>
      <c r="L15" s="102">
        <v>50</v>
      </c>
      <c r="M15" s="102">
        <v>49.9</v>
      </c>
      <c r="N15" s="102">
        <v>49.9</v>
      </c>
      <c r="O15" s="102">
        <v>49.9</v>
      </c>
      <c r="P15" s="102">
        <v>49.9</v>
      </c>
      <c r="Q15" s="102">
        <v>49.9</v>
      </c>
      <c r="R15" s="102">
        <v>49.9</v>
      </c>
      <c r="S15" s="102">
        <v>49.9</v>
      </c>
      <c r="T15" s="102">
        <v>49.9</v>
      </c>
      <c r="U15" s="102">
        <v>49.9</v>
      </c>
      <c r="V15" s="102">
        <v>49.9</v>
      </c>
      <c r="W15" s="102">
        <v>49.9</v>
      </c>
      <c r="X15" s="102">
        <v>49.9</v>
      </c>
      <c r="Y15" s="102">
        <v>49.9</v>
      </c>
      <c r="Z15" s="102">
        <v>49.9</v>
      </c>
      <c r="AA15" s="102">
        <v>49.9</v>
      </c>
      <c r="AB15" s="102">
        <v>49.9</v>
      </c>
      <c r="AC15" s="102">
        <v>50</v>
      </c>
      <c r="AD15" s="102">
        <v>49.8</v>
      </c>
      <c r="AE15" s="102">
        <v>49.8</v>
      </c>
      <c r="AF15" s="102">
        <v>49.8</v>
      </c>
      <c r="AG15" s="130">
        <v>50</v>
      </c>
      <c r="AH15" s="12">
        <f t="shared" si="2"/>
        <v>50</v>
      </c>
      <c r="AI15" s="11">
        <f t="shared" si="3"/>
        <v>49.3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25">
      <c r="A16" s="89" t="s">
        <v>258</v>
      </c>
      <c r="B16" s="102">
        <v>16.5</v>
      </c>
      <c r="C16" s="102">
        <v>16.5</v>
      </c>
      <c r="D16" s="102">
        <v>16.5</v>
      </c>
      <c r="E16" s="102">
        <v>15.4</v>
      </c>
      <c r="F16" s="102">
        <v>15.4</v>
      </c>
      <c r="G16" s="102">
        <v>15.4</v>
      </c>
      <c r="H16" s="102">
        <v>15.4</v>
      </c>
      <c r="I16" s="102">
        <v>15.4</v>
      </c>
      <c r="J16" s="102">
        <v>15.4</v>
      </c>
      <c r="K16" s="102">
        <v>15.4</v>
      </c>
      <c r="L16" s="102">
        <v>15.4</v>
      </c>
      <c r="M16" s="102">
        <v>15.4</v>
      </c>
      <c r="N16" s="102">
        <v>15.4</v>
      </c>
      <c r="O16" s="102">
        <v>15.4</v>
      </c>
      <c r="P16" s="102">
        <v>15.4</v>
      </c>
      <c r="Q16" s="102">
        <v>15.4</v>
      </c>
      <c r="R16" s="102">
        <v>15.4</v>
      </c>
      <c r="S16" s="102">
        <v>15.4</v>
      </c>
      <c r="T16" s="102">
        <v>15.4</v>
      </c>
      <c r="U16" s="102">
        <v>15.4</v>
      </c>
      <c r="V16" s="102">
        <v>15.4</v>
      </c>
      <c r="W16" s="102">
        <v>15.4</v>
      </c>
      <c r="X16" s="102">
        <v>15.4</v>
      </c>
      <c r="Y16" s="102">
        <v>15.4</v>
      </c>
      <c r="Z16" s="102">
        <v>15.4</v>
      </c>
      <c r="AA16" s="102">
        <v>15.4</v>
      </c>
      <c r="AB16" s="102">
        <v>15.4</v>
      </c>
      <c r="AC16" s="102">
        <v>15.4</v>
      </c>
      <c r="AD16" s="102">
        <v>15.4</v>
      </c>
      <c r="AE16" s="102">
        <v>15.4</v>
      </c>
      <c r="AF16" s="102">
        <v>15.4</v>
      </c>
      <c r="AG16" s="130">
        <v>45</v>
      </c>
      <c r="AH16" s="12">
        <f t="shared" si="2"/>
        <v>16.5</v>
      </c>
      <c r="AI16" s="11">
        <f t="shared" si="3"/>
        <v>15.4</v>
      </c>
      <c r="AK16" s="19"/>
      <c r="AL16" s="135" t="s">
        <v>7</v>
      </c>
      <c r="AM16" s="134">
        <f t="shared" ref="AM16:AR16" si="4">B58</f>
        <v>572</v>
      </c>
      <c r="AN16" s="134">
        <f t="shared" si="4"/>
        <v>568</v>
      </c>
      <c r="AO16" s="134">
        <f t="shared" si="4"/>
        <v>568</v>
      </c>
      <c r="AP16" s="134">
        <f t="shared" si="4"/>
        <v>588</v>
      </c>
      <c r="AQ16" s="134">
        <f t="shared" si="4"/>
        <v>588</v>
      </c>
      <c r="AR16" s="134">
        <f t="shared" si="4"/>
        <v>591.40000000000009</v>
      </c>
      <c r="AS16" s="134">
        <f>I58</f>
        <v>588.80000000000007</v>
      </c>
      <c r="AT16" s="134">
        <f>K58</f>
        <v>588.80000000000007</v>
      </c>
      <c r="AU16" s="134">
        <f t="shared" ref="AU16:BD16" si="5">M58</f>
        <v>578.60000000000014</v>
      </c>
      <c r="AV16" s="134">
        <f t="shared" si="5"/>
        <v>581.70000000000016</v>
      </c>
      <c r="AW16" s="134">
        <f t="shared" si="5"/>
        <v>578.60000000000014</v>
      </c>
      <c r="AX16" s="134">
        <f t="shared" si="5"/>
        <v>578.60000000000014</v>
      </c>
      <c r="AY16" s="134">
        <f t="shared" si="5"/>
        <v>578.60000000000014</v>
      </c>
      <c r="AZ16" s="134">
        <f t="shared" si="5"/>
        <v>566.20000000000005</v>
      </c>
      <c r="BA16" s="134">
        <f t="shared" si="5"/>
        <v>568.30000000000007</v>
      </c>
      <c r="BB16" s="134">
        <f t="shared" si="5"/>
        <v>569.5</v>
      </c>
      <c r="BC16" s="134">
        <f t="shared" si="5"/>
        <v>566.20000000000005</v>
      </c>
      <c r="BD16" s="134">
        <f t="shared" si="5"/>
        <v>568.60000000000014</v>
      </c>
      <c r="BE16" s="133">
        <f>X58</f>
        <v>568.60000000000014</v>
      </c>
      <c r="BF16" s="133">
        <f>Z58</f>
        <v>573.40000000000009</v>
      </c>
      <c r="BG16" s="133">
        <f>AB58</f>
        <v>573.40000000000009</v>
      </c>
      <c r="BH16" s="133">
        <f>AD58</f>
        <v>590.5</v>
      </c>
      <c r="BI16" s="133">
        <f>AE58</f>
        <v>590.90000000000009</v>
      </c>
      <c r="BJ16" s="133">
        <f>AF58</f>
        <v>592.90000000000009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25">
      <c r="A17" s="89" t="s">
        <v>257</v>
      </c>
      <c r="B17" s="102">
        <v>16</v>
      </c>
      <c r="C17" s="102">
        <v>16</v>
      </c>
      <c r="D17" s="102">
        <v>16</v>
      </c>
      <c r="E17" s="102">
        <v>16</v>
      </c>
      <c r="F17" s="102">
        <v>16</v>
      </c>
      <c r="G17" s="102">
        <v>16</v>
      </c>
      <c r="H17" s="102">
        <v>16</v>
      </c>
      <c r="I17" s="102">
        <v>16</v>
      </c>
      <c r="J17" s="102">
        <v>16</v>
      </c>
      <c r="K17" s="102">
        <v>16</v>
      </c>
      <c r="L17" s="102">
        <v>16</v>
      </c>
      <c r="M17" s="102">
        <v>16</v>
      </c>
      <c r="N17" s="102">
        <v>16</v>
      </c>
      <c r="O17" s="102">
        <v>16</v>
      </c>
      <c r="P17" s="102">
        <v>16</v>
      </c>
      <c r="Q17" s="102">
        <v>16</v>
      </c>
      <c r="R17" s="102">
        <v>16</v>
      </c>
      <c r="S17" s="102">
        <v>16</v>
      </c>
      <c r="T17" s="102">
        <v>16</v>
      </c>
      <c r="U17" s="102">
        <v>16</v>
      </c>
      <c r="V17" s="102">
        <v>16</v>
      </c>
      <c r="W17" s="102">
        <v>16</v>
      </c>
      <c r="X17" s="102">
        <v>16</v>
      </c>
      <c r="Y17" s="102">
        <v>16</v>
      </c>
      <c r="Z17" s="102">
        <v>16</v>
      </c>
      <c r="AA17" s="102">
        <v>16</v>
      </c>
      <c r="AB17" s="102">
        <v>16</v>
      </c>
      <c r="AC17" s="102">
        <v>16</v>
      </c>
      <c r="AD17" s="102">
        <v>16</v>
      </c>
      <c r="AE17" s="102">
        <v>16</v>
      </c>
      <c r="AF17" s="102">
        <v>16</v>
      </c>
      <c r="AG17" s="130">
        <v>44</v>
      </c>
      <c r="AH17" s="12">
        <f>MAX(B17:AG17)</f>
        <v>44</v>
      </c>
      <c r="AI17" s="11">
        <f>MIN(B17:AG17)</f>
        <v>16</v>
      </c>
      <c r="AK17" s="19"/>
      <c r="AL17" s="135" t="s">
        <v>256</v>
      </c>
      <c r="AM17" s="134">
        <f t="shared" ref="AM17:AR17" si="6">B62</f>
        <v>178.5</v>
      </c>
      <c r="AN17" s="134">
        <f t="shared" si="6"/>
        <v>158.5</v>
      </c>
      <c r="AO17" s="134">
        <f t="shared" si="6"/>
        <v>158.5</v>
      </c>
      <c r="AP17" s="134">
        <f t="shared" si="6"/>
        <v>181.6</v>
      </c>
      <c r="AQ17" s="134">
        <f t="shared" si="6"/>
        <v>161.30000000000001</v>
      </c>
      <c r="AR17" s="134">
        <f t="shared" si="6"/>
        <v>161.4</v>
      </c>
      <c r="AS17" s="134">
        <f>I62</f>
        <v>199.5</v>
      </c>
      <c r="AT17" s="134">
        <f>K62</f>
        <v>46.8</v>
      </c>
      <c r="AU17" s="134">
        <f t="shared" ref="AU17:BD17" si="7">M62</f>
        <v>46.8</v>
      </c>
      <c r="AV17" s="134">
        <f t="shared" si="7"/>
        <v>46.4</v>
      </c>
      <c r="AW17" s="134">
        <f t="shared" si="7"/>
        <v>46.4</v>
      </c>
      <c r="AX17" s="134">
        <f t="shared" si="7"/>
        <v>46.4</v>
      </c>
      <c r="AY17" s="134">
        <f t="shared" si="7"/>
        <v>46.3</v>
      </c>
      <c r="AZ17" s="134">
        <f t="shared" si="7"/>
        <v>120.5</v>
      </c>
      <c r="BA17" s="134">
        <f t="shared" si="7"/>
        <v>120.10000000000001</v>
      </c>
      <c r="BB17" s="134">
        <f t="shared" si="7"/>
        <v>138.20000000000002</v>
      </c>
      <c r="BC17" s="134">
        <f t="shared" si="7"/>
        <v>139.30000000000001</v>
      </c>
      <c r="BD17" s="134">
        <f t="shared" si="7"/>
        <v>112.49999999999999</v>
      </c>
      <c r="BE17" s="133">
        <f>X62</f>
        <v>72.2</v>
      </c>
      <c r="BF17" s="133">
        <f>Z62</f>
        <v>466.09999999999997</v>
      </c>
      <c r="BG17" s="133">
        <f>AB62</f>
        <v>468</v>
      </c>
      <c r="BH17" s="133">
        <f>AD62</f>
        <v>408.5</v>
      </c>
      <c r="BI17" s="133">
        <f>AE62</f>
        <v>307.40000000000003</v>
      </c>
      <c r="BJ17" s="133">
        <f>AF62</f>
        <v>214.5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25">
      <c r="A18" s="89" t="s">
        <v>255</v>
      </c>
      <c r="B18" s="102">
        <v>14.4</v>
      </c>
      <c r="C18" s="102">
        <v>14.4</v>
      </c>
      <c r="D18" s="102">
        <v>14.4</v>
      </c>
      <c r="E18" s="102">
        <v>14</v>
      </c>
      <c r="F18" s="102">
        <v>14</v>
      </c>
      <c r="G18" s="102">
        <v>14</v>
      </c>
      <c r="H18" s="102">
        <v>14</v>
      </c>
      <c r="I18" s="102">
        <v>14</v>
      </c>
      <c r="J18" s="102">
        <v>14</v>
      </c>
      <c r="K18" s="102">
        <v>14</v>
      </c>
      <c r="L18" s="102">
        <v>14</v>
      </c>
      <c r="M18" s="102">
        <v>14</v>
      </c>
      <c r="N18" s="102">
        <v>14</v>
      </c>
      <c r="O18" s="102">
        <v>14</v>
      </c>
      <c r="P18" s="102">
        <v>14</v>
      </c>
      <c r="Q18" s="102">
        <v>14</v>
      </c>
      <c r="R18" s="102">
        <v>14.4</v>
      </c>
      <c r="S18" s="102">
        <v>14.4</v>
      </c>
      <c r="T18" s="102">
        <v>14.4</v>
      </c>
      <c r="U18" s="102">
        <v>14.4</v>
      </c>
      <c r="V18" s="102">
        <v>14.4</v>
      </c>
      <c r="W18" s="102">
        <v>14.4</v>
      </c>
      <c r="X18" s="102">
        <v>14.4</v>
      </c>
      <c r="Y18" s="102">
        <v>14.4</v>
      </c>
      <c r="Z18" s="102">
        <v>14.4</v>
      </c>
      <c r="AA18" s="102">
        <v>14.4</v>
      </c>
      <c r="AB18" s="102">
        <v>14.4</v>
      </c>
      <c r="AC18" s="102">
        <v>14.4</v>
      </c>
      <c r="AD18" s="102">
        <v>14</v>
      </c>
      <c r="AE18" s="102">
        <v>14</v>
      </c>
      <c r="AF18" s="102">
        <v>14</v>
      </c>
      <c r="AG18" s="130">
        <v>42</v>
      </c>
      <c r="AH18" s="12">
        <f t="shared" ref="AH18:AH81" si="8">MAX(B18:AF18)</f>
        <v>14.4</v>
      </c>
      <c r="AI18" s="11">
        <f t="shared" ref="AI18:AI81" si="9">MIN(B18:AF18)</f>
        <v>14</v>
      </c>
      <c r="AK18" s="19"/>
      <c r="AL18" s="135" t="s">
        <v>254</v>
      </c>
      <c r="AM18" s="134">
        <f t="shared" ref="AM18:AR18" si="10">B76</f>
        <v>289.04000000000008</v>
      </c>
      <c r="AN18" s="134">
        <f t="shared" si="10"/>
        <v>249.04</v>
      </c>
      <c r="AO18" s="134">
        <f t="shared" si="10"/>
        <v>249.04</v>
      </c>
      <c r="AP18" s="134">
        <f t="shared" si="10"/>
        <v>197.38</v>
      </c>
      <c r="AQ18" s="134">
        <f t="shared" si="10"/>
        <v>204.34</v>
      </c>
      <c r="AR18" s="134">
        <f t="shared" si="10"/>
        <v>210.14</v>
      </c>
      <c r="AS18" s="134">
        <f>I76</f>
        <v>317.74000000000007</v>
      </c>
      <c r="AT18" s="134">
        <f>K76</f>
        <v>281.64000000000004</v>
      </c>
      <c r="AU18" s="134">
        <f t="shared" ref="AU18:BD18" si="11">M76</f>
        <v>319.64</v>
      </c>
      <c r="AV18" s="134">
        <f t="shared" si="11"/>
        <v>339.44000000000005</v>
      </c>
      <c r="AW18" s="134">
        <f t="shared" si="11"/>
        <v>379.24</v>
      </c>
      <c r="AX18" s="134">
        <f t="shared" si="11"/>
        <v>326.34000000000009</v>
      </c>
      <c r="AY18" s="134">
        <f t="shared" si="11"/>
        <v>350.74</v>
      </c>
      <c r="AZ18" s="134">
        <f t="shared" si="11"/>
        <v>296.54000000000002</v>
      </c>
      <c r="BA18" s="134">
        <f t="shared" si="11"/>
        <v>287.04000000000002</v>
      </c>
      <c r="BB18" s="134">
        <f t="shared" si="11"/>
        <v>266.24000000000007</v>
      </c>
      <c r="BC18" s="134">
        <f t="shared" si="11"/>
        <v>262.24000000000007</v>
      </c>
      <c r="BD18" s="134">
        <f t="shared" si="11"/>
        <v>280.94</v>
      </c>
      <c r="BE18" s="133">
        <f>X76</f>
        <v>249.83999999999995</v>
      </c>
      <c r="BF18" s="133">
        <f>Z76</f>
        <v>361.30999999999995</v>
      </c>
      <c r="BG18" s="133">
        <f>AB76</f>
        <v>377.84</v>
      </c>
      <c r="BH18" s="133">
        <f>AD76</f>
        <v>370.34000000000003</v>
      </c>
      <c r="BI18" s="133">
        <f>AE76</f>
        <v>372.64000000000004</v>
      </c>
      <c r="BJ18" s="133">
        <f>AF76</f>
        <v>327.94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25">
      <c r="A19" s="89" t="s">
        <v>253</v>
      </c>
      <c r="B19" s="102">
        <v>17.8</v>
      </c>
      <c r="C19" s="102">
        <v>17.8</v>
      </c>
      <c r="D19" s="102">
        <v>17.8</v>
      </c>
      <c r="E19" s="102">
        <v>22</v>
      </c>
      <c r="F19" s="102">
        <v>22</v>
      </c>
      <c r="G19" s="102">
        <v>22</v>
      </c>
      <c r="H19" s="102">
        <v>22</v>
      </c>
      <c r="I19" s="102">
        <v>22</v>
      </c>
      <c r="J19" s="102">
        <v>22</v>
      </c>
      <c r="K19" s="102">
        <v>22</v>
      </c>
      <c r="L19" s="102">
        <v>22</v>
      </c>
      <c r="M19" s="102">
        <v>21.9</v>
      </c>
      <c r="N19" s="102">
        <v>21.9</v>
      </c>
      <c r="O19" s="102">
        <v>21.9</v>
      </c>
      <c r="P19" s="102">
        <v>21.9</v>
      </c>
      <c r="Q19" s="102">
        <v>21.9</v>
      </c>
      <c r="R19" s="102">
        <v>19</v>
      </c>
      <c r="S19" s="102">
        <v>19</v>
      </c>
      <c r="T19" s="102">
        <v>19</v>
      </c>
      <c r="U19" s="102">
        <v>19</v>
      </c>
      <c r="V19" s="102">
        <v>19</v>
      </c>
      <c r="W19" s="102">
        <v>19</v>
      </c>
      <c r="X19" s="102">
        <v>19</v>
      </c>
      <c r="Y19" s="102">
        <v>19</v>
      </c>
      <c r="Z19" s="102">
        <v>19</v>
      </c>
      <c r="AA19" s="102">
        <v>19</v>
      </c>
      <c r="AB19" s="102">
        <v>19</v>
      </c>
      <c r="AC19" s="102">
        <v>20</v>
      </c>
      <c r="AD19" s="102">
        <v>21.2</v>
      </c>
      <c r="AE19" s="102">
        <v>21.2</v>
      </c>
      <c r="AF19" s="102">
        <v>21.2</v>
      </c>
      <c r="AG19" s="130">
        <v>38.46</v>
      </c>
      <c r="AH19" s="12">
        <f t="shared" si="8"/>
        <v>22</v>
      </c>
      <c r="AI19" s="11">
        <f t="shared" si="9"/>
        <v>17.8</v>
      </c>
      <c r="AK19" s="19"/>
      <c r="AL19" s="135" t="s">
        <v>252</v>
      </c>
      <c r="AM19" s="134">
        <f t="shared" ref="AM19:AR19" si="12">B92</f>
        <v>92.4</v>
      </c>
      <c r="AN19" s="134">
        <f t="shared" si="12"/>
        <v>142.9</v>
      </c>
      <c r="AO19" s="134">
        <f t="shared" si="12"/>
        <v>111.1</v>
      </c>
      <c r="AP19" s="134">
        <f t="shared" si="12"/>
        <v>155.89999999999998</v>
      </c>
      <c r="AQ19" s="134">
        <f t="shared" si="12"/>
        <v>177.3</v>
      </c>
      <c r="AR19" s="134">
        <f t="shared" si="12"/>
        <v>201.7</v>
      </c>
      <c r="AS19" s="134">
        <f>I92</f>
        <v>182.39999999999998</v>
      </c>
      <c r="AT19" s="134">
        <f>K92</f>
        <v>583.19999999999993</v>
      </c>
      <c r="AU19" s="134">
        <f t="shared" ref="AU19:BD19" si="13">M92</f>
        <v>574.9</v>
      </c>
      <c r="AV19" s="134">
        <f t="shared" si="13"/>
        <v>598.19999999999993</v>
      </c>
      <c r="AW19" s="134">
        <f t="shared" si="13"/>
        <v>577.4</v>
      </c>
      <c r="AX19" s="134">
        <f t="shared" si="13"/>
        <v>635</v>
      </c>
      <c r="AY19" s="134">
        <f t="shared" si="13"/>
        <v>558.6</v>
      </c>
      <c r="AZ19" s="134">
        <f t="shared" si="13"/>
        <v>579.69999999999993</v>
      </c>
      <c r="BA19" s="134">
        <f t="shared" si="13"/>
        <v>612.29999999999995</v>
      </c>
      <c r="BB19" s="134">
        <f t="shared" si="13"/>
        <v>652.20000000000005</v>
      </c>
      <c r="BC19" s="134">
        <f t="shared" si="13"/>
        <v>691.59999999999991</v>
      </c>
      <c r="BD19" s="134">
        <f t="shared" si="13"/>
        <v>618.1</v>
      </c>
      <c r="BE19" s="133">
        <f>X92</f>
        <v>576.40000000000009</v>
      </c>
      <c r="BF19" s="133">
        <f>Z92</f>
        <v>113.30000000000001</v>
      </c>
      <c r="BG19" s="133">
        <f>AB92</f>
        <v>145.19999999999999</v>
      </c>
      <c r="BH19" s="133">
        <f>AD92</f>
        <v>96.7</v>
      </c>
      <c r="BI19" s="133">
        <f>AE92</f>
        <v>78.599999999999994</v>
      </c>
      <c r="BJ19" s="133">
        <f>AF92</f>
        <v>59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25">
      <c r="A20" s="89" t="s">
        <v>251</v>
      </c>
      <c r="B20" s="102">
        <v>13</v>
      </c>
      <c r="C20" s="102">
        <v>13</v>
      </c>
      <c r="D20" s="102">
        <v>13</v>
      </c>
      <c r="E20" s="102">
        <v>13</v>
      </c>
      <c r="F20" s="102">
        <v>13</v>
      </c>
      <c r="G20" s="102">
        <v>13</v>
      </c>
      <c r="H20" s="102">
        <v>13</v>
      </c>
      <c r="I20" s="102">
        <v>13</v>
      </c>
      <c r="J20" s="102">
        <v>13</v>
      </c>
      <c r="K20" s="102">
        <v>13</v>
      </c>
      <c r="L20" s="102">
        <v>13</v>
      </c>
      <c r="M20" s="102">
        <v>13</v>
      </c>
      <c r="N20" s="102">
        <v>13</v>
      </c>
      <c r="O20" s="102">
        <v>13</v>
      </c>
      <c r="P20" s="102">
        <v>13</v>
      </c>
      <c r="Q20" s="102">
        <v>13</v>
      </c>
      <c r="R20" s="102">
        <v>13</v>
      </c>
      <c r="S20" s="102">
        <v>13</v>
      </c>
      <c r="T20" s="102">
        <v>13</v>
      </c>
      <c r="U20" s="102">
        <v>13</v>
      </c>
      <c r="V20" s="102">
        <v>13</v>
      </c>
      <c r="W20" s="102">
        <v>13</v>
      </c>
      <c r="X20" s="102">
        <v>13</v>
      </c>
      <c r="Y20" s="102">
        <v>13</v>
      </c>
      <c r="Z20" s="102">
        <v>13</v>
      </c>
      <c r="AA20" s="102">
        <v>13</v>
      </c>
      <c r="AB20" s="102">
        <v>13</v>
      </c>
      <c r="AC20" s="102">
        <v>13</v>
      </c>
      <c r="AD20" s="102">
        <v>13</v>
      </c>
      <c r="AE20" s="102">
        <v>13</v>
      </c>
      <c r="AF20" s="102">
        <v>13</v>
      </c>
      <c r="AG20" s="130">
        <v>38.46</v>
      </c>
      <c r="AH20" s="12">
        <f t="shared" si="8"/>
        <v>13</v>
      </c>
      <c r="AI20" s="11">
        <f t="shared" si="9"/>
        <v>13</v>
      </c>
      <c r="AK20" s="19"/>
      <c r="AL20" s="135" t="s">
        <v>250</v>
      </c>
      <c r="AM20" s="134">
        <f t="shared" ref="AM20:AR20" si="14">B80</f>
        <v>0</v>
      </c>
      <c r="AN20" s="134">
        <f t="shared" si="14"/>
        <v>0</v>
      </c>
      <c r="AO20" s="134">
        <f t="shared" si="14"/>
        <v>0</v>
      </c>
      <c r="AP20" s="134">
        <f t="shared" si="14"/>
        <v>0</v>
      </c>
      <c r="AQ20" s="134">
        <f t="shared" si="14"/>
        <v>0</v>
      </c>
      <c r="AR20" s="134">
        <f t="shared" si="14"/>
        <v>0</v>
      </c>
      <c r="AS20" s="134">
        <f>I80</f>
        <v>0</v>
      </c>
      <c r="AT20" s="134">
        <f>K80</f>
        <v>0</v>
      </c>
      <c r="AU20" s="134">
        <f t="shared" ref="AU20:BD20" si="15">M80</f>
        <v>48.3</v>
      </c>
      <c r="AV20" s="134">
        <f t="shared" si="15"/>
        <v>50.2</v>
      </c>
      <c r="AW20" s="134">
        <f t="shared" si="15"/>
        <v>49</v>
      </c>
      <c r="AX20" s="134">
        <f t="shared" si="15"/>
        <v>31.599999999999998</v>
      </c>
      <c r="AY20" s="134">
        <f t="shared" si="15"/>
        <v>33.700000000000003</v>
      </c>
      <c r="AZ20" s="134">
        <f t="shared" si="15"/>
        <v>48.6</v>
      </c>
      <c r="BA20" s="134">
        <f t="shared" si="15"/>
        <v>99.1</v>
      </c>
      <c r="BB20" s="134">
        <f t="shared" si="15"/>
        <v>87.8</v>
      </c>
      <c r="BC20" s="134">
        <f t="shared" si="15"/>
        <v>87.8</v>
      </c>
      <c r="BD20" s="134">
        <f t="shared" si="15"/>
        <v>78.600000000000009</v>
      </c>
      <c r="BE20" s="133">
        <f>X80</f>
        <v>78.600000000000009</v>
      </c>
      <c r="BF20" s="133">
        <f>Z80</f>
        <v>82.800000000000011</v>
      </c>
      <c r="BG20" s="133">
        <f>AB80</f>
        <v>98.7</v>
      </c>
      <c r="BH20" s="133">
        <f>AD80</f>
        <v>99</v>
      </c>
      <c r="BI20" s="133">
        <f>AE80</f>
        <v>99</v>
      </c>
      <c r="BJ20" s="133">
        <f>AF80</f>
        <v>89.9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25">
      <c r="A21" s="89" t="s">
        <v>249</v>
      </c>
      <c r="B21" s="102">
        <v>12</v>
      </c>
      <c r="C21" s="102">
        <v>12</v>
      </c>
      <c r="D21" s="102">
        <v>12</v>
      </c>
      <c r="E21" s="102">
        <v>12</v>
      </c>
      <c r="F21" s="102">
        <v>12</v>
      </c>
      <c r="G21" s="102">
        <v>12</v>
      </c>
      <c r="H21" s="102">
        <v>12</v>
      </c>
      <c r="I21" s="102">
        <v>12</v>
      </c>
      <c r="J21" s="102">
        <v>12</v>
      </c>
      <c r="K21" s="102">
        <v>12</v>
      </c>
      <c r="L21" s="102">
        <v>12</v>
      </c>
      <c r="M21" s="102">
        <v>12</v>
      </c>
      <c r="N21" s="102">
        <v>12</v>
      </c>
      <c r="O21" s="102">
        <v>12</v>
      </c>
      <c r="P21" s="102">
        <v>12</v>
      </c>
      <c r="Q21" s="102">
        <v>12</v>
      </c>
      <c r="R21" s="102">
        <v>12</v>
      </c>
      <c r="S21" s="102">
        <v>12</v>
      </c>
      <c r="T21" s="102">
        <v>12</v>
      </c>
      <c r="U21" s="102">
        <v>12</v>
      </c>
      <c r="V21" s="102">
        <v>12</v>
      </c>
      <c r="W21" s="102">
        <v>12</v>
      </c>
      <c r="X21" s="102">
        <v>12</v>
      </c>
      <c r="Y21" s="102">
        <v>12</v>
      </c>
      <c r="Z21" s="102">
        <v>12</v>
      </c>
      <c r="AA21" s="102">
        <v>12</v>
      </c>
      <c r="AB21" s="102">
        <v>12</v>
      </c>
      <c r="AC21" s="102">
        <v>12</v>
      </c>
      <c r="AD21" s="102">
        <v>12</v>
      </c>
      <c r="AE21" s="102">
        <v>12</v>
      </c>
      <c r="AF21" s="102">
        <v>12</v>
      </c>
      <c r="AG21" s="130">
        <v>36</v>
      </c>
      <c r="AH21" s="12">
        <f t="shared" si="8"/>
        <v>12</v>
      </c>
      <c r="AI21" s="11">
        <f t="shared" si="9"/>
        <v>12</v>
      </c>
      <c r="AK21" s="19"/>
      <c r="AL21" s="135" t="s">
        <v>248</v>
      </c>
      <c r="AM21" s="134">
        <f t="shared" ref="AM21:AR21" si="16">B98</f>
        <v>230</v>
      </c>
      <c r="AN21" s="134">
        <f t="shared" si="16"/>
        <v>230</v>
      </c>
      <c r="AO21" s="134">
        <f t="shared" si="16"/>
        <v>230</v>
      </c>
      <c r="AP21" s="134">
        <f t="shared" si="16"/>
        <v>230</v>
      </c>
      <c r="AQ21" s="134">
        <f t="shared" si="16"/>
        <v>230</v>
      </c>
      <c r="AR21" s="134">
        <f t="shared" si="16"/>
        <v>230</v>
      </c>
      <c r="AS21" s="134">
        <f>I98</f>
        <v>230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0</v>
      </c>
      <c r="BG21" s="133">
        <f>AB98</f>
        <v>175</v>
      </c>
      <c r="BH21" s="133">
        <f>AD98</f>
        <v>175</v>
      </c>
      <c r="BI21" s="133">
        <f>AE98</f>
        <v>175</v>
      </c>
      <c r="BJ21" s="133">
        <f>AF98</f>
        <v>200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25">
      <c r="A22" s="89" t="s">
        <v>247</v>
      </c>
      <c r="B22" s="102">
        <v>9.1</v>
      </c>
      <c r="C22" s="102">
        <v>9.1</v>
      </c>
      <c r="D22" s="102">
        <v>9.1</v>
      </c>
      <c r="E22" s="102">
        <v>10.8</v>
      </c>
      <c r="F22" s="102">
        <v>10.8</v>
      </c>
      <c r="G22" s="102">
        <v>10.8</v>
      </c>
      <c r="H22" s="102">
        <v>10.8</v>
      </c>
      <c r="I22" s="102">
        <v>10.8</v>
      </c>
      <c r="J22" s="102">
        <v>10.8</v>
      </c>
      <c r="K22" s="102">
        <v>10.8</v>
      </c>
      <c r="L22" s="102">
        <v>10.8</v>
      </c>
      <c r="M22" s="102">
        <v>9.9</v>
      </c>
      <c r="N22" s="102">
        <v>9.9</v>
      </c>
      <c r="O22" s="102">
        <v>9.9</v>
      </c>
      <c r="P22" s="102">
        <v>9.9</v>
      </c>
      <c r="Q22" s="102">
        <v>9.9</v>
      </c>
      <c r="R22" s="102">
        <v>9.9</v>
      </c>
      <c r="S22" s="102">
        <v>9.9</v>
      </c>
      <c r="T22" s="102">
        <v>9.9</v>
      </c>
      <c r="U22" s="102">
        <v>9.9</v>
      </c>
      <c r="V22" s="102">
        <v>9.9</v>
      </c>
      <c r="W22" s="102">
        <v>9.9</v>
      </c>
      <c r="X22" s="102">
        <v>9.9</v>
      </c>
      <c r="Y22" s="102">
        <v>9.9</v>
      </c>
      <c r="Z22" s="102">
        <v>9.9</v>
      </c>
      <c r="AA22" s="102">
        <v>9.9</v>
      </c>
      <c r="AB22" s="102">
        <v>9.9</v>
      </c>
      <c r="AC22" s="102">
        <v>15</v>
      </c>
      <c r="AD22" s="102">
        <v>15</v>
      </c>
      <c r="AE22" s="102">
        <v>15</v>
      </c>
      <c r="AF22" s="102">
        <v>15</v>
      </c>
      <c r="AG22" s="88">
        <v>30</v>
      </c>
      <c r="AH22" s="12">
        <f t="shared" si="8"/>
        <v>15</v>
      </c>
      <c r="AI22" s="11">
        <f t="shared" si="9"/>
        <v>9.1</v>
      </c>
      <c r="AK22" s="19"/>
      <c r="AL22" s="132" t="s">
        <v>246</v>
      </c>
      <c r="AM22" s="131">
        <f t="shared" ref="AM22:BJ22" si="18">SUM(AM16:AM21)</f>
        <v>1361.94</v>
      </c>
      <c r="AN22" s="131">
        <f t="shared" si="18"/>
        <v>1348.44</v>
      </c>
      <c r="AO22" s="131">
        <f t="shared" si="18"/>
        <v>1316.6399999999999</v>
      </c>
      <c r="AP22" s="131">
        <f t="shared" si="18"/>
        <v>1352.88</v>
      </c>
      <c r="AQ22" s="131">
        <f t="shared" si="18"/>
        <v>1360.94</v>
      </c>
      <c r="AR22" s="131">
        <f t="shared" si="18"/>
        <v>1394.64</v>
      </c>
      <c r="AS22" s="131">
        <f t="shared" si="18"/>
        <v>1518.44</v>
      </c>
      <c r="AT22" s="131">
        <f t="shared" si="18"/>
        <v>1500.44</v>
      </c>
      <c r="AU22" s="131">
        <f t="shared" si="18"/>
        <v>1568.24</v>
      </c>
      <c r="AV22" s="131">
        <f t="shared" si="18"/>
        <v>1615.9400000000003</v>
      </c>
      <c r="AW22" s="131">
        <f t="shared" si="18"/>
        <v>1630.64</v>
      </c>
      <c r="AX22" s="131">
        <f t="shared" si="18"/>
        <v>1617.94</v>
      </c>
      <c r="AY22" s="131">
        <f t="shared" si="18"/>
        <v>1567.9400000000003</v>
      </c>
      <c r="AZ22" s="131">
        <f t="shared" si="18"/>
        <v>1611.54</v>
      </c>
      <c r="BA22" s="131">
        <f t="shared" si="18"/>
        <v>1686.84</v>
      </c>
      <c r="BB22" s="131">
        <f t="shared" si="18"/>
        <v>1713.94</v>
      </c>
      <c r="BC22" s="131">
        <f t="shared" si="18"/>
        <v>1747.1399999999999</v>
      </c>
      <c r="BD22" s="131">
        <f t="shared" si="18"/>
        <v>1658.7400000000002</v>
      </c>
      <c r="BE22" s="131">
        <f t="shared" si="18"/>
        <v>1545.64</v>
      </c>
      <c r="BF22" s="131">
        <f t="shared" si="18"/>
        <v>1596.9099999999999</v>
      </c>
      <c r="BG22" s="131">
        <f t="shared" si="18"/>
        <v>1838.14</v>
      </c>
      <c r="BH22" s="131">
        <f t="shared" si="18"/>
        <v>1740.0400000000002</v>
      </c>
      <c r="BI22" s="131">
        <f t="shared" si="18"/>
        <v>1623.5400000000002</v>
      </c>
      <c r="BJ22" s="131">
        <f t="shared" si="18"/>
        <v>1484.2400000000002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25">
      <c r="A23" s="89" t="s">
        <v>245</v>
      </c>
      <c r="B23" s="102">
        <v>6.5</v>
      </c>
      <c r="C23" s="102">
        <v>6.5</v>
      </c>
      <c r="D23" s="102">
        <v>6.5</v>
      </c>
      <c r="E23" s="102">
        <v>7</v>
      </c>
      <c r="F23" s="102">
        <v>7</v>
      </c>
      <c r="G23" s="102">
        <v>7</v>
      </c>
      <c r="H23" s="102">
        <v>7</v>
      </c>
      <c r="I23" s="102">
        <v>7</v>
      </c>
      <c r="J23" s="102">
        <v>7</v>
      </c>
      <c r="K23" s="102">
        <v>7</v>
      </c>
      <c r="L23" s="102">
        <v>7</v>
      </c>
      <c r="M23" s="102">
        <v>7</v>
      </c>
      <c r="N23" s="102">
        <v>7</v>
      </c>
      <c r="O23" s="102">
        <v>7</v>
      </c>
      <c r="P23" s="102">
        <v>7</v>
      </c>
      <c r="Q23" s="102">
        <v>7</v>
      </c>
      <c r="R23" s="102">
        <v>7</v>
      </c>
      <c r="S23" s="102">
        <v>7</v>
      </c>
      <c r="T23" s="102">
        <v>7</v>
      </c>
      <c r="U23" s="102">
        <v>7</v>
      </c>
      <c r="V23" s="102">
        <v>7</v>
      </c>
      <c r="W23" s="102">
        <v>7</v>
      </c>
      <c r="X23" s="102">
        <v>7</v>
      </c>
      <c r="Y23" s="102">
        <v>7</v>
      </c>
      <c r="Z23" s="102">
        <v>7</v>
      </c>
      <c r="AA23" s="102">
        <v>7</v>
      </c>
      <c r="AB23" s="102">
        <v>7</v>
      </c>
      <c r="AC23" s="102">
        <v>7</v>
      </c>
      <c r="AD23" s="102">
        <v>7</v>
      </c>
      <c r="AE23" s="102">
        <v>7</v>
      </c>
      <c r="AF23" s="102">
        <v>7</v>
      </c>
      <c r="AG23" s="130">
        <v>24.2</v>
      </c>
      <c r="AH23" s="12">
        <f t="shared" si="8"/>
        <v>7</v>
      </c>
      <c r="AI23" s="11">
        <f t="shared" si="9"/>
        <v>6.5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25">
      <c r="A24" s="89" t="s">
        <v>244</v>
      </c>
      <c r="B24" s="102">
        <v>6.2</v>
      </c>
      <c r="C24" s="102">
        <v>6.2</v>
      </c>
      <c r="D24" s="102">
        <v>6.2</v>
      </c>
      <c r="E24" s="102">
        <v>9.6</v>
      </c>
      <c r="F24" s="102">
        <v>9.6</v>
      </c>
      <c r="G24" s="102">
        <v>9.6</v>
      </c>
      <c r="H24" s="102">
        <v>9.6</v>
      </c>
      <c r="I24" s="102">
        <v>9.6</v>
      </c>
      <c r="J24" s="102">
        <v>9.6</v>
      </c>
      <c r="K24" s="102">
        <v>9.6</v>
      </c>
      <c r="L24" s="102">
        <v>9.6</v>
      </c>
      <c r="M24" s="102">
        <v>8.3000000000000007</v>
      </c>
      <c r="N24" s="102">
        <v>8.3000000000000007</v>
      </c>
      <c r="O24" s="102">
        <v>8.3000000000000007</v>
      </c>
      <c r="P24" s="102">
        <v>8.3000000000000007</v>
      </c>
      <c r="Q24" s="102">
        <v>8.3000000000000007</v>
      </c>
      <c r="R24" s="102">
        <v>7.7</v>
      </c>
      <c r="S24" s="102">
        <v>7.7</v>
      </c>
      <c r="T24" s="102">
        <v>7.7</v>
      </c>
      <c r="U24" s="102">
        <v>7.7</v>
      </c>
      <c r="V24" s="102">
        <v>7.7</v>
      </c>
      <c r="W24" s="102">
        <v>7.7</v>
      </c>
      <c r="X24" s="102">
        <v>7.7</v>
      </c>
      <c r="Y24" s="102">
        <v>7.7</v>
      </c>
      <c r="Z24" s="102">
        <v>7.7</v>
      </c>
      <c r="AA24" s="102">
        <v>7.7</v>
      </c>
      <c r="AB24" s="102">
        <v>7.7</v>
      </c>
      <c r="AC24" s="102">
        <v>9.3000000000000007</v>
      </c>
      <c r="AD24" s="102">
        <v>9.3000000000000007</v>
      </c>
      <c r="AE24" s="102">
        <v>9.3000000000000007</v>
      </c>
      <c r="AF24" s="102">
        <v>9.3000000000000007</v>
      </c>
      <c r="AG24" s="130">
        <v>28</v>
      </c>
      <c r="AH24" s="12">
        <f t="shared" si="8"/>
        <v>9.6</v>
      </c>
      <c r="AI24" s="11">
        <f t="shared" si="9"/>
        <v>6.2</v>
      </c>
      <c r="AK24" s="19"/>
      <c r="AL24" s="132" t="s">
        <v>243</v>
      </c>
      <c r="AM24" s="131">
        <f t="shared" ref="AM24:BJ24" si="21">AM22+AM23</f>
        <v>1361.94</v>
      </c>
      <c r="AN24" s="131">
        <f t="shared" si="21"/>
        <v>1348.44</v>
      </c>
      <c r="AO24" s="131">
        <f t="shared" si="21"/>
        <v>1316.6399999999999</v>
      </c>
      <c r="AP24" s="131">
        <f t="shared" si="21"/>
        <v>1352.88</v>
      </c>
      <c r="AQ24" s="131">
        <f t="shared" si="21"/>
        <v>1360.94</v>
      </c>
      <c r="AR24" s="131">
        <f t="shared" si="21"/>
        <v>1394.64</v>
      </c>
      <c r="AS24" s="131">
        <f t="shared" si="21"/>
        <v>1518.44</v>
      </c>
      <c r="AT24" s="131">
        <f t="shared" si="21"/>
        <v>1500.44</v>
      </c>
      <c r="AU24" s="131">
        <f t="shared" si="21"/>
        <v>1568.24</v>
      </c>
      <c r="AV24" s="131">
        <f t="shared" si="21"/>
        <v>1615.9400000000003</v>
      </c>
      <c r="AW24" s="131">
        <f t="shared" si="21"/>
        <v>1630.64</v>
      </c>
      <c r="AX24" s="131">
        <f t="shared" si="21"/>
        <v>1617.94</v>
      </c>
      <c r="AY24" s="131">
        <f t="shared" si="21"/>
        <v>1567.9400000000003</v>
      </c>
      <c r="AZ24" s="131">
        <f t="shared" si="21"/>
        <v>1611.54</v>
      </c>
      <c r="BA24" s="131">
        <f t="shared" si="21"/>
        <v>1686.84</v>
      </c>
      <c r="BB24" s="131">
        <f t="shared" si="21"/>
        <v>1713.94</v>
      </c>
      <c r="BC24" s="131">
        <f t="shared" si="21"/>
        <v>1747.1399999999999</v>
      </c>
      <c r="BD24" s="131">
        <f t="shared" si="21"/>
        <v>1658.7400000000002</v>
      </c>
      <c r="BE24" s="131">
        <f t="shared" si="21"/>
        <v>1545.64</v>
      </c>
      <c r="BF24" s="131">
        <f t="shared" si="21"/>
        <v>1596.9099999999999</v>
      </c>
      <c r="BG24" s="131">
        <f t="shared" si="21"/>
        <v>1838.14</v>
      </c>
      <c r="BH24" s="131">
        <f t="shared" si="21"/>
        <v>1740.0400000000002</v>
      </c>
      <c r="BI24" s="131">
        <f t="shared" si="21"/>
        <v>1623.5400000000002</v>
      </c>
      <c r="BJ24" s="131">
        <f t="shared" si="21"/>
        <v>1484.2400000000002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25">
      <c r="A25" s="89" t="s">
        <v>242</v>
      </c>
      <c r="B25" s="102">
        <v>6.5</v>
      </c>
      <c r="C25" s="102">
        <v>6.5</v>
      </c>
      <c r="D25" s="102">
        <v>6.5</v>
      </c>
      <c r="E25" s="102">
        <v>8.4</v>
      </c>
      <c r="F25" s="102">
        <v>8.4</v>
      </c>
      <c r="G25" s="102">
        <v>8.4</v>
      </c>
      <c r="H25" s="102">
        <v>8.4</v>
      </c>
      <c r="I25" s="102">
        <v>8.4</v>
      </c>
      <c r="J25" s="102">
        <v>8.4</v>
      </c>
      <c r="K25" s="102">
        <v>8.4</v>
      </c>
      <c r="L25" s="102">
        <v>8.4</v>
      </c>
      <c r="M25" s="102">
        <v>7.8</v>
      </c>
      <c r="N25" s="102">
        <v>7.8</v>
      </c>
      <c r="O25" s="102">
        <v>7.8</v>
      </c>
      <c r="P25" s="102">
        <v>7.8</v>
      </c>
      <c r="Q25" s="102">
        <v>7.8</v>
      </c>
      <c r="R25" s="102">
        <v>7.8</v>
      </c>
      <c r="S25" s="102">
        <v>7.8</v>
      </c>
      <c r="T25" s="102">
        <v>7.8</v>
      </c>
      <c r="U25" s="102">
        <v>7.8</v>
      </c>
      <c r="V25" s="102">
        <v>7.8</v>
      </c>
      <c r="W25" s="102">
        <v>7.8</v>
      </c>
      <c r="X25" s="102">
        <v>7.8</v>
      </c>
      <c r="Y25" s="102">
        <v>7.8</v>
      </c>
      <c r="Z25" s="102">
        <v>7.8</v>
      </c>
      <c r="AA25" s="102">
        <v>7.8</v>
      </c>
      <c r="AB25" s="102">
        <v>7.8</v>
      </c>
      <c r="AC25" s="102">
        <v>9</v>
      </c>
      <c r="AD25" s="102">
        <v>9</v>
      </c>
      <c r="AE25" s="102">
        <v>9</v>
      </c>
      <c r="AF25" s="102">
        <v>9</v>
      </c>
      <c r="AG25" s="88">
        <v>30</v>
      </c>
      <c r="AH25" s="12">
        <f t="shared" si="8"/>
        <v>9</v>
      </c>
      <c r="AI25" s="11">
        <f t="shared" si="9"/>
        <v>6.5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25">
      <c r="A26" s="89" t="s">
        <v>241</v>
      </c>
      <c r="B26" s="102">
        <v>12.3</v>
      </c>
      <c r="C26" s="102">
        <v>12.3</v>
      </c>
      <c r="D26" s="102">
        <v>12.3</v>
      </c>
      <c r="E26" s="102">
        <v>13</v>
      </c>
      <c r="F26" s="102">
        <v>13</v>
      </c>
      <c r="G26" s="102">
        <v>13</v>
      </c>
      <c r="H26" s="102">
        <v>13</v>
      </c>
      <c r="I26" s="102">
        <v>13</v>
      </c>
      <c r="J26" s="102">
        <v>13</v>
      </c>
      <c r="K26" s="102">
        <v>13</v>
      </c>
      <c r="L26" s="102">
        <v>13</v>
      </c>
      <c r="M26" s="102">
        <v>10.7</v>
      </c>
      <c r="N26" s="102">
        <v>10.7</v>
      </c>
      <c r="O26" s="102">
        <v>10.7</v>
      </c>
      <c r="P26" s="102">
        <v>10.7</v>
      </c>
      <c r="Q26" s="102">
        <v>10.7</v>
      </c>
      <c r="R26" s="102">
        <v>11.5</v>
      </c>
      <c r="S26" s="102">
        <v>11.5</v>
      </c>
      <c r="T26" s="102">
        <v>11.5</v>
      </c>
      <c r="U26" s="102">
        <v>11.5</v>
      </c>
      <c r="V26" s="102">
        <v>11.5</v>
      </c>
      <c r="W26" s="102">
        <v>11.5</v>
      </c>
      <c r="X26" s="102">
        <v>11.5</v>
      </c>
      <c r="Y26" s="102">
        <v>11.5</v>
      </c>
      <c r="Z26" s="102">
        <v>11.5</v>
      </c>
      <c r="AA26" s="102">
        <v>11.5</v>
      </c>
      <c r="AB26" s="102">
        <v>11.5</v>
      </c>
      <c r="AC26" s="102">
        <v>13</v>
      </c>
      <c r="AD26" s="102">
        <v>13</v>
      </c>
      <c r="AE26" s="102">
        <v>13</v>
      </c>
      <c r="AF26" s="102">
        <v>13</v>
      </c>
      <c r="AG26" s="130">
        <v>25</v>
      </c>
      <c r="AH26" s="12">
        <f t="shared" si="8"/>
        <v>13</v>
      </c>
      <c r="AI26" s="11">
        <f t="shared" si="9"/>
        <v>10.7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25">
      <c r="A27" s="89" t="s">
        <v>240</v>
      </c>
      <c r="B27" s="102">
        <v>5</v>
      </c>
      <c r="C27" s="102">
        <v>5</v>
      </c>
      <c r="D27" s="102">
        <v>5</v>
      </c>
      <c r="E27" s="102">
        <v>8</v>
      </c>
      <c r="F27" s="102">
        <v>8</v>
      </c>
      <c r="G27" s="102">
        <v>8</v>
      </c>
      <c r="H27" s="102">
        <v>8</v>
      </c>
      <c r="I27" s="102">
        <v>8</v>
      </c>
      <c r="J27" s="102">
        <v>8</v>
      </c>
      <c r="K27" s="102">
        <v>8</v>
      </c>
      <c r="L27" s="102">
        <v>8</v>
      </c>
      <c r="M27" s="102">
        <v>8</v>
      </c>
      <c r="N27" s="102">
        <v>8</v>
      </c>
      <c r="O27" s="102">
        <v>8</v>
      </c>
      <c r="P27" s="102">
        <v>8</v>
      </c>
      <c r="Q27" s="102">
        <v>8</v>
      </c>
      <c r="R27" s="102">
        <v>8</v>
      </c>
      <c r="S27" s="102">
        <v>8</v>
      </c>
      <c r="T27" s="102">
        <v>8</v>
      </c>
      <c r="U27" s="102">
        <v>8</v>
      </c>
      <c r="V27" s="102">
        <v>8</v>
      </c>
      <c r="W27" s="102">
        <v>8</v>
      </c>
      <c r="X27" s="102">
        <v>8</v>
      </c>
      <c r="Y27" s="102">
        <v>8</v>
      </c>
      <c r="Z27" s="102">
        <v>8</v>
      </c>
      <c r="AA27" s="102">
        <v>8</v>
      </c>
      <c r="AB27" s="102">
        <v>8</v>
      </c>
      <c r="AC27" s="102">
        <v>8</v>
      </c>
      <c r="AD27" s="102">
        <v>8</v>
      </c>
      <c r="AE27" s="102">
        <v>8</v>
      </c>
      <c r="AF27" s="102">
        <v>8</v>
      </c>
      <c r="AG27" s="130">
        <v>25</v>
      </c>
      <c r="AH27" s="12">
        <f t="shared" si="8"/>
        <v>8</v>
      </c>
      <c r="AI27" s="11">
        <f t="shared" si="9"/>
        <v>5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25">
      <c r="A28" s="89" t="s">
        <v>239</v>
      </c>
      <c r="B28" s="102">
        <v>6</v>
      </c>
      <c r="C28" s="102">
        <v>6</v>
      </c>
      <c r="D28" s="102">
        <v>6</v>
      </c>
      <c r="E28" s="102">
        <v>7</v>
      </c>
      <c r="F28" s="102">
        <v>7</v>
      </c>
      <c r="G28" s="102">
        <v>7</v>
      </c>
      <c r="H28" s="102">
        <v>7</v>
      </c>
      <c r="I28" s="102">
        <v>7</v>
      </c>
      <c r="J28" s="102">
        <v>7</v>
      </c>
      <c r="K28" s="102">
        <v>7</v>
      </c>
      <c r="L28" s="102">
        <v>7</v>
      </c>
      <c r="M28" s="102">
        <v>7</v>
      </c>
      <c r="N28" s="102">
        <v>7</v>
      </c>
      <c r="O28" s="102">
        <v>7</v>
      </c>
      <c r="P28" s="102">
        <v>7</v>
      </c>
      <c r="Q28" s="102">
        <v>7</v>
      </c>
      <c r="R28" s="102">
        <v>7</v>
      </c>
      <c r="S28" s="102">
        <v>7</v>
      </c>
      <c r="T28" s="102">
        <v>7</v>
      </c>
      <c r="U28" s="102">
        <v>7</v>
      </c>
      <c r="V28" s="102">
        <v>7</v>
      </c>
      <c r="W28" s="102">
        <v>7</v>
      </c>
      <c r="X28" s="102">
        <v>7</v>
      </c>
      <c r="Y28" s="102">
        <v>7</v>
      </c>
      <c r="Z28" s="102">
        <v>7</v>
      </c>
      <c r="AA28" s="102">
        <v>7</v>
      </c>
      <c r="AB28" s="102">
        <v>7</v>
      </c>
      <c r="AC28" s="102">
        <v>7</v>
      </c>
      <c r="AD28" s="102">
        <v>7</v>
      </c>
      <c r="AE28" s="102">
        <v>7</v>
      </c>
      <c r="AF28" s="102">
        <v>7</v>
      </c>
      <c r="AG28" s="130">
        <v>25</v>
      </c>
      <c r="AH28" s="12">
        <f t="shared" si="8"/>
        <v>7</v>
      </c>
      <c r="AI28" s="11">
        <f t="shared" si="9"/>
        <v>6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25">
      <c r="A29" s="89" t="s">
        <v>238</v>
      </c>
      <c r="B29" s="102">
        <v>8.6</v>
      </c>
      <c r="C29" s="102">
        <v>8.6</v>
      </c>
      <c r="D29" s="102">
        <v>8.6</v>
      </c>
      <c r="E29" s="102">
        <v>9.4</v>
      </c>
      <c r="F29" s="102">
        <v>9.4</v>
      </c>
      <c r="G29" s="102">
        <v>9.4</v>
      </c>
      <c r="H29" s="102">
        <v>9.4</v>
      </c>
      <c r="I29" s="102">
        <v>9.4</v>
      </c>
      <c r="J29" s="102">
        <v>9.4</v>
      </c>
      <c r="K29" s="102">
        <v>9.4</v>
      </c>
      <c r="L29" s="102">
        <v>9.4</v>
      </c>
      <c r="M29" s="102">
        <v>10.1</v>
      </c>
      <c r="N29" s="102">
        <v>10.1</v>
      </c>
      <c r="O29" s="102">
        <v>10.1</v>
      </c>
      <c r="P29" s="102">
        <v>10.1</v>
      </c>
      <c r="Q29" s="102">
        <v>10.1</v>
      </c>
      <c r="R29" s="102">
        <v>9.6</v>
      </c>
      <c r="S29" s="102">
        <v>9.6</v>
      </c>
      <c r="T29" s="102">
        <v>9.6</v>
      </c>
      <c r="U29" s="102">
        <v>9.6</v>
      </c>
      <c r="V29" s="102">
        <v>9.6</v>
      </c>
      <c r="W29" s="102">
        <v>9.6</v>
      </c>
      <c r="X29" s="102">
        <v>9.6</v>
      </c>
      <c r="Y29" s="102">
        <v>9.6</v>
      </c>
      <c r="Z29" s="102">
        <v>9.6</v>
      </c>
      <c r="AA29" s="102">
        <v>9.6</v>
      </c>
      <c r="AB29" s="102">
        <v>9.6</v>
      </c>
      <c r="AC29" s="102">
        <v>11</v>
      </c>
      <c r="AD29" s="102">
        <v>11</v>
      </c>
      <c r="AE29" s="102">
        <v>11</v>
      </c>
      <c r="AF29" s="102">
        <v>11</v>
      </c>
      <c r="AG29" s="130">
        <v>25</v>
      </c>
      <c r="AH29" s="12">
        <f t="shared" si="8"/>
        <v>11</v>
      </c>
      <c r="AI29" s="11">
        <f t="shared" si="9"/>
        <v>8.6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25">
      <c r="A30" s="89" t="s">
        <v>237</v>
      </c>
      <c r="B30" s="102">
        <v>10.7</v>
      </c>
      <c r="C30" s="102">
        <v>10.7</v>
      </c>
      <c r="D30" s="102">
        <v>10.7</v>
      </c>
      <c r="E30" s="102">
        <v>8.1</v>
      </c>
      <c r="F30" s="102">
        <v>8.1</v>
      </c>
      <c r="G30" s="102">
        <v>8.1</v>
      </c>
      <c r="H30" s="102">
        <v>8.1</v>
      </c>
      <c r="I30" s="102">
        <v>8.1</v>
      </c>
      <c r="J30" s="102">
        <v>8.1</v>
      </c>
      <c r="K30" s="102">
        <v>8.1</v>
      </c>
      <c r="L30" s="102">
        <v>8.1</v>
      </c>
      <c r="M30" s="102">
        <v>7.3</v>
      </c>
      <c r="N30" s="102">
        <v>7.3</v>
      </c>
      <c r="O30" s="102">
        <v>7.3</v>
      </c>
      <c r="P30" s="102">
        <v>7.3</v>
      </c>
      <c r="Q30" s="102">
        <v>7.3</v>
      </c>
      <c r="R30" s="102">
        <v>6</v>
      </c>
      <c r="S30" s="102">
        <v>6</v>
      </c>
      <c r="T30" s="102">
        <v>6</v>
      </c>
      <c r="U30" s="102">
        <v>6</v>
      </c>
      <c r="V30" s="102">
        <v>6</v>
      </c>
      <c r="W30" s="102">
        <v>6</v>
      </c>
      <c r="X30" s="102">
        <v>6</v>
      </c>
      <c r="Y30" s="102">
        <v>6</v>
      </c>
      <c r="Z30" s="102">
        <v>6</v>
      </c>
      <c r="AA30" s="102">
        <v>6</v>
      </c>
      <c r="AB30" s="102">
        <v>6</v>
      </c>
      <c r="AC30" s="102">
        <v>6.9</v>
      </c>
      <c r="AD30" s="102">
        <v>6.9</v>
      </c>
      <c r="AE30" s="102">
        <v>6.9</v>
      </c>
      <c r="AF30" s="102">
        <v>6.9</v>
      </c>
      <c r="AG30" s="130">
        <v>23.5</v>
      </c>
      <c r="AH30" s="12">
        <f t="shared" si="8"/>
        <v>10.7</v>
      </c>
      <c r="AI30" s="11">
        <f t="shared" si="9"/>
        <v>6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25">
      <c r="A31" s="89" t="s">
        <v>236</v>
      </c>
      <c r="B31" s="102">
        <v>2.5</v>
      </c>
      <c r="C31" s="102">
        <v>2.5</v>
      </c>
      <c r="D31" s="102">
        <v>2.5</v>
      </c>
      <c r="E31" s="102">
        <v>4</v>
      </c>
      <c r="F31" s="102">
        <v>4</v>
      </c>
      <c r="G31" s="102">
        <v>4</v>
      </c>
      <c r="H31" s="102">
        <v>4</v>
      </c>
      <c r="I31" s="102">
        <v>4</v>
      </c>
      <c r="J31" s="102">
        <v>4</v>
      </c>
      <c r="K31" s="102">
        <v>4</v>
      </c>
      <c r="L31" s="102">
        <v>4</v>
      </c>
      <c r="M31" s="102">
        <v>4</v>
      </c>
      <c r="N31" s="102">
        <v>4</v>
      </c>
      <c r="O31" s="102">
        <v>4</v>
      </c>
      <c r="P31" s="102">
        <v>4</v>
      </c>
      <c r="Q31" s="102">
        <v>4</v>
      </c>
      <c r="R31" s="102">
        <v>4</v>
      </c>
      <c r="S31" s="102">
        <v>4</v>
      </c>
      <c r="T31" s="102">
        <v>4</v>
      </c>
      <c r="U31" s="102">
        <v>4</v>
      </c>
      <c r="V31" s="102">
        <v>4</v>
      </c>
      <c r="W31" s="102">
        <v>4</v>
      </c>
      <c r="X31" s="102">
        <v>4</v>
      </c>
      <c r="Y31" s="102">
        <v>4</v>
      </c>
      <c r="Z31" s="102">
        <v>4</v>
      </c>
      <c r="AA31" s="102">
        <v>4</v>
      </c>
      <c r="AB31" s="102">
        <v>4</v>
      </c>
      <c r="AC31" s="102">
        <v>4</v>
      </c>
      <c r="AD31" s="102">
        <v>4</v>
      </c>
      <c r="AE31" s="102">
        <v>4</v>
      </c>
      <c r="AF31" s="102">
        <v>4</v>
      </c>
      <c r="AG31" s="130">
        <v>22.2</v>
      </c>
      <c r="AH31" s="12">
        <f t="shared" si="8"/>
        <v>4</v>
      </c>
      <c r="AI31" s="11">
        <f t="shared" si="9"/>
        <v>2.5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25">
      <c r="A32" s="89" t="s">
        <v>235</v>
      </c>
      <c r="B32" s="102">
        <v>3</v>
      </c>
      <c r="C32" s="102">
        <v>3</v>
      </c>
      <c r="D32" s="102">
        <v>3</v>
      </c>
      <c r="E32" s="102">
        <v>5</v>
      </c>
      <c r="F32" s="102">
        <v>5</v>
      </c>
      <c r="G32" s="102">
        <v>5</v>
      </c>
      <c r="H32" s="102">
        <v>5</v>
      </c>
      <c r="I32" s="102">
        <v>5</v>
      </c>
      <c r="J32" s="102">
        <v>5</v>
      </c>
      <c r="K32" s="102">
        <v>5</v>
      </c>
      <c r="L32" s="102">
        <v>5</v>
      </c>
      <c r="M32" s="102">
        <v>5</v>
      </c>
      <c r="N32" s="102">
        <v>5</v>
      </c>
      <c r="O32" s="102">
        <v>5</v>
      </c>
      <c r="P32" s="102">
        <v>5</v>
      </c>
      <c r="Q32" s="102">
        <v>5</v>
      </c>
      <c r="R32" s="102">
        <v>5</v>
      </c>
      <c r="S32" s="102">
        <v>5</v>
      </c>
      <c r="T32" s="102">
        <v>5</v>
      </c>
      <c r="U32" s="102">
        <v>5</v>
      </c>
      <c r="V32" s="102">
        <v>5</v>
      </c>
      <c r="W32" s="102">
        <v>5</v>
      </c>
      <c r="X32" s="102">
        <v>5</v>
      </c>
      <c r="Y32" s="102">
        <v>5</v>
      </c>
      <c r="Z32" s="102">
        <v>5</v>
      </c>
      <c r="AA32" s="102">
        <v>5</v>
      </c>
      <c r="AB32" s="102">
        <v>5</v>
      </c>
      <c r="AC32" s="102">
        <v>5</v>
      </c>
      <c r="AD32" s="102">
        <v>5</v>
      </c>
      <c r="AE32" s="102">
        <v>5</v>
      </c>
      <c r="AF32" s="102">
        <v>5</v>
      </c>
      <c r="AG32" s="130">
        <v>22.1</v>
      </c>
      <c r="AH32" s="12">
        <f t="shared" si="8"/>
        <v>5</v>
      </c>
      <c r="AI32" s="11">
        <f t="shared" si="9"/>
        <v>3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25">
      <c r="A33" s="89" t="s">
        <v>234</v>
      </c>
      <c r="B33" s="102">
        <v>5.4</v>
      </c>
      <c r="C33" s="102">
        <v>5.4</v>
      </c>
      <c r="D33" s="102">
        <v>5.4</v>
      </c>
      <c r="E33" s="102">
        <v>7</v>
      </c>
      <c r="F33" s="102">
        <v>7</v>
      </c>
      <c r="G33" s="102">
        <v>7</v>
      </c>
      <c r="H33" s="102">
        <v>7</v>
      </c>
      <c r="I33" s="102">
        <v>7</v>
      </c>
      <c r="J33" s="102">
        <v>7</v>
      </c>
      <c r="K33" s="102">
        <v>7</v>
      </c>
      <c r="L33" s="102">
        <v>7</v>
      </c>
      <c r="M33" s="102">
        <v>7</v>
      </c>
      <c r="N33" s="102">
        <v>7</v>
      </c>
      <c r="O33" s="102">
        <v>7</v>
      </c>
      <c r="P33" s="102">
        <v>7</v>
      </c>
      <c r="Q33" s="102">
        <v>7</v>
      </c>
      <c r="R33" s="102">
        <v>7</v>
      </c>
      <c r="S33" s="102">
        <v>7</v>
      </c>
      <c r="T33" s="102">
        <v>7</v>
      </c>
      <c r="U33" s="102">
        <v>7</v>
      </c>
      <c r="V33" s="102">
        <v>7</v>
      </c>
      <c r="W33" s="102">
        <v>7</v>
      </c>
      <c r="X33" s="102">
        <v>7</v>
      </c>
      <c r="Y33" s="102">
        <v>7</v>
      </c>
      <c r="Z33" s="102">
        <v>7</v>
      </c>
      <c r="AA33" s="102">
        <v>7</v>
      </c>
      <c r="AB33" s="102">
        <v>7</v>
      </c>
      <c r="AC33" s="102">
        <v>7</v>
      </c>
      <c r="AD33" s="102">
        <v>7</v>
      </c>
      <c r="AE33" s="102">
        <v>7</v>
      </c>
      <c r="AF33" s="102">
        <v>7</v>
      </c>
      <c r="AG33" s="130">
        <v>22</v>
      </c>
      <c r="AH33" s="12">
        <f t="shared" si="8"/>
        <v>7</v>
      </c>
      <c r="AI33" s="11">
        <f t="shared" si="9"/>
        <v>5.4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25">
      <c r="A34" s="89" t="s">
        <v>233</v>
      </c>
      <c r="B34" s="102">
        <v>20</v>
      </c>
      <c r="C34" s="102">
        <v>16</v>
      </c>
      <c r="D34" s="102">
        <v>16</v>
      </c>
      <c r="E34" s="102">
        <v>14</v>
      </c>
      <c r="F34" s="102">
        <v>14</v>
      </c>
      <c r="G34" s="102">
        <v>14</v>
      </c>
      <c r="H34" s="102">
        <v>14</v>
      </c>
      <c r="I34" s="102">
        <v>14</v>
      </c>
      <c r="J34" s="102">
        <v>14</v>
      </c>
      <c r="K34" s="102">
        <v>14</v>
      </c>
      <c r="L34" s="102">
        <v>14</v>
      </c>
      <c r="M34" s="102">
        <v>9.8000000000000007</v>
      </c>
      <c r="N34" s="102">
        <v>9.8000000000000007</v>
      </c>
      <c r="O34" s="102">
        <v>9.8000000000000007</v>
      </c>
      <c r="P34" s="102">
        <v>9.8000000000000007</v>
      </c>
      <c r="Q34" s="102">
        <v>9.8000000000000007</v>
      </c>
      <c r="R34" s="102">
        <v>7.5</v>
      </c>
      <c r="S34" s="102">
        <v>7.5</v>
      </c>
      <c r="T34" s="102">
        <v>7.5</v>
      </c>
      <c r="U34" s="102">
        <v>7.5</v>
      </c>
      <c r="V34" s="102">
        <v>7.5</v>
      </c>
      <c r="W34" s="102">
        <v>7.5</v>
      </c>
      <c r="X34" s="102">
        <v>7.5</v>
      </c>
      <c r="Y34" s="102">
        <v>7.5</v>
      </c>
      <c r="Z34" s="102">
        <v>7.5</v>
      </c>
      <c r="AA34" s="102">
        <v>7.5</v>
      </c>
      <c r="AB34" s="102">
        <v>7.5</v>
      </c>
      <c r="AC34" s="102">
        <v>11.8</v>
      </c>
      <c r="AD34" s="102">
        <v>11.8</v>
      </c>
      <c r="AE34" s="102">
        <v>11.5</v>
      </c>
      <c r="AF34" s="102">
        <v>11.5</v>
      </c>
      <c r="AG34" s="130">
        <v>22</v>
      </c>
      <c r="AH34" s="12">
        <f t="shared" si="8"/>
        <v>20</v>
      </c>
      <c r="AI34" s="11">
        <f t="shared" si="9"/>
        <v>7.5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25">
      <c r="A35" s="89" t="s">
        <v>232</v>
      </c>
      <c r="B35" s="102">
        <v>8.9</v>
      </c>
      <c r="C35" s="102">
        <v>8.9</v>
      </c>
      <c r="D35" s="102">
        <v>8.9</v>
      </c>
      <c r="E35" s="102">
        <v>11</v>
      </c>
      <c r="F35" s="102">
        <v>11</v>
      </c>
      <c r="G35" s="102">
        <v>11</v>
      </c>
      <c r="H35" s="102">
        <v>11</v>
      </c>
      <c r="I35" s="102">
        <v>11</v>
      </c>
      <c r="J35" s="102">
        <v>11</v>
      </c>
      <c r="K35" s="102">
        <v>11</v>
      </c>
      <c r="L35" s="102">
        <v>11</v>
      </c>
      <c r="M35" s="102">
        <v>11.1</v>
      </c>
      <c r="N35" s="102">
        <v>11.1</v>
      </c>
      <c r="O35" s="102">
        <v>11.1</v>
      </c>
      <c r="P35" s="102">
        <v>11.1</v>
      </c>
      <c r="Q35" s="102">
        <v>11.1</v>
      </c>
      <c r="R35" s="102">
        <v>9.5</v>
      </c>
      <c r="S35" s="102">
        <v>9.5</v>
      </c>
      <c r="T35" s="102">
        <v>9.5</v>
      </c>
      <c r="U35" s="102">
        <v>9.5</v>
      </c>
      <c r="V35" s="102">
        <v>9.5</v>
      </c>
      <c r="W35" s="102">
        <v>9.5</v>
      </c>
      <c r="X35" s="102">
        <v>9.5</v>
      </c>
      <c r="Y35" s="102">
        <v>9.5</v>
      </c>
      <c r="Z35" s="102">
        <v>9.5</v>
      </c>
      <c r="AA35" s="102">
        <v>9.5</v>
      </c>
      <c r="AB35" s="102">
        <v>9.5</v>
      </c>
      <c r="AC35" s="102">
        <v>9.6999999999999993</v>
      </c>
      <c r="AD35" s="102">
        <v>9.6999999999999993</v>
      </c>
      <c r="AE35" s="102">
        <v>11</v>
      </c>
      <c r="AF35" s="102">
        <v>11</v>
      </c>
      <c r="AG35" s="130">
        <v>20</v>
      </c>
      <c r="AH35" s="12">
        <f t="shared" si="8"/>
        <v>11.1</v>
      </c>
      <c r="AI35" s="11">
        <f t="shared" si="9"/>
        <v>8.9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25">
      <c r="A36" s="89" t="s">
        <v>231</v>
      </c>
      <c r="B36" s="102">
        <v>4</v>
      </c>
      <c r="C36" s="102">
        <v>4</v>
      </c>
      <c r="D36" s="102">
        <v>4</v>
      </c>
      <c r="E36" s="102">
        <v>6</v>
      </c>
      <c r="F36" s="102">
        <v>6</v>
      </c>
      <c r="G36" s="102">
        <v>6</v>
      </c>
      <c r="H36" s="102">
        <v>6</v>
      </c>
      <c r="I36" s="102">
        <v>6</v>
      </c>
      <c r="J36" s="102">
        <v>6</v>
      </c>
      <c r="K36" s="102">
        <v>6</v>
      </c>
      <c r="L36" s="102">
        <v>6</v>
      </c>
      <c r="M36" s="102">
        <v>6</v>
      </c>
      <c r="N36" s="102">
        <v>6</v>
      </c>
      <c r="O36" s="102">
        <v>6</v>
      </c>
      <c r="P36" s="102">
        <v>6</v>
      </c>
      <c r="Q36" s="102">
        <v>6</v>
      </c>
      <c r="R36" s="102">
        <v>6</v>
      </c>
      <c r="S36" s="102">
        <v>6</v>
      </c>
      <c r="T36" s="102">
        <v>6</v>
      </c>
      <c r="U36" s="102">
        <v>6</v>
      </c>
      <c r="V36" s="102">
        <v>6</v>
      </c>
      <c r="W36" s="102">
        <v>6</v>
      </c>
      <c r="X36" s="102">
        <v>6</v>
      </c>
      <c r="Y36" s="102">
        <v>6</v>
      </c>
      <c r="Z36" s="102">
        <v>6</v>
      </c>
      <c r="AA36" s="102">
        <v>6</v>
      </c>
      <c r="AB36" s="102">
        <v>6</v>
      </c>
      <c r="AC36" s="102">
        <v>6</v>
      </c>
      <c r="AD36" s="102">
        <v>6</v>
      </c>
      <c r="AE36" s="102">
        <v>6</v>
      </c>
      <c r="AF36" s="102">
        <v>6</v>
      </c>
      <c r="AG36" s="130">
        <v>20</v>
      </c>
      <c r="AH36" s="12">
        <f t="shared" si="8"/>
        <v>6</v>
      </c>
      <c r="AI36" s="11">
        <f t="shared" si="9"/>
        <v>4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25">
      <c r="A37" s="89" t="s">
        <v>230</v>
      </c>
      <c r="B37" s="102">
        <v>5.8</v>
      </c>
      <c r="C37" s="102">
        <v>5.8</v>
      </c>
      <c r="D37" s="102">
        <v>5.8</v>
      </c>
      <c r="E37" s="102">
        <v>6</v>
      </c>
      <c r="F37" s="102">
        <v>6</v>
      </c>
      <c r="G37" s="102">
        <v>6</v>
      </c>
      <c r="H37" s="102">
        <v>6</v>
      </c>
      <c r="I37" s="102">
        <v>6</v>
      </c>
      <c r="J37" s="102">
        <v>6</v>
      </c>
      <c r="K37" s="102">
        <v>6</v>
      </c>
      <c r="L37" s="102">
        <v>6</v>
      </c>
      <c r="M37" s="102">
        <v>5.8</v>
      </c>
      <c r="N37" s="102">
        <v>5.8</v>
      </c>
      <c r="O37" s="102">
        <v>5.8</v>
      </c>
      <c r="P37" s="102">
        <v>5.8</v>
      </c>
      <c r="Q37" s="102">
        <v>5.8</v>
      </c>
      <c r="R37" s="102">
        <v>5.8</v>
      </c>
      <c r="S37" s="102">
        <v>5.8</v>
      </c>
      <c r="T37" s="102">
        <v>5.8</v>
      </c>
      <c r="U37" s="102">
        <v>5.8</v>
      </c>
      <c r="V37" s="102">
        <v>5.8</v>
      </c>
      <c r="W37" s="102">
        <v>5.8</v>
      </c>
      <c r="X37" s="102">
        <v>5.8</v>
      </c>
      <c r="Y37" s="102">
        <v>5.8</v>
      </c>
      <c r="Z37" s="102">
        <v>5.8</v>
      </c>
      <c r="AA37" s="102">
        <v>5.8</v>
      </c>
      <c r="AB37" s="102">
        <v>5.8</v>
      </c>
      <c r="AC37" s="102">
        <v>5.8</v>
      </c>
      <c r="AD37" s="102">
        <v>5.8</v>
      </c>
      <c r="AE37" s="102">
        <v>5.8</v>
      </c>
      <c r="AF37" s="102">
        <v>5.8</v>
      </c>
      <c r="AG37" s="130">
        <v>18</v>
      </c>
      <c r="AH37" s="12">
        <f t="shared" si="8"/>
        <v>6</v>
      </c>
      <c r="AI37" s="11">
        <f t="shared" si="9"/>
        <v>5.8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25">
      <c r="A38" s="89" t="s">
        <v>229</v>
      </c>
      <c r="B38" s="102">
        <v>5.0999999999999996</v>
      </c>
      <c r="C38" s="102">
        <v>5.0999999999999996</v>
      </c>
      <c r="D38" s="102">
        <v>5.0999999999999996</v>
      </c>
      <c r="E38" s="102">
        <v>5.0999999999999996</v>
      </c>
      <c r="F38" s="102">
        <v>5.0999999999999996</v>
      </c>
      <c r="G38" s="102">
        <v>5.0999999999999996</v>
      </c>
      <c r="H38" s="102">
        <v>5.0999999999999996</v>
      </c>
      <c r="I38" s="102">
        <v>5.0999999999999996</v>
      </c>
      <c r="J38" s="102">
        <v>5.0999999999999996</v>
      </c>
      <c r="K38" s="102">
        <v>5.0999999999999996</v>
      </c>
      <c r="L38" s="102">
        <v>5.0999999999999996</v>
      </c>
      <c r="M38" s="102">
        <v>5.0999999999999996</v>
      </c>
      <c r="N38" s="102">
        <v>5.0999999999999996</v>
      </c>
      <c r="O38" s="102">
        <v>5.0999999999999996</v>
      </c>
      <c r="P38" s="102">
        <v>5.0999999999999996</v>
      </c>
      <c r="Q38" s="102">
        <v>5.0999999999999996</v>
      </c>
      <c r="R38" s="102">
        <v>5.0999999999999996</v>
      </c>
      <c r="S38" s="102">
        <v>5.0999999999999996</v>
      </c>
      <c r="T38" s="102">
        <v>5.0999999999999996</v>
      </c>
      <c r="U38" s="102">
        <v>5.0999999999999996</v>
      </c>
      <c r="V38" s="102">
        <v>5.0999999999999996</v>
      </c>
      <c r="W38" s="102">
        <v>5.0999999999999996</v>
      </c>
      <c r="X38" s="102">
        <v>5.0999999999999996</v>
      </c>
      <c r="Y38" s="102">
        <v>5.0999999999999996</v>
      </c>
      <c r="Z38" s="102">
        <v>5.0999999999999996</v>
      </c>
      <c r="AA38" s="102">
        <v>5.0999999999999996</v>
      </c>
      <c r="AB38" s="102">
        <v>5.0999999999999996</v>
      </c>
      <c r="AC38" s="102">
        <v>5.0999999999999996</v>
      </c>
      <c r="AD38" s="102">
        <v>5.0999999999999996</v>
      </c>
      <c r="AE38" s="102">
        <v>5.0999999999999996</v>
      </c>
      <c r="AF38" s="102">
        <v>5.0999999999999996</v>
      </c>
      <c r="AG38" s="130">
        <v>14.9</v>
      </c>
      <c r="AH38" s="12">
        <f t="shared" si="8"/>
        <v>5.0999999999999996</v>
      </c>
      <c r="AI38" s="11">
        <f t="shared" si="9"/>
        <v>5.0999999999999996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25">
      <c r="A39" s="89" t="s">
        <v>228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Z39" s="102">
        <v>0</v>
      </c>
      <c r="AA39" s="102">
        <v>0</v>
      </c>
      <c r="AB39" s="102">
        <v>0</v>
      </c>
      <c r="AC39" s="102">
        <v>0</v>
      </c>
      <c r="AD39" s="102">
        <v>0</v>
      </c>
      <c r="AE39" s="102">
        <v>0</v>
      </c>
      <c r="AF39" s="102">
        <v>0</v>
      </c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25">
      <c r="A40" s="89" t="s">
        <v>227</v>
      </c>
      <c r="B40" s="102">
        <v>0</v>
      </c>
      <c r="C40" s="102">
        <v>0</v>
      </c>
      <c r="D40" s="102">
        <v>0</v>
      </c>
      <c r="E40" s="102">
        <v>0</v>
      </c>
      <c r="F40" s="102">
        <v>0</v>
      </c>
      <c r="G40" s="102">
        <v>0</v>
      </c>
      <c r="H40" s="102">
        <v>0</v>
      </c>
      <c r="I40" s="102">
        <v>0</v>
      </c>
      <c r="J40" s="102">
        <v>0</v>
      </c>
      <c r="K40" s="102">
        <v>0</v>
      </c>
      <c r="L40" s="102">
        <v>0</v>
      </c>
      <c r="M40" s="102">
        <v>0</v>
      </c>
      <c r="N40" s="102">
        <v>0</v>
      </c>
      <c r="O40" s="102">
        <v>0</v>
      </c>
      <c r="P40" s="102">
        <v>0</v>
      </c>
      <c r="Q40" s="102">
        <v>0</v>
      </c>
      <c r="R40" s="102">
        <v>0</v>
      </c>
      <c r="S40" s="102">
        <v>0</v>
      </c>
      <c r="T40" s="102">
        <v>0</v>
      </c>
      <c r="U40" s="102">
        <v>0</v>
      </c>
      <c r="V40" s="102">
        <v>0</v>
      </c>
      <c r="W40" s="102">
        <v>0</v>
      </c>
      <c r="X40" s="102">
        <v>0</v>
      </c>
      <c r="Y40" s="102">
        <v>0</v>
      </c>
      <c r="Z40" s="102">
        <v>0</v>
      </c>
      <c r="AA40" s="102">
        <v>0</v>
      </c>
      <c r="AB40" s="102">
        <v>0</v>
      </c>
      <c r="AC40" s="102">
        <v>0</v>
      </c>
      <c r="AD40" s="102">
        <v>0</v>
      </c>
      <c r="AE40" s="102">
        <v>0</v>
      </c>
      <c r="AF40" s="102">
        <v>0</v>
      </c>
      <c r="AG40" s="130">
        <v>14.9</v>
      </c>
      <c r="AH40" s="12">
        <f t="shared" si="8"/>
        <v>0</v>
      </c>
      <c r="AI40" s="11">
        <f t="shared" si="9"/>
        <v>0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25">
      <c r="A41" s="89" t="s">
        <v>226</v>
      </c>
      <c r="B41" s="102">
        <v>4</v>
      </c>
      <c r="C41" s="102">
        <v>4</v>
      </c>
      <c r="D41" s="102">
        <v>4</v>
      </c>
      <c r="E41" s="102">
        <v>4</v>
      </c>
      <c r="F41" s="102">
        <v>4</v>
      </c>
      <c r="G41" s="102">
        <v>4</v>
      </c>
      <c r="H41" s="102">
        <v>4</v>
      </c>
      <c r="I41" s="102">
        <v>4</v>
      </c>
      <c r="J41" s="102">
        <v>4</v>
      </c>
      <c r="K41" s="102">
        <v>4</v>
      </c>
      <c r="L41" s="102">
        <v>4</v>
      </c>
      <c r="M41" s="102">
        <v>4</v>
      </c>
      <c r="N41" s="102">
        <v>4</v>
      </c>
      <c r="O41" s="102">
        <v>4</v>
      </c>
      <c r="P41" s="102">
        <v>4</v>
      </c>
      <c r="Q41" s="102">
        <v>4</v>
      </c>
      <c r="R41" s="102">
        <v>4</v>
      </c>
      <c r="S41" s="102">
        <v>4</v>
      </c>
      <c r="T41" s="102">
        <v>4</v>
      </c>
      <c r="U41" s="102">
        <v>4</v>
      </c>
      <c r="V41" s="102">
        <v>4</v>
      </c>
      <c r="W41" s="102">
        <v>4</v>
      </c>
      <c r="X41" s="102">
        <v>4</v>
      </c>
      <c r="Y41" s="102">
        <v>4</v>
      </c>
      <c r="Z41" s="102">
        <v>4</v>
      </c>
      <c r="AA41" s="102">
        <v>4</v>
      </c>
      <c r="AB41" s="102">
        <v>4</v>
      </c>
      <c r="AC41" s="102">
        <v>4</v>
      </c>
      <c r="AD41" s="102">
        <v>4</v>
      </c>
      <c r="AE41" s="102">
        <v>4</v>
      </c>
      <c r="AF41" s="102">
        <v>4</v>
      </c>
      <c r="AG41" s="130">
        <v>14.9</v>
      </c>
      <c r="AH41" s="12">
        <f t="shared" si="8"/>
        <v>4</v>
      </c>
      <c r="AI41" s="11">
        <f t="shared" si="9"/>
        <v>4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25">
      <c r="A42" s="89" t="s">
        <v>225</v>
      </c>
      <c r="B42" s="102">
        <v>5</v>
      </c>
      <c r="C42" s="102">
        <v>5</v>
      </c>
      <c r="D42" s="102">
        <v>5</v>
      </c>
      <c r="E42" s="102">
        <v>5</v>
      </c>
      <c r="F42" s="102">
        <v>5</v>
      </c>
      <c r="G42" s="102">
        <v>5</v>
      </c>
      <c r="H42" s="102">
        <v>5</v>
      </c>
      <c r="I42" s="102">
        <v>5</v>
      </c>
      <c r="J42" s="102">
        <v>5</v>
      </c>
      <c r="K42" s="102">
        <v>5</v>
      </c>
      <c r="L42" s="102">
        <v>5</v>
      </c>
      <c r="M42" s="102">
        <v>5</v>
      </c>
      <c r="N42" s="102">
        <v>5</v>
      </c>
      <c r="O42" s="102">
        <v>5</v>
      </c>
      <c r="P42" s="102">
        <v>5</v>
      </c>
      <c r="Q42" s="102">
        <v>5</v>
      </c>
      <c r="R42" s="102">
        <v>5</v>
      </c>
      <c r="S42" s="102">
        <v>5</v>
      </c>
      <c r="T42" s="102">
        <v>5</v>
      </c>
      <c r="U42" s="102">
        <v>5</v>
      </c>
      <c r="V42" s="102">
        <v>5</v>
      </c>
      <c r="W42" s="102">
        <v>5</v>
      </c>
      <c r="X42" s="102">
        <v>5</v>
      </c>
      <c r="Y42" s="102">
        <v>5</v>
      </c>
      <c r="Z42" s="102">
        <v>5</v>
      </c>
      <c r="AA42" s="102">
        <v>5</v>
      </c>
      <c r="AB42" s="102">
        <v>5</v>
      </c>
      <c r="AC42" s="102">
        <v>5</v>
      </c>
      <c r="AD42" s="102">
        <v>5</v>
      </c>
      <c r="AE42" s="102">
        <v>5</v>
      </c>
      <c r="AF42" s="102">
        <v>5</v>
      </c>
      <c r="AG42" s="130">
        <v>13.6</v>
      </c>
      <c r="AH42" s="12">
        <f t="shared" si="8"/>
        <v>5</v>
      </c>
      <c r="AI42" s="11">
        <f t="shared" si="9"/>
        <v>5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25">
      <c r="A43" s="89" t="s">
        <v>224</v>
      </c>
      <c r="B43" s="102">
        <v>3.8</v>
      </c>
      <c r="C43" s="102">
        <v>3.8</v>
      </c>
      <c r="D43" s="102">
        <v>3.8</v>
      </c>
      <c r="E43" s="102">
        <v>4</v>
      </c>
      <c r="F43" s="102">
        <v>4</v>
      </c>
      <c r="G43" s="102">
        <v>4</v>
      </c>
      <c r="H43" s="102">
        <v>4</v>
      </c>
      <c r="I43" s="102">
        <v>4</v>
      </c>
      <c r="J43" s="102">
        <v>4</v>
      </c>
      <c r="K43" s="102">
        <v>4</v>
      </c>
      <c r="L43" s="102">
        <v>4</v>
      </c>
      <c r="M43" s="102">
        <v>4</v>
      </c>
      <c r="N43" s="102">
        <v>4</v>
      </c>
      <c r="O43" s="102">
        <v>4</v>
      </c>
      <c r="P43" s="102">
        <v>4</v>
      </c>
      <c r="Q43" s="102">
        <v>4</v>
      </c>
      <c r="R43" s="102">
        <v>4</v>
      </c>
      <c r="S43" s="102">
        <v>4</v>
      </c>
      <c r="T43" s="102">
        <v>4</v>
      </c>
      <c r="U43" s="102">
        <v>4</v>
      </c>
      <c r="V43" s="102">
        <v>4</v>
      </c>
      <c r="W43" s="102">
        <v>4</v>
      </c>
      <c r="X43" s="102">
        <v>4</v>
      </c>
      <c r="Y43" s="102">
        <v>4</v>
      </c>
      <c r="Z43" s="102">
        <v>4</v>
      </c>
      <c r="AA43" s="102">
        <v>4</v>
      </c>
      <c r="AB43" s="102">
        <v>4</v>
      </c>
      <c r="AC43" s="102">
        <v>4</v>
      </c>
      <c r="AD43" s="102">
        <v>4</v>
      </c>
      <c r="AE43" s="102">
        <v>4</v>
      </c>
      <c r="AF43" s="102">
        <v>4</v>
      </c>
      <c r="AG43" s="130">
        <v>13</v>
      </c>
      <c r="AH43" s="12">
        <f t="shared" si="8"/>
        <v>4</v>
      </c>
      <c r="AI43" s="11">
        <f t="shared" si="9"/>
        <v>3.8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25">
      <c r="A44" s="89" t="s">
        <v>223</v>
      </c>
      <c r="B44" s="102">
        <v>3</v>
      </c>
      <c r="C44" s="102">
        <v>3</v>
      </c>
      <c r="D44" s="102">
        <v>3</v>
      </c>
      <c r="E44" s="102">
        <v>3</v>
      </c>
      <c r="F44" s="102">
        <v>3</v>
      </c>
      <c r="G44" s="102">
        <v>3</v>
      </c>
      <c r="H44" s="102">
        <v>3</v>
      </c>
      <c r="I44" s="102">
        <v>3</v>
      </c>
      <c r="J44" s="102">
        <v>3</v>
      </c>
      <c r="K44" s="102">
        <v>3</v>
      </c>
      <c r="L44" s="102">
        <v>3</v>
      </c>
      <c r="M44" s="102">
        <v>3</v>
      </c>
      <c r="N44" s="102">
        <v>3</v>
      </c>
      <c r="O44" s="102">
        <v>3</v>
      </c>
      <c r="P44" s="102">
        <v>3</v>
      </c>
      <c r="Q44" s="102">
        <v>3</v>
      </c>
      <c r="R44" s="102">
        <v>3</v>
      </c>
      <c r="S44" s="102">
        <v>3</v>
      </c>
      <c r="T44" s="102">
        <v>3</v>
      </c>
      <c r="U44" s="102">
        <v>3</v>
      </c>
      <c r="V44" s="102">
        <v>3</v>
      </c>
      <c r="W44" s="102">
        <v>3</v>
      </c>
      <c r="X44" s="102">
        <v>3</v>
      </c>
      <c r="Y44" s="102">
        <v>3</v>
      </c>
      <c r="Z44" s="102">
        <v>3</v>
      </c>
      <c r="AA44" s="102">
        <v>3</v>
      </c>
      <c r="AB44" s="102">
        <v>3</v>
      </c>
      <c r="AC44" s="102">
        <v>3</v>
      </c>
      <c r="AD44" s="102">
        <v>3</v>
      </c>
      <c r="AE44" s="102">
        <v>3</v>
      </c>
      <c r="AF44" s="102">
        <v>3</v>
      </c>
      <c r="AG44" s="130">
        <v>12</v>
      </c>
      <c r="AH44" s="12">
        <f t="shared" si="8"/>
        <v>3</v>
      </c>
      <c r="AI44" s="11">
        <f t="shared" si="9"/>
        <v>3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25">
      <c r="A45" s="89" t="s">
        <v>222</v>
      </c>
      <c r="B45" s="102">
        <v>3.5</v>
      </c>
      <c r="C45" s="102">
        <v>3.5</v>
      </c>
      <c r="D45" s="102">
        <v>3.5</v>
      </c>
      <c r="E45" s="102">
        <v>5.0999999999999996</v>
      </c>
      <c r="F45" s="102">
        <v>5.0999999999999996</v>
      </c>
      <c r="G45" s="102">
        <v>5.0999999999999996</v>
      </c>
      <c r="H45" s="102">
        <v>5.0999999999999996</v>
      </c>
      <c r="I45" s="102">
        <v>5.0999999999999996</v>
      </c>
      <c r="J45" s="102">
        <v>5.0999999999999996</v>
      </c>
      <c r="K45" s="102">
        <v>5.0999999999999996</v>
      </c>
      <c r="L45" s="102">
        <v>5.0999999999999996</v>
      </c>
      <c r="M45" s="102">
        <v>5.0999999999999996</v>
      </c>
      <c r="N45" s="102">
        <v>5.0999999999999996</v>
      </c>
      <c r="O45" s="102">
        <v>5.0999999999999996</v>
      </c>
      <c r="P45" s="102">
        <v>5.0999999999999996</v>
      </c>
      <c r="Q45" s="102">
        <v>5.0999999999999996</v>
      </c>
      <c r="R45" s="102">
        <v>5.0999999999999996</v>
      </c>
      <c r="S45" s="102">
        <v>5.0999999999999996</v>
      </c>
      <c r="T45" s="102">
        <v>5.0999999999999996</v>
      </c>
      <c r="U45" s="102">
        <v>5.0999999999999996</v>
      </c>
      <c r="V45" s="102">
        <v>5.0999999999999996</v>
      </c>
      <c r="W45" s="102">
        <v>5.0999999999999996</v>
      </c>
      <c r="X45" s="102">
        <v>5.0999999999999996</v>
      </c>
      <c r="Y45" s="102">
        <v>5.0999999999999996</v>
      </c>
      <c r="Z45" s="102">
        <v>5.0999999999999996</v>
      </c>
      <c r="AA45" s="102">
        <v>5.0999999999999996</v>
      </c>
      <c r="AB45" s="102">
        <v>5.0999999999999996</v>
      </c>
      <c r="AC45" s="102">
        <v>5.0999999999999996</v>
      </c>
      <c r="AD45" s="102">
        <v>5.0999999999999996</v>
      </c>
      <c r="AE45" s="102">
        <v>5.0999999999999996</v>
      </c>
      <c r="AF45" s="102">
        <v>5.0999999999999996</v>
      </c>
      <c r="AG45" s="130">
        <v>12</v>
      </c>
      <c r="AH45" s="12">
        <f t="shared" si="8"/>
        <v>5.0999999999999996</v>
      </c>
      <c r="AI45" s="11">
        <f t="shared" si="9"/>
        <v>3.5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25">
      <c r="A46" s="89" t="s">
        <v>221</v>
      </c>
      <c r="B46" s="102">
        <v>3</v>
      </c>
      <c r="C46" s="102">
        <v>3</v>
      </c>
      <c r="D46" s="102">
        <v>3</v>
      </c>
      <c r="E46" s="102">
        <v>3</v>
      </c>
      <c r="F46" s="102">
        <v>3</v>
      </c>
      <c r="G46" s="102">
        <v>3</v>
      </c>
      <c r="H46" s="102">
        <v>3</v>
      </c>
      <c r="I46" s="102">
        <v>3</v>
      </c>
      <c r="J46" s="102">
        <v>3</v>
      </c>
      <c r="K46" s="102">
        <v>3</v>
      </c>
      <c r="L46" s="102">
        <v>3</v>
      </c>
      <c r="M46" s="102">
        <v>3</v>
      </c>
      <c r="N46" s="102">
        <v>3</v>
      </c>
      <c r="O46" s="102">
        <v>3</v>
      </c>
      <c r="P46" s="102">
        <v>3</v>
      </c>
      <c r="Q46" s="102">
        <v>3</v>
      </c>
      <c r="R46" s="102">
        <v>3</v>
      </c>
      <c r="S46" s="102">
        <v>3</v>
      </c>
      <c r="T46" s="102">
        <v>3</v>
      </c>
      <c r="U46" s="102">
        <v>3</v>
      </c>
      <c r="V46" s="102">
        <v>3</v>
      </c>
      <c r="W46" s="102">
        <v>3</v>
      </c>
      <c r="X46" s="102">
        <v>3</v>
      </c>
      <c r="Y46" s="102">
        <v>3</v>
      </c>
      <c r="Z46" s="102">
        <v>3</v>
      </c>
      <c r="AA46" s="102">
        <v>3</v>
      </c>
      <c r="AB46" s="102">
        <v>3</v>
      </c>
      <c r="AC46" s="102">
        <v>3</v>
      </c>
      <c r="AD46" s="102">
        <v>3</v>
      </c>
      <c r="AE46" s="102">
        <v>3</v>
      </c>
      <c r="AF46" s="102">
        <v>3</v>
      </c>
      <c r="AG46" s="130">
        <v>12</v>
      </c>
      <c r="AH46" s="12">
        <f t="shared" si="8"/>
        <v>3</v>
      </c>
      <c r="AI46" s="11">
        <f t="shared" si="9"/>
        <v>3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25">
      <c r="A47" s="89" t="s">
        <v>220</v>
      </c>
      <c r="B47" s="102">
        <v>3.5</v>
      </c>
      <c r="C47" s="102">
        <v>3.5</v>
      </c>
      <c r="D47" s="102">
        <v>3.5</v>
      </c>
      <c r="E47" s="102">
        <v>4</v>
      </c>
      <c r="F47" s="102">
        <v>4</v>
      </c>
      <c r="G47" s="102">
        <v>4</v>
      </c>
      <c r="H47" s="102">
        <v>4</v>
      </c>
      <c r="I47" s="102">
        <v>4</v>
      </c>
      <c r="J47" s="102">
        <v>4</v>
      </c>
      <c r="K47" s="102">
        <v>4</v>
      </c>
      <c r="L47" s="102">
        <v>4</v>
      </c>
      <c r="M47" s="102">
        <v>4</v>
      </c>
      <c r="N47" s="102">
        <v>4</v>
      </c>
      <c r="O47" s="102">
        <v>4</v>
      </c>
      <c r="P47" s="102">
        <v>4</v>
      </c>
      <c r="Q47" s="102">
        <v>4</v>
      </c>
      <c r="R47" s="102">
        <v>4</v>
      </c>
      <c r="S47" s="102">
        <v>4</v>
      </c>
      <c r="T47" s="102">
        <v>4</v>
      </c>
      <c r="U47" s="102">
        <v>4</v>
      </c>
      <c r="V47" s="102">
        <v>4</v>
      </c>
      <c r="W47" s="102">
        <v>4</v>
      </c>
      <c r="X47" s="102">
        <v>4</v>
      </c>
      <c r="Y47" s="102">
        <v>4</v>
      </c>
      <c r="Z47" s="102">
        <v>4</v>
      </c>
      <c r="AA47" s="102">
        <v>4</v>
      </c>
      <c r="AB47" s="102">
        <v>4</v>
      </c>
      <c r="AC47" s="102">
        <v>4</v>
      </c>
      <c r="AD47" s="102">
        <v>4</v>
      </c>
      <c r="AE47" s="102">
        <v>4</v>
      </c>
      <c r="AF47" s="102">
        <v>4</v>
      </c>
      <c r="AG47" s="129">
        <v>22</v>
      </c>
      <c r="AH47" s="12">
        <f t="shared" si="8"/>
        <v>4</v>
      </c>
      <c r="AI47" s="11">
        <f t="shared" si="9"/>
        <v>3.5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25">
      <c r="A48" s="89" t="s">
        <v>219</v>
      </c>
      <c r="B48" s="102">
        <v>5</v>
      </c>
      <c r="C48" s="102">
        <v>5</v>
      </c>
      <c r="D48" s="102">
        <v>5</v>
      </c>
      <c r="E48" s="102">
        <v>6</v>
      </c>
      <c r="F48" s="102">
        <v>6</v>
      </c>
      <c r="G48" s="102">
        <v>6</v>
      </c>
      <c r="H48" s="102">
        <v>6</v>
      </c>
      <c r="I48" s="102">
        <v>6</v>
      </c>
      <c r="J48" s="102">
        <v>6</v>
      </c>
      <c r="K48" s="102">
        <v>6</v>
      </c>
      <c r="L48" s="102">
        <v>6</v>
      </c>
      <c r="M48" s="102">
        <v>6</v>
      </c>
      <c r="N48" s="102">
        <v>6</v>
      </c>
      <c r="O48" s="102">
        <v>6</v>
      </c>
      <c r="P48" s="102">
        <v>6</v>
      </c>
      <c r="Q48" s="102">
        <v>6</v>
      </c>
      <c r="R48" s="102">
        <v>6</v>
      </c>
      <c r="S48" s="102">
        <v>6</v>
      </c>
      <c r="T48" s="102">
        <v>6</v>
      </c>
      <c r="U48" s="102">
        <v>6</v>
      </c>
      <c r="V48" s="102">
        <v>6</v>
      </c>
      <c r="W48" s="102">
        <v>6</v>
      </c>
      <c r="X48" s="102">
        <v>6</v>
      </c>
      <c r="Y48" s="102">
        <v>6</v>
      </c>
      <c r="Z48" s="102">
        <v>6</v>
      </c>
      <c r="AA48" s="102">
        <v>6</v>
      </c>
      <c r="AB48" s="102">
        <v>6</v>
      </c>
      <c r="AC48" s="102">
        <v>6</v>
      </c>
      <c r="AD48" s="102">
        <v>6</v>
      </c>
      <c r="AE48" s="102">
        <v>6</v>
      </c>
      <c r="AF48" s="102">
        <v>6</v>
      </c>
      <c r="AG48" s="88">
        <v>11.88</v>
      </c>
      <c r="AH48" s="12">
        <f t="shared" si="8"/>
        <v>6</v>
      </c>
      <c r="AI48" s="11">
        <f t="shared" si="9"/>
        <v>5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25">
      <c r="A49" s="87" t="s">
        <v>218</v>
      </c>
      <c r="B49" s="102">
        <v>3</v>
      </c>
      <c r="C49" s="102">
        <v>3</v>
      </c>
      <c r="D49" s="102">
        <v>3</v>
      </c>
      <c r="E49" s="102">
        <v>3</v>
      </c>
      <c r="F49" s="102">
        <v>3</v>
      </c>
      <c r="G49" s="102">
        <v>3</v>
      </c>
      <c r="H49" s="102">
        <v>3</v>
      </c>
      <c r="I49" s="102">
        <v>3</v>
      </c>
      <c r="J49" s="102">
        <v>3</v>
      </c>
      <c r="K49" s="102">
        <v>3</v>
      </c>
      <c r="L49" s="102">
        <v>3</v>
      </c>
      <c r="M49" s="102">
        <v>3</v>
      </c>
      <c r="N49" s="102">
        <v>3</v>
      </c>
      <c r="O49" s="102">
        <v>3</v>
      </c>
      <c r="P49" s="102">
        <v>3</v>
      </c>
      <c r="Q49" s="102">
        <v>3</v>
      </c>
      <c r="R49" s="102">
        <v>3</v>
      </c>
      <c r="S49" s="102">
        <v>3</v>
      </c>
      <c r="T49" s="102">
        <v>3</v>
      </c>
      <c r="U49" s="102">
        <v>3</v>
      </c>
      <c r="V49" s="102">
        <v>3</v>
      </c>
      <c r="W49" s="102">
        <v>3</v>
      </c>
      <c r="X49" s="102">
        <v>3</v>
      </c>
      <c r="Y49" s="102">
        <v>3</v>
      </c>
      <c r="Z49" s="102">
        <v>3</v>
      </c>
      <c r="AA49" s="102">
        <v>3</v>
      </c>
      <c r="AB49" s="102">
        <v>3</v>
      </c>
      <c r="AC49" s="102">
        <v>3</v>
      </c>
      <c r="AD49" s="102">
        <v>3</v>
      </c>
      <c r="AE49" s="102">
        <v>3</v>
      </c>
      <c r="AF49" s="102">
        <v>3</v>
      </c>
      <c r="AG49" s="86">
        <v>11</v>
      </c>
      <c r="AH49" s="12">
        <f t="shared" si="8"/>
        <v>3</v>
      </c>
      <c r="AI49" s="11">
        <f t="shared" si="9"/>
        <v>3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25">
      <c r="A50" s="87" t="s">
        <v>217</v>
      </c>
      <c r="B50" s="102">
        <v>2.2000000000000002</v>
      </c>
      <c r="C50" s="102">
        <v>2.2000000000000002</v>
      </c>
      <c r="D50" s="102">
        <v>2.2000000000000002</v>
      </c>
      <c r="E50" s="102">
        <v>2.2000000000000002</v>
      </c>
      <c r="F50" s="102">
        <v>2.2000000000000002</v>
      </c>
      <c r="G50" s="102">
        <v>2.2000000000000002</v>
      </c>
      <c r="H50" s="102">
        <v>2.2000000000000002</v>
      </c>
      <c r="I50" s="102">
        <v>2.2000000000000002</v>
      </c>
      <c r="J50" s="102">
        <v>2.2000000000000002</v>
      </c>
      <c r="K50" s="102">
        <v>2.2000000000000002</v>
      </c>
      <c r="L50" s="102">
        <v>2.2000000000000002</v>
      </c>
      <c r="M50" s="102">
        <v>2.2000000000000002</v>
      </c>
      <c r="N50" s="102">
        <v>2.2000000000000002</v>
      </c>
      <c r="O50" s="102">
        <v>2.2000000000000002</v>
      </c>
      <c r="P50" s="102">
        <v>2.2000000000000002</v>
      </c>
      <c r="Q50" s="102">
        <v>2.2000000000000002</v>
      </c>
      <c r="R50" s="102">
        <v>2.2000000000000002</v>
      </c>
      <c r="S50" s="102">
        <v>2.2000000000000002</v>
      </c>
      <c r="T50" s="102">
        <v>2.2000000000000002</v>
      </c>
      <c r="U50" s="102">
        <v>2.2000000000000002</v>
      </c>
      <c r="V50" s="102">
        <v>2.2000000000000002</v>
      </c>
      <c r="W50" s="102">
        <v>2.2000000000000002</v>
      </c>
      <c r="X50" s="102">
        <v>2.2000000000000002</v>
      </c>
      <c r="Y50" s="102">
        <v>2.2000000000000002</v>
      </c>
      <c r="Z50" s="102">
        <v>2.2000000000000002</v>
      </c>
      <c r="AA50" s="102">
        <v>2.2000000000000002</v>
      </c>
      <c r="AB50" s="102">
        <v>2.2000000000000002</v>
      </c>
      <c r="AC50" s="102">
        <v>2.2000000000000002</v>
      </c>
      <c r="AD50" s="102">
        <v>2.2000000000000002</v>
      </c>
      <c r="AE50" s="102">
        <v>2.2000000000000002</v>
      </c>
      <c r="AF50" s="102">
        <v>2.2000000000000002</v>
      </c>
      <c r="AG50" s="86">
        <v>11</v>
      </c>
      <c r="AH50" s="12">
        <f t="shared" si="8"/>
        <v>2.2000000000000002</v>
      </c>
      <c r="AI50" s="11">
        <f t="shared" si="9"/>
        <v>2.2000000000000002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25">
      <c r="A51" s="87" t="s">
        <v>216</v>
      </c>
      <c r="B51" s="102">
        <v>1.6</v>
      </c>
      <c r="C51" s="102">
        <v>1.6</v>
      </c>
      <c r="D51" s="102">
        <v>1.6</v>
      </c>
      <c r="E51" s="102">
        <v>1.8</v>
      </c>
      <c r="F51" s="102">
        <v>1.8</v>
      </c>
      <c r="G51" s="102">
        <v>1.8</v>
      </c>
      <c r="H51" s="102">
        <v>1.8</v>
      </c>
      <c r="I51" s="102">
        <v>1.8</v>
      </c>
      <c r="J51" s="102">
        <v>1.8</v>
      </c>
      <c r="K51" s="102">
        <v>1.8</v>
      </c>
      <c r="L51" s="102">
        <v>1.8</v>
      </c>
      <c r="M51" s="102">
        <v>1.8</v>
      </c>
      <c r="N51" s="102">
        <v>1.8</v>
      </c>
      <c r="O51" s="102">
        <v>1.8</v>
      </c>
      <c r="P51" s="102">
        <v>1.8</v>
      </c>
      <c r="Q51" s="102">
        <v>1.8</v>
      </c>
      <c r="R51" s="102">
        <v>1.8</v>
      </c>
      <c r="S51" s="102">
        <v>1.8</v>
      </c>
      <c r="T51" s="102">
        <v>1.8</v>
      </c>
      <c r="U51" s="102">
        <v>1.8</v>
      </c>
      <c r="V51" s="102">
        <v>1.8</v>
      </c>
      <c r="W51" s="102">
        <v>1.8</v>
      </c>
      <c r="X51" s="102">
        <v>1.8</v>
      </c>
      <c r="Y51" s="102">
        <v>1.8</v>
      </c>
      <c r="Z51" s="102">
        <v>1.8</v>
      </c>
      <c r="AA51" s="102">
        <v>1.8</v>
      </c>
      <c r="AB51" s="102">
        <v>1.8</v>
      </c>
      <c r="AC51" s="102">
        <v>1.8</v>
      </c>
      <c r="AD51" s="102">
        <v>1.8</v>
      </c>
      <c r="AE51" s="102">
        <v>1.8</v>
      </c>
      <c r="AF51" s="102">
        <v>1.8</v>
      </c>
      <c r="AG51" s="86">
        <v>11</v>
      </c>
      <c r="AH51" s="12">
        <f t="shared" si="8"/>
        <v>1.8</v>
      </c>
      <c r="AI51" s="11">
        <f t="shared" si="9"/>
        <v>1.6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25">
      <c r="A52" s="87" t="s">
        <v>215</v>
      </c>
      <c r="B52" s="102">
        <v>5</v>
      </c>
      <c r="C52" s="102">
        <v>5</v>
      </c>
      <c r="D52" s="102">
        <v>5</v>
      </c>
      <c r="E52" s="102">
        <v>6</v>
      </c>
      <c r="F52" s="102">
        <v>6</v>
      </c>
      <c r="G52" s="102">
        <v>6</v>
      </c>
      <c r="H52" s="102">
        <v>6</v>
      </c>
      <c r="I52" s="102">
        <v>6</v>
      </c>
      <c r="J52" s="102">
        <v>6</v>
      </c>
      <c r="K52" s="102">
        <v>6</v>
      </c>
      <c r="L52" s="102">
        <v>6</v>
      </c>
      <c r="M52" s="102">
        <v>6</v>
      </c>
      <c r="N52" s="102">
        <v>6</v>
      </c>
      <c r="O52" s="102">
        <v>6</v>
      </c>
      <c r="P52" s="102">
        <v>6</v>
      </c>
      <c r="Q52" s="102">
        <v>6</v>
      </c>
      <c r="R52" s="102">
        <v>6</v>
      </c>
      <c r="S52" s="102">
        <v>6</v>
      </c>
      <c r="T52" s="102">
        <v>6</v>
      </c>
      <c r="U52" s="102">
        <v>6</v>
      </c>
      <c r="V52" s="102">
        <v>6</v>
      </c>
      <c r="W52" s="102">
        <v>6</v>
      </c>
      <c r="X52" s="102">
        <v>6</v>
      </c>
      <c r="Y52" s="102">
        <v>6</v>
      </c>
      <c r="Z52" s="102">
        <v>6</v>
      </c>
      <c r="AA52" s="102">
        <v>6</v>
      </c>
      <c r="AB52" s="102">
        <v>6</v>
      </c>
      <c r="AC52" s="102">
        <v>6</v>
      </c>
      <c r="AD52" s="102">
        <v>6</v>
      </c>
      <c r="AE52" s="102">
        <v>6</v>
      </c>
      <c r="AF52" s="102">
        <v>6</v>
      </c>
      <c r="AG52" s="86">
        <v>10</v>
      </c>
      <c r="AH52" s="12">
        <f t="shared" si="8"/>
        <v>6</v>
      </c>
      <c r="AI52" s="11">
        <f t="shared" si="9"/>
        <v>5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25">
      <c r="A53" s="87" t="s">
        <v>214</v>
      </c>
      <c r="B53" s="102">
        <v>5</v>
      </c>
      <c r="C53" s="102">
        <v>5</v>
      </c>
      <c r="D53" s="102">
        <v>5</v>
      </c>
      <c r="E53" s="102">
        <v>5</v>
      </c>
      <c r="F53" s="102">
        <v>5</v>
      </c>
      <c r="G53" s="102">
        <v>5</v>
      </c>
      <c r="H53" s="102">
        <v>5</v>
      </c>
      <c r="I53" s="102">
        <v>5</v>
      </c>
      <c r="J53" s="102">
        <v>5</v>
      </c>
      <c r="K53" s="102">
        <v>5</v>
      </c>
      <c r="L53" s="102">
        <v>5</v>
      </c>
      <c r="M53" s="102">
        <v>5</v>
      </c>
      <c r="N53" s="102">
        <v>5</v>
      </c>
      <c r="O53" s="102">
        <v>5</v>
      </c>
      <c r="P53" s="102">
        <v>5</v>
      </c>
      <c r="Q53" s="102">
        <v>5</v>
      </c>
      <c r="R53" s="102">
        <v>5</v>
      </c>
      <c r="S53" s="102">
        <v>5</v>
      </c>
      <c r="T53" s="102">
        <v>5</v>
      </c>
      <c r="U53" s="102">
        <v>5</v>
      </c>
      <c r="V53" s="102">
        <v>5</v>
      </c>
      <c r="W53" s="102">
        <v>5</v>
      </c>
      <c r="X53" s="102">
        <v>5</v>
      </c>
      <c r="Y53" s="102">
        <v>5</v>
      </c>
      <c r="Z53" s="102">
        <v>5</v>
      </c>
      <c r="AA53" s="102">
        <v>5</v>
      </c>
      <c r="AB53" s="102">
        <v>5</v>
      </c>
      <c r="AC53" s="102">
        <v>5</v>
      </c>
      <c r="AD53" s="102">
        <v>5</v>
      </c>
      <c r="AE53" s="102">
        <v>5</v>
      </c>
      <c r="AF53" s="102">
        <v>5</v>
      </c>
      <c r="AG53" s="86">
        <v>10</v>
      </c>
      <c r="AH53" s="12">
        <f t="shared" si="8"/>
        <v>5</v>
      </c>
      <c r="AI53" s="11">
        <f t="shared" si="9"/>
        <v>5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25">
      <c r="A54" s="87" t="s">
        <v>213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Z54" s="102">
        <v>0</v>
      </c>
      <c r="AA54" s="102">
        <v>0</v>
      </c>
      <c r="AB54" s="102">
        <v>0</v>
      </c>
      <c r="AC54" s="102">
        <v>0</v>
      </c>
      <c r="AD54" s="102">
        <v>0</v>
      </c>
      <c r="AE54" s="102">
        <v>0</v>
      </c>
      <c r="AF54" s="102">
        <v>0</v>
      </c>
      <c r="AG54" s="86">
        <v>10</v>
      </c>
      <c r="AH54" s="12">
        <f t="shared" si="8"/>
        <v>0</v>
      </c>
      <c r="AI54" s="11">
        <f t="shared" si="9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25">
      <c r="A55" s="87" t="s">
        <v>212</v>
      </c>
      <c r="B55" s="102">
        <v>0</v>
      </c>
      <c r="C55" s="102">
        <v>0</v>
      </c>
      <c r="D55" s="102">
        <v>0</v>
      </c>
      <c r="E55" s="102">
        <v>0</v>
      </c>
      <c r="F55" s="102">
        <v>0</v>
      </c>
      <c r="G55" s="102">
        <v>0</v>
      </c>
      <c r="H55" s="102">
        <v>0</v>
      </c>
      <c r="I55" s="102">
        <v>0</v>
      </c>
      <c r="J55" s="102">
        <v>0</v>
      </c>
      <c r="K55" s="102">
        <v>0</v>
      </c>
      <c r="L55" s="102">
        <v>0</v>
      </c>
      <c r="M55" s="102">
        <v>0</v>
      </c>
      <c r="N55" s="102">
        <v>0</v>
      </c>
      <c r="O55" s="102">
        <v>0</v>
      </c>
      <c r="P55" s="102">
        <v>0</v>
      </c>
      <c r="Q55" s="102">
        <v>0</v>
      </c>
      <c r="R55" s="102">
        <v>0</v>
      </c>
      <c r="S55" s="102">
        <v>0</v>
      </c>
      <c r="T55" s="102">
        <v>0</v>
      </c>
      <c r="U55" s="102">
        <v>0</v>
      </c>
      <c r="V55" s="102">
        <v>0</v>
      </c>
      <c r="W55" s="102">
        <v>0</v>
      </c>
      <c r="X55" s="102">
        <v>0</v>
      </c>
      <c r="Y55" s="102">
        <v>0</v>
      </c>
      <c r="Z55" s="102">
        <v>0</v>
      </c>
      <c r="AA55" s="102">
        <v>0</v>
      </c>
      <c r="AB55" s="102">
        <v>0</v>
      </c>
      <c r="AC55" s="102">
        <v>0</v>
      </c>
      <c r="AD55" s="102">
        <v>0</v>
      </c>
      <c r="AE55" s="102">
        <v>0</v>
      </c>
      <c r="AF55" s="102">
        <v>0</v>
      </c>
      <c r="AG55" s="86">
        <v>10</v>
      </c>
      <c r="AH55" s="12">
        <f t="shared" si="8"/>
        <v>0</v>
      </c>
      <c r="AI55" s="11">
        <f t="shared" si="9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25">
      <c r="A56" s="114" t="s">
        <v>211</v>
      </c>
      <c r="B56" s="122">
        <v>200</v>
      </c>
      <c r="C56" s="122">
        <v>200</v>
      </c>
      <c r="D56" s="122">
        <v>200</v>
      </c>
      <c r="E56" s="122">
        <v>200</v>
      </c>
      <c r="F56" s="122">
        <v>200</v>
      </c>
      <c r="G56" s="122">
        <v>200</v>
      </c>
      <c r="H56" s="122">
        <v>200</v>
      </c>
      <c r="I56" s="122">
        <v>200</v>
      </c>
      <c r="J56" s="122">
        <v>200</v>
      </c>
      <c r="K56" s="122">
        <v>200</v>
      </c>
      <c r="L56" s="122">
        <v>200</v>
      </c>
      <c r="M56" s="122">
        <v>200</v>
      </c>
      <c r="N56" s="122">
        <v>200</v>
      </c>
      <c r="O56" s="122">
        <v>200</v>
      </c>
      <c r="P56" s="122">
        <v>200</v>
      </c>
      <c r="Q56" s="122">
        <v>200</v>
      </c>
      <c r="R56" s="122">
        <v>200</v>
      </c>
      <c r="S56" s="122">
        <v>200</v>
      </c>
      <c r="T56" s="122">
        <v>200</v>
      </c>
      <c r="U56" s="122">
        <v>200</v>
      </c>
      <c r="V56" s="122">
        <v>200</v>
      </c>
      <c r="W56" s="122">
        <v>200</v>
      </c>
      <c r="X56" s="122">
        <v>200</v>
      </c>
      <c r="Y56" s="122">
        <v>200</v>
      </c>
      <c r="Z56" s="122">
        <v>200</v>
      </c>
      <c r="AA56" s="122">
        <v>200</v>
      </c>
      <c r="AB56" s="122">
        <v>200</v>
      </c>
      <c r="AC56" s="122">
        <v>200</v>
      </c>
      <c r="AD56" s="122">
        <v>200</v>
      </c>
      <c r="AE56" s="122">
        <v>200</v>
      </c>
      <c r="AF56" s="122">
        <v>200</v>
      </c>
      <c r="AG56" s="86">
        <v>85</v>
      </c>
      <c r="AH56" s="12">
        <f t="shared" si="8"/>
        <v>200</v>
      </c>
      <c r="AI56" s="11">
        <f t="shared" si="9"/>
        <v>200</v>
      </c>
      <c r="AK56" s="19"/>
    </row>
    <row r="57" spans="1:88" ht="15.75" thickBot="1" x14ac:dyDescent="0.3">
      <c r="A57" s="124" t="s">
        <v>210</v>
      </c>
      <c r="B57" s="122">
        <v>99.9</v>
      </c>
      <c r="C57" s="122">
        <v>99.9</v>
      </c>
      <c r="D57" s="122">
        <v>99.9</v>
      </c>
      <c r="E57" s="122">
        <v>81</v>
      </c>
      <c r="F57" s="122">
        <v>81</v>
      </c>
      <c r="G57" s="122">
        <v>81</v>
      </c>
      <c r="H57" s="122">
        <v>81</v>
      </c>
      <c r="I57" s="122">
        <v>81</v>
      </c>
      <c r="J57" s="122">
        <v>70</v>
      </c>
      <c r="K57" s="122">
        <v>66</v>
      </c>
      <c r="L57" s="122">
        <v>66</v>
      </c>
      <c r="M57" s="122">
        <f>22.6+39.8</f>
        <v>62.4</v>
      </c>
      <c r="N57" s="123">
        <f>33.1+14.6</f>
        <v>47.7</v>
      </c>
      <c r="O57" s="123">
        <f>40.6+23.7</f>
        <v>64.3</v>
      </c>
      <c r="P57" s="123">
        <f>38.5+23</f>
        <v>61.5</v>
      </c>
      <c r="Q57" s="123">
        <v>62.5</v>
      </c>
      <c r="R57" s="123">
        <f>21.2+35.7</f>
        <v>56.900000000000006</v>
      </c>
      <c r="S57" s="123">
        <f>21.2+35.7</f>
        <v>56.900000000000006</v>
      </c>
      <c r="T57" s="123">
        <v>58</v>
      </c>
      <c r="U57" s="123">
        <v>57</v>
      </c>
      <c r="V57" s="123">
        <v>60</v>
      </c>
      <c r="W57" s="123">
        <v>66</v>
      </c>
      <c r="X57" s="123">
        <v>66</v>
      </c>
      <c r="Y57" s="123">
        <v>68</v>
      </c>
      <c r="Z57" s="122">
        <v>68.5</v>
      </c>
      <c r="AA57" s="122">
        <v>73</v>
      </c>
      <c r="AB57" s="122">
        <v>73</v>
      </c>
      <c r="AC57" s="122">
        <f>28.1+48</f>
        <v>76.099999999999994</v>
      </c>
      <c r="AD57" s="122">
        <f>27.9+47.3</f>
        <v>75.199999999999989</v>
      </c>
      <c r="AE57" s="122">
        <f>27.3+46.1</f>
        <v>73.400000000000006</v>
      </c>
      <c r="AF57" s="122">
        <f>28.2+45.1</f>
        <v>73.3</v>
      </c>
      <c r="AG57" s="86">
        <v>240</v>
      </c>
      <c r="AH57" s="12">
        <f t="shared" si="8"/>
        <v>99.9</v>
      </c>
      <c r="AI57" s="11">
        <f t="shared" si="9"/>
        <v>47.7</v>
      </c>
      <c r="AK57" s="19"/>
    </row>
    <row r="58" spans="1:88" ht="15.75" thickBot="1" x14ac:dyDescent="0.3">
      <c r="A58" s="121" t="s">
        <v>209</v>
      </c>
      <c r="B58" s="76">
        <f t="shared" ref="B58:AF58" si="22">SUM(B11:B56)</f>
        <v>572</v>
      </c>
      <c r="C58" s="76">
        <f t="shared" si="22"/>
        <v>568</v>
      </c>
      <c r="D58" s="76">
        <f t="shared" si="22"/>
        <v>568</v>
      </c>
      <c r="E58" s="76">
        <f t="shared" si="22"/>
        <v>588</v>
      </c>
      <c r="F58" s="76">
        <f t="shared" si="22"/>
        <v>588</v>
      </c>
      <c r="G58" s="76">
        <f t="shared" si="22"/>
        <v>591.40000000000009</v>
      </c>
      <c r="H58" s="76">
        <f t="shared" si="22"/>
        <v>585.10000000000014</v>
      </c>
      <c r="I58" s="76">
        <f t="shared" si="22"/>
        <v>588.80000000000007</v>
      </c>
      <c r="J58" s="76">
        <f t="shared" si="22"/>
        <v>588</v>
      </c>
      <c r="K58" s="76">
        <f t="shared" si="22"/>
        <v>588.80000000000007</v>
      </c>
      <c r="L58" s="76">
        <f t="shared" si="22"/>
        <v>588</v>
      </c>
      <c r="M58" s="76">
        <f t="shared" si="22"/>
        <v>578.60000000000014</v>
      </c>
      <c r="N58" s="76">
        <f t="shared" si="22"/>
        <v>581.70000000000016</v>
      </c>
      <c r="O58" s="76">
        <f t="shared" si="22"/>
        <v>578.60000000000014</v>
      </c>
      <c r="P58" s="76">
        <f t="shared" si="22"/>
        <v>578.60000000000014</v>
      </c>
      <c r="Q58" s="76">
        <f t="shared" si="22"/>
        <v>578.60000000000014</v>
      </c>
      <c r="R58" s="76">
        <f t="shared" si="22"/>
        <v>566.20000000000005</v>
      </c>
      <c r="S58" s="76">
        <f t="shared" si="22"/>
        <v>568.30000000000007</v>
      </c>
      <c r="T58" s="76">
        <f t="shared" si="22"/>
        <v>569.5</v>
      </c>
      <c r="U58" s="76">
        <f t="shared" si="22"/>
        <v>566.20000000000005</v>
      </c>
      <c r="V58" s="76">
        <f t="shared" si="22"/>
        <v>568.60000000000014</v>
      </c>
      <c r="W58" s="76">
        <f t="shared" si="22"/>
        <v>568.60000000000014</v>
      </c>
      <c r="X58" s="76">
        <f t="shared" si="22"/>
        <v>568.60000000000014</v>
      </c>
      <c r="Y58" s="76">
        <f t="shared" si="22"/>
        <v>571.10000000000014</v>
      </c>
      <c r="Z58" s="76">
        <f t="shared" si="22"/>
        <v>573.40000000000009</v>
      </c>
      <c r="AA58" s="76">
        <f t="shared" si="22"/>
        <v>573.40000000000009</v>
      </c>
      <c r="AB58" s="76">
        <f t="shared" si="22"/>
        <v>573.40000000000009</v>
      </c>
      <c r="AC58" s="76">
        <f t="shared" si="22"/>
        <v>593</v>
      </c>
      <c r="AD58" s="76">
        <f t="shared" si="22"/>
        <v>590.5</v>
      </c>
      <c r="AE58" s="76">
        <f t="shared" si="22"/>
        <v>590.90000000000009</v>
      </c>
      <c r="AF58" s="76">
        <f t="shared" si="22"/>
        <v>592.90000000000009</v>
      </c>
      <c r="AG58" s="93">
        <f>SUM(AG14:AG56)</f>
        <v>1042.4000000000001</v>
      </c>
      <c r="AH58" s="12">
        <f t="shared" si="8"/>
        <v>593</v>
      </c>
      <c r="AI58" s="11">
        <f t="shared" si="9"/>
        <v>566.20000000000005</v>
      </c>
      <c r="AK58" s="19"/>
    </row>
    <row r="59" spans="1:88" x14ac:dyDescent="0.25">
      <c r="A59" s="120" t="s">
        <v>208</v>
      </c>
      <c r="B59" s="102">
        <v>120</v>
      </c>
      <c r="C59" s="102">
        <v>100</v>
      </c>
      <c r="D59" s="102">
        <v>100</v>
      </c>
      <c r="E59" s="102">
        <v>129.69999999999999</v>
      </c>
      <c r="F59" s="102">
        <v>111</v>
      </c>
      <c r="G59" s="102">
        <v>111.7</v>
      </c>
      <c r="H59" s="102">
        <v>150</v>
      </c>
      <c r="I59" s="102">
        <v>150.9</v>
      </c>
      <c r="J59" s="102">
        <v>0</v>
      </c>
      <c r="K59" s="102">
        <v>0</v>
      </c>
      <c r="L59" s="102">
        <v>0</v>
      </c>
      <c r="M59" s="102">
        <v>0</v>
      </c>
      <c r="N59" s="119">
        <v>0</v>
      </c>
      <c r="O59" s="119">
        <v>0</v>
      </c>
      <c r="P59" s="119">
        <v>0</v>
      </c>
      <c r="Q59" s="119">
        <v>0</v>
      </c>
      <c r="R59" s="119">
        <v>76.7</v>
      </c>
      <c r="S59" s="119">
        <v>80.3</v>
      </c>
      <c r="T59" s="119">
        <v>96.3</v>
      </c>
      <c r="U59" s="119">
        <v>96.2</v>
      </c>
      <c r="V59" s="119">
        <v>70.3</v>
      </c>
      <c r="W59" s="102">
        <v>50</v>
      </c>
      <c r="X59" s="102">
        <v>30</v>
      </c>
      <c r="Y59" s="102">
        <v>151</v>
      </c>
      <c r="Z59" s="102">
        <v>422</v>
      </c>
      <c r="AA59" s="102">
        <v>456</v>
      </c>
      <c r="AB59" s="102">
        <v>421.8</v>
      </c>
      <c r="AC59" s="102">
        <v>403.6</v>
      </c>
      <c r="AD59" s="102">
        <v>361</v>
      </c>
      <c r="AE59" s="102">
        <v>259</v>
      </c>
      <c r="AF59" s="102">
        <v>165</v>
      </c>
      <c r="AG59" s="88">
        <v>456</v>
      </c>
      <c r="AH59" s="12">
        <f t="shared" si="8"/>
        <v>456</v>
      </c>
      <c r="AI59" s="11">
        <f t="shared" si="9"/>
        <v>0</v>
      </c>
      <c r="AK59" s="19"/>
    </row>
    <row r="60" spans="1:88" x14ac:dyDescent="0.25">
      <c r="A60" s="118" t="s">
        <v>207</v>
      </c>
      <c r="B60" s="70">
        <v>39</v>
      </c>
      <c r="C60" s="70">
        <v>39</v>
      </c>
      <c r="D60" s="70">
        <v>39</v>
      </c>
      <c r="E60" s="70">
        <v>36.6</v>
      </c>
      <c r="F60" s="70">
        <v>35</v>
      </c>
      <c r="G60" s="70">
        <v>34.4</v>
      </c>
      <c r="H60" s="70">
        <v>34</v>
      </c>
      <c r="I60" s="70">
        <v>33.299999999999997</v>
      </c>
      <c r="J60" s="70">
        <v>32.700000000000003</v>
      </c>
      <c r="K60" s="70">
        <v>31.5</v>
      </c>
      <c r="L60" s="70">
        <v>31.5</v>
      </c>
      <c r="M60" s="70">
        <v>31.5</v>
      </c>
      <c r="N60" s="70">
        <v>31</v>
      </c>
      <c r="O60" s="70">
        <v>31</v>
      </c>
      <c r="P60" s="70">
        <v>31</v>
      </c>
      <c r="Q60" s="70">
        <v>31</v>
      </c>
      <c r="R60" s="70">
        <v>28.4</v>
      </c>
      <c r="S60" s="70">
        <v>26.1</v>
      </c>
      <c r="T60" s="70">
        <v>28.6</v>
      </c>
      <c r="U60" s="70">
        <v>29.3</v>
      </c>
      <c r="V60" s="70">
        <v>28.4</v>
      </c>
      <c r="W60" s="70">
        <v>28.4</v>
      </c>
      <c r="X60" s="70">
        <v>28.4</v>
      </c>
      <c r="Y60" s="70">
        <v>32.9</v>
      </c>
      <c r="Z60" s="70">
        <v>30.4</v>
      </c>
      <c r="AA60" s="70">
        <v>28.4</v>
      </c>
      <c r="AB60" s="70">
        <v>28.4</v>
      </c>
      <c r="AC60" s="70">
        <v>29.5</v>
      </c>
      <c r="AD60" s="70">
        <v>29.7</v>
      </c>
      <c r="AE60" s="70">
        <v>30.6</v>
      </c>
      <c r="AF60" s="70">
        <v>31.7</v>
      </c>
      <c r="AG60" s="86">
        <v>60</v>
      </c>
      <c r="AH60" s="12">
        <f t="shared" si="8"/>
        <v>39</v>
      </c>
      <c r="AI60" s="11">
        <f t="shared" si="9"/>
        <v>26.1</v>
      </c>
      <c r="AK60" s="19"/>
    </row>
    <row r="61" spans="1:88" ht="15.75" thickBot="1" x14ac:dyDescent="0.3">
      <c r="A61" s="117" t="s">
        <v>206</v>
      </c>
      <c r="B61" s="110">
        <v>19.5</v>
      </c>
      <c r="C61" s="110">
        <v>19.5</v>
      </c>
      <c r="D61" s="110">
        <v>19.5</v>
      </c>
      <c r="E61" s="110">
        <v>15.3</v>
      </c>
      <c r="F61" s="110">
        <v>15.3</v>
      </c>
      <c r="G61" s="110">
        <v>15.3</v>
      </c>
      <c r="H61" s="110">
        <v>15.3</v>
      </c>
      <c r="I61" s="110">
        <v>15.3</v>
      </c>
      <c r="J61" s="110">
        <v>15.3</v>
      </c>
      <c r="K61" s="110">
        <v>15.3</v>
      </c>
      <c r="L61" s="110">
        <v>15.3</v>
      </c>
      <c r="M61" s="110">
        <v>15.3</v>
      </c>
      <c r="N61" s="110">
        <v>15.4</v>
      </c>
      <c r="O61" s="110">
        <v>15.4</v>
      </c>
      <c r="P61" s="110">
        <v>15.4</v>
      </c>
      <c r="Q61" s="110">
        <v>15.3</v>
      </c>
      <c r="R61" s="110">
        <v>15.4</v>
      </c>
      <c r="S61" s="110">
        <v>13.7</v>
      </c>
      <c r="T61" s="110">
        <v>13.3</v>
      </c>
      <c r="U61" s="110">
        <v>13.8</v>
      </c>
      <c r="V61" s="110">
        <v>13.8</v>
      </c>
      <c r="W61" s="110">
        <v>13.8</v>
      </c>
      <c r="X61" s="110">
        <v>13.8</v>
      </c>
      <c r="Y61" s="110">
        <v>14</v>
      </c>
      <c r="Z61" s="110">
        <v>13.7</v>
      </c>
      <c r="AA61" s="110">
        <v>17.8</v>
      </c>
      <c r="AB61" s="110">
        <v>17.8</v>
      </c>
      <c r="AC61" s="110">
        <v>17.8</v>
      </c>
      <c r="AD61" s="110">
        <v>17.8</v>
      </c>
      <c r="AE61" s="110">
        <v>17.8</v>
      </c>
      <c r="AF61" s="110">
        <v>17.8</v>
      </c>
      <c r="AG61" s="109">
        <v>22.1</v>
      </c>
      <c r="AH61" s="12">
        <f t="shared" si="8"/>
        <v>19.5</v>
      </c>
      <c r="AI61" s="11">
        <f t="shared" si="9"/>
        <v>13.3</v>
      </c>
      <c r="AK61" s="19"/>
    </row>
    <row r="62" spans="1:88" ht="15.75" thickBot="1" x14ac:dyDescent="0.3">
      <c r="A62" s="116" t="s">
        <v>205</v>
      </c>
      <c r="B62" s="76">
        <f t="shared" ref="B62:AG62" si="23">SUM(B59:B61)</f>
        <v>178.5</v>
      </c>
      <c r="C62" s="76">
        <f t="shared" si="23"/>
        <v>158.5</v>
      </c>
      <c r="D62" s="76">
        <f t="shared" si="23"/>
        <v>158.5</v>
      </c>
      <c r="E62" s="76">
        <f t="shared" si="23"/>
        <v>181.6</v>
      </c>
      <c r="F62" s="76">
        <f t="shared" si="23"/>
        <v>161.30000000000001</v>
      </c>
      <c r="G62" s="76">
        <f t="shared" si="23"/>
        <v>161.4</v>
      </c>
      <c r="H62" s="76">
        <f t="shared" si="23"/>
        <v>199.3</v>
      </c>
      <c r="I62" s="76">
        <f t="shared" si="23"/>
        <v>199.5</v>
      </c>
      <c r="J62" s="76">
        <f t="shared" si="23"/>
        <v>48</v>
      </c>
      <c r="K62" s="76">
        <f t="shared" si="23"/>
        <v>46.8</v>
      </c>
      <c r="L62" s="76">
        <f t="shared" si="23"/>
        <v>46.8</v>
      </c>
      <c r="M62" s="76">
        <f t="shared" ref="M62" si="24">SUM(M59:M61)</f>
        <v>46.8</v>
      </c>
      <c r="N62" s="76">
        <f t="shared" si="23"/>
        <v>46.4</v>
      </c>
      <c r="O62" s="76">
        <f t="shared" si="23"/>
        <v>46.4</v>
      </c>
      <c r="P62" s="76">
        <f t="shared" si="23"/>
        <v>46.4</v>
      </c>
      <c r="Q62" s="76">
        <f t="shared" si="23"/>
        <v>46.3</v>
      </c>
      <c r="R62" s="76">
        <f t="shared" ref="R62" si="25">SUM(R59:R61)</f>
        <v>120.5</v>
      </c>
      <c r="S62" s="76">
        <f t="shared" si="23"/>
        <v>120.10000000000001</v>
      </c>
      <c r="T62" s="76">
        <f t="shared" si="23"/>
        <v>138.20000000000002</v>
      </c>
      <c r="U62" s="76">
        <f t="shared" si="23"/>
        <v>139.30000000000001</v>
      </c>
      <c r="V62" s="76">
        <f t="shared" si="23"/>
        <v>112.49999999999999</v>
      </c>
      <c r="W62" s="76">
        <f t="shared" si="23"/>
        <v>92.2</v>
      </c>
      <c r="X62" s="76">
        <f t="shared" si="23"/>
        <v>72.2</v>
      </c>
      <c r="Y62" s="76">
        <f t="shared" si="23"/>
        <v>197.9</v>
      </c>
      <c r="Z62" s="76">
        <f t="shared" si="23"/>
        <v>466.09999999999997</v>
      </c>
      <c r="AA62" s="76">
        <f t="shared" si="23"/>
        <v>502.2</v>
      </c>
      <c r="AB62" s="76">
        <f t="shared" ref="AB62:AC62" si="26">SUM(AB59:AB61)</f>
        <v>468</v>
      </c>
      <c r="AC62" s="76">
        <f t="shared" si="26"/>
        <v>450.90000000000003</v>
      </c>
      <c r="AD62" s="76">
        <f t="shared" ref="AD62:AE62" si="27">SUM(AD59:AD61)</f>
        <v>408.5</v>
      </c>
      <c r="AE62" s="76">
        <f t="shared" si="27"/>
        <v>307.40000000000003</v>
      </c>
      <c r="AF62" s="76">
        <f t="shared" ref="AF62" si="28">SUM(AF59:AF61)</f>
        <v>214.5</v>
      </c>
      <c r="AG62" s="93">
        <f t="shared" si="23"/>
        <v>538.1</v>
      </c>
      <c r="AH62" s="12">
        <f t="shared" si="8"/>
        <v>502.2</v>
      </c>
      <c r="AI62" s="11">
        <f t="shared" si="9"/>
        <v>46.3</v>
      </c>
      <c r="AK62" s="19"/>
    </row>
    <row r="63" spans="1:88" x14ac:dyDescent="0.25">
      <c r="A63" s="89" t="s">
        <v>204</v>
      </c>
      <c r="B63" s="102">
        <v>60</v>
      </c>
      <c r="C63" s="102">
        <v>60</v>
      </c>
      <c r="D63" s="102">
        <v>60</v>
      </c>
      <c r="E63" s="102">
        <v>29.74</v>
      </c>
      <c r="F63" s="102">
        <v>40.1</v>
      </c>
      <c r="G63" s="102">
        <v>31</v>
      </c>
      <c r="H63" s="102">
        <v>29.6</v>
      </c>
      <c r="I63" s="102">
        <v>79</v>
      </c>
      <c r="J63" s="102">
        <v>63.2</v>
      </c>
      <c r="K63" s="102">
        <v>63.3</v>
      </c>
      <c r="L63" s="102">
        <v>78.900000000000006</v>
      </c>
      <c r="M63" s="102">
        <v>91.4</v>
      </c>
      <c r="N63" s="102">
        <v>95.7</v>
      </c>
      <c r="O63" s="102">
        <v>121.4</v>
      </c>
      <c r="P63" s="102">
        <v>100</v>
      </c>
      <c r="Q63" s="102">
        <v>110</v>
      </c>
      <c r="R63" s="102">
        <v>100.7</v>
      </c>
      <c r="S63" s="102">
        <v>100</v>
      </c>
      <c r="T63" s="102">
        <v>100.8</v>
      </c>
      <c r="U63" s="102">
        <v>101.8</v>
      </c>
      <c r="V63" s="102">
        <v>101.8</v>
      </c>
      <c r="W63" s="102">
        <v>101.8</v>
      </c>
      <c r="X63" s="102">
        <v>91.6</v>
      </c>
      <c r="Y63" s="102">
        <v>115</v>
      </c>
      <c r="Z63" s="102">
        <v>126.21</v>
      </c>
      <c r="AA63" s="102">
        <v>143.80000000000001</v>
      </c>
      <c r="AB63" s="102">
        <v>126.8</v>
      </c>
      <c r="AC63" s="102">
        <v>126</v>
      </c>
      <c r="AD63" s="102">
        <v>126.4</v>
      </c>
      <c r="AE63" s="102">
        <v>125.9</v>
      </c>
      <c r="AF63" s="102">
        <v>100.6</v>
      </c>
      <c r="AG63" s="88">
        <v>144</v>
      </c>
      <c r="AH63" s="12">
        <f t="shared" si="8"/>
        <v>143.80000000000001</v>
      </c>
      <c r="AI63" s="11">
        <f t="shared" si="9"/>
        <v>29.6</v>
      </c>
      <c r="AK63" s="19"/>
    </row>
    <row r="64" spans="1:88" x14ac:dyDescent="0.25">
      <c r="A64" s="87" t="s">
        <v>203</v>
      </c>
      <c r="B64" s="70">
        <v>65</v>
      </c>
      <c r="C64" s="70">
        <v>25</v>
      </c>
      <c r="D64" s="70">
        <v>25</v>
      </c>
      <c r="E64" s="70">
        <v>0</v>
      </c>
      <c r="F64" s="70">
        <v>0</v>
      </c>
      <c r="G64" s="70">
        <v>0</v>
      </c>
      <c r="H64" s="70">
        <v>49.3</v>
      </c>
      <c r="I64" s="70">
        <v>58.4</v>
      </c>
      <c r="J64" s="70">
        <v>60.7</v>
      </c>
      <c r="K64" s="70">
        <v>50</v>
      </c>
      <c r="L64" s="70">
        <v>50</v>
      </c>
      <c r="M64" s="70">
        <v>50.5</v>
      </c>
      <c r="N64" s="70">
        <v>59.7</v>
      </c>
      <c r="O64" s="70">
        <v>70.599999999999994</v>
      </c>
      <c r="P64" s="70">
        <v>55</v>
      </c>
      <c r="Q64" s="70">
        <v>60</v>
      </c>
      <c r="R64" s="70">
        <v>32.5</v>
      </c>
      <c r="S64" s="70">
        <v>32</v>
      </c>
      <c r="T64" s="70">
        <v>32</v>
      </c>
      <c r="U64" s="70">
        <v>34.5</v>
      </c>
      <c r="V64" s="70">
        <v>55.7</v>
      </c>
      <c r="W64" s="70">
        <v>55.7</v>
      </c>
      <c r="X64" s="102">
        <v>46.3</v>
      </c>
      <c r="Y64" s="102">
        <v>49</v>
      </c>
      <c r="Z64" s="102">
        <v>59.5</v>
      </c>
      <c r="AA64" s="102">
        <v>68.599999999999994</v>
      </c>
      <c r="AB64" s="102">
        <v>68.599999999999994</v>
      </c>
      <c r="AC64" s="102">
        <v>66.7</v>
      </c>
      <c r="AD64" s="102">
        <v>67.900000000000006</v>
      </c>
      <c r="AE64" s="102">
        <v>68.2</v>
      </c>
      <c r="AF64" s="102">
        <v>59.1</v>
      </c>
      <c r="AG64" s="86">
        <v>70</v>
      </c>
      <c r="AH64" s="12">
        <f t="shared" si="8"/>
        <v>70.599999999999994</v>
      </c>
      <c r="AI64" s="11">
        <f t="shared" si="9"/>
        <v>0</v>
      </c>
      <c r="AK64" s="19"/>
    </row>
    <row r="65" spans="1:75" x14ac:dyDescent="0.25">
      <c r="A65" s="87" t="s">
        <v>202</v>
      </c>
      <c r="B65" s="70">
        <v>61</v>
      </c>
      <c r="C65" s="70">
        <v>61</v>
      </c>
      <c r="D65" s="70">
        <v>61</v>
      </c>
      <c r="E65" s="70">
        <v>61.2</v>
      </c>
      <c r="F65" s="70">
        <v>61.1</v>
      </c>
      <c r="G65" s="70">
        <v>61.3</v>
      </c>
      <c r="H65" s="70">
        <v>61.1</v>
      </c>
      <c r="I65" s="70">
        <v>61.2</v>
      </c>
      <c r="J65" s="70">
        <v>61.1</v>
      </c>
      <c r="K65" s="70">
        <v>52.6</v>
      </c>
      <c r="L65" s="70">
        <v>58.9</v>
      </c>
      <c r="M65" s="70">
        <v>60.8</v>
      </c>
      <c r="N65" s="70">
        <v>60.5</v>
      </c>
      <c r="O65" s="70">
        <v>68.5</v>
      </c>
      <c r="P65" s="70">
        <v>53</v>
      </c>
      <c r="Q65" s="70">
        <v>53</v>
      </c>
      <c r="R65" s="70">
        <v>34.5</v>
      </c>
      <c r="S65" s="70">
        <v>17</v>
      </c>
      <c r="T65" s="70">
        <v>0</v>
      </c>
      <c r="U65" s="70">
        <v>0</v>
      </c>
      <c r="V65" s="70">
        <v>0</v>
      </c>
      <c r="W65" s="70">
        <v>0</v>
      </c>
      <c r="X65" s="102">
        <v>0</v>
      </c>
      <c r="Y65" s="102">
        <v>52.8</v>
      </c>
      <c r="Z65" s="102">
        <v>62.2</v>
      </c>
      <c r="AA65" s="102">
        <v>69</v>
      </c>
      <c r="AB65" s="102">
        <v>69</v>
      </c>
      <c r="AC65" s="102">
        <v>62.5</v>
      </c>
      <c r="AD65" s="102">
        <v>62.5</v>
      </c>
      <c r="AE65" s="102">
        <v>63.4</v>
      </c>
      <c r="AF65" s="102">
        <v>49.5</v>
      </c>
      <c r="AG65" s="86">
        <v>69</v>
      </c>
      <c r="AH65" s="12">
        <f t="shared" si="8"/>
        <v>69</v>
      </c>
      <c r="AI65" s="11">
        <f t="shared" si="9"/>
        <v>0</v>
      </c>
      <c r="AK65" s="19"/>
    </row>
    <row r="66" spans="1:75" x14ac:dyDescent="0.25">
      <c r="A66" s="87" t="s">
        <v>201</v>
      </c>
      <c r="B66" s="70">
        <v>50.9</v>
      </c>
      <c r="C66" s="70">
        <v>50.9</v>
      </c>
      <c r="D66" s="70">
        <v>50.9</v>
      </c>
      <c r="E66" s="70">
        <v>58.5</v>
      </c>
      <c r="F66" s="70">
        <v>55.2</v>
      </c>
      <c r="G66" s="70">
        <v>55.2</v>
      </c>
      <c r="H66" s="70">
        <v>55.2</v>
      </c>
      <c r="I66" s="70">
        <v>56.2</v>
      </c>
      <c r="J66" s="70">
        <v>56.2</v>
      </c>
      <c r="K66" s="122">
        <v>56.2</v>
      </c>
      <c r="L66" s="122">
        <v>56.2</v>
      </c>
      <c r="M66" s="122">
        <v>56.2</v>
      </c>
      <c r="N66" s="70">
        <v>54.4</v>
      </c>
      <c r="O66" s="70">
        <v>54.4</v>
      </c>
      <c r="P66" s="70">
        <v>52.6</v>
      </c>
      <c r="Q66" s="70">
        <v>52.4</v>
      </c>
      <c r="R66" s="70">
        <v>52.4</v>
      </c>
      <c r="S66" s="70">
        <v>52.6</v>
      </c>
      <c r="T66" s="70">
        <v>54.4</v>
      </c>
      <c r="U66" s="70">
        <v>52.4</v>
      </c>
      <c r="V66" s="70">
        <v>50.4</v>
      </c>
      <c r="W66" s="70">
        <v>50.4</v>
      </c>
      <c r="X66" s="70">
        <v>50.4</v>
      </c>
      <c r="Y66" s="102">
        <v>50.4</v>
      </c>
      <c r="Z66" s="102">
        <v>50.4</v>
      </c>
      <c r="AA66" s="102">
        <v>52.4</v>
      </c>
      <c r="AB66" s="102">
        <v>52.4</v>
      </c>
      <c r="AC66" s="102">
        <v>50.4</v>
      </c>
      <c r="AD66" s="102">
        <v>50.4</v>
      </c>
      <c r="AE66" s="102">
        <v>51.9</v>
      </c>
      <c r="AF66" s="102">
        <v>55.4</v>
      </c>
      <c r="AG66" s="86">
        <v>60</v>
      </c>
      <c r="AH66" s="12">
        <f t="shared" si="8"/>
        <v>58.5</v>
      </c>
      <c r="AI66" s="11">
        <f t="shared" si="9"/>
        <v>50.4</v>
      </c>
      <c r="AK66" s="19"/>
    </row>
    <row r="67" spans="1:75" x14ac:dyDescent="0.25">
      <c r="A67" s="87" t="s">
        <v>200</v>
      </c>
      <c r="B67" s="102">
        <v>10.4</v>
      </c>
      <c r="C67" s="102">
        <v>10.4</v>
      </c>
      <c r="D67" s="102">
        <v>10.4</v>
      </c>
      <c r="E67" s="70">
        <v>0</v>
      </c>
      <c r="F67" s="70">
        <v>0</v>
      </c>
      <c r="G67" s="70">
        <v>14.7</v>
      </c>
      <c r="H67" s="70">
        <v>14.7</v>
      </c>
      <c r="I67" s="70">
        <v>15</v>
      </c>
      <c r="J67" s="70">
        <v>10</v>
      </c>
      <c r="K67" s="70">
        <v>10</v>
      </c>
      <c r="L67" s="122">
        <v>10.199999999999999</v>
      </c>
      <c r="M67" s="122">
        <v>10.9</v>
      </c>
      <c r="N67" s="70">
        <v>15</v>
      </c>
      <c r="O67" s="70">
        <v>10</v>
      </c>
      <c r="P67" s="70">
        <v>10</v>
      </c>
      <c r="Q67" s="70">
        <v>15</v>
      </c>
      <c r="R67" s="70">
        <v>14.6</v>
      </c>
      <c r="S67" s="70">
        <v>25</v>
      </c>
      <c r="T67" s="70">
        <v>24.5</v>
      </c>
      <c r="U67" s="70">
        <v>24</v>
      </c>
      <c r="V67" s="70">
        <v>24</v>
      </c>
      <c r="W67" s="70">
        <v>24</v>
      </c>
      <c r="X67" s="102">
        <v>14.7</v>
      </c>
      <c r="Y67" s="102">
        <v>14.7</v>
      </c>
      <c r="Z67" s="102">
        <v>14.7</v>
      </c>
      <c r="AA67" s="102">
        <v>14.7</v>
      </c>
      <c r="AB67" s="102">
        <v>14.7</v>
      </c>
      <c r="AC67" s="102">
        <v>14.6</v>
      </c>
      <c r="AD67" s="102">
        <v>14.6</v>
      </c>
      <c r="AE67" s="102">
        <v>14.6</v>
      </c>
      <c r="AF67" s="102">
        <v>14.4</v>
      </c>
      <c r="AG67" s="86">
        <v>30</v>
      </c>
      <c r="AH67" s="12">
        <f t="shared" si="8"/>
        <v>25</v>
      </c>
      <c r="AI67" s="11">
        <f t="shared" si="9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25">
      <c r="A68" s="87" t="s">
        <v>199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0.7</v>
      </c>
      <c r="K68" s="102">
        <v>1.6</v>
      </c>
      <c r="L68" s="70">
        <v>3.3</v>
      </c>
      <c r="M68" s="70">
        <v>2.7</v>
      </c>
      <c r="N68" s="70">
        <v>7</v>
      </c>
      <c r="O68" s="70">
        <v>7.2</v>
      </c>
      <c r="P68" s="70">
        <v>8.6</v>
      </c>
      <c r="Q68" s="70">
        <v>13.2</v>
      </c>
      <c r="R68" s="70">
        <v>16.8</v>
      </c>
      <c r="S68" s="70">
        <v>15.4</v>
      </c>
      <c r="T68" s="70">
        <v>9.5</v>
      </c>
      <c r="U68" s="70">
        <v>8</v>
      </c>
      <c r="V68" s="70">
        <v>2.7</v>
      </c>
      <c r="W68" s="70">
        <v>1.5</v>
      </c>
      <c r="X68" s="102">
        <v>0.5</v>
      </c>
      <c r="Y68" s="102">
        <v>0.5</v>
      </c>
      <c r="Z68" s="102">
        <v>0</v>
      </c>
      <c r="AA68" s="102">
        <v>0</v>
      </c>
      <c r="AB68" s="102">
        <v>0</v>
      </c>
      <c r="AC68" s="102">
        <v>0</v>
      </c>
      <c r="AD68" s="102">
        <v>0</v>
      </c>
      <c r="AE68" s="102">
        <v>0</v>
      </c>
      <c r="AF68" s="102">
        <v>0</v>
      </c>
      <c r="AG68" s="86">
        <v>25</v>
      </c>
      <c r="AH68" s="12">
        <f t="shared" si="8"/>
        <v>16.8</v>
      </c>
      <c r="AI68" s="11">
        <f t="shared" si="9"/>
        <v>0</v>
      </c>
      <c r="AK68" s="19"/>
      <c r="AY68" s="1" t="s">
        <v>198</v>
      </c>
      <c r="AZ68" s="78">
        <f>ROUND(C81,0)</f>
        <v>14</v>
      </c>
      <c r="BA68" s="83">
        <f t="shared" ref="BA68:BD72" si="29">D81</f>
        <v>15</v>
      </c>
      <c r="BB68" s="83">
        <f t="shared" si="29"/>
        <v>24.3</v>
      </c>
      <c r="BC68" s="83">
        <f t="shared" si="29"/>
        <v>20.100000000000001</v>
      </c>
      <c r="BD68" s="83">
        <f t="shared" si="29"/>
        <v>37.4</v>
      </c>
      <c r="BE68" s="78">
        <f>I81</f>
        <v>38.200000000000003</v>
      </c>
      <c r="BF68" s="78">
        <f>K81</f>
        <v>63.4</v>
      </c>
      <c r="BG68" s="78">
        <f t="shared" ref="BG68:BP72" si="30">M81</f>
        <v>63.5</v>
      </c>
      <c r="BH68" s="78">
        <f t="shared" si="30"/>
        <v>75</v>
      </c>
      <c r="BI68" s="78">
        <f t="shared" si="30"/>
        <v>72.900000000000006</v>
      </c>
      <c r="BJ68" s="78">
        <f t="shared" si="30"/>
        <v>69</v>
      </c>
      <c r="BK68" s="78">
        <f t="shared" si="30"/>
        <v>60</v>
      </c>
      <c r="BL68" s="78">
        <f t="shared" si="30"/>
        <v>72.7</v>
      </c>
      <c r="BM68" s="78">
        <f t="shared" si="30"/>
        <v>67.400000000000006</v>
      </c>
      <c r="BN68" s="78">
        <f t="shared" si="30"/>
        <v>67.400000000000006</v>
      </c>
      <c r="BO68" s="78">
        <f t="shared" si="30"/>
        <v>67</v>
      </c>
      <c r="BP68" s="78">
        <f t="shared" si="30"/>
        <v>68.2</v>
      </c>
      <c r="BQ68" s="78">
        <f>X81</f>
        <v>64.7</v>
      </c>
      <c r="BR68" s="78">
        <f>Z81</f>
        <v>20.399999999999999</v>
      </c>
      <c r="BS68" s="83">
        <f>AB81</f>
        <v>42.2</v>
      </c>
      <c r="BT68" s="83">
        <f t="shared" ref="BT68:BV72" si="31">AD81</f>
        <v>37.200000000000003</v>
      </c>
      <c r="BU68" s="83">
        <f t="shared" si="31"/>
        <v>33.6</v>
      </c>
      <c r="BV68" s="83">
        <f t="shared" si="31"/>
        <v>27</v>
      </c>
      <c r="BW68" s="83">
        <f>B81</f>
        <v>14.9</v>
      </c>
    </row>
    <row r="69" spans="1:75" x14ac:dyDescent="0.25">
      <c r="A69" s="87" t="s">
        <v>197</v>
      </c>
      <c r="B69" s="70">
        <v>13.6</v>
      </c>
      <c r="C69" s="70">
        <v>13.6</v>
      </c>
      <c r="D69" s="70">
        <v>13.6</v>
      </c>
      <c r="E69" s="70">
        <v>13.5</v>
      </c>
      <c r="F69" s="70">
        <v>13.5</v>
      </c>
      <c r="G69" s="70">
        <v>13.5</v>
      </c>
      <c r="H69" s="70">
        <v>13.5</v>
      </c>
      <c r="I69" s="70">
        <v>13.5</v>
      </c>
      <c r="J69" s="70">
        <v>13.5</v>
      </c>
      <c r="K69" s="70">
        <v>13.5</v>
      </c>
      <c r="L69" s="70">
        <v>13.5</v>
      </c>
      <c r="M69" s="70">
        <v>13.5</v>
      </c>
      <c r="N69" s="70">
        <v>13.5</v>
      </c>
      <c r="O69" s="70">
        <v>13.5</v>
      </c>
      <c r="P69" s="70">
        <v>13.5</v>
      </c>
      <c r="Q69" s="70">
        <v>13.5</v>
      </c>
      <c r="R69" s="70">
        <v>13.4</v>
      </c>
      <c r="S69" s="70">
        <v>13.4</v>
      </c>
      <c r="T69" s="70">
        <v>13.4</v>
      </c>
      <c r="U69" s="70">
        <v>9.3000000000000007</v>
      </c>
      <c r="V69" s="70">
        <v>14.1</v>
      </c>
      <c r="W69" s="70">
        <v>14.1</v>
      </c>
      <c r="X69" s="70">
        <v>14.1</v>
      </c>
      <c r="Y69" s="70">
        <v>14.1</v>
      </c>
      <c r="Z69" s="70">
        <v>14.1</v>
      </c>
      <c r="AA69" s="70">
        <v>14.1</v>
      </c>
      <c r="AB69" s="70">
        <v>14.1</v>
      </c>
      <c r="AC69" s="70">
        <v>14</v>
      </c>
      <c r="AD69" s="70">
        <v>14</v>
      </c>
      <c r="AE69" s="70">
        <v>14.1</v>
      </c>
      <c r="AF69" s="70">
        <v>14.1</v>
      </c>
      <c r="AG69" s="86">
        <v>24</v>
      </c>
      <c r="AH69" s="12">
        <f t="shared" si="8"/>
        <v>14.1</v>
      </c>
      <c r="AI69" s="11">
        <f t="shared" si="9"/>
        <v>9.3000000000000007</v>
      </c>
      <c r="AK69" s="19"/>
      <c r="AY69" s="1" t="s">
        <v>196</v>
      </c>
      <c r="AZ69" s="78">
        <f>ROUND(C82,0)</f>
        <v>0</v>
      </c>
      <c r="BA69" s="83">
        <f t="shared" si="29"/>
        <v>0</v>
      </c>
      <c r="BB69" s="83">
        <f t="shared" si="29"/>
        <v>0</v>
      </c>
      <c r="BC69" s="83">
        <f t="shared" si="29"/>
        <v>0</v>
      </c>
      <c r="BD69" s="83">
        <f t="shared" si="29"/>
        <v>0</v>
      </c>
      <c r="BE69" s="78">
        <f>I82</f>
        <v>0</v>
      </c>
      <c r="BF69" s="78">
        <f>K82</f>
        <v>0</v>
      </c>
      <c r="BG69" s="78">
        <f t="shared" si="30"/>
        <v>0</v>
      </c>
      <c r="BH69" s="78">
        <f t="shared" si="30"/>
        <v>0</v>
      </c>
      <c r="BI69" s="78">
        <f t="shared" si="30"/>
        <v>0</v>
      </c>
      <c r="BJ69" s="78">
        <f t="shared" si="30"/>
        <v>0</v>
      </c>
      <c r="BK69" s="78">
        <f t="shared" si="30"/>
        <v>0</v>
      </c>
      <c r="BL69" s="78">
        <f t="shared" si="30"/>
        <v>0</v>
      </c>
      <c r="BM69" s="78">
        <f t="shared" si="30"/>
        <v>0</v>
      </c>
      <c r="BN69" s="78">
        <f t="shared" si="30"/>
        <v>103.7</v>
      </c>
      <c r="BO69" s="78">
        <f t="shared" si="30"/>
        <v>91.6</v>
      </c>
      <c r="BP69" s="78">
        <f t="shared" si="30"/>
        <v>84.9</v>
      </c>
      <c r="BQ69" s="78">
        <f>X82</f>
        <v>67</v>
      </c>
      <c r="BR69" s="78">
        <f>Z82</f>
        <v>0</v>
      </c>
      <c r="BS69" s="83">
        <f>AB82</f>
        <v>0</v>
      </c>
      <c r="BT69" s="83">
        <f t="shared" si="31"/>
        <v>0</v>
      </c>
      <c r="BU69" s="83">
        <f t="shared" si="31"/>
        <v>0</v>
      </c>
      <c r="BV69" s="83">
        <f t="shared" si="31"/>
        <v>0</v>
      </c>
      <c r="BW69" s="83">
        <f>B82</f>
        <v>0</v>
      </c>
    </row>
    <row r="70" spans="1:75" x14ac:dyDescent="0.25">
      <c r="A70" s="87" t="s">
        <v>195</v>
      </c>
      <c r="B70" s="70">
        <v>0</v>
      </c>
      <c r="C70" s="70">
        <v>0</v>
      </c>
      <c r="D70" s="70">
        <v>0</v>
      </c>
      <c r="E70" s="70">
        <v>0</v>
      </c>
      <c r="F70" s="70">
        <v>0</v>
      </c>
      <c r="G70" s="70">
        <v>0</v>
      </c>
      <c r="H70" s="70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0</v>
      </c>
      <c r="P70" s="70">
        <v>0</v>
      </c>
      <c r="Q70" s="70">
        <v>0</v>
      </c>
      <c r="R70" s="70">
        <v>0</v>
      </c>
      <c r="S70" s="70">
        <v>0</v>
      </c>
      <c r="T70" s="70">
        <v>0</v>
      </c>
      <c r="U70" s="70">
        <v>0</v>
      </c>
      <c r="V70" s="70">
        <v>0</v>
      </c>
      <c r="W70" s="70">
        <v>0</v>
      </c>
      <c r="X70" s="70">
        <v>0</v>
      </c>
      <c r="Y70" s="70">
        <v>0</v>
      </c>
      <c r="Z70" s="70">
        <v>0</v>
      </c>
      <c r="AA70" s="70">
        <v>0</v>
      </c>
      <c r="AB70" s="70">
        <v>0</v>
      </c>
      <c r="AC70" s="70">
        <v>0</v>
      </c>
      <c r="AD70" s="70">
        <v>0</v>
      </c>
      <c r="AE70" s="70">
        <v>0</v>
      </c>
      <c r="AF70" s="70">
        <v>0</v>
      </c>
      <c r="AG70" s="86">
        <v>15</v>
      </c>
      <c r="AH70" s="12">
        <f t="shared" si="8"/>
        <v>0</v>
      </c>
      <c r="AI70" s="11">
        <f t="shared" si="9"/>
        <v>0</v>
      </c>
      <c r="AK70" s="19"/>
      <c r="AL70" s="115"/>
      <c r="AO70" s="115"/>
      <c r="AY70" s="1" t="s">
        <v>194</v>
      </c>
      <c r="AZ70" s="78">
        <f>ROUND(C83,0)</f>
        <v>85</v>
      </c>
      <c r="BA70" s="83">
        <f t="shared" si="29"/>
        <v>54</v>
      </c>
      <c r="BB70" s="83">
        <f t="shared" si="29"/>
        <v>88.8</v>
      </c>
      <c r="BC70" s="83">
        <f t="shared" si="29"/>
        <v>115.4</v>
      </c>
      <c r="BD70" s="83">
        <f t="shared" si="29"/>
        <v>123.5</v>
      </c>
      <c r="BE70" s="78">
        <f>I83</f>
        <v>106</v>
      </c>
      <c r="BF70" s="78">
        <f>K83</f>
        <v>326</v>
      </c>
      <c r="BG70" s="78">
        <f t="shared" si="30"/>
        <v>298.39999999999998</v>
      </c>
      <c r="BH70" s="78">
        <f t="shared" si="30"/>
        <v>304.89999999999998</v>
      </c>
      <c r="BI70" s="78">
        <f t="shared" si="30"/>
        <v>278</v>
      </c>
      <c r="BJ70" s="78">
        <f t="shared" si="30"/>
        <v>361</v>
      </c>
      <c r="BK70" s="78">
        <f t="shared" si="30"/>
        <v>295</v>
      </c>
      <c r="BL70" s="78">
        <f t="shared" si="30"/>
        <v>301</v>
      </c>
      <c r="BM70" s="78">
        <f t="shared" si="30"/>
        <v>322</v>
      </c>
      <c r="BN70" s="78">
        <f t="shared" si="30"/>
        <v>292.89999999999998</v>
      </c>
      <c r="BO70" s="78">
        <f t="shared" si="30"/>
        <v>341.3</v>
      </c>
      <c r="BP70" s="78">
        <f t="shared" si="30"/>
        <v>301.89999999999998</v>
      </c>
      <c r="BQ70" s="78">
        <f>X83</f>
        <v>292</v>
      </c>
      <c r="BR70" s="78">
        <f>Z83</f>
        <v>53</v>
      </c>
      <c r="BS70" s="83">
        <f>AB83</f>
        <v>59.9</v>
      </c>
      <c r="BT70" s="83">
        <f t="shared" si="31"/>
        <v>14.5</v>
      </c>
      <c r="BU70" s="83">
        <f t="shared" si="31"/>
        <v>0</v>
      </c>
      <c r="BV70" s="83">
        <f t="shared" si="31"/>
        <v>5</v>
      </c>
      <c r="BW70" s="83">
        <f>B83</f>
        <v>32.5</v>
      </c>
    </row>
    <row r="71" spans="1:75" s="115" customFormat="1" x14ac:dyDescent="0.25">
      <c r="A71" s="87" t="s">
        <v>193</v>
      </c>
      <c r="B71" s="70">
        <v>10.6</v>
      </c>
      <c r="C71" s="70">
        <v>10.6</v>
      </c>
      <c r="D71" s="70">
        <v>10.6</v>
      </c>
      <c r="E71" s="70">
        <v>11.6</v>
      </c>
      <c r="F71" s="70">
        <v>11.6</v>
      </c>
      <c r="G71" s="70">
        <v>11.6</v>
      </c>
      <c r="H71" s="70">
        <v>11.6</v>
      </c>
      <c r="I71" s="70">
        <v>11.6</v>
      </c>
      <c r="J71" s="70">
        <v>11.6</v>
      </c>
      <c r="K71" s="70">
        <v>11.6</v>
      </c>
      <c r="L71" s="70">
        <v>11.6</v>
      </c>
      <c r="M71" s="70">
        <v>11</v>
      </c>
      <c r="N71" s="70">
        <v>11</v>
      </c>
      <c r="O71" s="70">
        <v>11</v>
      </c>
      <c r="P71" s="70">
        <v>11</v>
      </c>
      <c r="Q71" s="70">
        <v>11</v>
      </c>
      <c r="R71" s="70">
        <v>10.3</v>
      </c>
      <c r="S71" s="70">
        <v>10.3</v>
      </c>
      <c r="T71" s="70">
        <v>10.3</v>
      </c>
      <c r="U71" s="70">
        <v>10</v>
      </c>
      <c r="V71" s="70">
        <v>10</v>
      </c>
      <c r="W71" s="70">
        <v>10</v>
      </c>
      <c r="X71" s="70">
        <v>10</v>
      </c>
      <c r="Y71" s="70">
        <v>10</v>
      </c>
      <c r="Z71" s="70">
        <v>10</v>
      </c>
      <c r="AA71" s="70">
        <v>10</v>
      </c>
      <c r="AB71" s="70">
        <v>10</v>
      </c>
      <c r="AC71" s="70">
        <v>13.6</v>
      </c>
      <c r="AD71" s="70">
        <v>13.6</v>
      </c>
      <c r="AE71" s="70">
        <v>11.5</v>
      </c>
      <c r="AF71" s="70">
        <v>11.8</v>
      </c>
      <c r="AG71" s="86">
        <v>14.1</v>
      </c>
      <c r="AH71" s="12">
        <f t="shared" si="8"/>
        <v>13.6</v>
      </c>
      <c r="AI71" s="11">
        <f t="shared" si="9"/>
        <v>10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29"/>
        <v>0</v>
      </c>
      <c r="BB71" s="83">
        <f t="shared" si="29"/>
        <v>0</v>
      </c>
      <c r="BC71" s="83">
        <f t="shared" si="29"/>
        <v>0</v>
      </c>
      <c r="BD71" s="83">
        <f t="shared" si="29"/>
        <v>0</v>
      </c>
      <c r="BE71" s="78">
        <f>I84</f>
        <v>0</v>
      </c>
      <c r="BF71" s="78">
        <f>K84</f>
        <v>29</v>
      </c>
      <c r="BG71" s="78">
        <f t="shared" si="30"/>
        <v>40.5</v>
      </c>
      <c r="BH71" s="78">
        <f t="shared" si="30"/>
        <v>40.1</v>
      </c>
      <c r="BI71" s="78">
        <f t="shared" si="30"/>
        <v>36</v>
      </c>
      <c r="BJ71" s="78">
        <f t="shared" si="30"/>
        <v>38</v>
      </c>
      <c r="BK71" s="78">
        <f t="shared" si="30"/>
        <v>38</v>
      </c>
      <c r="BL71" s="78">
        <f t="shared" si="30"/>
        <v>37.200000000000003</v>
      </c>
      <c r="BM71" s="78">
        <f t="shared" si="30"/>
        <v>38</v>
      </c>
      <c r="BN71" s="78">
        <f t="shared" si="30"/>
        <v>0</v>
      </c>
      <c r="BO71" s="78">
        <f t="shared" si="30"/>
        <v>0</v>
      </c>
      <c r="BP71" s="78">
        <f t="shared" si="30"/>
        <v>0</v>
      </c>
      <c r="BQ71" s="78">
        <f>X84</f>
        <v>0</v>
      </c>
      <c r="BR71" s="78">
        <f>Z84</f>
        <v>0</v>
      </c>
      <c r="BS71" s="83">
        <f>AB84</f>
        <v>0</v>
      </c>
      <c r="BT71" s="83">
        <f t="shared" si="31"/>
        <v>0</v>
      </c>
      <c r="BU71" s="83">
        <f t="shared" si="31"/>
        <v>0</v>
      </c>
      <c r="BV71" s="83">
        <f t="shared" si="31"/>
        <v>0</v>
      </c>
      <c r="BW71" s="83">
        <f>B84</f>
        <v>0</v>
      </c>
    </row>
    <row r="72" spans="1:75" x14ac:dyDescent="0.25">
      <c r="A72" s="111" t="s">
        <v>191</v>
      </c>
      <c r="B72" s="70">
        <v>7.3</v>
      </c>
      <c r="C72" s="70">
        <v>7.3</v>
      </c>
      <c r="D72" s="70">
        <v>7.3</v>
      </c>
      <c r="E72" s="70">
        <v>8.8000000000000007</v>
      </c>
      <c r="F72" s="70">
        <v>8.8000000000000007</v>
      </c>
      <c r="G72" s="70">
        <v>8.8000000000000007</v>
      </c>
      <c r="H72" s="70">
        <v>8.8000000000000007</v>
      </c>
      <c r="I72" s="70">
        <v>8.8000000000000007</v>
      </c>
      <c r="J72" s="70">
        <v>8.8000000000000007</v>
      </c>
      <c r="K72" s="70">
        <v>8.8000000000000007</v>
      </c>
      <c r="L72" s="70">
        <v>8.8000000000000007</v>
      </c>
      <c r="M72" s="70">
        <v>8.6</v>
      </c>
      <c r="N72" s="70">
        <v>8.6</v>
      </c>
      <c r="O72" s="70">
        <v>8.6</v>
      </c>
      <c r="P72" s="70">
        <v>8.6</v>
      </c>
      <c r="Q72" s="70">
        <v>8.6</v>
      </c>
      <c r="R72" s="70">
        <v>7.3</v>
      </c>
      <c r="S72" s="70">
        <v>7.3</v>
      </c>
      <c r="T72" s="70">
        <v>7.3</v>
      </c>
      <c r="U72" s="70">
        <v>8.1999999999999993</v>
      </c>
      <c r="V72" s="70">
        <v>8.1999999999999993</v>
      </c>
      <c r="W72" s="70">
        <v>8.1999999999999993</v>
      </c>
      <c r="X72" s="70">
        <v>8.1999999999999993</v>
      </c>
      <c r="Y72" s="70">
        <v>8.1999999999999993</v>
      </c>
      <c r="Z72" s="70">
        <v>8.1999999999999993</v>
      </c>
      <c r="AA72" s="70">
        <v>8.1999999999999993</v>
      </c>
      <c r="AB72" s="70">
        <v>8.1999999999999993</v>
      </c>
      <c r="AC72" s="70">
        <v>6.9</v>
      </c>
      <c r="AD72" s="70">
        <v>6.9</v>
      </c>
      <c r="AE72" s="70">
        <v>9</v>
      </c>
      <c r="AF72" s="70">
        <v>9</v>
      </c>
      <c r="AG72" s="86">
        <v>14</v>
      </c>
      <c r="AH72" s="12">
        <f t="shared" si="8"/>
        <v>9</v>
      </c>
      <c r="AI72" s="11">
        <f t="shared" si="9"/>
        <v>6.9</v>
      </c>
      <c r="AK72" s="19"/>
      <c r="AY72" s="1" t="s">
        <v>190</v>
      </c>
      <c r="AZ72" s="78">
        <f>ROUND(C85,0)</f>
        <v>0</v>
      </c>
      <c r="BA72" s="83">
        <f t="shared" si="29"/>
        <v>0</v>
      </c>
      <c r="BB72" s="83">
        <f t="shared" si="29"/>
        <v>0</v>
      </c>
      <c r="BC72" s="83">
        <f t="shared" si="29"/>
        <v>0</v>
      </c>
      <c r="BD72" s="83">
        <f t="shared" si="29"/>
        <v>0</v>
      </c>
      <c r="BE72" s="78">
        <f>I85</f>
        <v>0</v>
      </c>
      <c r="BF72" s="78">
        <f>K85</f>
        <v>120</v>
      </c>
      <c r="BG72" s="78">
        <f t="shared" si="30"/>
        <v>120.4</v>
      </c>
      <c r="BH72" s="78">
        <f t="shared" si="30"/>
        <v>126.4</v>
      </c>
      <c r="BI72" s="78">
        <f t="shared" si="30"/>
        <v>141.9</v>
      </c>
      <c r="BJ72" s="78">
        <f t="shared" si="30"/>
        <v>115</v>
      </c>
      <c r="BK72" s="78">
        <f t="shared" si="30"/>
        <v>114.6</v>
      </c>
      <c r="BL72" s="78">
        <f t="shared" si="30"/>
        <v>115</v>
      </c>
      <c r="BM72" s="78">
        <f t="shared" si="30"/>
        <v>126.3</v>
      </c>
      <c r="BN72" s="78">
        <f t="shared" si="30"/>
        <v>132.5</v>
      </c>
      <c r="BO72" s="78">
        <f t="shared" si="30"/>
        <v>133.9</v>
      </c>
      <c r="BP72" s="78">
        <f t="shared" si="30"/>
        <v>114.2</v>
      </c>
      <c r="BQ72" s="78">
        <f>X85</f>
        <v>108.5</v>
      </c>
      <c r="BR72" s="78">
        <f>Z85</f>
        <v>0</v>
      </c>
      <c r="BS72" s="83">
        <f>AB85</f>
        <v>0</v>
      </c>
      <c r="BT72" s="83">
        <f t="shared" si="31"/>
        <v>0</v>
      </c>
      <c r="BU72" s="83">
        <f t="shared" si="31"/>
        <v>0</v>
      </c>
      <c r="BV72" s="83">
        <f t="shared" si="31"/>
        <v>0</v>
      </c>
      <c r="BW72" s="83">
        <f>B85</f>
        <v>0</v>
      </c>
    </row>
    <row r="73" spans="1:75" x14ac:dyDescent="0.25">
      <c r="A73" s="87" t="s">
        <v>189</v>
      </c>
      <c r="B73" s="70">
        <v>4.2</v>
      </c>
      <c r="C73" s="70">
        <v>4.2</v>
      </c>
      <c r="D73" s="70">
        <v>4.2</v>
      </c>
      <c r="E73" s="70">
        <v>8</v>
      </c>
      <c r="F73" s="70">
        <v>8</v>
      </c>
      <c r="G73" s="70">
        <v>8</v>
      </c>
      <c r="H73" s="70">
        <v>8</v>
      </c>
      <c r="I73" s="70">
        <v>8</v>
      </c>
      <c r="J73" s="70">
        <v>8</v>
      </c>
      <c r="K73" s="70">
        <v>8</v>
      </c>
      <c r="L73" s="70">
        <v>8</v>
      </c>
      <c r="M73" s="70">
        <v>8</v>
      </c>
      <c r="N73" s="70">
        <v>8</v>
      </c>
      <c r="O73" s="70">
        <v>8</v>
      </c>
      <c r="P73" s="70">
        <v>8</v>
      </c>
      <c r="Q73" s="70">
        <v>8</v>
      </c>
      <c r="R73" s="70">
        <v>8</v>
      </c>
      <c r="S73" s="70">
        <v>8</v>
      </c>
      <c r="T73" s="70">
        <v>8</v>
      </c>
      <c r="U73" s="70">
        <v>8</v>
      </c>
      <c r="V73" s="70">
        <v>8</v>
      </c>
      <c r="W73" s="70">
        <v>8</v>
      </c>
      <c r="X73" s="70">
        <v>8</v>
      </c>
      <c r="Y73" s="70">
        <v>8</v>
      </c>
      <c r="Z73" s="70">
        <v>8</v>
      </c>
      <c r="AA73" s="70">
        <v>8</v>
      </c>
      <c r="AB73" s="70">
        <v>8</v>
      </c>
      <c r="AC73" s="70">
        <v>8</v>
      </c>
      <c r="AD73" s="70">
        <v>8</v>
      </c>
      <c r="AE73" s="70">
        <v>8</v>
      </c>
      <c r="AF73" s="70">
        <v>8</v>
      </c>
      <c r="AG73" s="86">
        <v>10.050000000000001</v>
      </c>
      <c r="AH73" s="12">
        <f t="shared" si="8"/>
        <v>8</v>
      </c>
      <c r="AI73" s="11">
        <f t="shared" si="9"/>
        <v>4.2</v>
      </c>
      <c r="AK73" s="19"/>
      <c r="AY73" s="1" t="s">
        <v>188</v>
      </c>
      <c r="AZ73" s="78">
        <f>ROUND(C91,0)</f>
        <v>44</v>
      </c>
      <c r="BA73" s="78">
        <f>D91</f>
        <v>42.1</v>
      </c>
      <c r="BB73" s="78">
        <f>E91</f>
        <v>42.8</v>
      </c>
      <c r="BC73" s="78">
        <f>F91</f>
        <v>41.8</v>
      </c>
      <c r="BD73" s="78">
        <f>G91</f>
        <v>40.799999999999997</v>
      </c>
      <c r="BE73" s="78">
        <f>I91</f>
        <v>38.200000000000003</v>
      </c>
      <c r="BF73" s="78">
        <f>K91</f>
        <v>44.8</v>
      </c>
      <c r="BG73" s="78">
        <f t="shared" ref="BG73:BP73" si="32">M91</f>
        <v>52.1</v>
      </c>
      <c r="BH73" s="78">
        <f t="shared" si="32"/>
        <v>51.8</v>
      </c>
      <c r="BI73" s="78">
        <f t="shared" si="32"/>
        <v>48.6</v>
      </c>
      <c r="BJ73" s="78">
        <f t="shared" si="32"/>
        <v>52</v>
      </c>
      <c r="BK73" s="78">
        <f t="shared" si="32"/>
        <v>51</v>
      </c>
      <c r="BL73" s="78">
        <f t="shared" si="32"/>
        <v>53.8</v>
      </c>
      <c r="BM73" s="78">
        <f t="shared" si="32"/>
        <v>58.6</v>
      </c>
      <c r="BN73" s="78">
        <f t="shared" si="32"/>
        <v>55.7</v>
      </c>
      <c r="BO73" s="78">
        <f t="shared" si="32"/>
        <v>57.8</v>
      </c>
      <c r="BP73" s="78">
        <f t="shared" si="32"/>
        <v>48.9</v>
      </c>
      <c r="BQ73" s="78">
        <f>X91</f>
        <v>44.2</v>
      </c>
      <c r="BR73" s="78">
        <f>Z91</f>
        <v>39.9</v>
      </c>
      <c r="BS73" s="78">
        <f>AB91</f>
        <v>43.1</v>
      </c>
      <c r="BT73" s="78">
        <f>AD91</f>
        <v>45</v>
      </c>
      <c r="BU73" s="78">
        <f>AE91</f>
        <v>45</v>
      </c>
      <c r="BV73" s="78">
        <f>AF91</f>
        <v>27</v>
      </c>
      <c r="BW73" s="78">
        <f>B91</f>
        <v>45</v>
      </c>
    </row>
    <row r="74" spans="1:75" x14ac:dyDescent="0.25">
      <c r="A74" s="87" t="s">
        <v>187</v>
      </c>
      <c r="B74" s="70">
        <v>2.5</v>
      </c>
      <c r="C74" s="70">
        <v>2.5</v>
      </c>
      <c r="D74" s="70">
        <v>2.5</v>
      </c>
      <c r="E74" s="70">
        <v>2.5</v>
      </c>
      <c r="F74" s="70">
        <v>2.5</v>
      </c>
      <c r="G74" s="70">
        <v>2.5</v>
      </c>
      <c r="H74" s="70">
        <v>2.5</v>
      </c>
      <c r="I74" s="70">
        <v>2.5</v>
      </c>
      <c r="J74" s="70">
        <v>2.5</v>
      </c>
      <c r="K74" s="70">
        <v>2.5</v>
      </c>
      <c r="L74" s="70">
        <v>2.5</v>
      </c>
      <c r="M74" s="70">
        <v>2.5</v>
      </c>
      <c r="N74" s="70">
        <v>2.5</v>
      </c>
      <c r="O74" s="70">
        <v>2.5</v>
      </c>
      <c r="P74" s="70">
        <v>2.5</v>
      </c>
      <c r="Q74" s="70">
        <v>2.5</v>
      </c>
      <c r="R74" s="70">
        <v>2.5</v>
      </c>
      <c r="S74" s="70">
        <v>2.5</v>
      </c>
      <c r="T74" s="70">
        <v>2.5</v>
      </c>
      <c r="U74" s="70">
        <v>2.5</v>
      </c>
      <c r="V74" s="70">
        <v>2.5</v>
      </c>
      <c r="W74" s="70">
        <v>2.5</v>
      </c>
      <c r="X74" s="70">
        <v>2.5</v>
      </c>
      <c r="Y74" s="70">
        <v>2.5</v>
      </c>
      <c r="Z74" s="70">
        <v>2.5</v>
      </c>
      <c r="AA74" s="70">
        <v>2.5</v>
      </c>
      <c r="AB74" s="70">
        <v>2.5</v>
      </c>
      <c r="AC74" s="70">
        <v>2.5</v>
      </c>
      <c r="AD74" s="70">
        <v>2.5</v>
      </c>
      <c r="AE74" s="70">
        <v>2.5</v>
      </c>
      <c r="AF74" s="70">
        <v>2.5</v>
      </c>
      <c r="AG74" s="86">
        <v>6.2</v>
      </c>
      <c r="AH74" s="12">
        <f t="shared" si="8"/>
        <v>2.5</v>
      </c>
      <c r="AI74" s="11">
        <f t="shared" si="9"/>
        <v>2.5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.75" thickBot="1" x14ac:dyDescent="0.3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5.5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8"/>
        <v>5.5</v>
      </c>
      <c r="AI75" s="11">
        <f t="shared" si="9"/>
        <v>3.5</v>
      </c>
      <c r="AK75" s="19"/>
      <c r="AZ75" s="78">
        <f t="shared" ref="AZ75:BW80" si="33">VALUE(AZ68)</f>
        <v>14</v>
      </c>
      <c r="BA75" s="78">
        <f t="shared" si="33"/>
        <v>15</v>
      </c>
      <c r="BB75" s="78">
        <f t="shared" si="33"/>
        <v>24.3</v>
      </c>
      <c r="BC75" s="78">
        <f t="shared" si="33"/>
        <v>20.100000000000001</v>
      </c>
      <c r="BD75" s="78">
        <f t="shared" si="33"/>
        <v>37.4</v>
      </c>
      <c r="BE75" s="78">
        <f t="shared" si="33"/>
        <v>38.200000000000003</v>
      </c>
      <c r="BF75" s="78">
        <f t="shared" si="33"/>
        <v>63.4</v>
      </c>
      <c r="BG75" s="78">
        <f t="shared" si="33"/>
        <v>63.5</v>
      </c>
      <c r="BH75" s="78">
        <f t="shared" si="33"/>
        <v>75</v>
      </c>
      <c r="BI75" s="78">
        <f t="shared" si="33"/>
        <v>72.900000000000006</v>
      </c>
      <c r="BJ75" s="78">
        <f t="shared" si="33"/>
        <v>69</v>
      </c>
      <c r="BK75" s="78">
        <f t="shared" si="33"/>
        <v>60</v>
      </c>
      <c r="BL75" s="78">
        <f t="shared" si="33"/>
        <v>72.7</v>
      </c>
      <c r="BM75" s="78">
        <f t="shared" si="33"/>
        <v>67.400000000000006</v>
      </c>
      <c r="BN75" s="78">
        <f t="shared" si="33"/>
        <v>67.400000000000006</v>
      </c>
      <c r="BO75" s="78">
        <f t="shared" si="33"/>
        <v>67</v>
      </c>
      <c r="BP75" s="78">
        <f t="shared" si="33"/>
        <v>68.2</v>
      </c>
      <c r="BQ75" s="78">
        <f t="shared" si="33"/>
        <v>64.7</v>
      </c>
      <c r="BR75" s="78">
        <f t="shared" si="33"/>
        <v>20.399999999999999</v>
      </c>
      <c r="BS75" s="78">
        <f t="shared" si="33"/>
        <v>42.2</v>
      </c>
      <c r="BT75" s="78">
        <f t="shared" si="33"/>
        <v>37.200000000000003</v>
      </c>
      <c r="BU75" s="78">
        <f t="shared" si="33"/>
        <v>33.6</v>
      </c>
      <c r="BV75" s="78">
        <f t="shared" si="33"/>
        <v>27</v>
      </c>
      <c r="BW75" s="78">
        <f t="shared" si="33"/>
        <v>14.9</v>
      </c>
    </row>
    <row r="76" spans="1:75" ht="15.75" thickBot="1" x14ac:dyDescent="0.3">
      <c r="A76" s="77" t="s">
        <v>186</v>
      </c>
      <c r="B76" s="76">
        <f t="shared" ref="B76:AG76" si="34">SUM(B63:B75)</f>
        <v>289.04000000000008</v>
      </c>
      <c r="C76" s="76">
        <f t="shared" si="34"/>
        <v>249.04</v>
      </c>
      <c r="D76" s="76">
        <f t="shared" si="34"/>
        <v>249.04</v>
      </c>
      <c r="E76" s="76">
        <f t="shared" si="34"/>
        <v>197.38</v>
      </c>
      <c r="F76" s="76">
        <f t="shared" si="34"/>
        <v>204.34</v>
      </c>
      <c r="G76" s="76">
        <f t="shared" si="34"/>
        <v>210.14</v>
      </c>
      <c r="H76" s="76">
        <f t="shared" si="34"/>
        <v>257.83999999999997</v>
      </c>
      <c r="I76" s="76">
        <f t="shared" si="34"/>
        <v>317.74000000000007</v>
      </c>
      <c r="J76" s="76">
        <f t="shared" si="34"/>
        <v>299.84000000000003</v>
      </c>
      <c r="K76" s="76">
        <f t="shared" si="34"/>
        <v>281.64000000000004</v>
      </c>
      <c r="L76" s="76">
        <f t="shared" si="34"/>
        <v>305.44000000000005</v>
      </c>
      <c r="M76" s="76">
        <f t="shared" ref="M76" si="35">SUM(M63:M75)</f>
        <v>319.64</v>
      </c>
      <c r="N76" s="76">
        <f t="shared" si="34"/>
        <v>339.44000000000005</v>
      </c>
      <c r="O76" s="76">
        <f t="shared" si="34"/>
        <v>379.24</v>
      </c>
      <c r="P76" s="76">
        <f t="shared" si="34"/>
        <v>326.34000000000009</v>
      </c>
      <c r="Q76" s="76">
        <f t="shared" si="34"/>
        <v>350.74</v>
      </c>
      <c r="R76" s="76">
        <f t="shared" ref="R76" si="36">SUM(R63:R75)</f>
        <v>296.54000000000002</v>
      </c>
      <c r="S76" s="76">
        <f t="shared" si="34"/>
        <v>287.04000000000002</v>
      </c>
      <c r="T76" s="76">
        <f t="shared" si="34"/>
        <v>266.24000000000007</v>
      </c>
      <c r="U76" s="76">
        <f t="shared" si="34"/>
        <v>262.24000000000007</v>
      </c>
      <c r="V76" s="76">
        <f t="shared" si="34"/>
        <v>280.94</v>
      </c>
      <c r="W76" s="76">
        <f t="shared" si="34"/>
        <v>279.74</v>
      </c>
      <c r="X76" s="76">
        <f t="shared" si="34"/>
        <v>249.83999999999995</v>
      </c>
      <c r="Y76" s="76">
        <f t="shared" si="34"/>
        <v>328.7</v>
      </c>
      <c r="Z76" s="76">
        <f t="shared" si="34"/>
        <v>361.30999999999995</v>
      </c>
      <c r="AA76" s="76">
        <f t="shared" si="34"/>
        <v>394.84</v>
      </c>
      <c r="AB76" s="76">
        <f t="shared" ref="AB76:AC76" si="37">SUM(AB63:AB75)</f>
        <v>377.84</v>
      </c>
      <c r="AC76" s="76">
        <f t="shared" si="37"/>
        <v>368.74</v>
      </c>
      <c r="AD76" s="76">
        <f t="shared" ref="AD76:AE76" si="38">SUM(AD63:AD75)</f>
        <v>370.34000000000003</v>
      </c>
      <c r="AE76" s="76">
        <f t="shared" si="38"/>
        <v>372.64000000000004</v>
      </c>
      <c r="AF76" s="76">
        <f t="shared" ref="AF76" si="39">SUM(AF63:AF75)</f>
        <v>327.94</v>
      </c>
      <c r="AG76" s="93">
        <f t="shared" si="34"/>
        <v>489.91</v>
      </c>
      <c r="AH76" s="12">
        <f t="shared" si="8"/>
        <v>394.84</v>
      </c>
      <c r="AI76" s="11">
        <f t="shared" si="9"/>
        <v>197.38</v>
      </c>
      <c r="AK76" s="19"/>
      <c r="AZ76" s="78">
        <f t="shared" si="33"/>
        <v>0</v>
      </c>
      <c r="BA76" s="78">
        <f t="shared" si="33"/>
        <v>0</v>
      </c>
      <c r="BB76" s="78">
        <f t="shared" si="33"/>
        <v>0</v>
      </c>
      <c r="BC76" s="78">
        <f t="shared" si="33"/>
        <v>0</v>
      </c>
      <c r="BD76" s="78">
        <f t="shared" si="33"/>
        <v>0</v>
      </c>
      <c r="BE76" s="78">
        <f t="shared" si="33"/>
        <v>0</v>
      </c>
      <c r="BF76" s="78">
        <f t="shared" si="33"/>
        <v>0</v>
      </c>
      <c r="BG76" s="78">
        <f t="shared" si="33"/>
        <v>0</v>
      </c>
      <c r="BH76" s="78">
        <f t="shared" si="33"/>
        <v>0</v>
      </c>
      <c r="BI76" s="78">
        <f t="shared" si="33"/>
        <v>0</v>
      </c>
      <c r="BJ76" s="78">
        <f t="shared" si="33"/>
        <v>0</v>
      </c>
      <c r="BK76" s="78">
        <f t="shared" si="33"/>
        <v>0</v>
      </c>
      <c r="BL76" s="78">
        <f t="shared" si="33"/>
        <v>0</v>
      </c>
      <c r="BM76" s="78">
        <f t="shared" si="33"/>
        <v>0</v>
      </c>
      <c r="BN76" s="78">
        <f t="shared" si="33"/>
        <v>103.7</v>
      </c>
      <c r="BO76" s="78">
        <f t="shared" si="33"/>
        <v>91.6</v>
      </c>
      <c r="BP76" s="78">
        <f t="shared" si="33"/>
        <v>84.9</v>
      </c>
      <c r="BQ76" s="78">
        <f t="shared" si="33"/>
        <v>67</v>
      </c>
      <c r="BR76" s="78">
        <f t="shared" si="33"/>
        <v>0</v>
      </c>
      <c r="BS76" s="78">
        <f t="shared" si="33"/>
        <v>0</v>
      </c>
      <c r="BT76" s="78">
        <f t="shared" si="33"/>
        <v>0</v>
      </c>
      <c r="BU76" s="78">
        <f t="shared" si="33"/>
        <v>0</v>
      </c>
      <c r="BV76" s="78">
        <f t="shared" si="33"/>
        <v>0</v>
      </c>
      <c r="BW76" s="78">
        <f t="shared" si="33"/>
        <v>0</v>
      </c>
    </row>
    <row r="77" spans="1:75" x14ac:dyDescent="0.25">
      <c r="A77" s="89" t="s">
        <v>185</v>
      </c>
      <c r="B77" s="102">
        <v>0</v>
      </c>
      <c r="C77" s="102"/>
      <c r="D77" s="102"/>
      <c r="E77" s="102"/>
      <c r="F77" s="102"/>
      <c r="G77" s="102"/>
      <c r="H77" s="102"/>
      <c r="I77" s="102"/>
      <c r="J77" s="102"/>
      <c r="K77" s="102"/>
      <c r="L77" s="102">
        <v>14.1</v>
      </c>
      <c r="M77" s="102">
        <v>29.7</v>
      </c>
      <c r="N77" s="102">
        <v>29.8</v>
      </c>
      <c r="O77" s="102">
        <v>29.3</v>
      </c>
      <c r="P77" s="102">
        <v>20</v>
      </c>
      <c r="Q77" s="102">
        <v>28</v>
      </c>
      <c r="R77" s="102">
        <v>29.7</v>
      </c>
      <c r="S77" s="102">
        <v>59.9</v>
      </c>
      <c r="T77" s="102">
        <v>58.5</v>
      </c>
      <c r="U77" s="102">
        <v>58.5</v>
      </c>
      <c r="V77" s="102">
        <v>45.2</v>
      </c>
      <c r="W77" s="102">
        <v>45.2</v>
      </c>
      <c r="X77" s="102">
        <v>45.2</v>
      </c>
      <c r="Y77" s="102">
        <v>39.299999999999997</v>
      </c>
      <c r="Z77" s="102">
        <v>49.4</v>
      </c>
      <c r="AA77" s="102">
        <v>59</v>
      </c>
      <c r="AB77" s="102">
        <v>59</v>
      </c>
      <c r="AC77" s="102">
        <v>59.4</v>
      </c>
      <c r="AD77" s="102">
        <v>59.4</v>
      </c>
      <c r="AE77" s="102">
        <v>59.4</v>
      </c>
      <c r="AF77" s="102">
        <v>58.2</v>
      </c>
      <c r="AG77" s="88">
        <v>60</v>
      </c>
      <c r="AH77" s="12">
        <f t="shared" si="8"/>
        <v>59.9</v>
      </c>
      <c r="AI77" s="11">
        <f t="shared" si="9"/>
        <v>0</v>
      </c>
      <c r="AK77" s="19"/>
      <c r="AZ77" s="78">
        <f t="shared" si="33"/>
        <v>85</v>
      </c>
      <c r="BA77" s="78">
        <f t="shared" si="33"/>
        <v>54</v>
      </c>
      <c r="BB77" s="78">
        <f t="shared" si="33"/>
        <v>88.8</v>
      </c>
      <c r="BC77" s="78">
        <f t="shared" si="33"/>
        <v>115.4</v>
      </c>
      <c r="BD77" s="78">
        <f t="shared" si="33"/>
        <v>123.5</v>
      </c>
      <c r="BE77" s="78">
        <f t="shared" si="33"/>
        <v>106</v>
      </c>
      <c r="BF77" s="78">
        <f t="shared" si="33"/>
        <v>326</v>
      </c>
      <c r="BG77" s="78">
        <f t="shared" si="33"/>
        <v>298.39999999999998</v>
      </c>
      <c r="BH77" s="78">
        <f t="shared" si="33"/>
        <v>304.89999999999998</v>
      </c>
      <c r="BI77" s="78">
        <f t="shared" si="33"/>
        <v>278</v>
      </c>
      <c r="BJ77" s="78">
        <f t="shared" si="33"/>
        <v>361</v>
      </c>
      <c r="BK77" s="78">
        <f t="shared" si="33"/>
        <v>295</v>
      </c>
      <c r="BL77" s="78">
        <f t="shared" si="33"/>
        <v>301</v>
      </c>
      <c r="BM77" s="78">
        <f t="shared" si="33"/>
        <v>322</v>
      </c>
      <c r="BN77" s="78">
        <f t="shared" si="33"/>
        <v>292.89999999999998</v>
      </c>
      <c r="BO77" s="78">
        <f t="shared" si="33"/>
        <v>341.3</v>
      </c>
      <c r="BP77" s="78">
        <f t="shared" si="33"/>
        <v>301.89999999999998</v>
      </c>
      <c r="BQ77" s="78">
        <f t="shared" si="33"/>
        <v>292</v>
      </c>
      <c r="BR77" s="78">
        <f t="shared" si="33"/>
        <v>53</v>
      </c>
      <c r="BS77" s="78">
        <f t="shared" si="33"/>
        <v>59.9</v>
      </c>
      <c r="BT77" s="78">
        <f t="shared" si="33"/>
        <v>14.5</v>
      </c>
      <c r="BU77" s="78">
        <f t="shared" si="33"/>
        <v>0</v>
      </c>
      <c r="BV77" s="78">
        <f t="shared" si="33"/>
        <v>5</v>
      </c>
      <c r="BW77" s="78">
        <f t="shared" si="33"/>
        <v>32.5</v>
      </c>
    </row>
    <row r="78" spans="1:75" x14ac:dyDescent="0.25">
      <c r="A78" s="87" t="s">
        <v>184</v>
      </c>
      <c r="B78" s="102">
        <v>0</v>
      </c>
      <c r="C78" s="70"/>
      <c r="D78" s="70"/>
      <c r="E78" s="70"/>
      <c r="F78" s="70"/>
      <c r="G78" s="70"/>
      <c r="H78" s="70"/>
      <c r="I78" s="70"/>
      <c r="J78" s="70"/>
      <c r="K78" s="70"/>
      <c r="L78" s="70">
        <v>3.4</v>
      </c>
      <c r="M78" s="70">
        <v>13.6</v>
      </c>
      <c r="N78" s="70">
        <v>14.9</v>
      </c>
      <c r="O78" s="70">
        <v>14.4</v>
      </c>
      <c r="P78" s="70">
        <v>8.4</v>
      </c>
      <c r="Q78" s="70">
        <v>4.2</v>
      </c>
      <c r="R78" s="70">
        <v>13.8</v>
      </c>
      <c r="S78" s="70">
        <v>28.7</v>
      </c>
      <c r="T78" s="70">
        <v>21.5</v>
      </c>
      <c r="U78" s="70">
        <v>21.5</v>
      </c>
      <c r="V78" s="70">
        <v>24.5</v>
      </c>
      <c r="W78" s="70">
        <v>24.5</v>
      </c>
      <c r="X78" s="70">
        <v>24.5</v>
      </c>
      <c r="Y78" s="70">
        <v>0</v>
      </c>
      <c r="Z78" s="70">
        <v>24.5</v>
      </c>
      <c r="AA78" s="70">
        <v>29</v>
      </c>
      <c r="AB78" s="70">
        <v>29</v>
      </c>
      <c r="AC78" s="70">
        <v>29</v>
      </c>
      <c r="AD78" s="70">
        <v>29</v>
      </c>
      <c r="AE78" s="70">
        <v>29</v>
      </c>
      <c r="AF78" s="70">
        <v>23.2</v>
      </c>
      <c r="AG78" s="86">
        <v>32</v>
      </c>
      <c r="AH78" s="12">
        <f t="shared" si="8"/>
        <v>29</v>
      </c>
      <c r="AI78" s="11">
        <f t="shared" si="9"/>
        <v>0</v>
      </c>
      <c r="AK78" s="19"/>
      <c r="AZ78" s="78">
        <f t="shared" si="33"/>
        <v>0</v>
      </c>
      <c r="BA78" s="78">
        <f t="shared" si="33"/>
        <v>0</v>
      </c>
      <c r="BB78" s="78">
        <f t="shared" si="33"/>
        <v>0</v>
      </c>
      <c r="BC78" s="78">
        <f t="shared" si="33"/>
        <v>0</v>
      </c>
      <c r="BD78" s="78">
        <f t="shared" si="33"/>
        <v>0</v>
      </c>
      <c r="BE78" s="78">
        <f t="shared" si="33"/>
        <v>0</v>
      </c>
      <c r="BF78" s="78">
        <f t="shared" si="33"/>
        <v>29</v>
      </c>
      <c r="BG78" s="78">
        <f t="shared" si="33"/>
        <v>40.5</v>
      </c>
      <c r="BH78" s="78">
        <f t="shared" si="33"/>
        <v>40.1</v>
      </c>
      <c r="BI78" s="78">
        <f t="shared" si="33"/>
        <v>36</v>
      </c>
      <c r="BJ78" s="78">
        <f t="shared" si="33"/>
        <v>38</v>
      </c>
      <c r="BK78" s="78">
        <f t="shared" si="33"/>
        <v>38</v>
      </c>
      <c r="BL78" s="78">
        <f t="shared" si="33"/>
        <v>37.200000000000003</v>
      </c>
      <c r="BM78" s="78">
        <f t="shared" si="33"/>
        <v>38</v>
      </c>
      <c r="BN78" s="78">
        <f t="shared" si="33"/>
        <v>0</v>
      </c>
      <c r="BO78" s="78">
        <f t="shared" si="33"/>
        <v>0</v>
      </c>
      <c r="BP78" s="78">
        <f t="shared" si="33"/>
        <v>0</v>
      </c>
      <c r="BQ78" s="78">
        <f t="shared" si="33"/>
        <v>0</v>
      </c>
      <c r="BR78" s="78">
        <f t="shared" si="33"/>
        <v>0</v>
      </c>
      <c r="BS78" s="78">
        <f t="shared" si="33"/>
        <v>0</v>
      </c>
      <c r="BT78" s="78">
        <f t="shared" si="33"/>
        <v>0</v>
      </c>
      <c r="BU78" s="78">
        <f t="shared" si="33"/>
        <v>0</v>
      </c>
      <c r="BV78" s="78">
        <f t="shared" si="33"/>
        <v>0</v>
      </c>
      <c r="BW78" s="78">
        <f t="shared" si="33"/>
        <v>0</v>
      </c>
    </row>
    <row r="79" spans="1:75" ht="15.75" thickBot="1" x14ac:dyDescent="0.3">
      <c r="A79" s="111" t="s">
        <v>183</v>
      </c>
      <c r="B79" s="102">
        <v>0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>
        <v>1.32</v>
      </c>
      <c r="M79" s="110">
        <v>5</v>
      </c>
      <c r="N79" s="110">
        <v>5.5</v>
      </c>
      <c r="O79" s="110">
        <v>5.3</v>
      </c>
      <c r="P79" s="110">
        <v>3.2</v>
      </c>
      <c r="Q79" s="110">
        <v>1.5</v>
      </c>
      <c r="R79" s="110">
        <v>5.0999999999999996</v>
      </c>
      <c r="S79" s="110">
        <v>10.5</v>
      </c>
      <c r="T79" s="110">
        <v>7.8</v>
      </c>
      <c r="U79" s="110">
        <v>7.8</v>
      </c>
      <c r="V79" s="110">
        <v>8.9</v>
      </c>
      <c r="W79" s="110">
        <v>8.9</v>
      </c>
      <c r="X79" s="110">
        <v>8.9</v>
      </c>
      <c r="Y79" s="110">
        <v>0</v>
      </c>
      <c r="Z79" s="110">
        <v>8.9</v>
      </c>
      <c r="AA79" s="110">
        <v>10.7</v>
      </c>
      <c r="AB79" s="110">
        <v>10.7</v>
      </c>
      <c r="AC79" s="110">
        <v>10.6</v>
      </c>
      <c r="AD79" s="110">
        <v>10.6</v>
      </c>
      <c r="AE79" s="110">
        <v>10.6</v>
      </c>
      <c r="AF79" s="110">
        <v>8.5</v>
      </c>
      <c r="AG79" s="109">
        <v>14</v>
      </c>
      <c r="AH79" s="12">
        <f t="shared" si="8"/>
        <v>10.7</v>
      </c>
      <c r="AI79" s="11">
        <f t="shared" si="9"/>
        <v>0</v>
      </c>
      <c r="AK79" s="19"/>
      <c r="AZ79" s="78">
        <f t="shared" si="33"/>
        <v>0</v>
      </c>
      <c r="BA79" s="78">
        <f t="shared" si="33"/>
        <v>0</v>
      </c>
      <c r="BB79" s="78">
        <f t="shared" si="33"/>
        <v>0</v>
      </c>
      <c r="BC79" s="78">
        <f t="shared" si="33"/>
        <v>0</v>
      </c>
      <c r="BD79" s="78">
        <f t="shared" si="33"/>
        <v>0</v>
      </c>
      <c r="BE79" s="78">
        <f t="shared" si="33"/>
        <v>0</v>
      </c>
      <c r="BF79" s="78">
        <f t="shared" si="33"/>
        <v>120</v>
      </c>
      <c r="BG79" s="78">
        <f t="shared" si="33"/>
        <v>120.4</v>
      </c>
      <c r="BH79" s="78">
        <f t="shared" si="33"/>
        <v>126.4</v>
      </c>
      <c r="BI79" s="78">
        <f t="shared" si="33"/>
        <v>141.9</v>
      </c>
      <c r="BJ79" s="78">
        <f t="shared" si="33"/>
        <v>115</v>
      </c>
      <c r="BK79" s="78">
        <f t="shared" si="33"/>
        <v>114.6</v>
      </c>
      <c r="BL79" s="78">
        <f t="shared" si="33"/>
        <v>115</v>
      </c>
      <c r="BM79" s="78">
        <f t="shared" si="33"/>
        <v>126.3</v>
      </c>
      <c r="BN79" s="78">
        <f t="shared" si="33"/>
        <v>132.5</v>
      </c>
      <c r="BO79" s="78">
        <f t="shared" si="33"/>
        <v>133.9</v>
      </c>
      <c r="BP79" s="78">
        <f t="shared" si="33"/>
        <v>114.2</v>
      </c>
      <c r="BQ79" s="78">
        <f t="shared" si="33"/>
        <v>108.5</v>
      </c>
      <c r="BR79" s="78">
        <f t="shared" si="33"/>
        <v>0</v>
      </c>
      <c r="BS79" s="78">
        <f t="shared" si="33"/>
        <v>0</v>
      </c>
      <c r="BT79" s="78">
        <f t="shared" si="33"/>
        <v>0</v>
      </c>
      <c r="BU79" s="78">
        <f t="shared" si="33"/>
        <v>0</v>
      </c>
      <c r="BV79" s="78">
        <f t="shared" si="33"/>
        <v>0</v>
      </c>
      <c r="BW79" s="78">
        <f t="shared" si="33"/>
        <v>0</v>
      </c>
    </row>
    <row r="80" spans="1:75" ht="15.75" thickBot="1" x14ac:dyDescent="0.3">
      <c r="A80" s="77" t="s">
        <v>182</v>
      </c>
      <c r="B80" s="76">
        <f t="shared" ref="B80:AA80" si="40">B77+B78+B79</f>
        <v>0</v>
      </c>
      <c r="C80" s="76">
        <f t="shared" si="40"/>
        <v>0</v>
      </c>
      <c r="D80" s="76">
        <f t="shared" si="40"/>
        <v>0</v>
      </c>
      <c r="E80" s="76">
        <f t="shared" si="40"/>
        <v>0</v>
      </c>
      <c r="F80" s="76">
        <f t="shared" si="40"/>
        <v>0</v>
      </c>
      <c r="G80" s="76">
        <f t="shared" si="40"/>
        <v>0</v>
      </c>
      <c r="H80" s="76">
        <f t="shared" si="40"/>
        <v>0</v>
      </c>
      <c r="I80" s="76">
        <f t="shared" si="40"/>
        <v>0</v>
      </c>
      <c r="J80" s="76">
        <f t="shared" si="40"/>
        <v>0</v>
      </c>
      <c r="K80" s="76">
        <f t="shared" si="40"/>
        <v>0</v>
      </c>
      <c r="L80" s="76">
        <f t="shared" si="40"/>
        <v>18.82</v>
      </c>
      <c r="M80" s="76">
        <f t="shared" ref="M80" si="41">M77+M78+M79</f>
        <v>48.3</v>
      </c>
      <c r="N80" s="76">
        <f t="shared" si="40"/>
        <v>50.2</v>
      </c>
      <c r="O80" s="76">
        <f t="shared" si="40"/>
        <v>49</v>
      </c>
      <c r="P80" s="76">
        <f t="shared" si="40"/>
        <v>31.599999999999998</v>
      </c>
      <c r="Q80" s="76">
        <f t="shared" si="40"/>
        <v>33.700000000000003</v>
      </c>
      <c r="R80" s="76">
        <f t="shared" ref="R80" si="42">R77+R78+R79</f>
        <v>48.6</v>
      </c>
      <c r="S80" s="76">
        <f t="shared" si="40"/>
        <v>99.1</v>
      </c>
      <c r="T80" s="76">
        <f t="shared" si="40"/>
        <v>87.8</v>
      </c>
      <c r="U80" s="76">
        <f t="shared" si="40"/>
        <v>87.8</v>
      </c>
      <c r="V80" s="76">
        <f t="shared" si="40"/>
        <v>78.600000000000009</v>
      </c>
      <c r="W80" s="76">
        <f t="shared" si="40"/>
        <v>78.600000000000009</v>
      </c>
      <c r="X80" s="76">
        <f t="shared" si="40"/>
        <v>78.600000000000009</v>
      </c>
      <c r="Y80" s="76">
        <f t="shared" si="40"/>
        <v>39.299999999999997</v>
      </c>
      <c r="Z80" s="76">
        <f t="shared" si="40"/>
        <v>82.800000000000011</v>
      </c>
      <c r="AA80" s="76">
        <f t="shared" si="40"/>
        <v>98.7</v>
      </c>
      <c r="AB80" s="76">
        <f t="shared" ref="AB80:AC80" si="43">AB77+AB78+AB79</f>
        <v>98.7</v>
      </c>
      <c r="AC80" s="76">
        <f t="shared" si="43"/>
        <v>99</v>
      </c>
      <c r="AD80" s="76">
        <f t="shared" ref="AD80:AE80" si="44">AD77+AD78+AD79</f>
        <v>99</v>
      </c>
      <c r="AE80" s="76">
        <f t="shared" si="44"/>
        <v>99</v>
      </c>
      <c r="AF80" s="76">
        <f t="shared" ref="AF80" si="45">AF77+AF78+AF79</f>
        <v>89.9</v>
      </c>
      <c r="AG80" s="93">
        <f>SUM(AG77:AG79)</f>
        <v>106</v>
      </c>
      <c r="AH80" s="12">
        <f t="shared" si="8"/>
        <v>99.1</v>
      </c>
      <c r="AI80" s="11">
        <f t="shared" si="9"/>
        <v>0</v>
      </c>
      <c r="AK80" s="19"/>
      <c r="AZ80" s="78">
        <f t="shared" si="33"/>
        <v>44</v>
      </c>
      <c r="BA80" s="78">
        <f t="shared" si="33"/>
        <v>42.1</v>
      </c>
      <c r="BB80" s="78">
        <f t="shared" si="33"/>
        <v>42.8</v>
      </c>
      <c r="BC80" s="78">
        <f t="shared" si="33"/>
        <v>41.8</v>
      </c>
      <c r="BD80" s="78">
        <f t="shared" si="33"/>
        <v>40.799999999999997</v>
      </c>
      <c r="BE80" s="78">
        <f t="shared" si="33"/>
        <v>38.200000000000003</v>
      </c>
      <c r="BF80" s="78">
        <f t="shared" si="33"/>
        <v>44.8</v>
      </c>
      <c r="BG80" s="78">
        <f t="shared" si="33"/>
        <v>52.1</v>
      </c>
      <c r="BH80" s="78">
        <f t="shared" si="33"/>
        <v>51.8</v>
      </c>
      <c r="BI80" s="78">
        <f t="shared" si="33"/>
        <v>48.6</v>
      </c>
      <c r="BJ80" s="78">
        <f t="shared" si="33"/>
        <v>52</v>
      </c>
      <c r="BK80" s="78">
        <f t="shared" si="33"/>
        <v>51</v>
      </c>
      <c r="BL80" s="78">
        <f t="shared" si="33"/>
        <v>53.8</v>
      </c>
      <c r="BM80" s="78">
        <f t="shared" si="33"/>
        <v>58.6</v>
      </c>
      <c r="BN80" s="78">
        <f t="shared" si="33"/>
        <v>55.7</v>
      </c>
      <c r="BO80" s="78">
        <f t="shared" si="33"/>
        <v>57.8</v>
      </c>
      <c r="BP80" s="78">
        <f t="shared" si="33"/>
        <v>48.9</v>
      </c>
      <c r="BQ80" s="78">
        <f t="shared" si="33"/>
        <v>44.2</v>
      </c>
      <c r="BR80" s="78">
        <f t="shared" si="33"/>
        <v>39.9</v>
      </c>
      <c r="BS80" s="78">
        <f t="shared" si="33"/>
        <v>43.1</v>
      </c>
      <c r="BT80" s="78">
        <f t="shared" si="33"/>
        <v>45</v>
      </c>
      <c r="BU80" s="78">
        <f t="shared" si="33"/>
        <v>45</v>
      </c>
      <c r="BV80" s="78">
        <f t="shared" si="33"/>
        <v>27</v>
      </c>
      <c r="BW80" s="78">
        <f t="shared" si="33"/>
        <v>45</v>
      </c>
    </row>
    <row r="81" spans="1:64" x14ac:dyDescent="0.25">
      <c r="A81" s="89" t="s">
        <v>157</v>
      </c>
      <c r="B81" s="102">
        <v>14.9</v>
      </c>
      <c r="C81" s="102">
        <v>13.9</v>
      </c>
      <c r="D81" s="102">
        <v>15</v>
      </c>
      <c r="E81" s="102">
        <v>24.3</v>
      </c>
      <c r="F81" s="102">
        <v>20.100000000000001</v>
      </c>
      <c r="G81" s="102">
        <v>37.4</v>
      </c>
      <c r="H81" s="102">
        <v>36</v>
      </c>
      <c r="I81" s="102">
        <v>38.200000000000003</v>
      </c>
      <c r="J81" s="102">
        <v>50</v>
      </c>
      <c r="K81" s="102">
        <v>63.4</v>
      </c>
      <c r="L81" s="102">
        <v>69.2</v>
      </c>
      <c r="M81" s="102">
        <v>63.5</v>
      </c>
      <c r="N81" s="102">
        <v>75</v>
      </c>
      <c r="O81" s="102">
        <v>72.900000000000006</v>
      </c>
      <c r="P81" s="102">
        <v>69</v>
      </c>
      <c r="Q81" s="102">
        <v>60</v>
      </c>
      <c r="R81" s="102">
        <v>72.7</v>
      </c>
      <c r="S81" s="102">
        <v>67.400000000000006</v>
      </c>
      <c r="T81" s="102">
        <v>67.400000000000006</v>
      </c>
      <c r="U81" s="102">
        <v>67</v>
      </c>
      <c r="V81" s="102">
        <v>68.2</v>
      </c>
      <c r="W81" s="102">
        <v>66</v>
      </c>
      <c r="X81" s="102">
        <v>64.7</v>
      </c>
      <c r="Y81" s="102">
        <v>55.6</v>
      </c>
      <c r="Z81" s="102">
        <v>20.399999999999999</v>
      </c>
      <c r="AA81" s="102">
        <v>31.9</v>
      </c>
      <c r="AB81" s="102">
        <v>42.2</v>
      </c>
      <c r="AC81" s="102">
        <v>39</v>
      </c>
      <c r="AD81" s="102">
        <v>37.200000000000003</v>
      </c>
      <c r="AE81" s="102">
        <v>33.6</v>
      </c>
      <c r="AF81" s="102">
        <v>27</v>
      </c>
      <c r="AG81" s="88"/>
      <c r="AH81" s="12">
        <f t="shared" si="8"/>
        <v>75</v>
      </c>
      <c r="AI81" s="11">
        <f t="shared" si="9"/>
        <v>13.9</v>
      </c>
      <c r="AK81" s="19"/>
      <c r="AY81" s="78"/>
    </row>
    <row r="82" spans="1:64" x14ac:dyDescent="0.25">
      <c r="A82" s="87" t="s">
        <v>160</v>
      </c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>
        <v>103.7</v>
      </c>
      <c r="U82" s="70">
        <v>91.6</v>
      </c>
      <c r="V82" s="70">
        <v>84.9</v>
      </c>
      <c r="W82" s="70">
        <v>72</v>
      </c>
      <c r="X82" s="70">
        <v>67</v>
      </c>
      <c r="Y82" s="70">
        <v>0</v>
      </c>
      <c r="Z82" s="70">
        <v>0</v>
      </c>
      <c r="AA82" s="70">
        <v>0</v>
      </c>
      <c r="AB82" s="70">
        <v>0</v>
      </c>
      <c r="AC82" s="70">
        <v>0</v>
      </c>
      <c r="AD82" s="70">
        <v>0</v>
      </c>
      <c r="AE82" s="70">
        <v>0</v>
      </c>
      <c r="AF82" s="70">
        <v>0</v>
      </c>
      <c r="AG82" s="86"/>
      <c r="AH82" s="12">
        <f t="shared" ref="AH82:AH125" si="46">MAX(B82:AF82)</f>
        <v>103.7</v>
      </c>
      <c r="AI82" s="11">
        <f t="shared" ref="AI82:AI125" si="47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25">
      <c r="A83" s="87" t="s">
        <v>181</v>
      </c>
      <c r="B83" s="70">
        <v>32.5</v>
      </c>
      <c r="C83" s="70">
        <v>85</v>
      </c>
      <c r="D83" s="70">
        <v>54</v>
      </c>
      <c r="E83" s="70">
        <v>88.8</v>
      </c>
      <c r="F83" s="70">
        <v>115.4</v>
      </c>
      <c r="G83" s="70">
        <v>123.5</v>
      </c>
      <c r="H83" s="70">
        <v>83.9</v>
      </c>
      <c r="I83" s="70">
        <v>106</v>
      </c>
      <c r="J83" s="70">
        <v>241</v>
      </c>
      <c r="K83" s="70">
        <v>326</v>
      </c>
      <c r="L83" s="70">
        <v>337.2</v>
      </c>
      <c r="M83" s="70">
        <v>298.39999999999998</v>
      </c>
      <c r="N83" s="70">
        <v>304.89999999999998</v>
      </c>
      <c r="O83" s="70">
        <v>278</v>
      </c>
      <c r="P83" s="70">
        <v>361</v>
      </c>
      <c r="Q83" s="70">
        <v>295</v>
      </c>
      <c r="R83" s="70">
        <v>301</v>
      </c>
      <c r="S83" s="70">
        <v>322</v>
      </c>
      <c r="T83" s="70">
        <v>292.89999999999998</v>
      </c>
      <c r="U83" s="70">
        <v>341.3</v>
      </c>
      <c r="V83" s="70">
        <v>301.89999999999998</v>
      </c>
      <c r="W83" s="70">
        <v>295</v>
      </c>
      <c r="X83" s="70">
        <v>292</v>
      </c>
      <c r="Y83" s="70">
        <v>114</v>
      </c>
      <c r="Z83" s="70">
        <v>53</v>
      </c>
      <c r="AA83" s="70">
        <v>54.8</v>
      </c>
      <c r="AB83" s="70">
        <v>59.9</v>
      </c>
      <c r="AC83" s="70">
        <v>14.8</v>
      </c>
      <c r="AD83" s="70">
        <v>14.5</v>
      </c>
      <c r="AE83" s="70">
        <v>0</v>
      </c>
      <c r="AF83" s="70">
        <v>5</v>
      </c>
      <c r="AG83" s="96"/>
      <c r="AH83" s="12">
        <f t="shared" si="46"/>
        <v>361</v>
      </c>
      <c r="AI83" s="11">
        <f t="shared" si="47"/>
        <v>0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25">
      <c r="A84" s="87" t="s">
        <v>161</v>
      </c>
      <c r="B84" s="70"/>
      <c r="C84" s="70"/>
      <c r="D84" s="70"/>
      <c r="E84" s="85"/>
      <c r="F84" s="85"/>
      <c r="G84" s="85"/>
      <c r="H84" s="85"/>
      <c r="I84" s="85"/>
      <c r="J84" s="85">
        <v>21.1</v>
      </c>
      <c r="K84" s="85">
        <v>29</v>
      </c>
      <c r="L84" s="85">
        <v>37.9</v>
      </c>
      <c r="M84" s="85">
        <v>40.5</v>
      </c>
      <c r="N84" s="85">
        <v>40.1</v>
      </c>
      <c r="O84" s="85">
        <v>36</v>
      </c>
      <c r="P84" s="85">
        <v>38</v>
      </c>
      <c r="Q84" s="85">
        <v>38</v>
      </c>
      <c r="R84" s="85">
        <v>37.200000000000003</v>
      </c>
      <c r="S84" s="85">
        <v>38</v>
      </c>
      <c r="T84" s="85">
        <v>0</v>
      </c>
      <c r="U84" s="85">
        <v>0</v>
      </c>
      <c r="V84" s="85">
        <v>0</v>
      </c>
      <c r="W84" s="85">
        <v>0</v>
      </c>
      <c r="X84" s="85">
        <v>0</v>
      </c>
      <c r="Y84" s="85">
        <v>0</v>
      </c>
      <c r="Z84" s="85">
        <v>0</v>
      </c>
      <c r="AA84" s="85">
        <v>0</v>
      </c>
      <c r="AB84" s="85">
        <v>0</v>
      </c>
      <c r="AC84" s="85">
        <v>0</v>
      </c>
      <c r="AD84" s="85">
        <v>0</v>
      </c>
      <c r="AE84" s="85">
        <v>0</v>
      </c>
      <c r="AF84" s="85">
        <v>0</v>
      </c>
      <c r="AG84" s="96"/>
      <c r="AH84" s="12">
        <f t="shared" si="46"/>
        <v>40.5</v>
      </c>
      <c r="AI84" s="11">
        <f t="shared" si="47"/>
        <v>0</v>
      </c>
      <c r="AK84" s="19"/>
      <c r="AY84" s="78"/>
      <c r="BF84" s="83"/>
      <c r="BG84" s="78">
        <f t="array" ref="BG84:BL107">TRANSPOSE(AZ68:BW73)</f>
        <v>14</v>
      </c>
      <c r="BH84" s="78">
        <v>0</v>
      </c>
      <c r="BI84" s="78">
        <v>85</v>
      </c>
      <c r="BJ84" s="78">
        <v>0</v>
      </c>
      <c r="BK84" s="78">
        <v>0</v>
      </c>
      <c r="BL84" s="78">
        <v>44</v>
      </c>
    </row>
    <row r="85" spans="1:64" x14ac:dyDescent="0.25">
      <c r="A85" s="87" t="s">
        <v>180</v>
      </c>
      <c r="B85" s="102"/>
      <c r="C85" s="102"/>
      <c r="D85" s="102"/>
      <c r="E85" s="102"/>
      <c r="F85" s="102"/>
      <c r="G85" s="102"/>
      <c r="H85" s="102"/>
      <c r="I85" s="102"/>
      <c r="J85" s="102">
        <v>111.5</v>
      </c>
      <c r="K85" s="102">
        <v>120</v>
      </c>
      <c r="L85" s="102">
        <v>124</v>
      </c>
      <c r="M85" s="102">
        <v>120.4</v>
      </c>
      <c r="N85" s="102">
        <v>126.4</v>
      </c>
      <c r="O85" s="102">
        <v>141.9</v>
      </c>
      <c r="P85" s="102">
        <v>115</v>
      </c>
      <c r="Q85" s="102">
        <v>114.6</v>
      </c>
      <c r="R85" s="102">
        <v>115</v>
      </c>
      <c r="S85" s="102">
        <v>126.3</v>
      </c>
      <c r="T85" s="102">
        <v>132.5</v>
      </c>
      <c r="U85" s="102">
        <v>133.9</v>
      </c>
      <c r="V85" s="102">
        <v>114.2</v>
      </c>
      <c r="W85" s="102">
        <v>118</v>
      </c>
      <c r="X85" s="102">
        <v>108.5</v>
      </c>
      <c r="Y85" s="102">
        <v>51.4</v>
      </c>
      <c r="Z85" s="102">
        <v>0</v>
      </c>
      <c r="AA85" s="102">
        <v>0</v>
      </c>
      <c r="AB85" s="102">
        <v>0</v>
      </c>
      <c r="AC85" s="102">
        <v>0</v>
      </c>
      <c r="AD85" s="102">
        <v>0</v>
      </c>
      <c r="AE85" s="102">
        <v>0</v>
      </c>
      <c r="AF85" s="102">
        <v>0</v>
      </c>
      <c r="AG85" s="96"/>
      <c r="AH85" s="12">
        <f t="shared" si="46"/>
        <v>141.9</v>
      </c>
      <c r="AI85" s="11">
        <f t="shared" si="47"/>
        <v>0</v>
      </c>
      <c r="AK85" s="19"/>
      <c r="AY85" s="78"/>
      <c r="BF85" s="83"/>
      <c r="BG85" s="78">
        <v>15</v>
      </c>
      <c r="BH85" s="78">
        <v>0</v>
      </c>
      <c r="BI85" s="78">
        <v>54</v>
      </c>
      <c r="BJ85" s="78">
        <v>0</v>
      </c>
      <c r="BK85" s="78">
        <v>0</v>
      </c>
      <c r="BL85" s="78">
        <v>42.1</v>
      </c>
    </row>
    <row r="86" spans="1:64" x14ac:dyDescent="0.25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46"/>
        <v>0</v>
      </c>
      <c r="AI86" s="11">
        <f t="shared" si="47"/>
        <v>0</v>
      </c>
      <c r="AK86" s="19"/>
      <c r="AY86" s="78"/>
      <c r="BF86" s="83"/>
      <c r="BG86" s="78">
        <v>24.3</v>
      </c>
      <c r="BH86" s="78">
        <v>0</v>
      </c>
      <c r="BI86" s="78">
        <v>88.8</v>
      </c>
      <c r="BJ86" s="78">
        <v>0</v>
      </c>
      <c r="BK86" s="78">
        <v>0</v>
      </c>
      <c r="BL86" s="78">
        <v>42.8</v>
      </c>
    </row>
    <row r="87" spans="1:64" ht="15.75" thickBot="1" x14ac:dyDescent="0.3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46"/>
        <v>0</v>
      </c>
      <c r="AI87" s="11">
        <f t="shared" si="47"/>
        <v>0</v>
      </c>
      <c r="AK87" s="19"/>
      <c r="AL87" s="108" t="s">
        <v>177</v>
      </c>
      <c r="AM87" s="108"/>
      <c r="AY87" s="78"/>
      <c r="BF87" s="78"/>
      <c r="BG87" s="78">
        <v>20.100000000000001</v>
      </c>
      <c r="BH87" s="78">
        <v>0</v>
      </c>
      <c r="BI87" s="78">
        <v>115.4</v>
      </c>
      <c r="BJ87" s="78">
        <v>0</v>
      </c>
      <c r="BK87" s="78">
        <v>0</v>
      </c>
      <c r="BL87" s="78">
        <v>41.8</v>
      </c>
    </row>
    <row r="88" spans="1:64" x14ac:dyDescent="0.25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46"/>
        <v>0</v>
      </c>
      <c r="AI88" s="11">
        <f t="shared" si="47"/>
        <v>0</v>
      </c>
      <c r="AK88" s="107"/>
      <c r="AL88" s="106"/>
      <c r="AM88" s="106"/>
      <c r="AN88" s="105"/>
      <c r="AY88" s="78"/>
      <c r="BF88" s="78"/>
      <c r="BG88" s="78">
        <v>37.4</v>
      </c>
      <c r="BH88" s="78">
        <v>0</v>
      </c>
      <c r="BI88" s="78">
        <v>123.5</v>
      </c>
      <c r="BJ88" s="78">
        <v>0</v>
      </c>
      <c r="BK88" s="78">
        <v>0</v>
      </c>
      <c r="BL88" s="78">
        <v>40.799999999999997</v>
      </c>
    </row>
    <row r="89" spans="1:64" x14ac:dyDescent="0.25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46"/>
        <v>0</v>
      </c>
      <c r="AI89" s="11">
        <f t="shared" si="47"/>
        <v>0</v>
      </c>
      <c r="AK89" s="104" t="s">
        <v>174</v>
      </c>
      <c r="AL89" s="70"/>
      <c r="AM89" s="85"/>
      <c r="AN89" s="103"/>
      <c r="AY89" s="78"/>
      <c r="BF89" s="78"/>
      <c r="BG89" s="78">
        <v>38.200000000000003</v>
      </c>
      <c r="BH89" s="78">
        <v>0</v>
      </c>
      <c r="BI89" s="78">
        <v>106</v>
      </c>
      <c r="BJ89" s="78">
        <v>0</v>
      </c>
      <c r="BK89" s="78">
        <v>0</v>
      </c>
      <c r="BL89" s="78">
        <v>38.200000000000003</v>
      </c>
    </row>
    <row r="90" spans="1:64" x14ac:dyDescent="0.25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46"/>
        <v>0</v>
      </c>
      <c r="AI90" s="11">
        <f t="shared" si="47"/>
        <v>0</v>
      </c>
      <c r="AK90" s="104" t="s">
        <v>172</v>
      </c>
      <c r="AL90" s="85"/>
      <c r="AM90" s="85"/>
      <c r="AN90" s="103"/>
      <c r="AY90" s="78"/>
      <c r="BF90" s="78"/>
      <c r="BG90" s="78">
        <v>63.4</v>
      </c>
      <c r="BH90" s="78">
        <v>0</v>
      </c>
      <c r="BI90" s="78">
        <v>326</v>
      </c>
      <c r="BJ90" s="78">
        <v>29</v>
      </c>
      <c r="BK90" s="78">
        <v>120</v>
      </c>
      <c r="BL90" s="78">
        <v>44.8</v>
      </c>
    </row>
    <row r="91" spans="1:64" ht="15.75" thickBot="1" x14ac:dyDescent="0.3">
      <c r="A91" s="82" t="s">
        <v>171</v>
      </c>
      <c r="B91" s="97">
        <v>45</v>
      </c>
      <c r="C91" s="97">
        <v>44</v>
      </c>
      <c r="D91" s="97">
        <v>42.1</v>
      </c>
      <c r="E91" s="97">
        <v>42.8</v>
      </c>
      <c r="F91" s="97">
        <v>41.8</v>
      </c>
      <c r="G91" s="97">
        <v>40.799999999999997</v>
      </c>
      <c r="H91" s="97">
        <v>39</v>
      </c>
      <c r="I91" s="97">
        <v>38.200000000000003</v>
      </c>
      <c r="J91" s="97">
        <v>42.2</v>
      </c>
      <c r="K91" s="97">
        <v>44.8</v>
      </c>
      <c r="L91" s="97">
        <v>49.3</v>
      </c>
      <c r="M91" s="97">
        <v>52.1</v>
      </c>
      <c r="N91" s="97">
        <v>51.8</v>
      </c>
      <c r="O91" s="97">
        <v>48.6</v>
      </c>
      <c r="P91" s="97">
        <v>52</v>
      </c>
      <c r="Q91" s="97">
        <v>51</v>
      </c>
      <c r="R91" s="97">
        <v>53.8</v>
      </c>
      <c r="S91" s="97">
        <v>58.6</v>
      </c>
      <c r="T91" s="97">
        <v>55.7</v>
      </c>
      <c r="U91" s="97">
        <v>57.8</v>
      </c>
      <c r="V91" s="97">
        <v>48.9</v>
      </c>
      <c r="W91" s="97">
        <v>49</v>
      </c>
      <c r="X91" s="97">
        <v>44.2</v>
      </c>
      <c r="Y91" s="97">
        <v>39.5</v>
      </c>
      <c r="Z91" s="97">
        <v>39.9</v>
      </c>
      <c r="AA91" s="97">
        <v>39.4</v>
      </c>
      <c r="AB91" s="97">
        <v>43.1</v>
      </c>
      <c r="AC91" s="97">
        <v>44.1</v>
      </c>
      <c r="AD91" s="97">
        <v>45</v>
      </c>
      <c r="AE91" s="97">
        <v>45</v>
      </c>
      <c r="AF91" s="97">
        <v>27</v>
      </c>
      <c r="AG91" s="80"/>
      <c r="AH91" s="12">
        <f t="shared" si="46"/>
        <v>58.6</v>
      </c>
      <c r="AI91" s="11">
        <f t="shared" si="47"/>
        <v>27</v>
      </c>
      <c r="AK91" s="98"/>
      <c r="AL91" s="102"/>
      <c r="AM91" s="102"/>
      <c r="AN91" s="101"/>
      <c r="AY91" s="78"/>
      <c r="BF91" s="78"/>
      <c r="BG91" s="78">
        <v>63.5</v>
      </c>
      <c r="BH91" s="78">
        <v>0</v>
      </c>
      <c r="BI91" s="78">
        <v>298.39999999999998</v>
      </c>
      <c r="BJ91" s="78">
        <v>40.5</v>
      </c>
      <c r="BK91" s="78">
        <v>120.4</v>
      </c>
      <c r="BL91" s="78">
        <v>52.1</v>
      </c>
    </row>
    <row r="92" spans="1:64" ht="15.75" thickBot="1" x14ac:dyDescent="0.3">
      <c r="A92" s="77" t="s">
        <v>170</v>
      </c>
      <c r="B92" s="76">
        <f t="shared" ref="B92:AF92" si="48">SUMIF(B81:B91,"&gt;0")</f>
        <v>92.4</v>
      </c>
      <c r="C92" s="76">
        <f t="shared" si="48"/>
        <v>142.9</v>
      </c>
      <c r="D92" s="76">
        <f t="shared" si="48"/>
        <v>111.1</v>
      </c>
      <c r="E92" s="76">
        <f t="shared" si="48"/>
        <v>155.89999999999998</v>
      </c>
      <c r="F92" s="76">
        <f t="shared" si="48"/>
        <v>177.3</v>
      </c>
      <c r="G92" s="76">
        <f t="shared" si="48"/>
        <v>201.7</v>
      </c>
      <c r="H92" s="76">
        <f t="shared" si="48"/>
        <v>158.9</v>
      </c>
      <c r="I92" s="76">
        <f t="shared" si="48"/>
        <v>182.39999999999998</v>
      </c>
      <c r="J92" s="76">
        <f t="shared" si="48"/>
        <v>465.8</v>
      </c>
      <c r="K92" s="76">
        <f t="shared" si="48"/>
        <v>583.19999999999993</v>
      </c>
      <c r="L92" s="76">
        <f t="shared" si="48"/>
        <v>617.59999999999991</v>
      </c>
      <c r="M92" s="76">
        <f t="shared" si="48"/>
        <v>574.9</v>
      </c>
      <c r="N92" s="76">
        <f t="shared" si="48"/>
        <v>598.19999999999993</v>
      </c>
      <c r="O92" s="76">
        <f t="shared" si="48"/>
        <v>577.4</v>
      </c>
      <c r="P92" s="76">
        <f t="shared" si="48"/>
        <v>635</v>
      </c>
      <c r="Q92" s="76">
        <f t="shared" si="48"/>
        <v>558.6</v>
      </c>
      <c r="R92" s="76">
        <f t="shared" si="48"/>
        <v>579.69999999999993</v>
      </c>
      <c r="S92" s="76">
        <f t="shared" si="48"/>
        <v>612.29999999999995</v>
      </c>
      <c r="T92" s="76">
        <f t="shared" si="48"/>
        <v>652.20000000000005</v>
      </c>
      <c r="U92" s="76">
        <f t="shared" si="48"/>
        <v>691.59999999999991</v>
      </c>
      <c r="V92" s="76">
        <f t="shared" si="48"/>
        <v>618.1</v>
      </c>
      <c r="W92" s="76">
        <f t="shared" si="48"/>
        <v>600</v>
      </c>
      <c r="X92" s="76">
        <f t="shared" si="48"/>
        <v>576.40000000000009</v>
      </c>
      <c r="Y92" s="76">
        <f t="shared" si="48"/>
        <v>260.5</v>
      </c>
      <c r="Z92" s="76">
        <f t="shared" si="48"/>
        <v>113.30000000000001</v>
      </c>
      <c r="AA92" s="76">
        <f t="shared" si="48"/>
        <v>126.1</v>
      </c>
      <c r="AB92" s="76">
        <f t="shared" ref="AB92" si="49">SUMIF(AB81:AB91,"&gt;0")</f>
        <v>145.19999999999999</v>
      </c>
      <c r="AC92" s="76">
        <f t="shared" si="48"/>
        <v>97.9</v>
      </c>
      <c r="AD92" s="76">
        <f t="shared" si="48"/>
        <v>96.7</v>
      </c>
      <c r="AE92" s="76">
        <f t="shared" si="48"/>
        <v>78.599999999999994</v>
      </c>
      <c r="AF92" s="76">
        <f t="shared" si="48"/>
        <v>59</v>
      </c>
      <c r="AG92" s="75">
        <f>SUM(AG81:AG91)</f>
        <v>0</v>
      </c>
      <c r="AH92" s="12">
        <f t="shared" si="46"/>
        <v>691.59999999999991</v>
      </c>
      <c r="AI92" s="11">
        <f t="shared" si="47"/>
        <v>59</v>
      </c>
      <c r="AK92" s="98"/>
      <c r="AL92" s="97"/>
      <c r="AM92" s="100"/>
      <c r="AN92" s="220"/>
      <c r="AY92" s="78"/>
      <c r="BF92" s="78"/>
      <c r="BG92" s="78">
        <v>75</v>
      </c>
      <c r="BH92" s="78">
        <v>0</v>
      </c>
      <c r="BI92" s="78">
        <v>304.89999999999998</v>
      </c>
      <c r="BJ92" s="78">
        <v>40.1</v>
      </c>
      <c r="BK92" s="78">
        <v>126.4</v>
      </c>
      <c r="BL92" s="78">
        <v>51.8</v>
      </c>
    </row>
    <row r="93" spans="1:64" x14ac:dyDescent="0.25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46"/>
        <v>0</v>
      </c>
      <c r="AI93" s="11">
        <f t="shared" si="47"/>
        <v>0</v>
      </c>
      <c r="AK93" s="98"/>
      <c r="AL93" s="97"/>
      <c r="AM93" s="97"/>
      <c r="AN93" s="221"/>
      <c r="BF93" s="78"/>
      <c r="BG93" s="78">
        <v>72.900000000000006</v>
      </c>
      <c r="BH93" s="78">
        <v>0</v>
      </c>
      <c r="BI93" s="78">
        <v>278</v>
      </c>
      <c r="BJ93" s="78">
        <v>36</v>
      </c>
      <c r="BK93" s="78">
        <v>141.9</v>
      </c>
      <c r="BL93" s="78">
        <v>48.6</v>
      </c>
    </row>
    <row r="94" spans="1:64" ht="15.75" thickBot="1" x14ac:dyDescent="0.3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46"/>
        <v>0</v>
      </c>
      <c r="AI94" s="11">
        <f t="shared" si="47"/>
        <v>0</v>
      </c>
      <c r="AK94" s="95"/>
      <c r="AL94" s="67"/>
      <c r="AM94" s="67"/>
      <c r="AN94" s="94"/>
      <c r="BF94" s="78"/>
      <c r="BG94" s="78">
        <v>69</v>
      </c>
      <c r="BH94" s="78">
        <v>0</v>
      </c>
      <c r="BI94" s="78">
        <v>361</v>
      </c>
      <c r="BJ94" s="78">
        <v>38</v>
      </c>
      <c r="BK94" s="78">
        <v>115</v>
      </c>
      <c r="BL94" s="78">
        <v>52</v>
      </c>
    </row>
    <row r="95" spans="1:64" ht="15.75" thickBot="1" x14ac:dyDescent="0.3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46"/>
        <v>0</v>
      </c>
      <c r="AI95" s="11">
        <f t="shared" si="47"/>
        <v>0</v>
      </c>
      <c r="BF95" s="78"/>
      <c r="BG95" s="78">
        <v>60</v>
      </c>
      <c r="BH95" s="78">
        <v>0</v>
      </c>
      <c r="BI95" s="78">
        <v>295</v>
      </c>
      <c r="BJ95" s="78">
        <v>38</v>
      </c>
      <c r="BK95" s="78">
        <v>114.6</v>
      </c>
      <c r="BL95" s="78">
        <v>51</v>
      </c>
    </row>
    <row r="96" spans="1:64" ht="15.75" thickBot="1" x14ac:dyDescent="0.3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>
        <v>0</v>
      </c>
      <c r="Y96" s="76">
        <v>230</v>
      </c>
      <c r="Z96" s="76">
        <v>175</v>
      </c>
      <c r="AA96" s="76">
        <v>175</v>
      </c>
      <c r="AB96" s="76"/>
      <c r="AC96" s="76"/>
      <c r="AD96" s="76"/>
      <c r="AE96" s="76"/>
      <c r="AF96" s="76"/>
      <c r="AG96" s="75">
        <f>SUM(AG93:AG95)</f>
        <v>55.4</v>
      </c>
      <c r="AH96" s="12">
        <f t="shared" si="46"/>
        <v>230</v>
      </c>
      <c r="AI96" s="11">
        <f t="shared" si="47"/>
        <v>0</v>
      </c>
      <c r="BF96" s="78"/>
      <c r="BG96" s="78">
        <v>72.7</v>
      </c>
      <c r="BH96" s="78">
        <v>0</v>
      </c>
      <c r="BI96" s="78">
        <v>301</v>
      </c>
      <c r="BJ96" s="78">
        <v>37.200000000000003</v>
      </c>
      <c r="BK96" s="78">
        <v>115</v>
      </c>
      <c r="BL96" s="78">
        <v>53.8</v>
      </c>
    </row>
    <row r="97" spans="1:64" ht="15.75" thickBot="1" x14ac:dyDescent="0.3">
      <c r="A97" s="77" t="s">
        <v>165</v>
      </c>
      <c r="B97" s="90">
        <f t="shared" ref="B97:AG97" si="50">B58+B62+B80+B76+B92+B96</f>
        <v>1131.94</v>
      </c>
      <c r="C97" s="90">
        <f t="shared" si="50"/>
        <v>1118.44</v>
      </c>
      <c r="D97" s="90">
        <f t="shared" si="50"/>
        <v>1086.6399999999999</v>
      </c>
      <c r="E97" s="90">
        <f t="shared" si="50"/>
        <v>1122.8800000000001</v>
      </c>
      <c r="F97" s="90">
        <f t="shared" si="50"/>
        <v>1130.94</v>
      </c>
      <c r="G97" s="90">
        <f t="shared" si="50"/>
        <v>1164.6400000000001</v>
      </c>
      <c r="H97" s="90">
        <f t="shared" si="50"/>
        <v>1201.1400000000001</v>
      </c>
      <c r="I97" s="90">
        <f t="shared" si="50"/>
        <v>1288.44</v>
      </c>
      <c r="J97" s="90">
        <f t="shared" si="50"/>
        <v>1401.64</v>
      </c>
      <c r="K97" s="90">
        <f t="shared" si="50"/>
        <v>1500.44</v>
      </c>
      <c r="L97" s="90">
        <f t="shared" si="50"/>
        <v>1576.6599999999999</v>
      </c>
      <c r="M97" s="90">
        <f t="shared" si="50"/>
        <v>1568.24</v>
      </c>
      <c r="N97" s="90">
        <f t="shared" si="50"/>
        <v>1615.94</v>
      </c>
      <c r="O97" s="90">
        <f t="shared" si="50"/>
        <v>1630.6400000000003</v>
      </c>
      <c r="P97" s="90">
        <f t="shared" si="50"/>
        <v>1617.9400000000003</v>
      </c>
      <c r="Q97" s="90">
        <f t="shared" si="50"/>
        <v>1567.94</v>
      </c>
      <c r="R97" s="90">
        <f t="shared" si="50"/>
        <v>1611.54</v>
      </c>
      <c r="S97" s="90">
        <f t="shared" si="50"/>
        <v>1686.8400000000001</v>
      </c>
      <c r="T97" s="90">
        <f t="shared" si="50"/>
        <v>1713.94</v>
      </c>
      <c r="U97" s="90">
        <f t="shared" si="50"/>
        <v>1747.1399999999999</v>
      </c>
      <c r="V97" s="90">
        <f t="shared" si="50"/>
        <v>1658.7400000000002</v>
      </c>
      <c r="W97" s="90">
        <f t="shared" si="50"/>
        <v>1619.1400000000003</v>
      </c>
      <c r="X97" s="90">
        <f t="shared" si="50"/>
        <v>1545.6400000000003</v>
      </c>
      <c r="Y97" s="90">
        <f t="shared" si="50"/>
        <v>1627.5</v>
      </c>
      <c r="Z97" s="90">
        <f t="shared" si="50"/>
        <v>1771.9099999999999</v>
      </c>
      <c r="AA97" s="90">
        <f t="shared" si="50"/>
        <v>1870.24</v>
      </c>
      <c r="AB97" s="90">
        <f t="shared" ref="AB97" si="51">AB58+AB62+AB80+AB76+AB92+AB96</f>
        <v>1663.14</v>
      </c>
      <c r="AC97" s="90">
        <f t="shared" si="50"/>
        <v>1609.5400000000002</v>
      </c>
      <c r="AD97" s="90">
        <f t="shared" si="50"/>
        <v>1565.0400000000002</v>
      </c>
      <c r="AE97" s="90">
        <f t="shared" si="50"/>
        <v>1448.5400000000002</v>
      </c>
      <c r="AF97" s="90">
        <f t="shared" si="50"/>
        <v>1284.24</v>
      </c>
      <c r="AG97" s="93">
        <f t="shared" si="50"/>
        <v>2231.81</v>
      </c>
      <c r="AH97" s="12">
        <f t="shared" si="46"/>
        <v>1870.24</v>
      </c>
      <c r="AI97" s="11">
        <f t="shared" si="47"/>
        <v>1086.6399999999999</v>
      </c>
      <c r="BF97" s="78"/>
      <c r="BG97" s="78">
        <v>67.400000000000006</v>
      </c>
      <c r="BH97" s="78">
        <v>0</v>
      </c>
      <c r="BI97" s="78">
        <v>322</v>
      </c>
      <c r="BJ97" s="78">
        <v>38</v>
      </c>
      <c r="BK97" s="78">
        <v>126.3</v>
      </c>
      <c r="BL97" s="78">
        <v>58.6</v>
      </c>
    </row>
    <row r="98" spans="1:64" ht="15.75" thickBot="1" x14ac:dyDescent="0.3">
      <c r="A98" s="92" t="s">
        <v>164</v>
      </c>
      <c r="B98" s="91">
        <v>230</v>
      </c>
      <c r="C98" s="91">
        <v>230</v>
      </c>
      <c r="D98" s="91">
        <v>230</v>
      </c>
      <c r="E98" s="91">
        <v>230</v>
      </c>
      <c r="F98" s="91">
        <v>230</v>
      </c>
      <c r="G98" s="91">
        <v>230</v>
      </c>
      <c r="H98" s="91">
        <v>230</v>
      </c>
      <c r="I98" s="91">
        <v>230</v>
      </c>
      <c r="J98" s="91">
        <v>0</v>
      </c>
      <c r="K98" s="91">
        <v>0</v>
      </c>
      <c r="L98" s="91">
        <v>0</v>
      </c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>
        <v>175</v>
      </c>
      <c r="AC98" s="91">
        <v>175</v>
      </c>
      <c r="AD98" s="91">
        <v>175</v>
      </c>
      <c r="AE98" s="91">
        <v>175</v>
      </c>
      <c r="AF98" s="91">
        <v>200</v>
      </c>
      <c r="AG98" s="75"/>
      <c r="AH98" s="12">
        <f t="shared" si="46"/>
        <v>230</v>
      </c>
      <c r="AI98" s="11">
        <f t="shared" si="47"/>
        <v>0</v>
      </c>
      <c r="BF98" s="78"/>
      <c r="BG98" s="78">
        <v>67.400000000000006</v>
      </c>
      <c r="BH98" s="78">
        <v>103.7</v>
      </c>
      <c r="BI98" s="78">
        <v>292.89999999999998</v>
      </c>
      <c r="BJ98" s="78">
        <v>0</v>
      </c>
      <c r="BK98" s="78">
        <v>132.5</v>
      </c>
      <c r="BL98" s="78">
        <v>55.7</v>
      </c>
    </row>
    <row r="99" spans="1:64" ht="15.75" thickBot="1" x14ac:dyDescent="0.3">
      <c r="A99" s="77" t="s">
        <v>163</v>
      </c>
      <c r="B99" s="90">
        <f t="shared" ref="B99:AF99" si="52">B97+B98</f>
        <v>1361.94</v>
      </c>
      <c r="C99" s="90">
        <f t="shared" si="52"/>
        <v>1348.44</v>
      </c>
      <c r="D99" s="90">
        <f t="shared" si="52"/>
        <v>1316.6399999999999</v>
      </c>
      <c r="E99" s="90">
        <f t="shared" si="52"/>
        <v>1352.88</v>
      </c>
      <c r="F99" s="90">
        <f t="shared" si="52"/>
        <v>1360.94</v>
      </c>
      <c r="G99" s="90">
        <f t="shared" si="52"/>
        <v>1394.64</v>
      </c>
      <c r="H99" s="90">
        <f t="shared" si="52"/>
        <v>1431.14</v>
      </c>
      <c r="I99" s="90">
        <f t="shared" si="52"/>
        <v>1518.44</v>
      </c>
      <c r="J99" s="90">
        <f t="shared" si="52"/>
        <v>1401.64</v>
      </c>
      <c r="K99" s="90">
        <f t="shared" si="52"/>
        <v>1500.44</v>
      </c>
      <c r="L99" s="90">
        <f t="shared" si="52"/>
        <v>1576.6599999999999</v>
      </c>
      <c r="M99" s="90">
        <f t="shared" si="52"/>
        <v>1568.24</v>
      </c>
      <c r="N99" s="90">
        <f t="shared" si="52"/>
        <v>1615.94</v>
      </c>
      <c r="O99" s="90">
        <f t="shared" si="52"/>
        <v>1630.6400000000003</v>
      </c>
      <c r="P99" s="90">
        <f t="shared" si="52"/>
        <v>1617.9400000000003</v>
      </c>
      <c r="Q99" s="90">
        <f t="shared" si="52"/>
        <v>1567.94</v>
      </c>
      <c r="R99" s="90">
        <f t="shared" si="52"/>
        <v>1611.54</v>
      </c>
      <c r="S99" s="90">
        <f t="shared" si="52"/>
        <v>1686.8400000000001</v>
      </c>
      <c r="T99" s="90">
        <f t="shared" si="52"/>
        <v>1713.94</v>
      </c>
      <c r="U99" s="90">
        <f t="shared" si="52"/>
        <v>1747.1399999999999</v>
      </c>
      <c r="V99" s="90">
        <f t="shared" si="52"/>
        <v>1658.7400000000002</v>
      </c>
      <c r="W99" s="90">
        <f t="shared" si="52"/>
        <v>1619.1400000000003</v>
      </c>
      <c r="X99" s="90">
        <f t="shared" si="52"/>
        <v>1545.6400000000003</v>
      </c>
      <c r="Y99" s="90">
        <f t="shared" si="52"/>
        <v>1627.5</v>
      </c>
      <c r="Z99" s="90">
        <f t="shared" si="52"/>
        <v>1771.9099999999999</v>
      </c>
      <c r="AA99" s="90">
        <f t="shared" si="52"/>
        <v>1870.24</v>
      </c>
      <c r="AB99" s="90">
        <f t="shared" ref="AB99" si="53">AB97+AB98</f>
        <v>1838.14</v>
      </c>
      <c r="AC99" s="90">
        <f t="shared" si="52"/>
        <v>1784.5400000000002</v>
      </c>
      <c r="AD99" s="90">
        <f t="shared" si="52"/>
        <v>1740.0400000000002</v>
      </c>
      <c r="AE99" s="90">
        <f t="shared" si="52"/>
        <v>1623.5400000000002</v>
      </c>
      <c r="AF99" s="90">
        <f t="shared" si="52"/>
        <v>1484.24</v>
      </c>
      <c r="AG99" s="75">
        <f>AG96+AG92+AG80+AG76+AG58+AG98</f>
        <v>1693.71</v>
      </c>
      <c r="AH99" s="12">
        <f t="shared" si="46"/>
        <v>1870.24</v>
      </c>
      <c r="AI99" s="11">
        <f t="shared" si="47"/>
        <v>1316.6399999999999</v>
      </c>
      <c r="BF99" s="78"/>
      <c r="BG99" s="78">
        <v>67</v>
      </c>
      <c r="BH99" s="78">
        <v>91.6</v>
      </c>
      <c r="BI99" s="78">
        <v>341.3</v>
      </c>
      <c r="BJ99" s="78">
        <v>0</v>
      </c>
      <c r="BK99" s="78">
        <v>133.9</v>
      </c>
      <c r="BL99" s="78">
        <v>57.8</v>
      </c>
    </row>
    <row r="100" spans="1:64" ht="15.75" thickBot="1" x14ac:dyDescent="0.3">
      <c r="A100" s="77" t="s">
        <v>162</v>
      </c>
      <c r="B100" s="90">
        <f t="shared" ref="B100:AF100" si="54">B99-(B107)</f>
        <v>1361.94</v>
      </c>
      <c r="C100" s="90">
        <f t="shared" si="54"/>
        <v>1348.44</v>
      </c>
      <c r="D100" s="90">
        <f t="shared" si="54"/>
        <v>1316.6399999999999</v>
      </c>
      <c r="E100" s="90">
        <f t="shared" si="54"/>
        <v>1352.88</v>
      </c>
      <c r="F100" s="90">
        <f t="shared" si="54"/>
        <v>1360.94</v>
      </c>
      <c r="G100" s="90">
        <f t="shared" si="54"/>
        <v>1394.64</v>
      </c>
      <c r="H100" s="90">
        <f t="shared" si="54"/>
        <v>1431.14</v>
      </c>
      <c r="I100" s="90">
        <f t="shared" si="54"/>
        <v>1518.44</v>
      </c>
      <c r="J100" s="90">
        <f t="shared" si="54"/>
        <v>1401.64</v>
      </c>
      <c r="K100" s="90">
        <f t="shared" si="54"/>
        <v>1500.44</v>
      </c>
      <c r="L100" s="90">
        <f t="shared" si="54"/>
        <v>1576.6599999999999</v>
      </c>
      <c r="M100" s="90">
        <f t="shared" si="54"/>
        <v>1568.24</v>
      </c>
      <c r="N100" s="90">
        <f t="shared" si="54"/>
        <v>1615.94</v>
      </c>
      <c r="O100" s="90">
        <f t="shared" si="54"/>
        <v>1630.6400000000003</v>
      </c>
      <c r="P100" s="90">
        <f t="shared" si="54"/>
        <v>1617.9400000000003</v>
      </c>
      <c r="Q100" s="90">
        <f t="shared" si="54"/>
        <v>1567.94</v>
      </c>
      <c r="R100" s="90">
        <f t="shared" si="54"/>
        <v>1611.54</v>
      </c>
      <c r="S100" s="90">
        <f t="shared" si="54"/>
        <v>1686.8400000000001</v>
      </c>
      <c r="T100" s="90">
        <f t="shared" si="54"/>
        <v>1713.94</v>
      </c>
      <c r="U100" s="90">
        <f t="shared" si="54"/>
        <v>1747.1399999999999</v>
      </c>
      <c r="V100" s="90">
        <f t="shared" si="54"/>
        <v>1658.7400000000002</v>
      </c>
      <c r="W100" s="90">
        <f t="shared" si="54"/>
        <v>1619.1400000000003</v>
      </c>
      <c r="X100" s="90">
        <f t="shared" si="54"/>
        <v>1545.6400000000003</v>
      </c>
      <c r="Y100" s="90">
        <f t="shared" si="54"/>
        <v>1627.5</v>
      </c>
      <c r="Z100" s="90">
        <f t="shared" si="54"/>
        <v>1771.9099999999999</v>
      </c>
      <c r="AA100" s="90">
        <f t="shared" si="54"/>
        <v>1870.24</v>
      </c>
      <c r="AB100" s="90">
        <f t="shared" ref="AB100" si="55">AB99-(AB107)</f>
        <v>1838.14</v>
      </c>
      <c r="AC100" s="90">
        <f t="shared" si="54"/>
        <v>1784.5400000000002</v>
      </c>
      <c r="AD100" s="90">
        <f t="shared" si="54"/>
        <v>1740.0400000000002</v>
      </c>
      <c r="AE100" s="90">
        <f t="shared" si="54"/>
        <v>1623.5400000000002</v>
      </c>
      <c r="AF100" s="90">
        <f t="shared" si="54"/>
        <v>1484.24</v>
      </c>
      <c r="AG100" s="75"/>
      <c r="AH100" s="12">
        <f t="shared" si="46"/>
        <v>1870.24</v>
      </c>
      <c r="AI100" s="11">
        <f t="shared" si="47"/>
        <v>1316.6399999999999</v>
      </c>
      <c r="BF100" s="78"/>
      <c r="BG100" s="78">
        <v>68.2</v>
      </c>
      <c r="BH100" s="78">
        <v>84.9</v>
      </c>
      <c r="BI100" s="78">
        <v>301.89999999999998</v>
      </c>
      <c r="BJ100" s="78">
        <v>0</v>
      </c>
      <c r="BK100" s="78">
        <v>114.2</v>
      </c>
      <c r="BL100" s="78">
        <v>48.9</v>
      </c>
    </row>
    <row r="101" spans="1:64" x14ac:dyDescent="0.25">
      <c r="A101" s="89" t="s">
        <v>161</v>
      </c>
      <c r="B101" s="85">
        <f t="shared" ref="B101:AF101" si="56">IF(B84&lt;0,B84*-1,0)</f>
        <v>0</v>
      </c>
      <c r="C101" s="85">
        <f t="shared" si="56"/>
        <v>0</v>
      </c>
      <c r="D101" s="85">
        <f t="shared" si="56"/>
        <v>0</v>
      </c>
      <c r="E101" s="85">
        <f t="shared" si="56"/>
        <v>0</v>
      </c>
      <c r="F101" s="85">
        <f t="shared" si="56"/>
        <v>0</v>
      </c>
      <c r="G101" s="85">
        <f t="shared" si="56"/>
        <v>0</v>
      </c>
      <c r="H101" s="85">
        <f t="shared" si="56"/>
        <v>0</v>
      </c>
      <c r="I101" s="85">
        <f t="shared" si="56"/>
        <v>0</v>
      </c>
      <c r="J101" s="85">
        <f t="shared" si="56"/>
        <v>0</v>
      </c>
      <c r="K101" s="85">
        <f t="shared" si="56"/>
        <v>0</v>
      </c>
      <c r="L101" s="85">
        <f t="shared" si="56"/>
        <v>0</v>
      </c>
      <c r="M101" s="85">
        <f t="shared" si="56"/>
        <v>0</v>
      </c>
      <c r="N101" s="85">
        <f t="shared" si="56"/>
        <v>0</v>
      </c>
      <c r="O101" s="85">
        <f t="shared" si="56"/>
        <v>0</v>
      </c>
      <c r="P101" s="85">
        <f t="shared" si="56"/>
        <v>0</v>
      </c>
      <c r="Q101" s="85">
        <f t="shared" si="56"/>
        <v>0</v>
      </c>
      <c r="R101" s="85">
        <f t="shared" si="56"/>
        <v>0</v>
      </c>
      <c r="S101" s="85">
        <f t="shared" si="56"/>
        <v>0</v>
      </c>
      <c r="T101" s="85">
        <f t="shared" si="56"/>
        <v>0</v>
      </c>
      <c r="U101" s="85">
        <f t="shared" si="56"/>
        <v>0</v>
      </c>
      <c r="V101" s="85">
        <f t="shared" si="56"/>
        <v>0</v>
      </c>
      <c r="W101" s="85">
        <f t="shared" si="56"/>
        <v>0</v>
      </c>
      <c r="X101" s="85">
        <f t="shared" si="56"/>
        <v>0</v>
      </c>
      <c r="Y101" s="85">
        <f t="shared" si="56"/>
        <v>0</v>
      </c>
      <c r="Z101" s="85">
        <f t="shared" si="56"/>
        <v>0</v>
      </c>
      <c r="AA101" s="85">
        <f t="shared" si="56"/>
        <v>0</v>
      </c>
      <c r="AB101" s="85">
        <f t="shared" ref="AB101" si="57">IF(AB84&lt;0,AB84*-1,0)</f>
        <v>0</v>
      </c>
      <c r="AC101" s="85">
        <f t="shared" si="56"/>
        <v>0</v>
      </c>
      <c r="AD101" s="85">
        <f t="shared" si="56"/>
        <v>0</v>
      </c>
      <c r="AE101" s="85">
        <f t="shared" si="56"/>
        <v>0</v>
      </c>
      <c r="AF101" s="85">
        <f t="shared" si="56"/>
        <v>0</v>
      </c>
      <c r="AG101" s="88"/>
      <c r="AH101" s="12">
        <f t="shared" si="46"/>
        <v>0</v>
      </c>
      <c r="AI101" s="11">
        <f t="shared" si="47"/>
        <v>0</v>
      </c>
      <c r="BF101" s="83"/>
      <c r="BG101" s="78">
        <v>64.7</v>
      </c>
      <c r="BH101" s="78">
        <v>67</v>
      </c>
      <c r="BI101" s="78">
        <v>292</v>
      </c>
      <c r="BJ101" s="78">
        <v>0</v>
      </c>
      <c r="BK101" s="78">
        <v>108.5</v>
      </c>
      <c r="BL101" s="78">
        <v>44.2</v>
      </c>
    </row>
    <row r="102" spans="1:64" x14ac:dyDescent="0.25">
      <c r="A102" s="87" t="s">
        <v>160</v>
      </c>
      <c r="B102" s="85">
        <f t="shared" ref="B102:AF102" si="58">IF(B82&lt;0,B82*-1,0)</f>
        <v>0</v>
      </c>
      <c r="C102" s="85">
        <f t="shared" si="58"/>
        <v>0</v>
      </c>
      <c r="D102" s="85">
        <f t="shared" si="58"/>
        <v>0</v>
      </c>
      <c r="E102" s="85">
        <f t="shared" si="58"/>
        <v>0</v>
      </c>
      <c r="F102" s="85">
        <f t="shared" si="58"/>
        <v>0</v>
      </c>
      <c r="G102" s="85">
        <f t="shared" si="58"/>
        <v>0</v>
      </c>
      <c r="H102" s="85">
        <f t="shared" si="58"/>
        <v>0</v>
      </c>
      <c r="I102" s="85">
        <f t="shared" si="58"/>
        <v>0</v>
      </c>
      <c r="J102" s="85">
        <f t="shared" si="58"/>
        <v>0</v>
      </c>
      <c r="K102" s="85">
        <f t="shared" si="58"/>
        <v>0</v>
      </c>
      <c r="L102" s="85">
        <f t="shared" si="58"/>
        <v>0</v>
      </c>
      <c r="M102" s="85">
        <f t="shared" si="58"/>
        <v>0</v>
      </c>
      <c r="N102" s="85">
        <f t="shared" si="58"/>
        <v>0</v>
      </c>
      <c r="O102" s="85">
        <f t="shared" si="58"/>
        <v>0</v>
      </c>
      <c r="P102" s="85">
        <f t="shared" si="58"/>
        <v>0</v>
      </c>
      <c r="Q102" s="85">
        <f t="shared" si="58"/>
        <v>0</v>
      </c>
      <c r="R102" s="85">
        <f t="shared" si="58"/>
        <v>0</v>
      </c>
      <c r="S102" s="85">
        <f t="shared" si="58"/>
        <v>0</v>
      </c>
      <c r="T102" s="85">
        <f t="shared" si="58"/>
        <v>0</v>
      </c>
      <c r="U102" s="85">
        <f t="shared" si="58"/>
        <v>0</v>
      </c>
      <c r="V102" s="85">
        <f t="shared" si="58"/>
        <v>0</v>
      </c>
      <c r="W102" s="85">
        <f t="shared" si="58"/>
        <v>0</v>
      </c>
      <c r="X102" s="85">
        <f t="shared" si="58"/>
        <v>0</v>
      </c>
      <c r="Y102" s="85">
        <f t="shared" si="58"/>
        <v>0</v>
      </c>
      <c r="Z102" s="85">
        <f t="shared" si="58"/>
        <v>0</v>
      </c>
      <c r="AA102" s="85">
        <f t="shared" si="58"/>
        <v>0</v>
      </c>
      <c r="AB102" s="85">
        <f t="shared" ref="AB102" si="59">IF(AB82&lt;0,AB82*-1,0)</f>
        <v>0</v>
      </c>
      <c r="AC102" s="85">
        <f t="shared" si="58"/>
        <v>0</v>
      </c>
      <c r="AD102" s="85">
        <f t="shared" si="58"/>
        <v>0</v>
      </c>
      <c r="AE102" s="85">
        <f t="shared" si="58"/>
        <v>0</v>
      </c>
      <c r="AF102" s="85">
        <f t="shared" si="58"/>
        <v>0</v>
      </c>
      <c r="AG102" s="86"/>
      <c r="AH102" s="12">
        <f t="shared" si="46"/>
        <v>0</v>
      </c>
      <c r="AI102" s="11">
        <f t="shared" si="47"/>
        <v>0</v>
      </c>
      <c r="BF102" s="83"/>
      <c r="BG102" s="78">
        <v>20.399999999999999</v>
      </c>
      <c r="BH102" s="78">
        <v>0</v>
      </c>
      <c r="BI102" s="78">
        <v>53</v>
      </c>
      <c r="BJ102" s="78">
        <v>0</v>
      </c>
      <c r="BK102" s="78">
        <v>0</v>
      </c>
      <c r="BL102" s="78">
        <v>39.9</v>
      </c>
    </row>
    <row r="103" spans="1:64" x14ac:dyDescent="0.25">
      <c r="A103" s="82" t="s">
        <v>159</v>
      </c>
      <c r="B103" s="85">
        <f t="shared" ref="B103:AF103" si="60">IF(B85&lt;0,B85*-1,0)</f>
        <v>0</v>
      </c>
      <c r="C103" s="85">
        <f t="shared" si="60"/>
        <v>0</v>
      </c>
      <c r="D103" s="85">
        <f t="shared" si="60"/>
        <v>0</v>
      </c>
      <c r="E103" s="85">
        <f t="shared" si="60"/>
        <v>0</v>
      </c>
      <c r="F103" s="85">
        <f t="shared" si="60"/>
        <v>0</v>
      </c>
      <c r="G103" s="85">
        <f t="shared" si="60"/>
        <v>0</v>
      </c>
      <c r="H103" s="85">
        <f t="shared" si="60"/>
        <v>0</v>
      </c>
      <c r="I103" s="85">
        <f t="shared" si="60"/>
        <v>0</v>
      </c>
      <c r="J103" s="85">
        <f t="shared" si="60"/>
        <v>0</v>
      </c>
      <c r="K103" s="85">
        <f t="shared" si="60"/>
        <v>0</v>
      </c>
      <c r="L103" s="85">
        <f t="shared" si="60"/>
        <v>0</v>
      </c>
      <c r="M103" s="85">
        <f t="shared" si="60"/>
        <v>0</v>
      </c>
      <c r="N103" s="85">
        <f t="shared" si="60"/>
        <v>0</v>
      </c>
      <c r="O103" s="85">
        <f t="shared" si="60"/>
        <v>0</v>
      </c>
      <c r="P103" s="85">
        <f t="shared" si="60"/>
        <v>0</v>
      </c>
      <c r="Q103" s="85">
        <f t="shared" si="60"/>
        <v>0</v>
      </c>
      <c r="R103" s="85">
        <f t="shared" si="60"/>
        <v>0</v>
      </c>
      <c r="S103" s="85">
        <f t="shared" si="60"/>
        <v>0</v>
      </c>
      <c r="T103" s="85">
        <f t="shared" si="60"/>
        <v>0</v>
      </c>
      <c r="U103" s="85">
        <f t="shared" si="60"/>
        <v>0</v>
      </c>
      <c r="V103" s="85">
        <f t="shared" si="60"/>
        <v>0</v>
      </c>
      <c r="W103" s="85">
        <f t="shared" si="60"/>
        <v>0</v>
      </c>
      <c r="X103" s="85">
        <f t="shared" si="60"/>
        <v>0</v>
      </c>
      <c r="Y103" s="85">
        <f t="shared" si="60"/>
        <v>0</v>
      </c>
      <c r="Z103" s="85">
        <f t="shared" si="60"/>
        <v>0</v>
      </c>
      <c r="AA103" s="85">
        <f t="shared" si="60"/>
        <v>0</v>
      </c>
      <c r="AB103" s="85">
        <f t="shared" ref="AB103" si="61">IF(AB85&lt;0,AB85*-1,0)</f>
        <v>0</v>
      </c>
      <c r="AC103" s="85">
        <f t="shared" si="60"/>
        <v>0</v>
      </c>
      <c r="AD103" s="85">
        <f t="shared" si="60"/>
        <v>0</v>
      </c>
      <c r="AE103" s="85">
        <f t="shared" si="60"/>
        <v>0</v>
      </c>
      <c r="AF103" s="85">
        <f t="shared" si="60"/>
        <v>0</v>
      </c>
      <c r="AG103" s="84"/>
      <c r="AH103" s="12">
        <f t="shared" si="46"/>
        <v>0</v>
      </c>
      <c r="AI103" s="11">
        <f t="shared" si="47"/>
        <v>0</v>
      </c>
      <c r="BF103" s="83"/>
      <c r="BG103" s="78">
        <v>42.2</v>
      </c>
      <c r="BH103" s="78">
        <v>0</v>
      </c>
      <c r="BI103" s="78">
        <v>59.9</v>
      </c>
      <c r="BJ103" s="78">
        <v>0</v>
      </c>
      <c r="BK103" s="78">
        <v>0</v>
      </c>
      <c r="BL103" s="78">
        <v>43.1</v>
      </c>
    </row>
    <row r="104" spans="1:64" x14ac:dyDescent="0.25">
      <c r="A104" s="82" t="s">
        <v>158</v>
      </c>
      <c r="B104" s="85">
        <f t="shared" ref="B104:AF104" si="62">IF(B83&lt;0,B83*-1,0)</f>
        <v>0</v>
      </c>
      <c r="C104" s="85">
        <f t="shared" si="62"/>
        <v>0</v>
      </c>
      <c r="D104" s="85">
        <f t="shared" si="62"/>
        <v>0</v>
      </c>
      <c r="E104" s="85">
        <f t="shared" si="62"/>
        <v>0</v>
      </c>
      <c r="F104" s="85">
        <f t="shared" si="62"/>
        <v>0</v>
      </c>
      <c r="G104" s="85">
        <f t="shared" si="62"/>
        <v>0</v>
      </c>
      <c r="H104" s="85">
        <f t="shared" si="62"/>
        <v>0</v>
      </c>
      <c r="I104" s="85">
        <f t="shared" si="62"/>
        <v>0</v>
      </c>
      <c r="J104" s="85">
        <f t="shared" si="62"/>
        <v>0</v>
      </c>
      <c r="K104" s="85">
        <f t="shared" si="62"/>
        <v>0</v>
      </c>
      <c r="L104" s="85">
        <f t="shared" si="62"/>
        <v>0</v>
      </c>
      <c r="M104" s="85">
        <f t="shared" si="62"/>
        <v>0</v>
      </c>
      <c r="N104" s="85">
        <f t="shared" si="62"/>
        <v>0</v>
      </c>
      <c r="O104" s="85">
        <f t="shared" si="62"/>
        <v>0</v>
      </c>
      <c r="P104" s="85">
        <f t="shared" si="62"/>
        <v>0</v>
      </c>
      <c r="Q104" s="85">
        <f t="shared" si="62"/>
        <v>0</v>
      </c>
      <c r="R104" s="85">
        <f t="shared" si="62"/>
        <v>0</v>
      </c>
      <c r="S104" s="85">
        <f t="shared" si="62"/>
        <v>0</v>
      </c>
      <c r="T104" s="85">
        <f t="shared" si="62"/>
        <v>0</v>
      </c>
      <c r="U104" s="85">
        <f t="shared" si="62"/>
        <v>0</v>
      </c>
      <c r="V104" s="85">
        <f t="shared" si="62"/>
        <v>0</v>
      </c>
      <c r="W104" s="85">
        <f t="shared" si="62"/>
        <v>0</v>
      </c>
      <c r="X104" s="85">
        <f t="shared" si="62"/>
        <v>0</v>
      </c>
      <c r="Y104" s="85">
        <f t="shared" si="62"/>
        <v>0</v>
      </c>
      <c r="Z104" s="85">
        <f t="shared" si="62"/>
        <v>0</v>
      </c>
      <c r="AA104" s="85">
        <f t="shared" si="62"/>
        <v>0</v>
      </c>
      <c r="AB104" s="85">
        <f t="shared" ref="AB104" si="63">IF(AB83&lt;0,AB83*-1,0)</f>
        <v>0</v>
      </c>
      <c r="AC104" s="85">
        <f t="shared" si="62"/>
        <v>0</v>
      </c>
      <c r="AD104" s="85">
        <f t="shared" si="62"/>
        <v>0</v>
      </c>
      <c r="AE104" s="85">
        <f t="shared" si="62"/>
        <v>0</v>
      </c>
      <c r="AF104" s="85">
        <f t="shared" si="62"/>
        <v>0</v>
      </c>
      <c r="AG104" s="84"/>
      <c r="AH104" s="12">
        <f t="shared" si="46"/>
        <v>0</v>
      </c>
      <c r="AI104" s="11">
        <f t="shared" si="47"/>
        <v>0</v>
      </c>
      <c r="BF104" s="83"/>
      <c r="BG104" s="78">
        <v>37.200000000000003</v>
      </c>
      <c r="BH104" s="78">
        <v>0</v>
      </c>
      <c r="BI104" s="78">
        <v>14.5</v>
      </c>
      <c r="BJ104" s="78">
        <v>0</v>
      </c>
      <c r="BK104" s="78">
        <v>0</v>
      </c>
      <c r="BL104" s="78">
        <v>45</v>
      </c>
    </row>
    <row r="105" spans="1:64" x14ac:dyDescent="0.25">
      <c r="A105" s="82" t="s">
        <v>157</v>
      </c>
      <c r="B105" s="85">
        <f t="shared" ref="B105:AF105" si="64">IF(B81&lt;0,B81*-1,0)</f>
        <v>0</v>
      </c>
      <c r="C105" s="85">
        <f t="shared" si="64"/>
        <v>0</v>
      </c>
      <c r="D105" s="85">
        <f t="shared" si="64"/>
        <v>0</v>
      </c>
      <c r="E105" s="85">
        <f t="shared" si="64"/>
        <v>0</v>
      </c>
      <c r="F105" s="85">
        <f t="shared" si="64"/>
        <v>0</v>
      </c>
      <c r="G105" s="85">
        <f t="shared" si="64"/>
        <v>0</v>
      </c>
      <c r="H105" s="85">
        <f t="shared" si="64"/>
        <v>0</v>
      </c>
      <c r="I105" s="85">
        <f t="shared" si="64"/>
        <v>0</v>
      </c>
      <c r="J105" s="85">
        <f t="shared" si="64"/>
        <v>0</v>
      </c>
      <c r="K105" s="85">
        <f t="shared" si="64"/>
        <v>0</v>
      </c>
      <c r="L105" s="85">
        <f t="shared" si="64"/>
        <v>0</v>
      </c>
      <c r="M105" s="85">
        <f t="shared" si="64"/>
        <v>0</v>
      </c>
      <c r="N105" s="85">
        <f t="shared" si="64"/>
        <v>0</v>
      </c>
      <c r="O105" s="85">
        <f t="shared" si="64"/>
        <v>0</v>
      </c>
      <c r="P105" s="85">
        <f t="shared" si="64"/>
        <v>0</v>
      </c>
      <c r="Q105" s="85">
        <f t="shared" si="64"/>
        <v>0</v>
      </c>
      <c r="R105" s="85">
        <f t="shared" si="64"/>
        <v>0</v>
      </c>
      <c r="S105" s="85">
        <f t="shared" si="64"/>
        <v>0</v>
      </c>
      <c r="T105" s="85">
        <f t="shared" si="64"/>
        <v>0</v>
      </c>
      <c r="U105" s="85">
        <f t="shared" si="64"/>
        <v>0</v>
      </c>
      <c r="V105" s="85">
        <f t="shared" si="64"/>
        <v>0</v>
      </c>
      <c r="W105" s="85">
        <f t="shared" si="64"/>
        <v>0</v>
      </c>
      <c r="X105" s="85">
        <f t="shared" si="64"/>
        <v>0</v>
      </c>
      <c r="Y105" s="85">
        <f t="shared" si="64"/>
        <v>0</v>
      </c>
      <c r="Z105" s="85">
        <f t="shared" si="64"/>
        <v>0</v>
      </c>
      <c r="AA105" s="85">
        <f t="shared" si="64"/>
        <v>0</v>
      </c>
      <c r="AB105" s="85">
        <f t="shared" ref="AB105" si="65">IF(AB81&lt;0,AB81*-1,0)</f>
        <v>0</v>
      </c>
      <c r="AC105" s="85">
        <f t="shared" si="64"/>
        <v>0</v>
      </c>
      <c r="AD105" s="85">
        <f t="shared" si="64"/>
        <v>0</v>
      </c>
      <c r="AE105" s="85">
        <f t="shared" si="64"/>
        <v>0</v>
      </c>
      <c r="AF105" s="85">
        <f t="shared" si="64"/>
        <v>0</v>
      </c>
      <c r="AG105" s="84"/>
      <c r="AH105" s="12">
        <f t="shared" si="46"/>
        <v>0</v>
      </c>
      <c r="AI105" s="11">
        <f t="shared" si="47"/>
        <v>0</v>
      </c>
      <c r="BF105" s="83"/>
      <c r="BG105" s="78">
        <v>33.6</v>
      </c>
      <c r="BH105" s="78">
        <v>0</v>
      </c>
      <c r="BI105" s="78">
        <v>0</v>
      </c>
      <c r="BJ105" s="78">
        <v>0</v>
      </c>
      <c r="BK105" s="78">
        <v>0</v>
      </c>
      <c r="BL105" s="78">
        <v>45</v>
      </c>
    </row>
    <row r="106" spans="1:64" ht="15.75" thickBot="1" x14ac:dyDescent="0.3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46"/>
        <v>0</v>
      </c>
      <c r="AI106" s="11">
        <f t="shared" si="47"/>
        <v>0</v>
      </c>
      <c r="BG106" s="78">
        <v>27</v>
      </c>
      <c r="BH106" s="78">
        <v>0</v>
      </c>
      <c r="BI106" s="78">
        <v>5</v>
      </c>
      <c r="BJ106" s="78">
        <v>0</v>
      </c>
      <c r="BK106" s="78">
        <v>0</v>
      </c>
      <c r="BL106" s="78">
        <v>27</v>
      </c>
    </row>
    <row r="107" spans="1:64" ht="15.75" thickBot="1" x14ac:dyDescent="0.3">
      <c r="A107" s="79" t="s">
        <v>155</v>
      </c>
      <c r="B107" s="76">
        <f t="shared" ref="B107:AF107" si="66">SUM(B101:B106)</f>
        <v>0</v>
      </c>
      <c r="C107" s="76">
        <f t="shared" si="66"/>
        <v>0</v>
      </c>
      <c r="D107" s="76">
        <f t="shared" si="66"/>
        <v>0</v>
      </c>
      <c r="E107" s="76">
        <f t="shared" si="66"/>
        <v>0</v>
      </c>
      <c r="F107" s="76">
        <f t="shared" si="66"/>
        <v>0</v>
      </c>
      <c r="G107" s="76">
        <f t="shared" si="66"/>
        <v>0</v>
      </c>
      <c r="H107" s="76">
        <f t="shared" si="66"/>
        <v>0</v>
      </c>
      <c r="I107" s="76">
        <f t="shared" si="66"/>
        <v>0</v>
      </c>
      <c r="J107" s="76">
        <f t="shared" si="66"/>
        <v>0</v>
      </c>
      <c r="K107" s="76">
        <f t="shared" si="66"/>
        <v>0</v>
      </c>
      <c r="L107" s="76">
        <f t="shared" si="66"/>
        <v>0</v>
      </c>
      <c r="M107" s="76">
        <f t="shared" si="66"/>
        <v>0</v>
      </c>
      <c r="N107" s="76">
        <f t="shared" si="66"/>
        <v>0</v>
      </c>
      <c r="O107" s="76">
        <f t="shared" si="66"/>
        <v>0</v>
      </c>
      <c r="P107" s="76">
        <f t="shared" si="66"/>
        <v>0</v>
      </c>
      <c r="Q107" s="76">
        <f t="shared" si="66"/>
        <v>0</v>
      </c>
      <c r="R107" s="76">
        <f t="shared" si="66"/>
        <v>0</v>
      </c>
      <c r="S107" s="76">
        <f t="shared" si="66"/>
        <v>0</v>
      </c>
      <c r="T107" s="76">
        <f t="shared" si="66"/>
        <v>0</v>
      </c>
      <c r="U107" s="76">
        <f t="shared" si="66"/>
        <v>0</v>
      </c>
      <c r="V107" s="76">
        <f t="shared" si="66"/>
        <v>0</v>
      </c>
      <c r="W107" s="76">
        <f t="shared" si="66"/>
        <v>0</v>
      </c>
      <c r="X107" s="76">
        <f t="shared" si="66"/>
        <v>0</v>
      </c>
      <c r="Y107" s="76">
        <f t="shared" si="66"/>
        <v>0</v>
      </c>
      <c r="Z107" s="76">
        <f t="shared" si="66"/>
        <v>0</v>
      </c>
      <c r="AA107" s="76">
        <f t="shared" si="66"/>
        <v>0</v>
      </c>
      <c r="AB107" s="76">
        <f t="shared" ref="AB107" si="67">SUM(AB101:AB106)</f>
        <v>0</v>
      </c>
      <c r="AC107" s="76">
        <f t="shared" si="66"/>
        <v>0</v>
      </c>
      <c r="AD107" s="76">
        <f t="shared" si="66"/>
        <v>0</v>
      </c>
      <c r="AE107" s="76">
        <f t="shared" si="66"/>
        <v>0</v>
      </c>
      <c r="AF107" s="76">
        <f t="shared" si="66"/>
        <v>0</v>
      </c>
      <c r="AG107" s="75"/>
      <c r="AH107" s="12">
        <f t="shared" si="46"/>
        <v>0</v>
      </c>
      <c r="AI107" s="11">
        <f t="shared" si="47"/>
        <v>0</v>
      </c>
      <c r="AK107" s="19"/>
      <c r="BG107" s="78">
        <v>14.9</v>
      </c>
      <c r="BH107" s="78">
        <v>0</v>
      </c>
      <c r="BI107" s="78">
        <v>32.5</v>
      </c>
      <c r="BJ107" s="78">
        <v>0</v>
      </c>
      <c r="BK107" s="78">
        <v>0</v>
      </c>
      <c r="BL107" s="78">
        <v>45</v>
      </c>
    </row>
    <row r="108" spans="1:64" ht="15.75" thickBot="1" x14ac:dyDescent="0.3">
      <c r="A108" s="77" t="s">
        <v>154</v>
      </c>
      <c r="B108" s="76">
        <f t="shared" ref="B108:AF108" si="68">B92-B107</f>
        <v>92.4</v>
      </c>
      <c r="C108" s="76">
        <f t="shared" si="68"/>
        <v>142.9</v>
      </c>
      <c r="D108" s="76">
        <f t="shared" si="68"/>
        <v>111.1</v>
      </c>
      <c r="E108" s="76">
        <f t="shared" si="68"/>
        <v>155.89999999999998</v>
      </c>
      <c r="F108" s="76">
        <f t="shared" si="68"/>
        <v>177.3</v>
      </c>
      <c r="G108" s="76">
        <f t="shared" si="68"/>
        <v>201.7</v>
      </c>
      <c r="H108" s="76">
        <f t="shared" si="68"/>
        <v>158.9</v>
      </c>
      <c r="I108" s="76">
        <f t="shared" si="68"/>
        <v>182.39999999999998</v>
      </c>
      <c r="J108" s="76">
        <f t="shared" si="68"/>
        <v>465.8</v>
      </c>
      <c r="K108" s="76">
        <f t="shared" si="68"/>
        <v>583.19999999999993</v>
      </c>
      <c r="L108" s="76">
        <f t="shared" si="68"/>
        <v>617.59999999999991</v>
      </c>
      <c r="M108" s="76">
        <f t="shared" si="68"/>
        <v>574.9</v>
      </c>
      <c r="N108" s="76">
        <f t="shared" si="68"/>
        <v>598.19999999999993</v>
      </c>
      <c r="O108" s="76">
        <f t="shared" si="68"/>
        <v>577.4</v>
      </c>
      <c r="P108" s="76">
        <f t="shared" si="68"/>
        <v>635</v>
      </c>
      <c r="Q108" s="76">
        <f t="shared" si="68"/>
        <v>558.6</v>
      </c>
      <c r="R108" s="76">
        <f t="shared" si="68"/>
        <v>579.69999999999993</v>
      </c>
      <c r="S108" s="76">
        <f t="shared" si="68"/>
        <v>612.29999999999995</v>
      </c>
      <c r="T108" s="76">
        <f t="shared" si="68"/>
        <v>652.20000000000005</v>
      </c>
      <c r="U108" s="76">
        <f t="shared" si="68"/>
        <v>691.59999999999991</v>
      </c>
      <c r="V108" s="76">
        <f t="shared" si="68"/>
        <v>618.1</v>
      </c>
      <c r="W108" s="76">
        <f t="shared" si="68"/>
        <v>600</v>
      </c>
      <c r="X108" s="76">
        <f t="shared" si="68"/>
        <v>576.40000000000009</v>
      </c>
      <c r="Y108" s="76">
        <f t="shared" si="68"/>
        <v>260.5</v>
      </c>
      <c r="Z108" s="76">
        <f t="shared" si="68"/>
        <v>113.30000000000001</v>
      </c>
      <c r="AA108" s="76">
        <f t="shared" si="68"/>
        <v>126.1</v>
      </c>
      <c r="AB108" s="76">
        <f t="shared" ref="AB108" si="69">AB92-AB107</f>
        <v>145.19999999999999</v>
      </c>
      <c r="AC108" s="76">
        <f t="shared" si="68"/>
        <v>97.9</v>
      </c>
      <c r="AD108" s="76">
        <f t="shared" si="68"/>
        <v>96.7</v>
      </c>
      <c r="AE108" s="76">
        <f t="shared" si="68"/>
        <v>78.599999999999994</v>
      </c>
      <c r="AF108" s="76">
        <f t="shared" si="68"/>
        <v>59</v>
      </c>
      <c r="AG108" s="75"/>
      <c r="AH108" s="12">
        <f t="shared" si="46"/>
        <v>691.59999999999991</v>
      </c>
      <c r="AI108" s="11">
        <f t="shared" si="47"/>
        <v>59</v>
      </c>
    </row>
    <row r="109" spans="1:64" x14ac:dyDescent="0.25">
      <c r="A109" s="25" t="s">
        <v>153</v>
      </c>
      <c r="B109" s="74">
        <v>50.045000000000002</v>
      </c>
      <c r="C109" s="74">
        <v>49.993000000000002</v>
      </c>
      <c r="D109" s="74">
        <v>49.993000000000002</v>
      </c>
      <c r="E109" s="74">
        <v>50.051000000000002</v>
      </c>
      <c r="F109" s="74">
        <v>50.048999999999999</v>
      </c>
      <c r="G109" s="74">
        <v>49.982999999999997</v>
      </c>
      <c r="H109" s="74">
        <v>49.963900000000002</v>
      </c>
      <c r="I109" s="74">
        <v>50.023000000000003</v>
      </c>
      <c r="J109" s="74">
        <v>50.017000000000003</v>
      </c>
      <c r="K109" s="74">
        <v>50.078000000000003</v>
      </c>
      <c r="L109" s="74">
        <v>50.037999999999997</v>
      </c>
      <c r="M109" s="74">
        <v>50.017000000000003</v>
      </c>
      <c r="N109" s="74">
        <v>49.984999999999999</v>
      </c>
      <c r="O109" s="74">
        <v>49.917999999999999</v>
      </c>
      <c r="P109" s="74">
        <v>49.96</v>
      </c>
      <c r="Q109" s="74">
        <v>49.911999999999999</v>
      </c>
      <c r="R109" s="74">
        <v>49.93</v>
      </c>
      <c r="S109" s="74">
        <v>49.962000000000003</v>
      </c>
      <c r="T109" s="74">
        <v>50.024999999999999</v>
      </c>
      <c r="U109" s="74">
        <v>50.43</v>
      </c>
      <c r="V109" s="74">
        <v>49.965000000000003</v>
      </c>
      <c r="W109" s="74">
        <v>50</v>
      </c>
      <c r="X109" s="74">
        <v>50.018000000000001</v>
      </c>
      <c r="Y109" s="74">
        <v>50.048999999999999</v>
      </c>
      <c r="Z109" s="74">
        <v>50</v>
      </c>
      <c r="AA109" s="74">
        <v>50.045999999999999</v>
      </c>
      <c r="AB109" s="74">
        <v>50.04</v>
      </c>
      <c r="AC109" s="74">
        <v>50.04</v>
      </c>
      <c r="AD109" s="74">
        <v>49.97</v>
      </c>
      <c r="AE109" s="74">
        <v>50.02</v>
      </c>
      <c r="AF109" s="74">
        <v>50.05</v>
      </c>
      <c r="AG109" s="73"/>
      <c r="AH109" s="12">
        <f t="shared" si="46"/>
        <v>50.43</v>
      </c>
      <c r="AI109" s="11">
        <f t="shared" si="47"/>
        <v>49.911999999999999</v>
      </c>
    </row>
    <row r="110" spans="1:64" x14ac:dyDescent="0.25">
      <c r="A110" s="22" t="s">
        <v>152</v>
      </c>
      <c r="B110" s="70">
        <v>125.9</v>
      </c>
      <c r="C110" s="70">
        <v>126.8</v>
      </c>
      <c r="D110" s="70">
        <v>126.8</v>
      </c>
      <c r="E110" s="70">
        <v>128</v>
      </c>
      <c r="F110" s="70">
        <v>128</v>
      </c>
      <c r="G110" s="70">
        <v>128</v>
      </c>
      <c r="H110" s="70">
        <v>123.8</v>
      </c>
      <c r="I110" s="70">
        <v>121.7</v>
      </c>
      <c r="J110" s="70">
        <v>125.3</v>
      </c>
      <c r="K110" s="70" t="s">
        <v>312</v>
      </c>
      <c r="L110" s="70">
        <v>124.4</v>
      </c>
      <c r="M110" s="70">
        <v>125.5</v>
      </c>
      <c r="N110" s="70">
        <v>125.2</v>
      </c>
      <c r="O110" s="70">
        <v>126.3</v>
      </c>
      <c r="P110" s="70">
        <v>126.3</v>
      </c>
      <c r="Q110" s="70">
        <v>125.6</v>
      </c>
      <c r="R110" s="70">
        <v>126.4</v>
      </c>
      <c r="S110" s="70">
        <v>126</v>
      </c>
      <c r="T110" s="70">
        <v>124.5</v>
      </c>
      <c r="U110" s="70">
        <v>124.5</v>
      </c>
      <c r="V110" s="70">
        <v>125</v>
      </c>
      <c r="W110" s="70">
        <v>125</v>
      </c>
      <c r="X110" s="70">
        <v>125</v>
      </c>
      <c r="Y110" s="70">
        <v>129</v>
      </c>
      <c r="Z110" s="70">
        <v>125.6</v>
      </c>
      <c r="AA110" s="70">
        <v>125.6</v>
      </c>
      <c r="AB110" s="70">
        <v>128.1</v>
      </c>
      <c r="AC110" s="70">
        <v>128.80000000000001</v>
      </c>
      <c r="AD110" s="70">
        <v>128.5</v>
      </c>
      <c r="AE110" s="70">
        <v>129.4</v>
      </c>
      <c r="AF110" s="70">
        <v>130.19999999999999</v>
      </c>
      <c r="AG110" s="69"/>
      <c r="AH110" s="12">
        <f t="shared" si="46"/>
        <v>130.19999999999999</v>
      </c>
      <c r="AI110" s="11">
        <f t="shared" si="47"/>
        <v>121.7</v>
      </c>
    </row>
    <row r="111" spans="1:64" x14ac:dyDescent="0.25">
      <c r="A111" s="22" t="s">
        <v>151</v>
      </c>
      <c r="B111" s="70">
        <v>130.9</v>
      </c>
      <c r="C111" s="70">
        <v>131.30000000000001</v>
      </c>
      <c r="D111" s="70">
        <v>131.30000000000001</v>
      </c>
      <c r="E111" s="70">
        <v>132</v>
      </c>
      <c r="F111" s="70">
        <v>132</v>
      </c>
      <c r="G111" s="70">
        <v>132</v>
      </c>
      <c r="H111" s="70">
        <v>128.80000000000001</v>
      </c>
      <c r="I111" s="70">
        <v>127</v>
      </c>
      <c r="J111" s="70">
        <v>127.9</v>
      </c>
      <c r="K111" s="70">
        <v>127.9</v>
      </c>
      <c r="L111" s="70">
        <v>126.8</v>
      </c>
      <c r="M111" s="70">
        <v>127.7</v>
      </c>
      <c r="N111" s="70">
        <v>126.9</v>
      </c>
      <c r="O111" s="70">
        <v>127.7</v>
      </c>
      <c r="P111" s="70">
        <v>127.7</v>
      </c>
      <c r="Q111" s="70">
        <v>127.8</v>
      </c>
      <c r="R111" s="70">
        <v>128.69999999999999</v>
      </c>
      <c r="S111" s="70">
        <v>127</v>
      </c>
      <c r="T111" s="70">
        <v>125.9</v>
      </c>
      <c r="U111" s="70">
        <v>125.9</v>
      </c>
      <c r="V111" s="70">
        <v>127</v>
      </c>
      <c r="W111" s="70">
        <v>127</v>
      </c>
      <c r="X111" s="70">
        <v>127</v>
      </c>
      <c r="Y111" s="70">
        <v>130</v>
      </c>
      <c r="Z111" s="70">
        <v>127.7</v>
      </c>
      <c r="AA111" s="70">
        <v>127.7</v>
      </c>
      <c r="AB111" s="70">
        <v>130.30000000000001</v>
      </c>
      <c r="AC111" s="70">
        <v>131</v>
      </c>
      <c r="AD111" s="70">
        <v>131.1</v>
      </c>
      <c r="AE111" s="70">
        <v>132.4</v>
      </c>
      <c r="AF111" s="70">
        <v>132.80000000000001</v>
      </c>
      <c r="AG111" s="69"/>
      <c r="AH111" s="12">
        <f t="shared" si="46"/>
        <v>132.80000000000001</v>
      </c>
      <c r="AI111" s="11">
        <f t="shared" si="47"/>
        <v>125.9</v>
      </c>
    </row>
    <row r="112" spans="1:64" x14ac:dyDescent="0.25">
      <c r="A112" s="22" t="s">
        <v>150</v>
      </c>
      <c r="B112" s="70">
        <v>132.6</v>
      </c>
      <c r="C112" s="70">
        <v>133.6</v>
      </c>
      <c r="D112" s="70">
        <v>133.6</v>
      </c>
      <c r="E112" s="70">
        <v>133.80000000000001</v>
      </c>
      <c r="F112" s="70">
        <v>133.80000000000001</v>
      </c>
      <c r="G112" s="70">
        <v>133.80000000000001</v>
      </c>
      <c r="H112" s="70">
        <v>130.9</v>
      </c>
      <c r="I112" s="70">
        <v>130.5</v>
      </c>
      <c r="J112" s="70">
        <v>128</v>
      </c>
      <c r="K112" s="70">
        <v>128</v>
      </c>
      <c r="L112" s="70">
        <v>128.4</v>
      </c>
      <c r="M112" s="70">
        <v>129.69999999999999</v>
      </c>
      <c r="N112" s="70">
        <v>128.6</v>
      </c>
      <c r="O112" s="70">
        <v>130.4</v>
      </c>
      <c r="P112" s="70">
        <v>129</v>
      </c>
      <c r="Q112" s="70">
        <v>129.30000000000001</v>
      </c>
      <c r="R112" s="70">
        <v>130.69999999999999</v>
      </c>
      <c r="S112" s="70">
        <v>130</v>
      </c>
      <c r="T112" s="70">
        <v>130</v>
      </c>
      <c r="U112" s="70">
        <v>130</v>
      </c>
      <c r="V112" s="70">
        <v>128</v>
      </c>
      <c r="W112" s="70">
        <v>128</v>
      </c>
      <c r="X112" s="70">
        <v>128</v>
      </c>
      <c r="Y112" s="70">
        <v>129.6</v>
      </c>
      <c r="Z112" s="70">
        <v>129.6</v>
      </c>
      <c r="AA112" s="70">
        <v>129.6</v>
      </c>
      <c r="AB112" s="70">
        <v>129.6</v>
      </c>
      <c r="AC112" s="70">
        <v>129.6</v>
      </c>
      <c r="AD112" s="70">
        <v>129.4</v>
      </c>
      <c r="AE112" s="70">
        <v>130.1</v>
      </c>
      <c r="AF112" s="70">
        <v>130.4</v>
      </c>
      <c r="AG112" s="69"/>
      <c r="AH112" s="12">
        <f t="shared" si="46"/>
        <v>133.80000000000001</v>
      </c>
      <c r="AI112" s="11">
        <f t="shared" si="47"/>
        <v>128</v>
      </c>
    </row>
    <row r="113" spans="1:35" x14ac:dyDescent="0.25">
      <c r="A113" s="72" t="s">
        <v>149</v>
      </c>
      <c r="B113" s="70">
        <v>133</v>
      </c>
      <c r="C113" s="70">
        <v>133.69999999999999</v>
      </c>
      <c r="D113" s="70">
        <v>133.69999999999999</v>
      </c>
      <c r="E113" s="70">
        <v>133</v>
      </c>
      <c r="F113" s="70">
        <v>133</v>
      </c>
      <c r="G113" s="70">
        <v>133</v>
      </c>
      <c r="H113" s="70">
        <v>130.4</v>
      </c>
      <c r="I113" s="70">
        <v>131.5</v>
      </c>
      <c r="J113" s="70">
        <v>132</v>
      </c>
      <c r="K113" s="70">
        <v>132</v>
      </c>
      <c r="L113" s="70">
        <v>130.4</v>
      </c>
      <c r="M113" s="70">
        <v>132.1</v>
      </c>
      <c r="N113" s="70">
        <v>130.9</v>
      </c>
      <c r="O113" s="70">
        <v>132.1</v>
      </c>
      <c r="P113" s="70">
        <v>130</v>
      </c>
      <c r="Q113" s="70">
        <v>130.69999999999999</v>
      </c>
      <c r="R113" s="70">
        <v>132.69999999999999</v>
      </c>
      <c r="S113" s="70">
        <v>129.9</v>
      </c>
      <c r="T113" s="70">
        <v>129.9</v>
      </c>
      <c r="U113" s="70">
        <v>129.9</v>
      </c>
      <c r="V113" s="70">
        <v>130</v>
      </c>
      <c r="W113" s="70">
        <v>130</v>
      </c>
      <c r="X113" s="70">
        <v>130</v>
      </c>
      <c r="Y113" s="70">
        <v>130.69999999999999</v>
      </c>
      <c r="Z113" s="70">
        <v>130.69999999999999</v>
      </c>
      <c r="AA113" s="70">
        <v>130.69999999999999</v>
      </c>
      <c r="AB113" s="70">
        <v>131.30000000000001</v>
      </c>
      <c r="AC113" s="70">
        <v>131.80000000000001</v>
      </c>
      <c r="AD113" s="70">
        <v>132.30000000000001</v>
      </c>
      <c r="AE113" s="70">
        <v>131.6</v>
      </c>
      <c r="AF113" s="70">
        <v>130.4</v>
      </c>
      <c r="AG113" s="69"/>
      <c r="AH113" s="12">
        <f t="shared" si="46"/>
        <v>133.69999999999999</v>
      </c>
      <c r="AI113" s="11">
        <f t="shared" si="47"/>
        <v>129.9</v>
      </c>
    </row>
    <row r="114" spans="1:35" x14ac:dyDescent="0.25">
      <c r="A114" s="72" t="s">
        <v>148</v>
      </c>
      <c r="B114" s="56">
        <v>133.1</v>
      </c>
      <c r="C114" s="56">
        <v>134.6</v>
      </c>
      <c r="D114" s="56">
        <v>134.6</v>
      </c>
      <c r="E114" s="56">
        <v>134.80000000000001</v>
      </c>
      <c r="F114" s="56">
        <v>134.80000000000001</v>
      </c>
      <c r="G114" s="56">
        <v>134.80000000000001</v>
      </c>
      <c r="H114" s="56">
        <v>133</v>
      </c>
      <c r="I114" s="56">
        <v>133</v>
      </c>
      <c r="J114" s="56">
        <v>132.80000000000001</v>
      </c>
      <c r="K114" s="56">
        <v>132.80000000000001</v>
      </c>
      <c r="L114" s="56">
        <v>131.19999999999999</v>
      </c>
      <c r="M114" s="56">
        <v>132.4</v>
      </c>
      <c r="N114" s="56">
        <v>129.19999999999999</v>
      </c>
      <c r="O114" s="56">
        <v>132.19999999999999</v>
      </c>
      <c r="P114" s="56">
        <v>132.19999999999999</v>
      </c>
      <c r="Q114" s="56">
        <v>132.1</v>
      </c>
      <c r="R114" s="56">
        <v>126.6</v>
      </c>
      <c r="S114" s="56">
        <v>130.69999999999999</v>
      </c>
      <c r="T114" s="56">
        <v>131</v>
      </c>
      <c r="U114" s="56">
        <v>131</v>
      </c>
      <c r="V114" s="56">
        <v>135</v>
      </c>
      <c r="W114" s="56">
        <v>135</v>
      </c>
      <c r="X114" s="56">
        <v>135</v>
      </c>
      <c r="Y114" s="56">
        <v>135</v>
      </c>
      <c r="Z114" s="56">
        <v>135</v>
      </c>
      <c r="AA114" s="56">
        <v>135</v>
      </c>
      <c r="AB114" s="56">
        <v>135.6</v>
      </c>
      <c r="AC114" s="56">
        <v>133.1</v>
      </c>
      <c r="AD114" s="56">
        <v>133.69999999999999</v>
      </c>
      <c r="AE114" s="56">
        <v>132.80000000000001</v>
      </c>
      <c r="AF114" s="56">
        <v>132.69999999999999</v>
      </c>
      <c r="AG114" s="71"/>
      <c r="AH114" s="12">
        <f t="shared" si="46"/>
        <v>135.6</v>
      </c>
      <c r="AI114" s="11">
        <f t="shared" si="47"/>
        <v>126.6</v>
      </c>
    </row>
    <row r="115" spans="1:35" x14ac:dyDescent="0.25">
      <c r="A115" s="22" t="s">
        <v>147</v>
      </c>
      <c r="B115" s="70">
        <v>130.4</v>
      </c>
      <c r="C115" s="70">
        <v>131.80000000000001</v>
      </c>
      <c r="D115" s="70">
        <v>131.80000000000001</v>
      </c>
      <c r="E115" s="70">
        <v>132.80000000000001</v>
      </c>
      <c r="F115" s="70">
        <v>132.80000000000001</v>
      </c>
      <c r="G115" s="70">
        <v>132.80000000000001</v>
      </c>
      <c r="H115" s="70">
        <v>130.6</v>
      </c>
      <c r="I115" s="70">
        <v>130.6</v>
      </c>
      <c r="J115" s="70">
        <v>125</v>
      </c>
      <c r="K115" s="70">
        <v>125</v>
      </c>
      <c r="L115" s="70">
        <v>128.80000000000001</v>
      </c>
      <c r="M115" s="70">
        <v>133.30000000000001</v>
      </c>
      <c r="N115" s="70">
        <v>124.3</v>
      </c>
      <c r="O115" s="70">
        <v>124.7</v>
      </c>
      <c r="P115" s="70">
        <v>124.7</v>
      </c>
      <c r="Q115" s="70">
        <v>127.4</v>
      </c>
      <c r="R115" s="70">
        <v>126.6</v>
      </c>
      <c r="S115" s="70">
        <v>122</v>
      </c>
      <c r="T115" s="70">
        <v>122</v>
      </c>
      <c r="U115" s="70">
        <v>122</v>
      </c>
      <c r="V115" s="70">
        <v>128</v>
      </c>
      <c r="W115" s="70">
        <v>128</v>
      </c>
      <c r="X115" s="70">
        <v>128</v>
      </c>
      <c r="Y115" s="70">
        <v>134</v>
      </c>
      <c r="Z115" s="70">
        <v>134</v>
      </c>
      <c r="AA115" s="70">
        <v>134</v>
      </c>
      <c r="AB115" s="70">
        <v>133.6</v>
      </c>
      <c r="AC115" s="70">
        <v>134.1</v>
      </c>
      <c r="AD115" s="70">
        <v>132.9</v>
      </c>
      <c r="AE115" s="70">
        <v>132.80000000000001</v>
      </c>
      <c r="AF115" s="70">
        <v>134.1</v>
      </c>
      <c r="AG115" s="69"/>
      <c r="AH115" s="12">
        <f t="shared" si="46"/>
        <v>134.1</v>
      </c>
      <c r="AI115" s="11">
        <f t="shared" si="47"/>
        <v>122</v>
      </c>
    </row>
    <row r="116" spans="1:35" ht="15.75" thickBot="1" x14ac:dyDescent="0.3">
      <c r="A116" s="22" t="s">
        <v>146</v>
      </c>
      <c r="B116" s="67">
        <v>65.7</v>
      </c>
      <c r="C116" s="67">
        <v>65.900000000000006</v>
      </c>
      <c r="D116" s="67">
        <v>65.900000000000006</v>
      </c>
      <c r="E116" s="67">
        <v>66</v>
      </c>
      <c r="F116" s="67">
        <v>66</v>
      </c>
      <c r="G116" s="67">
        <v>66</v>
      </c>
      <c r="H116" s="67">
        <v>64.3</v>
      </c>
      <c r="I116" s="67">
        <v>63.9</v>
      </c>
      <c r="J116" s="67">
        <v>64.3</v>
      </c>
      <c r="K116" s="67">
        <v>64.3</v>
      </c>
      <c r="L116" s="67">
        <v>63.8</v>
      </c>
      <c r="M116" s="67">
        <v>64.3</v>
      </c>
      <c r="N116" s="67">
        <v>64</v>
      </c>
      <c r="O116" s="67">
        <v>64.2</v>
      </c>
      <c r="P116" s="67">
        <v>64.2</v>
      </c>
      <c r="Q116" s="67">
        <v>64.2</v>
      </c>
      <c r="R116" s="67">
        <v>64.3</v>
      </c>
      <c r="S116" s="67">
        <v>64.3</v>
      </c>
      <c r="T116" s="67">
        <v>63.5</v>
      </c>
      <c r="U116" s="67">
        <v>63.5</v>
      </c>
      <c r="V116" s="67">
        <v>64.400000000000006</v>
      </c>
      <c r="W116" s="67">
        <v>64.400000000000006</v>
      </c>
      <c r="X116" s="67">
        <v>64.400000000000006</v>
      </c>
      <c r="Y116" s="67">
        <v>65.7</v>
      </c>
      <c r="Z116" s="67">
        <v>65.7</v>
      </c>
      <c r="AA116" s="67">
        <v>64.400000000000006</v>
      </c>
      <c r="AB116" s="67">
        <v>66</v>
      </c>
      <c r="AC116" s="67">
        <v>66.400000000000006</v>
      </c>
      <c r="AD116" s="67">
        <v>66.2</v>
      </c>
      <c r="AE116" s="67">
        <v>66.8</v>
      </c>
      <c r="AF116" s="67">
        <v>67.099999999999994</v>
      </c>
      <c r="AG116" s="66"/>
      <c r="AH116" s="12">
        <f t="shared" si="46"/>
        <v>67.099999999999994</v>
      </c>
      <c r="AI116" s="11">
        <f t="shared" si="47"/>
        <v>63.5</v>
      </c>
    </row>
    <row r="117" spans="1:35" ht="15.75" thickBot="1" x14ac:dyDescent="0.3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46"/>
        <v>0</v>
      </c>
      <c r="AI117" s="11">
        <f t="shared" si="47"/>
        <v>0</v>
      </c>
    </row>
    <row r="118" spans="1:35" ht="15.75" thickBot="1" x14ac:dyDescent="0.3">
      <c r="A118" s="65" t="s">
        <v>144</v>
      </c>
      <c r="B118" s="64">
        <f t="shared" ref="B118:O118" si="70">SUM(B22,B28,B31:B32,B66,B68:B69,B71,B73,B119:B123,B155,B161,B167,B176,B178,B190,B197,B200:B201,B208,B210,B212,B216:B218,B220:B222,B227,B233:B234,B236:B238,B246,B251)</f>
        <v>102.04</v>
      </c>
      <c r="C118" s="64">
        <f t="shared" si="70"/>
        <v>99.839999999999989</v>
      </c>
      <c r="D118" s="64">
        <f t="shared" si="70"/>
        <v>99.839999999999989</v>
      </c>
      <c r="E118" s="64">
        <f t="shared" si="70"/>
        <v>113.83999999999997</v>
      </c>
      <c r="F118" s="64">
        <f t="shared" si="70"/>
        <v>120.08999999999999</v>
      </c>
      <c r="G118" s="64">
        <f t="shared" si="70"/>
        <v>135.63999999999999</v>
      </c>
      <c r="H118" s="64">
        <f t="shared" si="70"/>
        <v>165.84</v>
      </c>
      <c r="I118" s="64">
        <f t="shared" si="70"/>
        <v>198.14</v>
      </c>
      <c r="J118" s="64">
        <f t="shared" si="70"/>
        <v>249.54000000000002</v>
      </c>
      <c r="K118" s="64">
        <f t="shared" si="70"/>
        <v>282.33999999999997</v>
      </c>
      <c r="L118" s="64">
        <f t="shared" si="70"/>
        <v>300.53999999999996</v>
      </c>
      <c r="M118" s="64">
        <f t="shared" si="70"/>
        <v>298.73999999999995</v>
      </c>
      <c r="N118" s="64">
        <f t="shared" si="70"/>
        <v>286.84000000000003</v>
      </c>
      <c r="O118" s="64">
        <f t="shared" si="70"/>
        <v>299.94</v>
      </c>
      <c r="P118" s="64">
        <v>42</v>
      </c>
      <c r="Q118" s="64">
        <f t="shared" ref="Q118:X118" si="71">SUM(Q22,Q28,Q31:Q32,Q66,Q68:Q69,Q71,Q73,Q119:Q123,Q155,Q161,Q167,Q176,Q178,Q190,Q197,Q200:Q201,Q208,Q210,Q212,Q216:Q218,Q220:Q222,Q227,Q233:Q234,Q236:Q238,Q246,Q251)</f>
        <v>281.83999999999997</v>
      </c>
      <c r="R118" s="64">
        <f t="shared" si="71"/>
        <v>269.04000000000002</v>
      </c>
      <c r="S118" s="64">
        <f t="shared" si="71"/>
        <v>258.64</v>
      </c>
      <c r="T118" s="64">
        <f t="shared" si="71"/>
        <v>280.24</v>
      </c>
      <c r="U118" s="64">
        <f t="shared" si="71"/>
        <v>297.24</v>
      </c>
      <c r="V118" s="64">
        <f t="shared" si="71"/>
        <v>292.54000000000002</v>
      </c>
      <c r="W118" s="64">
        <f t="shared" si="71"/>
        <v>287.33999999999997</v>
      </c>
      <c r="X118" s="64">
        <f t="shared" si="71"/>
        <v>282.94</v>
      </c>
      <c r="Y118" s="64">
        <f>SUM(Y20,Y26,Y37:Y38,Y66,Y68:Y69,Y71,Y73,Y119:Y123,Y148,Y154,Y160,Y169,Y171,Y183,Y190,Y193:Y194,Y201,Y203,Y205,Y209:Y211,Y213:Y215,Y220,Y226:Y227,Y229:Y231,Y239,Y244)</f>
        <v>296.39999999999998</v>
      </c>
      <c r="Z118" s="64">
        <f>SUM(Z20,Z26,Z37:Z38,Z66,Z68:Z69,Z71,Z73,Z119:Z123,Z148,Z154,Z160,Z169,Z171,Z183,Z190,Z193:Z194,Z201,Z203,Z205,Z209:Z211,Z213:Z215,Z220,Z226:Z227,Z229:Z231,Z239,Z244)</f>
        <v>327.2</v>
      </c>
      <c r="AA118" s="64">
        <f t="shared" ref="AA118:AF118" si="72">SUM(AA22,AA28,AA31:AA32,AA66,AA68:AA69,AA71,AA73,AA119:AA123,AA155,AA161,AA167,AA176,AA178,AA190,AA197,AA200:AA201,AA208,AA210,AA212,AA216:AA218,AA220:AA222,AA227,AA233:AA234,AA236:AA238,AA246,AA251)</f>
        <v>367.73999999999995</v>
      </c>
      <c r="AB118" s="64">
        <f t="shared" ref="AB118" si="73">SUM(AB22,AB28,AB31:AB32,AB66,AB68:AB69,AB71,AB73,AB119:AB123,AB155,AB161,AB167,AB176,AB178,AB190,AB197,AB200:AB201,AB208,AB210,AB212,AB216:AB218,AB220:AB222,AB227,AB233:AB234,AB236:AB238,AB246,AB251)</f>
        <v>328.04</v>
      </c>
      <c r="AC118" s="64">
        <f t="shared" si="72"/>
        <v>314.84000000000003</v>
      </c>
      <c r="AD118" s="64">
        <f t="shared" si="72"/>
        <v>264.33999999999997</v>
      </c>
      <c r="AE118" s="64">
        <f t="shared" si="72"/>
        <v>202.14</v>
      </c>
      <c r="AF118" s="64">
        <f t="shared" si="72"/>
        <v>157.34000000000003</v>
      </c>
      <c r="AG118" s="63"/>
      <c r="AH118" s="12">
        <f t="shared" si="46"/>
        <v>367.73999999999995</v>
      </c>
      <c r="AI118" s="11">
        <f t="shared" si="47"/>
        <v>42</v>
      </c>
    </row>
    <row r="119" spans="1:35" x14ac:dyDescent="0.25">
      <c r="A119" s="59" t="s">
        <v>143</v>
      </c>
      <c r="B119" s="62">
        <v>26.7</v>
      </c>
      <c r="C119" s="62">
        <v>12.5</v>
      </c>
      <c r="D119" s="62">
        <v>12.5</v>
      </c>
      <c r="E119" s="62">
        <v>-2.4</v>
      </c>
      <c r="F119" s="62">
        <v>1.85</v>
      </c>
      <c r="G119" s="62">
        <v>7.3</v>
      </c>
      <c r="H119" s="62">
        <v>22.5</v>
      </c>
      <c r="I119" s="62">
        <v>37.4</v>
      </c>
      <c r="J119" s="62">
        <v>48.2</v>
      </c>
      <c r="K119" s="62">
        <v>36.1</v>
      </c>
      <c r="L119" s="62">
        <v>48.2</v>
      </c>
      <c r="M119" s="62">
        <v>56.4</v>
      </c>
      <c r="N119" s="62">
        <v>60</v>
      </c>
      <c r="O119" s="62">
        <v>69.7</v>
      </c>
      <c r="P119" s="62">
        <v>41</v>
      </c>
      <c r="Q119" s="62">
        <v>40</v>
      </c>
      <c r="R119" s="62">
        <v>14</v>
      </c>
      <c r="S119" s="62">
        <v>1.4</v>
      </c>
      <c r="T119" s="62">
        <v>-6.3</v>
      </c>
      <c r="U119" s="62">
        <v>-6.5</v>
      </c>
      <c r="V119" s="62">
        <v>5.2</v>
      </c>
      <c r="W119" s="62">
        <v>7</v>
      </c>
      <c r="X119" s="62">
        <v>7.9</v>
      </c>
      <c r="Y119" s="62">
        <v>35.9</v>
      </c>
      <c r="Z119" s="62">
        <v>29.3</v>
      </c>
      <c r="AA119" s="62">
        <v>27.5</v>
      </c>
      <c r="AB119" s="62">
        <v>21.2</v>
      </c>
      <c r="AC119" s="62">
        <v>26.4</v>
      </c>
      <c r="AD119" s="62">
        <v>28.2</v>
      </c>
      <c r="AE119" s="62">
        <v>34.299999999999997</v>
      </c>
      <c r="AF119" s="62">
        <v>20.2</v>
      </c>
      <c r="AG119" s="55">
        <v>75</v>
      </c>
      <c r="AH119" s="12">
        <f t="shared" si="46"/>
        <v>69.7</v>
      </c>
      <c r="AI119" s="11">
        <f t="shared" si="47"/>
        <v>-6.5</v>
      </c>
    </row>
    <row r="120" spans="1:35" x14ac:dyDescent="0.25">
      <c r="A120" s="57" t="s">
        <v>142</v>
      </c>
      <c r="B120" s="61">
        <v>45.7</v>
      </c>
      <c r="C120" s="61">
        <v>24.2</v>
      </c>
      <c r="D120" s="61">
        <v>24.2</v>
      </c>
      <c r="E120" s="61">
        <v>4.5</v>
      </c>
      <c r="F120" s="61">
        <v>9.5</v>
      </c>
      <c r="G120" s="61">
        <v>15.3</v>
      </c>
      <c r="H120" s="61">
        <v>35.9</v>
      </c>
      <c r="I120" s="61">
        <v>54.4</v>
      </c>
      <c r="J120" s="61">
        <v>60.3</v>
      </c>
      <c r="K120" s="61">
        <v>41.9</v>
      </c>
      <c r="L120" s="61">
        <v>61.6</v>
      </c>
      <c r="M120" s="61">
        <v>70.599999999999994</v>
      </c>
      <c r="N120" s="61">
        <v>77.900000000000006</v>
      </c>
      <c r="O120" s="61">
        <v>85.7</v>
      </c>
      <c r="P120" s="61">
        <v>86.7</v>
      </c>
      <c r="Q120" s="61">
        <v>49.7</v>
      </c>
      <c r="R120" s="61">
        <v>13.8</v>
      </c>
      <c r="S120" s="61">
        <v>-2.4</v>
      </c>
      <c r="T120" s="61">
        <v>-12.1</v>
      </c>
      <c r="U120" s="61">
        <v>-13.3</v>
      </c>
      <c r="V120" s="61">
        <v>5</v>
      </c>
      <c r="W120" s="61">
        <v>6.5</v>
      </c>
      <c r="X120" s="61">
        <v>7.9</v>
      </c>
      <c r="Y120" s="61">
        <v>45.7</v>
      </c>
      <c r="Z120" s="61">
        <v>37.200000000000003</v>
      </c>
      <c r="AA120" s="61">
        <v>33.9</v>
      </c>
      <c r="AB120" s="61">
        <v>28</v>
      </c>
      <c r="AC120" s="61">
        <v>34.700000000000003</v>
      </c>
      <c r="AD120" s="61">
        <v>38.700000000000003</v>
      </c>
      <c r="AE120" s="61">
        <v>53.6</v>
      </c>
      <c r="AF120" s="61">
        <v>37.799999999999997</v>
      </c>
      <c r="AG120" s="55">
        <v>240</v>
      </c>
      <c r="AH120" s="12">
        <f t="shared" si="46"/>
        <v>86.7</v>
      </c>
      <c r="AI120" s="11">
        <f t="shared" si="47"/>
        <v>-13.3</v>
      </c>
    </row>
    <row r="121" spans="1:35" x14ac:dyDescent="0.25">
      <c r="A121" s="57" t="s">
        <v>141</v>
      </c>
      <c r="B121" s="61">
        <v>-100</v>
      </c>
      <c r="C121" s="61">
        <v>-83</v>
      </c>
      <c r="D121" s="61">
        <v>-83</v>
      </c>
      <c r="E121" s="61">
        <v>-70</v>
      </c>
      <c r="F121" s="61">
        <v>-68</v>
      </c>
      <c r="G121" s="61">
        <v>-69</v>
      </c>
      <c r="H121" s="61">
        <v>-73.099999999999994</v>
      </c>
      <c r="I121" s="61">
        <v>-80</v>
      </c>
      <c r="J121" s="61">
        <v>-41</v>
      </c>
      <c r="K121" s="61">
        <v>-10</v>
      </c>
      <c r="L121" s="61">
        <v>-26</v>
      </c>
      <c r="M121" s="61">
        <f>-11-16.3</f>
        <v>-27.3</v>
      </c>
      <c r="N121" s="61">
        <f>-16-22</f>
        <v>-38</v>
      </c>
      <c r="O121" s="61">
        <f>-17-24</f>
        <v>-41</v>
      </c>
      <c r="P121" s="61">
        <f>-17-24</f>
        <v>-41</v>
      </c>
      <c r="Q121" s="61">
        <f>-6-8</f>
        <v>-14</v>
      </c>
      <c r="R121" s="61">
        <f>7.4+3</f>
        <v>10.4</v>
      </c>
      <c r="S121" s="61">
        <v>-5</v>
      </c>
      <c r="T121" s="61">
        <v>14</v>
      </c>
      <c r="U121" s="61">
        <v>31</v>
      </c>
      <c r="V121" s="61">
        <v>22</v>
      </c>
      <c r="W121" s="61">
        <v>21</v>
      </c>
      <c r="X121" s="61">
        <v>21</v>
      </c>
      <c r="Y121" s="61">
        <v>-24</v>
      </c>
      <c r="Z121" s="61">
        <v>-35</v>
      </c>
      <c r="AA121" s="61">
        <v>6.2</v>
      </c>
      <c r="AB121" s="61">
        <v>-6</v>
      </c>
      <c r="AC121" s="61">
        <f>-1-10.6</f>
        <v>-11.6</v>
      </c>
      <c r="AD121" s="61">
        <f>-13.1-22</f>
        <v>-35.1</v>
      </c>
      <c r="AE121" s="61">
        <f>-23.1-33.8</f>
        <v>-56.9</v>
      </c>
      <c r="AF121" s="61">
        <f>-25.2-34.5</f>
        <v>-59.7</v>
      </c>
      <c r="AG121" s="55">
        <v>240</v>
      </c>
      <c r="AH121" s="12">
        <f t="shared" si="46"/>
        <v>31</v>
      </c>
      <c r="AI121" s="11">
        <f t="shared" si="47"/>
        <v>-100</v>
      </c>
    </row>
    <row r="122" spans="1:35" ht="15.75" thickBot="1" x14ac:dyDescent="0.3">
      <c r="A122" s="57" t="s">
        <v>140</v>
      </c>
      <c r="B122" s="61">
        <v>-2.7</v>
      </c>
      <c r="C122" s="61">
        <v>-1.7</v>
      </c>
      <c r="D122" s="61">
        <v>-1.7</v>
      </c>
      <c r="E122" s="61">
        <v>0</v>
      </c>
      <c r="F122" s="61">
        <v>0.2</v>
      </c>
      <c r="G122" s="61">
        <v>-0.2</v>
      </c>
      <c r="H122" s="61">
        <v>-4.9000000000000004</v>
      </c>
      <c r="I122" s="61">
        <v>-7.9</v>
      </c>
      <c r="J122" s="61">
        <v>-2.1</v>
      </c>
      <c r="K122" s="61">
        <v>1.4</v>
      </c>
      <c r="L122" s="61">
        <v>8.6999999999999993</v>
      </c>
      <c r="M122" s="61">
        <v>16.8</v>
      </c>
      <c r="N122" s="61">
        <v>10.199999999999999</v>
      </c>
      <c r="O122" s="61">
        <v>12.3</v>
      </c>
      <c r="P122" s="61">
        <v>12.3</v>
      </c>
      <c r="Q122" s="61">
        <v>15</v>
      </c>
      <c r="R122" s="61">
        <v>18.399999999999999</v>
      </c>
      <c r="S122" s="61">
        <v>24.3</v>
      </c>
      <c r="T122" s="61">
        <v>31.5</v>
      </c>
      <c r="U122" s="61">
        <v>35.5</v>
      </c>
      <c r="V122" s="61">
        <v>25.5</v>
      </c>
      <c r="W122" s="61">
        <v>24</v>
      </c>
      <c r="X122" s="61">
        <v>23.4</v>
      </c>
      <c r="Y122" s="61">
        <v>26.8</v>
      </c>
      <c r="Z122" s="61">
        <v>34.799999999999997</v>
      </c>
      <c r="AA122" s="61">
        <v>40</v>
      </c>
      <c r="AB122" s="61">
        <v>38.1</v>
      </c>
      <c r="AC122" s="61">
        <v>35.6</v>
      </c>
      <c r="AD122" s="61">
        <v>33.5</v>
      </c>
      <c r="AE122" s="61">
        <v>28.2</v>
      </c>
      <c r="AF122" s="61">
        <v>26</v>
      </c>
      <c r="AG122" s="55">
        <v>60</v>
      </c>
      <c r="AH122" s="12">
        <f t="shared" si="46"/>
        <v>40</v>
      </c>
      <c r="AI122" s="11">
        <f t="shared" si="47"/>
        <v>-7.9</v>
      </c>
    </row>
    <row r="123" spans="1:35" x14ac:dyDescent="0.25">
      <c r="A123" s="59" t="s">
        <v>139</v>
      </c>
      <c r="B123" s="58">
        <v>31.5</v>
      </c>
      <c r="C123" s="58">
        <v>47</v>
      </c>
      <c r="D123" s="58">
        <v>47</v>
      </c>
      <c r="E123" s="58">
        <v>62.4</v>
      </c>
      <c r="F123" s="58">
        <v>60.5</v>
      </c>
      <c r="G123" s="58">
        <v>66.2</v>
      </c>
      <c r="H123" s="58">
        <v>69.400000000000006</v>
      </c>
      <c r="I123" s="58">
        <v>77.2</v>
      </c>
      <c r="J123" s="58">
        <v>66.400000000000006</v>
      </c>
      <c r="K123" s="58">
        <v>94.3</v>
      </c>
      <c r="L123" s="58">
        <v>87.7</v>
      </c>
      <c r="M123" s="58">
        <v>64</v>
      </c>
      <c r="N123" s="58">
        <v>56</v>
      </c>
      <c r="O123" s="58">
        <v>52.3</v>
      </c>
      <c r="P123" s="58">
        <v>52.3</v>
      </c>
      <c r="Q123" s="58">
        <v>66.2</v>
      </c>
      <c r="R123" s="58">
        <v>84.7</v>
      </c>
      <c r="S123" s="58">
        <v>113.8</v>
      </c>
      <c r="T123" s="58">
        <v>130.69999999999999</v>
      </c>
      <c r="U123" s="58">
        <v>136</v>
      </c>
      <c r="V123" s="58">
        <v>122.8</v>
      </c>
      <c r="W123" s="58">
        <v>118</v>
      </c>
      <c r="X123" s="58">
        <v>112.9</v>
      </c>
      <c r="Y123" s="58">
        <v>93.6</v>
      </c>
      <c r="Z123" s="58">
        <v>143</v>
      </c>
      <c r="AA123" s="58">
        <v>148.80000000000001</v>
      </c>
      <c r="AB123" s="58">
        <v>135.4</v>
      </c>
      <c r="AC123" s="58">
        <v>111.8</v>
      </c>
      <c r="AD123" s="58">
        <v>81.099999999999994</v>
      </c>
      <c r="AE123" s="58">
        <v>25.5</v>
      </c>
      <c r="AF123" s="58">
        <v>11.8</v>
      </c>
      <c r="AG123" s="60">
        <v>120</v>
      </c>
      <c r="AH123" s="12">
        <f t="shared" si="46"/>
        <v>148.80000000000001</v>
      </c>
      <c r="AI123" s="11">
        <f t="shared" si="47"/>
        <v>11.8</v>
      </c>
    </row>
    <row r="124" spans="1:35" x14ac:dyDescent="0.25">
      <c r="A124" s="57" t="s">
        <v>138</v>
      </c>
      <c r="B124" s="58">
        <v>45</v>
      </c>
      <c r="C124" s="58">
        <v>52</v>
      </c>
      <c r="D124" s="58">
        <v>52</v>
      </c>
      <c r="E124" s="58">
        <v>59.7</v>
      </c>
      <c r="F124" s="58">
        <v>57.6</v>
      </c>
      <c r="G124" s="58">
        <v>59.8</v>
      </c>
      <c r="H124" s="58">
        <v>61.7</v>
      </c>
      <c r="I124" s="58">
        <v>65.7</v>
      </c>
      <c r="J124" s="58">
        <v>59.7</v>
      </c>
      <c r="K124" s="58">
        <v>73.099999999999994</v>
      </c>
      <c r="L124" s="58">
        <v>68.900000000000006</v>
      </c>
      <c r="M124" s="58">
        <v>59</v>
      </c>
      <c r="N124" s="58">
        <v>55</v>
      </c>
      <c r="O124" s="58">
        <v>53.2</v>
      </c>
      <c r="P124" s="58">
        <v>53.2</v>
      </c>
      <c r="Q124" s="58">
        <v>60</v>
      </c>
      <c r="R124" s="58">
        <v>69.3</v>
      </c>
      <c r="S124" s="58">
        <v>82</v>
      </c>
      <c r="T124" s="58">
        <v>89.4</v>
      </c>
      <c r="U124" s="58">
        <v>92.8</v>
      </c>
      <c r="V124" s="58">
        <v>87</v>
      </c>
      <c r="W124" s="58">
        <v>86</v>
      </c>
      <c r="X124" s="58">
        <v>81.2</v>
      </c>
      <c r="Y124" s="58">
        <v>72.599999999999994</v>
      </c>
      <c r="Z124" s="58">
        <v>95.5</v>
      </c>
      <c r="AA124" s="58">
        <v>98</v>
      </c>
      <c r="AB124" s="58">
        <v>85.8</v>
      </c>
      <c r="AC124" s="58">
        <v>81.8</v>
      </c>
      <c r="AD124" s="58">
        <v>65.8</v>
      </c>
      <c r="AE124" s="58">
        <v>38.200000000000003</v>
      </c>
      <c r="AF124" s="58">
        <v>30.9</v>
      </c>
      <c r="AG124" s="60"/>
      <c r="AH124" s="12">
        <f t="shared" si="46"/>
        <v>98</v>
      </c>
      <c r="AI124" s="11">
        <f t="shared" si="47"/>
        <v>30.9</v>
      </c>
    </row>
    <row r="125" spans="1:35" x14ac:dyDescent="0.25">
      <c r="A125" s="57" t="s">
        <v>137</v>
      </c>
      <c r="B125" s="58">
        <v>37</v>
      </c>
      <c r="C125" s="58">
        <v>53</v>
      </c>
      <c r="D125" s="58">
        <v>53</v>
      </c>
      <c r="E125" s="58">
        <v>69</v>
      </c>
      <c r="F125" s="58">
        <v>60.9</v>
      </c>
      <c r="G125" s="58">
        <v>55.7</v>
      </c>
      <c r="H125" s="58">
        <v>38.5</v>
      </c>
      <c r="I125" s="58">
        <v>32.9</v>
      </c>
      <c r="J125" s="58">
        <v>-11</v>
      </c>
      <c r="K125" s="58">
        <v>-7.8</v>
      </c>
      <c r="L125" s="58">
        <v>-31.6</v>
      </c>
      <c r="M125" s="58">
        <v>-47.5</v>
      </c>
      <c r="N125" s="58">
        <v>-48.6</v>
      </c>
      <c r="O125" s="58">
        <v>-47</v>
      </c>
      <c r="P125" s="58">
        <v>-47</v>
      </c>
      <c r="Q125" s="58">
        <v>-18</v>
      </c>
      <c r="R125" s="58">
        <v>16.600000000000001</v>
      </c>
      <c r="S125" s="58">
        <v>36.200000000000003</v>
      </c>
      <c r="T125" s="58">
        <v>36.6</v>
      </c>
      <c r="U125" s="58">
        <v>30.4</v>
      </c>
      <c r="V125" s="58">
        <v>8.6</v>
      </c>
      <c r="W125" s="58">
        <v>4.5</v>
      </c>
      <c r="X125" s="58">
        <v>-0.9</v>
      </c>
      <c r="Y125" s="58">
        <v>-37.799999999999997</v>
      </c>
      <c r="Z125" s="58">
        <v>-14</v>
      </c>
      <c r="AA125" s="58">
        <v>-18.899999999999999</v>
      </c>
      <c r="AB125" s="58">
        <v>-10.199999999999999</v>
      </c>
      <c r="AC125" s="58">
        <v>-15.8</v>
      </c>
      <c r="AD125" s="58">
        <v>-12.4</v>
      </c>
      <c r="AE125" s="58">
        <v>-36.700000000000003</v>
      </c>
      <c r="AF125" s="58">
        <v>-20.9</v>
      </c>
      <c r="AG125" s="60"/>
      <c r="AH125" s="12">
        <f t="shared" si="46"/>
        <v>69</v>
      </c>
      <c r="AI125" s="11">
        <f t="shared" si="47"/>
        <v>-48.6</v>
      </c>
    </row>
    <row r="126" spans="1:35" ht="15.75" thickBot="1" x14ac:dyDescent="0.3">
      <c r="A126" s="57" t="s">
        <v>136</v>
      </c>
      <c r="B126" s="58">
        <v>55</v>
      </c>
      <c r="C126" s="58">
        <v>66</v>
      </c>
      <c r="D126" s="58">
        <v>66</v>
      </c>
      <c r="E126" s="58">
        <v>75.7</v>
      </c>
      <c r="F126" s="58">
        <v>71.599999999999994</v>
      </c>
      <c r="G126" s="58">
        <v>74.3</v>
      </c>
      <c r="H126" s="58">
        <v>69.7</v>
      </c>
      <c r="I126" s="58">
        <v>82.4</v>
      </c>
      <c r="J126" s="58">
        <v>56.8</v>
      </c>
      <c r="K126" s="58">
        <v>70</v>
      </c>
      <c r="L126" s="58">
        <v>65.599999999999994</v>
      </c>
      <c r="M126" s="58">
        <v>51</v>
      </c>
      <c r="N126" s="58">
        <v>42.2</v>
      </c>
      <c r="O126" s="58">
        <v>45</v>
      </c>
      <c r="P126" s="58">
        <v>46.3</v>
      </c>
      <c r="Q126" s="58">
        <v>46.3</v>
      </c>
      <c r="R126" s="58">
        <v>50</v>
      </c>
      <c r="S126" s="58">
        <v>77.900000000000006</v>
      </c>
      <c r="T126" s="58">
        <v>80.599999999999994</v>
      </c>
      <c r="U126" s="58">
        <v>89.7</v>
      </c>
      <c r="V126" s="58">
        <v>92</v>
      </c>
      <c r="W126" s="58">
        <v>89</v>
      </c>
      <c r="X126" s="58">
        <v>85.5</v>
      </c>
      <c r="Y126" s="58">
        <v>58</v>
      </c>
      <c r="Z126" s="58">
        <v>86.4</v>
      </c>
      <c r="AA126" s="58">
        <v>93.5</v>
      </c>
      <c r="AB126" s="58">
        <v>82.6</v>
      </c>
      <c r="AC126" s="58">
        <v>71.3</v>
      </c>
      <c r="AD126" s="58">
        <v>56.2</v>
      </c>
      <c r="AE126" s="58">
        <v>25.7</v>
      </c>
      <c r="AF126" s="58">
        <v>21</v>
      </c>
      <c r="AG126" s="55"/>
      <c r="AH126" s="12">
        <f>MAX(B126:AF126)</f>
        <v>93.5</v>
      </c>
      <c r="AI126" s="11">
        <f>MIN(B126:AF126)</f>
        <v>21</v>
      </c>
    </row>
    <row r="127" spans="1:35" x14ac:dyDescent="0.25">
      <c r="A127" s="59" t="s">
        <v>135</v>
      </c>
      <c r="B127" s="58">
        <v>-84</v>
      </c>
      <c r="C127" s="58">
        <v>-67</v>
      </c>
      <c r="D127" s="58">
        <v>-67</v>
      </c>
      <c r="E127" s="58">
        <v>-73.5</v>
      </c>
      <c r="F127" s="58">
        <v>-63.7</v>
      </c>
      <c r="G127" s="58">
        <v>-60.3</v>
      </c>
      <c r="H127" s="58">
        <v>-747.3</v>
      </c>
      <c r="I127" s="58">
        <v>-75.5</v>
      </c>
      <c r="J127" s="58">
        <v>-4.8</v>
      </c>
      <c r="K127" s="58">
        <v>10.6</v>
      </c>
      <c r="L127" s="58">
        <v>0</v>
      </c>
      <c r="M127" s="58">
        <v>-1.2</v>
      </c>
      <c r="N127" s="58">
        <v>-6.2</v>
      </c>
      <c r="O127" s="58">
        <v>-7.6</v>
      </c>
      <c r="P127" s="58">
        <v>0.4</v>
      </c>
      <c r="Q127" s="58">
        <v>0.4</v>
      </c>
      <c r="R127" s="58">
        <v>-27.5</v>
      </c>
      <c r="S127" s="58">
        <v>-28.5</v>
      </c>
      <c r="T127" s="58">
        <v>-34.200000000000003</v>
      </c>
      <c r="U127" s="58">
        <v>-26.4</v>
      </c>
      <c r="V127" s="58">
        <v>-13</v>
      </c>
      <c r="W127" s="58">
        <v>-8</v>
      </c>
      <c r="X127" s="58">
        <v>6.3</v>
      </c>
      <c r="Y127" s="58">
        <v>-89</v>
      </c>
      <c r="Z127" s="58">
        <v>-183.8</v>
      </c>
      <c r="AA127" s="58">
        <v>-180.32</v>
      </c>
      <c r="AB127" s="58">
        <v>-170.3</v>
      </c>
      <c r="AC127" s="58">
        <v>-172.6</v>
      </c>
      <c r="AD127" s="58">
        <v>-169.1</v>
      </c>
      <c r="AE127" s="58">
        <v>-148.1</v>
      </c>
      <c r="AF127" s="58">
        <v>-117.8</v>
      </c>
      <c r="AG127" s="55"/>
      <c r="AH127" s="12">
        <f>MAX(B127:AF127)</f>
        <v>10.6</v>
      </c>
      <c r="AI127" s="11">
        <f>MIN(B127:AF127)</f>
        <v>-747.3</v>
      </c>
    </row>
    <row r="128" spans="1:35" x14ac:dyDescent="0.25">
      <c r="A128" s="57" t="s">
        <v>134</v>
      </c>
      <c r="B128" s="56">
        <v>45</v>
      </c>
      <c r="C128" s="56">
        <v>43</v>
      </c>
      <c r="D128" s="56">
        <v>43</v>
      </c>
      <c r="E128" s="56">
        <v>39.5</v>
      </c>
      <c r="F128" s="56">
        <v>32.1</v>
      </c>
      <c r="G128" s="56">
        <v>30.8</v>
      </c>
      <c r="H128" s="56">
        <v>26.4</v>
      </c>
      <c r="I128" s="56">
        <v>19.899999999999999</v>
      </c>
      <c r="J128" s="56">
        <v>16.100000000000001</v>
      </c>
      <c r="K128" s="56">
        <v>10.7</v>
      </c>
      <c r="L128" s="56">
        <v>8.1999999999999993</v>
      </c>
      <c r="M128" s="56">
        <v>6.7</v>
      </c>
      <c r="N128" s="56">
        <v>-4</v>
      </c>
      <c r="O128" s="56">
        <v>12.8</v>
      </c>
      <c r="P128" s="56">
        <v>7.9</v>
      </c>
      <c r="Q128" s="56">
        <v>7.9</v>
      </c>
      <c r="R128" s="56">
        <v>1.5</v>
      </c>
      <c r="S128" s="56">
        <v>-14.7</v>
      </c>
      <c r="T128" s="56">
        <v>4.0999999999999996</v>
      </c>
      <c r="U128" s="56">
        <v>-5</v>
      </c>
      <c r="V128" s="56">
        <v>-1.1000000000000001</v>
      </c>
      <c r="W128" s="56">
        <v>-2.58</v>
      </c>
      <c r="X128" s="56">
        <v>-5.0999999999999996</v>
      </c>
      <c r="Y128" s="56">
        <v>-9.9</v>
      </c>
      <c r="Z128" s="56">
        <v>-18.3</v>
      </c>
      <c r="AA128" s="56">
        <v>-11.8</v>
      </c>
      <c r="AB128" s="56">
        <v>-5.9</v>
      </c>
      <c r="AC128" s="56">
        <v>-5.8</v>
      </c>
      <c r="AD128" s="56">
        <v>-1.2</v>
      </c>
      <c r="AE128" s="56">
        <v>-2</v>
      </c>
      <c r="AF128" s="56">
        <v>5.2</v>
      </c>
      <c r="AG128" s="55"/>
      <c r="AH128" s="12">
        <f>MAX(B128:AF128)</f>
        <v>45</v>
      </c>
      <c r="AI128" s="11">
        <f>MIN(B128:AF128)</f>
        <v>-18.3</v>
      </c>
    </row>
    <row r="129" spans="1:37" x14ac:dyDescent="0.25">
      <c r="A129" s="57" t="s">
        <v>133</v>
      </c>
      <c r="B129" s="56">
        <v>11</v>
      </c>
      <c r="C129" s="56">
        <v>10</v>
      </c>
      <c r="D129" s="56">
        <v>10</v>
      </c>
      <c r="E129" s="56">
        <v>11.7</v>
      </c>
      <c r="F129" s="56">
        <v>16</v>
      </c>
      <c r="G129" s="56">
        <v>13.6</v>
      </c>
      <c r="H129" s="56">
        <v>19.3</v>
      </c>
      <c r="I129" s="56">
        <v>25.9</v>
      </c>
      <c r="J129" s="56">
        <v>51.4</v>
      </c>
      <c r="K129" s="56">
        <v>65.400000000000006</v>
      </c>
      <c r="L129" s="56">
        <v>75.7</v>
      </c>
      <c r="M129" s="56">
        <v>77.400000000000006</v>
      </c>
      <c r="N129" s="56">
        <v>92</v>
      </c>
      <c r="O129" s="56">
        <v>89</v>
      </c>
      <c r="P129" s="56">
        <v>86</v>
      </c>
      <c r="Q129" s="56">
        <v>86</v>
      </c>
      <c r="R129" s="56">
        <v>106.8</v>
      </c>
      <c r="S129" s="56">
        <v>66.3</v>
      </c>
      <c r="T129" s="56">
        <v>56</v>
      </c>
      <c r="U129" s="56">
        <v>66.400000000000006</v>
      </c>
      <c r="V129" s="56">
        <v>45.3</v>
      </c>
      <c r="W129" s="56">
        <v>32</v>
      </c>
      <c r="X129" s="56">
        <v>29.8</v>
      </c>
      <c r="Y129" s="56">
        <v>65</v>
      </c>
      <c r="Z129" s="56">
        <v>80</v>
      </c>
      <c r="AA129" s="56">
        <v>84.8</v>
      </c>
      <c r="AB129" s="56">
        <v>79.2</v>
      </c>
      <c r="AC129" s="56">
        <v>76.599999999999994</v>
      </c>
      <c r="AD129" s="56">
        <v>82.4</v>
      </c>
      <c r="AE129" s="56">
        <v>75.599999999999994</v>
      </c>
      <c r="AF129" s="56">
        <v>60.6</v>
      </c>
      <c r="AG129" s="55"/>
      <c r="AH129" s="12">
        <f>MAX(B129:AF129)</f>
        <v>106.8</v>
      </c>
      <c r="AI129" s="11">
        <f>MIN(B129:AF129)</f>
        <v>10</v>
      </c>
    </row>
    <row r="130" spans="1:37" ht="15.75" thickBot="1" x14ac:dyDescent="0.3">
      <c r="A130" s="57" t="s">
        <v>132</v>
      </c>
      <c r="B130" s="56">
        <v>24</v>
      </c>
      <c r="C130" s="56">
        <v>24</v>
      </c>
      <c r="D130" s="56">
        <v>24</v>
      </c>
      <c r="E130" s="56">
        <v>24.9</v>
      </c>
      <c r="F130" s="56">
        <v>29.2</v>
      </c>
      <c r="G130" s="56">
        <v>29.5</v>
      </c>
      <c r="H130" s="56">
        <v>27.4</v>
      </c>
      <c r="I130" s="56">
        <v>37</v>
      </c>
      <c r="J130" s="56">
        <v>61.1</v>
      </c>
      <c r="K130" s="56">
        <v>71.099999999999994</v>
      </c>
      <c r="L130" s="56">
        <v>83.2</v>
      </c>
      <c r="M130" s="56">
        <v>81</v>
      </c>
      <c r="N130" s="56">
        <v>95</v>
      </c>
      <c r="O130" s="56">
        <v>91.3</v>
      </c>
      <c r="P130" s="56">
        <v>91.5</v>
      </c>
      <c r="Q130" s="56">
        <v>91.5</v>
      </c>
      <c r="R130" s="56">
        <v>112.3</v>
      </c>
      <c r="S130" s="56">
        <v>66.099999999999994</v>
      </c>
      <c r="T130" s="56">
        <v>61.9</v>
      </c>
      <c r="U130" s="56">
        <v>70.2</v>
      </c>
      <c r="V130" s="56">
        <v>55.8</v>
      </c>
      <c r="W130" s="56">
        <v>50</v>
      </c>
      <c r="X130" s="56">
        <v>45</v>
      </c>
      <c r="Y130" s="56">
        <v>63.4</v>
      </c>
      <c r="Z130" s="56">
        <v>87.5</v>
      </c>
      <c r="AA130" s="56">
        <v>93.8</v>
      </c>
      <c r="AB130" s="56">
        <v>91.1</v>
      </c>
      <c r="AC130" s="56">
        <v>93</v>
      </c>
      <c r="AD130" s="56">
        <v>89.2</v>
      </c>
      <c r="AE130" s="56">
        <v>84</v>
      </c>
      <c r="AF130" s="56">
        <v>72.5</v>
      </c>
      <c r="AG130" s="55"/>
      <c r="AH130" s="12">
        <f>MAX(B130:AF130)</f>
        <v>112.3</v>
      </c>
      <c r="AI130" s="11">
        <f>MIN(B130:AF130)</f>
        <v>24</v>
      </c>
    </row>
    <row r="131" spans="1:37" x14ac:dyDescent="0.25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25">
      <c r="A132" s="47" t="s">
        <v>130</v>
      </c>
      <c r="B132" s="51">
        <v>1984.99</v>
      </c>
      <c r="C132" s="51">
        <v>1984.93</v>
      </c>
      <c r="D132" s="51">
        <v>1984.93</v>
      </c>
      <c r="E132" s="51">
        <v>1984.87</v>
      </c>
      <c r="F132" s="51">
        <v>1984.8</v>
      </c>
      <c r="G132" s="51">
        <v>1984.77</v>
      </c>
      <c r="H132" s="51"/>
      <c r="I132" s="51">
        <v>1984.65</v>
      </c>
      <c r="J132" s="51"/>
      <c r="K132" s="51">
        <v>1984.83</v>
      </c>
      <c r="L132" s="51"/>
      <c r="M132" s="51">
        <v>1985.1</v>
      </c>
      <c r="N132" s="51">
        <v>1985.37</v>
      </c>
      <c r="O132" s="51">
        <v>1985.6</v>
      </c>
      <c r="P132" s="51">
        <v>1985.88</v>
      </c>
      <c r="Q132" s="51">
        <v>1986.2</v>
      </c>
      <c r="R132" s="51">
        <v>1986.22</v>
      </c>
      <c r="S132" s="51">
        <v>1986.22</v>
      </c>
      <c r="T132" s="51">
        <v>1986.22</v>
      </c>
      <c r="U132" s="51">
        <v>1986.25</v>
      </c>
      <c r="V132" s="51">
        <v>1986.25</v>
      </c>
      <c r="W132" s="51"/>
      <c r="X132" s="51">
        <v>1986.35</v>
      </c>
      <c r="Y132" s="51"/>
      <c r="Z132" s="51">
        <v>1986.13</v>
      </c>
      <c r="AA132" s="51"/>
      <c r="AB132" s="51">
        <v>1985.15</v>
      </c>
      <c r="AC132" s="51"/>
      <c r="AD132" s="51">
        <v>1984.28</v>
      </c>
      <c r="AE132" s="51">
        <v>1983.6</v>
      </c>
      <c r="AF132" s="50">
        <v>1983.2</v>
      </c>
      <c r="AG132" s="44"/>
      <c r="AH132" s="12"/>
      <c r="AI132" s="11"/>
    </row>
    <row r="133" spans="1:37" x14ac:dyDescent="0.25">
      <c r="A133" s="47" t="s">
        <v>129</v>
      </c>
      <c r="B133" s="49">
        <v>521.01</v>
      </c>
      <c r="C133" s="49">
        <v>521.12</v>
      </c>
      <c r="D133" s="49">
        <v>521.23</v>
      </c>
      <c r="E133" s="49">
        <v>521.41999999999996</v>
      </c>
      <c r="F133" s="49">
        <v>521.70000000000005</v>
      </c>
      <c r="G133" s="49">
        <v>522</v>
      </c>
      <c r="H133" s="49"/>
      <c r="I133" s="49">
        <v>522.25</v>
      </c>
      <c r="J133" s="49"/>
      <c r="K133" s="49">
        <v>522.35</v>
      </c>
      <c r="L133" s="49"/>
      <c r="M133" s="49">
        <v>522.44000000000005</v>
      </c>
      <c r="N133" s="49">
        <v>522.52</v>
      </c>
      <c r="O133" s="49">
        <v>522.48</v>
      </c>
      <c r="P133" s="49">
        <v>522.44000000000005</v>
      </c>
      <c r="Q133" s="49">
        <v>522.41999999999996</v>
      </c>
      <c r="R133" s="49">
        <v>522.39</v>
      </c>
      <c r="S133" s="49">
        <v>522.34</v>
      </c>
      <c r="T133" s="49">
        <v>522.29</v>
      </c>
      <c r="U133" s="49">
        <v>522.24</v>
      </c>
      <c r="V133" s="49">
        <v>522.15</v>
      </c>
      <c r="W133" s="49"/>
      <c r="X133" s="49">
        <v>522.08000000000004</v>
      </c>
      <c r="Y133" s="49"/>
      <c r="Z133" s="49">
        <v>521.91999999999996</v>
      </c>
      <c r="AA133" s="49"/>
      <c r="AB133" s="49">
        <v>521.55999999999995</v>
      </c>
      <c r="AC133" s="49"/>
      <c r="AD133" s="49">
        <v>521.28</v>
      </c>
      <c r="AE133" s="49">
        <v>521</v>
      </c>
      <c r="AF133" s="48">
        <v>520.71</v>
      </c>
      <c r="AG133" s="44"/>
      <c r="AH133" s="12"/>
      <c r="AI133" s="11"/>
    </row>
    <row r="134" spans="1:37" x14ac:dyDescent="0.25">
      <c r="A134" s="47" t="s">
        <v>128</v>
      </c>
      <c r="B134" s="49">
        <v>623.20000000000005</v>
      </c>
      <c r="C134" s="49">
        <v>622.75</v>
      </c>
      <c r="D134" s="49">
        <v>623.12</v>
      </c>
      <c r="E134" s="49">
        <v>623.67999999999995</v>
      </c>
      <c r="F134" s="49">
        <v>624.37</v>
      </c>
      <c r="G134" s="49">
        <v>624.79999999999995</v>
      </c>
      <c r="H134" s="49"/>
      <c r="I134" s="49">
        <v>624.87</v>
      </c>
      <c r="J134" s="49"/>
      <c r="K134" s="49">
        <v>624.71</v>
      </c>
      <c r="L134" s="49"/>
      <c r="M134" s="49">
        <v>624.67999999999995</v>
      </c>
      <c r="N134" s="49">
        <v>624.64</v>
      </c>
      <c r="O134" s="49">
        <v>624.4</v>
      </c>
      <c r="P134" s="49">
        <v>624.34</v>
      </c>
      <c r="Q134" s="49">
        <v>624.29999999999995</v>
      </c>
      <c r="R134" s="49">
        <v>624.38</v>
      </c>
      <c r="S134" s="49">
        <v>624.64</v>
      </c>
      <c r="T134" s="49">
        <v>624.75</v>
      </c>
      <c r="U134" s="49">
        <v>624.9</v>
      </c>
      <c r="V134" s="49">
        <v>624.87</v>
      </c>
      <c r="W134" s="49"/>
      <c r="X134" s="49">
        <v>624.77</v>
      </c>
      <c r="Y134" s="49"/>
      <c r="Z134" s="49">
        <v>624.73</v>
      </c>
      <c r="AA134" s="49"/>
      <c r="AB134" s="49">
        <v>624.53</v>
      </c>
      <c r="AC134" s="49"/>
      <c r="AD134" s="49">
        <v>624.17999999999995</v>
      </c>
      <c r="AE134" s="49">
        <v>623.91999999999996</v>
      </c>
      <c r="AF134" s="48">
        <v>623.57000000000005</v>
      </c>
      <c r="AG134" s="44"/>
      <c r="AH134" s="12"/>
      <c r="AI134" s="11"/>
    </row>
    <row r="135" spans="1:37" x14ac:dyDescent="0.25">
      <c r="A135" s="47" t="s">
        <v>127</v>
      </c>
      <c r="B135" s="49">
        <v>336.34</v>
      </c>
      <c r="C135" s="49">
        <v>336.21</v>
      </c>
      <c r="D135" s="49">
        <v>336.25</v>
      </c>
      <c r="E135" s="49">
        <v>336.35</v>
      </c>
      <c r="F135" s="49">
        <v>336.41</v>
      </c>
      <c r="G135" s="49">
        <v>336.44</v>
      </c>
      <c r="H135" s="49"/>
      <c r="I135" s="49">
        <v>336.4</v>
      </c>
      <c r="J135" s="49"/>
      <c r="K135" s="49">
        <v>336.2</v>
      </c>
      <c r="L135" s="49"/>
      <c r="M135" s="49">
        <v>335.96</v>
      </c>
      <c r="N135" s="49">
        <v>335.67</v>
      </c>
      <c r="O135" s="49">
        <v>335.23</v>
      </c>
      <c r="P135" s="49">
        <v>334.75</v>
      </c>
      <c r="Q135" s="49">
        <v>334.49</v>
      </c>
      <c r="R135" s="49">
        <v>334.62</v>
      </c>
      <c r="S135" s="49">
        <v>334.9</v>
      </c>
      <c r="T135" s="49">
        <v>335.56</v>
      </c>
      <c r="U135" s="49">
        <v>335.98</v>
      </c>
      <c r="V135" s="49">
        <v>336.49</v>
      </c>
      <c r="W135" s="49"/>
      <c r="X135" s="49">
        <v>336.89</v>
      </c>
      <c r="Y135" s="49"/>
      <c r="Z135" s="49">
        <v>336.95</v>
      </c>
      <c r="AA135" s="49"/>
      <c r="AB135" s="49">
        <v>336.65</v>
      </c>
      <c r="AC135" s="49"/>
      <c r="AD135" s="49">
        <v>336.41</v>
      </c>
      <c r="AE135" s="49">
        <v>336.28</v>
      </c>
      <c r="AF135" s="48">
        <v>336.17</v>
      </c>
      <c r="AG135" s="44"/>
      <c r="AH135" s="12"/>
      <c r="AI135" s="11"/>
    </row>
    <row r="136" spans="1:37" x14ac:dyDescent="0.25">
      <c r="A136" s="47" t="s">
        <v>126</v>
      </c>
      <c r="B136" s="49">
        <v>885.3</v>
      </c>
      <c r="C136" s="49">
        <v>885.5</v>
      </c>
      <c r="D136" s="49">
        <v>885.7</v>
      </c>
      <c r="E136" s="49">
        <v>886.3</v>
      </c>
      <c r="F136" s="49">
        <v>887.1</v>
      </c>
      <c r="G136" s="49">
        <v>887.2</v>
      </c>
      <c r="H136" s="49"/>
      <c r="I136" s="49">
        <v>887.1</v>
      </c>
      <c r="J136" s="49"/>
      <c r="K136" s="49">
        <v>887.2</v>
      </c>
      <c r="L136" s="49"/>
      <c r="M136" s="49">
        <v>887.4</v>
      </c>
      <c r="N136" s="49">
        <v>887.5</v>
      </c>
      <c r="O136" s="49">
        <v>887.6</v>
      </c>
      <c r="P136" s="49">
        <v>887.7</v>
      </c>
      <c r="Q136" s="49">
        <v>887.8</v>
      </c>
      <c r="R136" s="49">
        <v>887.7</v>
      </c>
      <c r="S136" s="49">
        <v>887.5</v>
      </c>
      <c r="T136" s="49">
        <v>886.8</v>
      </c>
      <c r="U136" s="49"/>
      <c r="V136" s="49">
        <v>885.4</v>
      </c>
      <c r="W136" s="49"/>
      <c r="X136" s="49">
        <v>884.8</v>
      </c>
      <c r="Y136" s="49"/>
      <c r="Z136" s="49">
        <v>884.7</v>
      </c>
      <c r="AA136" s="49"/>
      <c r="AB136" s="49">
        <v>884.4</v>
      </c>
      <c r="AC136" s="49"/>
      <c r="AD136" s="49">
        <v>884.2</v>
      </c>
      <c r="AE136" s="49">
        <v>884</v>
      </c>
      <c r="AF136" s="48">
        <v>883.8</v>
      </c>
      <c r="AG136" s="44"/>
      <c r="AH136" s="12"/>
      <c r="AI136" s="11"/>
    </row>
    <row r="137" spans="1:37" ht="15.75" thickBot="1" x14ac:dyDescent="0.3">
      <c r="A137" s="47" t="s">
        <v>125</v>
      </c>
      <c r="B137" s="46">
        <v>1499.71</v>
      </c>
      <c r="C137" s="46"/>
      <c r="D137" s="46"/>
      <c r="E137" s="46">
        <v>1499.73</v>
      </c>
      <c r="F137" s="46"/>
      <c r="G137" s="46">
        <v>1499.74</v>
      </c>
      <c r="H137" s="46"/>
      <c r="I137" s="46"/>
      <c r="J137" s="46"/>
      <c r="K137" s="46">
        <v>1499.75</v>
      </c>
      <c r="L137" s="46"/>
      <c r="M137" s="46"/>
      <c r="N137" s="46">
        <v>1499.73</v>
      </c>
      <c r="O137" s="46"/>
      <c r="P137" s="46"/>
      <c r="Q137" s="46"/>
      <c r="R137" s="46">
        <v>1499.68</v>
      </c>
      <c r="S137" s="46">
        <v>1499.63</v>
      </c>
      <c r="T137" s="46"/>
      <c r="U137" s="46"/>
      <c r="V137" s="46"/>
      <c r="W137" s="46"/>
      <c r="X137" s="46">
        <v>1499.52</v>
      </c>
      <c r="Y137" s="46"/>
      <c r="Z137" s="46">
        <v>1499.49</v>
      </c>
      <c r="AA137" s="46"/>
      <c r="AB137" s="46">
        <v>1499.45</v>
      </c>
      <c r="AC137" s="46"/>
      <c r="AD137" s="46">
        <v>1499.41</v>
      </c>
      <c r="AE137" s="46"/>
      <c r="AF137" s="45"/>
      <c r="AG137" s="44"/>
      <c r="AH137" s="12"/>
      <c r="AI137" s="11"/>
    </row>
    <row r="138" spans="1:37" ht="15.75" thickBot="1" x14ac:dyDescent="0.3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25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25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25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25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25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25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25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25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25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25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25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25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25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25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25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25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25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25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25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25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25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25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25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25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25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25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25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25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25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25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25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25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25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25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25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25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25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25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25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25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25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25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25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25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25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25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25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25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25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25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25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25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25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25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25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25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25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25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25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25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25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25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25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25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25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25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25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25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25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25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25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25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25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25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25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25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25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25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25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25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25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25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25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25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25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25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25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25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25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25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25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25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25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25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25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25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25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25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25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25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25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25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25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25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.75" thickBot="1" x14ac:dyDescent="0.3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.75" thickBot="1" x14ac:dyDescent="0.3">
      <c r="A244" s="31" t="s">
        <v>17</v>
      </c>
      <c r="B244" s="30">
        <f t="shared" ref="B244:AG244" si="74">SUM(B139:B243)</f>
        <v>0</v>
      </c>
      <c r="C244" s="14">
        <f t="shared" si="74"/>
        <v>0</v>
      </c>
      <c r="D244" s="14">
        <f t="shared" si="74"/>
        <v>0</v>
      </c>
      <c r="E244" s="14">
        <f t="shared" si="74"/>
        <v>0</v>
      </c>
      <c r="F244" s="14">
        <f t="shared" si="74"/>
        <v>0</v>
      </c>
      <c r="G244" s="14">
        <f t="shared" si="74"/>
        <v>0</v>
      </c>
      <c r="H244" s="14">
        <f t="shared" si="74"/>
        <v>0</v>
      </c>
      <c r="I244" s="14">
        <f t="shared" si="74"/>
        <v>0</v>
      </c>
      <c r="J244" s="14">
        <f t="shared" si="74"/>
        <v>0</v>
      </c>
      <c r="K244" s="14">
        <f t="shared" si="74"/>
        <v>0</v>
      </c>
      <c r="L244" s="14">
        <f t="shared" si="74"/>
        <v>0</v>
      </c>
      <c r="M244" s="14">
        <f t="shared" si="74"/>
        <v>0</v>
      </c>
      <c r="N244" s="14">
        <f t="shared" si="74"/>
        <v>0</v>
      </c>
      <c r="O244" s="14">
        <f t="shared" si="74"/>
        <v>0</v>
      </c>
      <c r="P244" s="14">
        <f t="shared" si="74"/>
        <v>0</v>
      </c>
      <c r="Q244" s="14">
        <f t="shared" si="74"/>
        <v>0</v>
      </c>
      <c r="R244" s="14">
        <f t="shared" si="74"/>
        <v>0</v>
      </c>
      <c r="S244" s="14">
        <f t="shared" si="74"/>
        <v>0</v>
      </c>
      <c r="T244" s="14">
        <f t="shared" si="74"/>
        <v>0</v>
      </c>
      <c r="U244" s="14">
        <f t="shared" si="74"/>
        <v>0</v>
      </c>
      <c r="V244" s="14">
        <f t="shared" si="74"/>
        <v>0</v>
      </c>
      <c r="W244" s="14">
        <f t="shared" si="74"/>
        <v>0</v>
      </c>
      <c r="X244" s="14">
        <f t="shared" si="74"/>
        <v>0</v>
      </c>
      <c r="Y244" s="14">
        <f t="shared" si="74"/>
        <v>0</v>
      </c>
      <c r="Z244" s="14">
        <f t="shared" si="74"/>
        <v>0</v>
      </c>
      <c r="AA244" s="14">
        <f t="shared" si="74"/>
        <v>0</v>
      </c>
      <c r="AB244" s="14">
        <f t="shared" si="74"/>
        <v>0</v>
      </c>
      <c r="AC244" s="14">
        <f t="shared" si="74"/>
        <v>0</v>
      </c>
      <c r="AD244" s="14">
        <f t="shared" si="74"/>
        <v>0</v>
      </c>
      <c r="AE244" s="14">
        <f t="shared" si="74"/>
        <v>0</v>
      </c>
      <c r="AF244" s="29">
        <f t="shared" si="74"/>
        <v>0</v>
      </c>
      <c r="AG244" s="28">
        <f t="shared" si="74"/>
        <v>412.72299999999984</v>
      </c>
      <c r="AH244" s="12"/>
      <c r="AI244" s="11"/>
      <c r="AK244" s="19"/>
    </row>
    <row r="245" spans="1:37" ht="15.75" thickBot="1" x14ac:dyDescent="0.3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25">
      <c r="A246" s="25" t="s">
        <v>16</v>
      </c>
      <c r="B246" s="24">
        <f t="shared" ref="B246:B251" si="75">AF246</f>
        <v>0.3</v>
      </c>
      <c r="C246" s="24">
        <v>0.3</v>
      </c>
      <c r="D246" s="24">
        <f t="shared" ref="D246:AF251" si="76">C246</f>
        <v>0.3</v>
      </c>
      <c r="E246" s="24">
        <f t="shared" si="76"/>
        <v>0.3</v>
      </c>
      <c r="F246" s="24">
        <f t="shared" si="76"/>
        <v>0.3</v>
      </c>
      <c r="G246" s="24">
        <f t="shared" si="76"/>
        <v>0.3</v>
      </c>
      <c r="H246" s="24">
        <f t="shared" si="76"/>
        <v>0.3</v>
      </c>
      <c r="I246" s="24">
        <f t="shared" si="76"/>
        <v>0.3</v>
      </c>
      <c r="J246" s="24">
        <f t="shared" si="76"/>
        <v>0.3</v>
      </c>
      <c r="K246" s="24">
        <f t="shared" si="76"/>
        <v>0.3</v>
      </c>
      <c r="L246" s="24">
        <f t="shared" si="76"/>
        <v>0.3</v>
      </c>
      <c r="M246" s="24">
        <f t="shared" si="76"/>
        <v>0.3</v>
      </c>
      <c r="N246" s="24">
        <f t="shared" si="76"/>
        <v>0.3</v>
      </c>
      <c r="O246" s="24">
        <f t="shared" si="76"/>
        <v>0.3</v>
      </c>
      <c r="P246" s="24">
        <f t="shared" si="76"/>
        <v>0.3</v>
      </c>
      <c r="Q246" s="24">
        <f t="shared" si="76"/>
        <v>0.3</v>
      </c>
      <c r="R246" s="24">
        <f t="shared" si="76"/>
        <v>0.3</v>
      </c>
      <c r="S246" s="24">
        <f t="shared" si="76"/>
        <v>0.3</v>
      </c>
      <c r="T246" s="24">
        <f t="shared" si="76"/>
        <v>0.3</v>
      </c>
      <c r="U246" s="24">
        <f t="shared" si="76"/>
        <v>0.3</v>
      </c>
      <c r="V246" s="24">
        <f t="shared" si="76"/>
        <v>0.3</v>
      </c>
      <c r="W246" s="24">
        <f t="shared" si="76"/>
        <v>0.3</v>
      </c>
      <c r="X246" s="24">
        <f t="shared" si="76"/>
        <v>0.3</v>
      </c>
      <c r="Y246" s="24">
        <f t="shared" si="76"/>
        <v>0.3</v>
      </c>
      <c r="Z246" s="24">
        <f t="shared" si="76"/>
        <v>0.3</v>
      </c>
      <c r="AA246" s="24">
        <f t="shared" si="76"/>
        <v>0.3</v>
      </c>
      <c r="AB246" s="24">
        <f t="shared" si="76"/>
        <v>0.3</v>
      </c>
      <c r="AC246" s="24">
        <f t="shared" si="76"/>
        <v>0.3</v>
      </c>
      <c r="AD246" s="24">
        <f t="shared" si="76"/>
        <v>0.3</v>
      </c>
      <c r="AE246" s="24">
        <f t="shared" si="76"/>
        <v>0.3</v>
      </c>
      <c r="AF246" s="24">
        <f t="shared" si="76"/>
        <v>0.3</v>
      </c>
      <c r="AG246" s="23">
        <v>2.4</v>
      </c>
      <c r="AH246" s="12"/>
      <c r="AI246" s="11"/>
      <c r="AK246" s="19"/>
    </row>
    <row r="247" spans="1:37" x14ac:dyDescent="0.25">
      <c r="A247" s="22" t="s">
        <v>15</v>
      </c>
      <c r="B247" s="21">
        <f t="shared" si="75"/>
        <v>0.4</v>
      </c>
      <c r="C247" s="21">
        <v>0.4</v>
      </c>
      <c r="D247" s="21">
        <f t="shared" si="76"/>
        <v>0.4</v>
      </c>
      <c r="E247" s="21">
        <f t="shared" si="76"/>
        <v>0.4</v>
      </c>
      <c r="F247" s="21">
        <f t="shared" si="76"/>
        <v>0.4</v>
      </c>
      <c r="G247" s="21">
        <f t="shared" si="76"/>
        <v>0.4</v>
      </c>
      <c r="H247" s="21">
        <f t="shared" si="76"/>
        <v>0.4</v>
      </c>
      <c r="I247" s="21">
        <f t="shared" si="76"/>
        <v>0.4</v>
      </c>
      <c r="J247" s="21">
        <f t="shared" si="76"/>
        <v>0.4</v>
      </c>
      <c r="K247" s="21">
        <f t="shared" si="76"/>
        <v>0.4</v>
      </c>
      <c r="L247" s="21">
        <f t="shared" si="76"/>
        <v>0.4</v>
      </c>
      <c r="M247" s="21">
        <f t="shared" si="76"/>
        <v>0.4</v>
      </c>
      <c r="N247" s="21">
        <f t="shared" si="76"/>
        <v>0.4</v>
      </c>
      <c r="O247" s="21">
        <f t="shared" si="76"/>
        <v>0.4</v>
      </c>
      <c r="P247" s="21">
        <f t="shared" si="76"/>
        <v>0.4</v>
      </c>
      <c r="Q247" s="21">
        <f t="shared" si="76"/>
        <v>0.4</v>
      </c>
      <c r="R247" s="21">
        <f t="shared" si="76"/>
        <v>0.4</v>
      </c>
      <c r="S247" s="21">
        <f t="shared" si="76"/>
        <v>0.4</v>
      </c>
      <c r="T247" s="21">
        <f t="shared" si="76"/>
        <v>0.4</v>
      </c>
      <c r="U247" s="21">
        <f t="shared" si="76"/>
        <v>0.4</v>
      </c>
      <c r="V247" s="21">
        <f t="shared" si="76"/>
        <v>0.4</v>
      </c>
      <c r="W247" s="21">
        <f t="shared" si="76"/>
        <v>0.4</v>
      </c>
      <c r="X247" s="21">
        <f t="shared" si="76"/>
        <v>0.4</v>
      </c>
      <c r="Y247" s="21">
        <f t="shared" si="76"/>
        <v>0.4</v>
      </c>
      <c r="Z247" s="21">
        <f t="shared" si="76"/>
        <v>0.4</v>
      </c>
      <c r="AA247" s="21">
        <f t="shared" si="76"/>
        <v>0.4</v>
      </c>
      <c r="AB247" s="21">
        <f t="shared" si="76"/>
        <v>0.4</v>
      </c>
      <c r="AC247" s="21">
        <f t="shared" si="76"/>
        <v>0.4</v>
      </c>
      <c r="AD247" s="21">
        <f t="shared" si="76"/>
        <v>0.4</v>
      </c>
      <c r="AE247" s="21">
        <f t="shared" si="76"/>
        <v>0.4</v>
      </c>
      <c r="AF247" s="21">
        <f t="shared" si="76"/>
        <v>0.4</v>
      </c>
      <c r="AG247" s="20">
        <v>2</v>
      </c>
      <c r="AH247" s="12"/>
      <c r="AI247" s="11"/>
      <c r="AK247" s="19"/>
    </row>
    <row r="248" spans="1:37" x14ac:dyDescent="0.25">
      <c r="A248" s="22" t="s">
        <v>14</v>
      </c>
      <c r="B248" s="21">
        <f t="shared" si="75"/>
        <v>1.5</v>
      </c>
      <c r="C248" s="21">
        <v>1.5</v>
      </c>
      <c r="D248" s="21">
        <f t="shared" si="76"/>
        <v>1.5</v>
      </c>
      <c r="E248" s="21">
        <f t="shared" si="76"/>
        <v>1.5</v>
      </c>
      <c r="F248" s="21">
        <f t="shared" si="76"/>
        <v>1.5</v>
      </c>
      <c r="G248" s="21">
        <f t="shared" si="76"/>
        <v>1.5</v>
      </c>
      <c r="H248" s="21">
        <f t="shared" si="76"/>
        <v>1.5</v>
      </c>
      <c r="I248" s="21">
        <f t="shared" si="76"/>
        <v>1.5</v>
      </c>
      <c r="J248" s="21">
        <f t="shared" si="76"/>
        <v>1.5</v>
      </c>
      <c r="K248" s="21">
        <f t="shared" si="76"/>
        <v>1.5</v>
      </c>
      <c r="L248" s="21">
        <f t="shared" si="76"/>
        <v>1.5</v>
      </c>
      <c r="M248" s="21">
        <f t="shared" si="76"/>
        <v>1.5</v>
      </c>
      <c r="N248" s="21">
        <f t="shared" si="76"/>
        <v>1.5</v>
      </c>
      <c r="O248" s="21">
        <f t="shared" si="76"/>
        <v>1.5</v>
      </c>
      <c r="P248" s="21">
        <f t="shared" si="76"/>
        <v>1.5</v>
      </c>
      <c r="Q248" s="21">
        <f t="shared" si="76"/>
        <v>1.5</v>
      </c>
      <c r="R248" s="21">
        <f t="shared" si="76"/>
        <v>1.5</v>
      </c>
      <c r="S248" s="21">
        <f t="shared" si="76"/>
        <v>1.5</v>
      </c>
      <c r="T248" s="21">
        <f t="shared" si="76"/>
        <v>1.5</v>
      </c>
      <c r="U248" s="21">
        <f t="shared" si="76"/>
        <v>1.5</v>
      </c>
      <c r="V248" s="21">
        <f t="shared" si="76"/>
        <v>1.5</v>
      </c>
      <c r="W248" s="21">
        <f t="shared" si="76"/>
        <v>1.5</v>
      </c>
      <c r="X248" s="21">
        <f t="shared" si="76"/>
        <v>1.5</v>
      </c>
      <c r="Y248" s="21">
        <f t="shared" si="76"/>
        <v>1.5</v>
      </c>
      <c r="Z248" s="21">
        <f t="shared" si="76"/>
        <v>1.5</v>
      </c>
      <c r="AA248" s="21">
        <f t="shared" si="76"/>
        <v>1.5</v>
      </c>
      <c r="AB248" s="21">
        <f t="shared" si="76"/>
        <v>1.5</v>
      </c>
      <c r="AC248" s="21">
        <f t="shared" si="76"/>
        <v>1.5</v>
      </c>
      <c r="AD248" s="21">
        <f t="shared" si="76"/>
        <v>1.5</v>
      </c>
      <c r="AE248" s="21">
        <f t="shared" si="76"/>
        <v>1.5</v>
      </c>
      <c r="AF248" s="21">
        <f t="shared" si="76"/>
        <v>1.5</v>
      </c>
      <c r="AG248" s="20">
        <v>1.5</v>
      </c>
      <c r="AH248" s="12"/>
      <c r="AI248" s="11"/>
      <c r="AK248" s="19"/>
    </row>
    <row r="249" spans="1:37" x14ac:dyDescent="0.25">
      <c r="A249" s="22" t="s">
        <v>13</v>
      </c>
      <c r="B249" s="21">
        <f t="shared" si="75"/>
        <v>0.3</v>
      </c>
      <c r="C249" s="21">
        <v>0.3</v>
      </c>
      <c r="D249" s="21">
        <f t="shared" si="76"/>
        <v>0.3</v>
      </c>
      <c r="E249" s="21">
        <f t="shared" si="76"/>
        <v>0.3</v>
      </c>
      <c r="F249" s="21">
        <f t="shared" si="76"/>
        <v>0.3</v>
      </c>
      <c r="G249" s="21">
        <f t="shared" si="76"/>
        <v>0.3</v>
      </c>
      <c r="H249" s="21">
        <f t="shared" si="76"/>
        <v>0.3</v>
      </c>
      <c r="I249" s="21">
        <f t="shared" si="76"/>
        <v>0.3</v>
      </c>
      <c r="J249" s="21">
        <f t="shared" si="76"/>
        <v>0.3</v>
      </c>
      <c r="K249" s="21">
        <f t="shared" si="76"/>
        <v>0.3</v>
      </c>
      <c r="L249" s="21">
        <f t="shared" si="76"/>
        <v>0.3</v>
      </c>
      <c r="M249" s="21">
        <f t="shared" si="76"/>
        <v>0.3</v>
      </c>
      <c r="N249" s="21">
        <f t="shared" si="76"/>
        <v>0.3</v>
      </c>
      <c r="O249" s="21">
        <f t="shared" si="76"/>
        <v>0.3</v>
      </c>
      <c r="P249" s="21">
        <f t="shared" si="76"/>
        <v>0.3</v>
      </c>
      <c r="Q249" s="21">
        <f t="shared" si="76"/>
        <v>0.3</v>
      </c>
      <c r="R249" s="21">
        <f t="shared" si="76"/>
        <v>0.3</v>
      </c>
      <c r="S249" s="21">
        <f t="shared" si="76"/>
        <v>0.3</v>
      </c>
      <c r="T249" s="21">
        <f t="shared" si="76"/>
        <v>0.3</v>
      </c>
      <c r="U249" s="21">
        <f t="shared" si="76"/>
        <v>0.3</v>
      </c>
      <c r="V249" s="21">
        <f t="shared" si="76"/>
        <v>0.3</v>
      </c>
      <c r="W249" s="21">
        <f t="shared" si="76"/>
        <v>0.3</v>
      </c>
      <c r="X249" s="21">
        <f t="shared" si="76"/>
        <v>0.3</v>
      </c>
      <c r="Y249" s="21">
        <f t="shared" si="76"/>
        <v>0.3</v>
      </c>
      <c r="Z249" s="21">
        <f t="shared" si="76"/>
        <v>0.3</v>
      </c>
      <c r="AA249" s="21">
        <f t="shared" si="76"/>
        <v>0.3</v>
      </c>
      <c r="AB249" s="21">
        <f t="shared" si="76"/>
        <v>0.3</v>
      </c>
      <c r="AC249" s="21">
        <f t="shared" si="76"/>
        <v>0.3</v>
      </c>
      <c r="AD249" s="21">
        <f t="shared" si="76"/>
        <v>0.3</v>
      </c>
      <c r="AE249" s="21">
        <f t="shared" si="76"/>
        <v>0.3</v>
      </c>
      <c r="AF249" s="21">
        <f t="shared" si="76"/>
        <v>0.3</v>
      </c>
      <c r="AG249" s="20">
        <v>1</v>
      </c>
      <c r="AH249" s="12"/>
      <c r="AI249" s="11"/>
      <c r="AK249" s="19"/>
    </row>
    <row r="250" spans="1:37" x14ac:dyDescent="0.25">
      <c r="A250" s="22" t="s">
        <v>12</v>
      </c>
      <c r="B250" s="21">
        <f t="shared" si="75"/>
        <v>0.4</v>
      </c>
      <c r="C250" s="21">
        <v>0.4</v>
      </c>
      <c r="D250" s="21">
        <f t="shared" si="76"/>
        <v>0.4</v>
      </c>
      <c r="E250" s="21">
        <f t="shared" si="76"/>
        <v>0.4</v>
      </c>
      <c r="F250" s="21">
        <f t="shared" si="76"/>
        <v>0.4</v>
      </c>
      <c r="G250" s="21">
        <f t="shared" si="76"/>
        <v>0.4</v>
      </c>
      <c r="H250" s="21">
        <f t="shared" si="76"/>
        <v>0.4</v>
      </c>
      <c r="I250" s="21">
        <f t="shared" si="76"/>
        <v>0.4</v>
      </c>
      <c r="J250" s="21">
        <f t="shared" si="76"/>
        <v>0.4</v>
      </c>
      <c r="K250" s="21">
        <f t="shared" si="76"/>
        <v>0.4</v>
      </c>
      <c r="L250" s="21">
        <f t="shared" si="76"/>
        <v>0.4</v>
      </c>
      <c r="M250" s="21">
        <f t="shared" si="76"/>
        <v>0.4</v>
      </c>
      <c r="N250" s="21">
        <f t="shared" si="76"/>
        <v>0.4</v>
      </c>
      <c r="O250" s="21">
        <f t="shared" si="76"/>
        <v>0.4</v>
      </c>
      <c r="P250" s="21">
        <f t="shared" si="76"/>
        <v>0.4</v>
      </c>
      <c r="Q250" s="21">
        <f t="shared" si="76"/>
        <v>0.4</v>
      </c>
      <c r="R250" s="21">
        <f t="shared" si="76"/>
        <v>0.4</v>
      </c>
      <c r="S250" s="21">
        <f t="shared" si="76"/>
        <v>0.4</v>
      </c>
      <c r="T250" s="21">
        <f t="shared" si="76"/>
        <v>0.4</v>
      </c>
      <c r="U250" s="21">
        <f t="shared" si="76"/>
        <v>0.4</v>
      </c>
      <c r="V250" s="21">
        <f t="shared" si="76"/>
        <v>0.4</v>
      </c>
      <c r="W250" s="21">
        <f t="shared" si="76"/>
        <v>0.4</v>
      </c>
      <c r="X250" s="21">
        <f t="shared" si="76"/>
        <v>0.4</v>
      </c>
      <c r="Y250" s="21">
        <f t="shared" si="76"/>
        <v>0.4</v>
      </c>
      <c r="Z250" s="21">
        <f t="shared" si="76"/>
        <v>0.4</v>
      </c>
      <c r="AA250" s="21">
        <f t="shared" si="76"/>
        <v>0.4</v>
      </c>
      <c r="AB250" s="21">
        <f t="shared" si="76"/>
        <v>0.4</v>
      </c>
      <c r="AC250" s="21">
        <f t="shared" si="76"/>
        <v>0.4</v>
      </c>
      <c r="AD250" s="21">
        <f t="shared" si="76"/>
        <v>0.4</v>
      </c>
      <c r="AE250" s="21">
        <f t="shared" si="76"/>
        <v>0.4</v>
      </c>
      <c r="AF250" s="21">
        <f t="shared" si="76"/>
        <v>0.4</v>
      </c>
      <c r="AG250" s="20">
        <v>1</v>
      </c>
      <c r="AH250" s="12"/>
      <c r="AI250" s="11"/>
      <c r="AK250" s="19"/>
    </row>
    <row r="251" spans="1:37" ht="15.75" thickBot="1" x14ac:dyDescent="0.3">
      <c r="A251" s="18" t="s">
        <v>11</v>
      </c>
      <c r="B251" s="17">
        <f t="shared" si="75"/>
        <v>0.64</v>
      </c>
      <c r="C251" s="17">
        <v>0.64</v>
      </c>
      <c r="D251" s="17">
        <f t="shared" si="76"/>
        <v>0.64</v>
      </c>
      <c r="E251" s="17">
        <f t="shared" si="76"/>
        <v>0.64</v>
      </c>
      <c r="F251" s="17">
        <f t="shared" si="76"/>
        <v>0.64</v>
      </c>
      <c r="G251" s="17">
        <f t="shared" si="76"/>
        <v>0.64</v>
      </c>
      <c r="H251" s="17">
        <f t="shared" si="76"/>
        <v>0.64</v>
      </c>
      <c r="I251" s="17">
        <f t="shared" si="76"/>
        <v>0.64</v>
      </c>
      <c r="J251" s="17">
        <f t="shared" si="76"/>
        <v>0.64</v>
      </c>
      <c r="K251" s="17">
        <f t="shared" si="76"/>
        <v>0.64</v>
      </c>
      <c r="L251" s="17">
        <f t="shared" si="76"/>
        <v>0.64</v>
      </c>
      <c r="M251" s="17">
        <f t="shared" si="76"/>
        <v>0.64</v>
      </c>
      <c r="N251" s="17">
        <f t="shared" si="76"/>
        <v>0.64</v>
      </c>
      <c r="O251" s="17">
        <f t="shared" si="76"/>
        <v>0.64</v>
      </c>
      <c r="P251" s="17">
        <f t="shared" si="76"/>
        <v>0.64</v>
      </c>
      <c r="Q251" s="17">
        <f t="shared" si="76"/>
        <v>0.64</v>
      </c>
      <c r="R251" s="17">
        <f t="shared" si="76"/>
        <v>0.64</v>
      </c>
      <c r="S251" s="17">
        <f t="shared" si="76"/>
        <v>0.64</v>
      </c>
      <c r="T251" s="17">
        <f t="shared" si="76"/>
        <v>0.64</v>
      </c>
      <c r="U251" s="17">
        <f t="shared" si="76"/>
        <v>0.64</v>
      </c>
      <c r="V251" s="17">
        <f t="shared" si="76"/>
        <v>0.64</v>
      </c>
      <c r="W251" s="17">
        <f t="shared" si="76"/>
        <v>0.64</v>
      </c>
      <c r="X251" s="17">
        <f t="shared" si="76"/>
        <v>0.64</v>
      </c>
      <c r="Y251" s="17">
        <f t="shared" si="76"/>
        <v>0.64</v>
      </c>
      <c r="Z251" s="17">
        <f t="shared" si="76"/>
        <v>0.64</v>
      </c>
      <c r="AA251" s="17">
        <f t="shared" si="76"/>
        <v>0.64</v>
      </c>
      <c r="AB251" s="17">
        <f t="shared" si="76"/>
        <v>0.64</v>
      </c>
      <c r="AC251" s="17">
        <f t="shared" si="76"/>
        <v>0.64</v>
      </c>
      <c r="AD251" s="17">
        <f t="shared" si="76"/>
        <v>0.64</v>
      </c>
      <c r="AE251" s="17">
        <f t="shared" si="76"/>
        <v>0.64</v>
      </c>
      <c r="AF251" s="17">
        <f t="shared" si="76"/>
        <v>0.64</v>
      </c>
      <c r="AG251" s="16">
        <v>0.66</v>
      </c>
      <c r="AH251" s="12"/>
      <c r="AI251" s="11"/>
    </row>
    <row r="252" spans="1:37" ht="15.75" thickBot="1" x14ac:dyDescent="0.3">
      <c r="A252" s="15" t="s">
        <v>10</v>
      </c>
      <c r="B252" s="14">
        <f t="shared" ref="B252:AG252" si="77">SUM(B246:B251)</f>
        <v>3.54</v>
      </c>
      <c r="C252" s="14">
        <f t="shared" si="77"/>
        <v>3.54</v>
      </c>
      <c r="D252" s="14">
        <f t="shared" si="77"/>
        <v>3.54</v>
      </c>
      <c r="E252" s="14">
        <f t="shared" si="77"/>
        <v>3.54</v>
      </c>
      <c r="F252" s="14">
        <f t="shared" si="77"/>
        <v>3.54</v>
      </c>
      <c r="G252" s="14">
        <f t="shared" si="77"/>
        <v>3.54</v>
      </c>
      <c r="H252" s="14">
        <f t="shared" si="77"/>
        <v>3.54</v>
      </c>
      <c r="I252" s="14">
        <f t="shared" si="77"/>
        <v>3.54</v>
      </c>
      <c r="J252" s="14">
        <f t="shared" si="77"/>
        <v>3.54</v>
      </c>
      <c r="K252" s="14">
        <f t="shared" si="77"/>
        <v>3.54</v>
      </c>
      <c r="L252" s="14">
        <f t="shared" si="77"/>
        <v>3.54</v>
      </c>
      <c r="M252" s="14">
        <f t="shared" si="77"/>
        <v>3.54</v>
      </c>
      <c r="N252" s="14">
        <f t="shared" si="77"/>
        <v>3.54</v>
      </c>
      <c r="O252" s="14">
        <f t="shared" si="77"/>
        <v>3.54</v>
      </c>
      <c r="P252" s="14">
        <f t="shared" si="77"/>
        <v>3.54</v>
      </c>
      <c r="Q252" s="14">
        <f t="shared" si="77"/>
        <v>3.54</v>
      </c>
      <c r="R252" s="14">
        <f t="shared" si="77"/>
        <v>3.54</v>
      </c>
      <c r="S252" s="14">
        <f t="shared" si="77"/>
        <v>3.54</v>
      </c>
      <c r="T252" s="14">
        <f t="shared" si="77"/>
        <v>3.54</v>
      </c>
      <c r="U252" s="14">
        <f t="shared" si="77"/>
        <v>3.54</v>
      </c>
      <c r="V252" s="14">
        <f t="shared" si="77"/>
        <v>3.54</v>
      </c>
      <c r="W252" s="14">
        <f t="shared" si="77"/>
        <v>3.54</v>
      </c>
      <c r="X252" s="14">
        <f t="shared" si="77"/>
        <v>3.54</v>
      </c>
      <c r="Y252" s="14">
        <f t="shared" si="77"/>
        <v>3.54</v>
      </c>
      <c r="Z252" s="14">
        <f t="shared" si="77"/>
        <v>3.54</v>
      </c>
      <c r="AA252" s="14">
        <f t="shared" si="77"/>
        <v>3.54</v>
      </c>
      <c r="AB252" s="14">
        <f t="shared" si="77"/>
        <v>3.54</v>
      </c>
      <c r="AC252" s="14">
        <f t="shared" si="77"/>
        <v>3.54</v>
      </c>
      <c r="AD252" s="14">
        <f t="shared" si="77"/>
        <v>3.54</v>
      </c>
      <c r="AE252" s="14">
        <f t="shared" si="77"/>
        <v>3.54</v>
      </c>
      <c r="AF252" s="14">
        <f t="shared" si="77"/>
        <v>3.54</v>
      </c>
      <c r="AG252" s="13">
        <f t="shared" si="77"/>
        <v>8.56</v>
      </c>
      <c r="AH252" s="12"/>
      <c r="AI252" s="11"/>
    </row>
    <row r="253" spans="1:37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25">
      <c r="A256" s="9" t="s">
        <v>9</v>
      </c>
      <c r="B256" s="8">
        <f>MAX(G99:N99)</f>
        <v>1615.94</v>
      </c>
      <c r="C256" s="7">
        <f>INDEX(G9:N9,1,MATCH(MAX(G99:N99),G99:N99,0))</f>
        <v>0.375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25">
      <c r="A258" s="222" t="s">
        <v>8</v>
      </c>
      <c r="B258" s="222"/>
      <c r="C258" s="2"/>
      <c r="D258" s="6" t="str">
        <f ca="1">"Pie Chart of Daily Peak Demand(Inclusive of Export) of Nepal ("&amp;A4&amp;" "&amp;B4&amp;")"</f>
        <v>Pie Chart of Daily Peak Demand(Inclusive of Export) of Nepal (Nepali Date: 2080/10/31)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25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25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25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25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25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25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25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25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25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25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25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25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25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25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130">
    <cfRule type="expression" dxfId="264" priority="89">
      <formula>$AH11=0</formula>
    </cfRule>
  </conditionalFormatting>
  <conditionalFormatting sqref="A132:A253">
    <cfRule type="expression" dxfId="263" priority="90">
      <formula>$AH132=0</formula>
    </cfRule>
  </conditionalFormatting>
  <conditionalFormatting sqref="B8">
    <cfRule type="expression" dxfId="262" priority="144">
      <formula>AND(C$9&gt;=14/24,C$9&lt;20/24)</formula>
    </cfRule>
    <cfRule type="expression" dxfId="261" priority="145">
      <formula>AND(C$9&gt;=8/24,C$9&lt;14/24)</formula>
    </cfRule>
    <cfRule type="expression" dxfId="260" priority="146">
      <formula>C$9&lt;8/24</formula>
    </cfRule>
    <cfRule type="expression" dxfId="259" priority="147">
      <formula>C$9&gt;=20/24</formula>
    </cfRule>
  </conditionalFormatting>
  <conditionalFormatting sqref="B11:M52 N12:AF52 B59:D68 B69:AF74 B77:AF99 B9:AF10 B101:AF117 B119:AF137 B244:AF244 B246:B252">
    <cfRule type="expression" dxfId="258" priority="41">
      <formula>B$9&gt;=20/24</formula>
    </cfRule>
  </conditionalFormatting>
  <conditionalFormatting sqref="B11:M80 N12:AF80 AG62 AG80">
    <cfRule type="expression" dxfId="257" priority="40">
      <formula>B11&gt;$AG11</formula>
    </cfRule>
  </conditionalFormatting>
  <conditionalFormatting sqref="B9:AF10 B11:M52 N12:AF52 B59:D68 B69:AF74 B77:AF99 B101:AF117 B119:AF137 B244:AF244 B246:B252">
    <cfRule type="expression" dxfId="256" priority="44">
      <formula>B$9&lt;8/24</formula>
    </cfRule>
    <cfRule type="expression" dxfId="255" priority="42">
      <formula>AND(B$9&gt;=14/24,B$9&lt;20/24)</formula>
    </cfRule>
    <cfRule type="expression" dxfId="254" priority="43">
      <formula>AND(B$9&gt;=8/24,B$9&lt;14/24)</formula>
    </cfRule>
  </conditionalFormatting>
  <conditionalFormatting sqref="B53:AF57">
    <cfRule type="expression" dxfId="253" priority="53">
      <formula>B$9&lt;8/24</formula>
    </cfRule>
  </conditionalFormatting>
  <conditionalFormatting sqref="D246:AF252">
    <cfRule type="expression" dxfId="252" priority="132">
      <formula>D$9&lt;8/24</formula>
    </cfRule>
    <cfRule type="expression" dxfId="251" priority="130">
      <formula>AND(D$9&gt;=14/24,D$9&lt;20/24)</formula>
    </cfRule>
    <cfRule type="expression" dxfId="250" priority="129">
      <formula>D$9&gt;=20/24</formula>
    </cfRule>
    <cfRule type="expression" dxfId="249" priority="131">
      <formula>AND(D$9&gt;=8/24,D$9&lt;14/24)</formula>
    </cfRule>
  </conditionalFormatting>
  <conditionalFormatting sqref="E63:I67 J64:J67 K67">
    <cfRule type="expression" dxfId="248" priority="57">
      <formula>E$9&lt;8/24</formula>
    </cfRule>
    <cfRule type="expression" dxfId="247" priority="55">
      <formula>AND(E$9&gt;=14/24,E$9&lt;20/24)</formula>
    </cfRule>
    <cfRule type="expression" dxfId="246" priority="54">
      <formula>E$9&gt;=20/24</formula>
    </cfRule>
    <cfRule type="expression" dxfId="245" priority="56">
      <formula>AND(E$9&gt;=8/24,E$9&lt;14/24)</formula>
    </cfRule>
  </conditionalFormatting>
  <conditionalFormatting sqref="E68:K68">
    <cfRule type="expression" dxfId="244" priority="50">
      <formula>AND(E$9&gt;=14/24,E$9&lt;20/24)</formula>
    </cfRule>
    <cfRule type="expression" dxfId="243" priority="52">
      <formula>E$9&lt;8/24</formula>
    </cfRule>
    <cfRule type="expression" dxfId="242" priority="51">
      <formula>AND(E$9&gt;=8/24,E$9&lt;14/24)</formula>
    </cfRule>
    <cfRule type="expression" dxfId="241" priority="49">
      <formula>E$9&gt;=20/24</formula>
    </cfRule>
  </conditionalFormatting>
  <conditionalFormatting sqref="E11:AF11">
    <cfRule type="expression" dxfId="240" priority="62">
      <formula>E$9&lt;8/24</formula>
    </cfRule>
    <cfRule type="expression" dxfId="239" priority="61">
      <formula>AND(E$9&gt;=8/24,E$9&lt;14/24)</formula>
    </cfRule>
    <cfRule type="expression" dxfId="238" priority="60">
      <formula>AND(E$9&gt;=14/24,E$9&lt;20/24)</formula>
    </cfRule>
    <cfRule type="expression" dxfId="237" priority="59">
      <formula>E$9&gt;=20/24</formula>
    </cfRule>
    <cfRule type="expression" dxfId="236" priority="58">
      <formula>E11&gt;$AG11</formula>
    </cfRule>
  </conditionalFormatting>
  <conditionalFormatting sqref="E53:AF54 B53:D55 B56:AF56 B57:D57">
    <cfRule type="expression" dxfId="235" priority="37">
      <formula>B$9&gt;=20/24</formula>
    </cfRule>
    <cfRule type="expression" dxfId="234" priority="39">
      <formula>AND(B$9&gt;=8/24,B$9&lt;14/24)</formula>
    </cfRule>
    <cfRule type="expression" dxfId="233" priority="38">
      <formula>AND(B$9&gt;=14/24,B$9&lt;20/24)</formula>
    </cfRule>
  </conditionalFormatting>
  <conditionalFormatting sqref="E55:AF55 E57:AF57">
    <cfRule type="expression" dxfId="232" priority="46">
      <formula>E$9&gt;=20/24</formula>
    </cfRule>
    <cfRule type="expression" dxfId="231" priority="47">
      <formula>AND(E$9&gt;=14/24,E$9&lt;20/24)</formula>
    </cfRule>
    <cfRule type="expression" dxfId="230" priority="48">
      <formula>AND(E$9&gt;=8/24,E$9&lt;14/24)</formula>
    </cfRule>
  </conditionalFormatting>
  <conditionalFormatting sqref="E59:AF62">
    <cfRule type="expression" dxfId="229" priority="70">
      <formula>E$9&lt;8/24</formula>
    </cfRule>
    <cfRule type="expression" dxfId="228" priority="68">
      <formula>AND(E$9&gt;=14/24,E$9&lt;20/24)</formula>
    </cfRule>
    <cfRule type="expression" dxfId="227" priority="67">
      <formula>E$9&gt;=20/24</formula>
    </cfRule>
    <cfRule type="expression" dxfId="226" priority="69">
      <formula>AND(E$9&gt;=8/24,E$9&lt;14/24)</formula>
    </cfRule>
  </conditionalFormatting>
  <conditionalFormatting sqref="F63:M65">
    <cfRule type="expression" dxfId="225" priority="84">
      <formula>F$9&lt;8/24</formula>
    </cfRule>
    <cfRule type="expression" dxfId="224" priority="83">
      <formula>AND(F$9&gt;=8/24,F$9&lt;14/24)</formula>
    </cfRule>
    <cfRule type="expression" dxfId="223" priority="82">
      <formula>AND(F$9&gt;=14/24,F$9&lt;20/24)</formula>
    </cfRule>
    <cfRule type="expression" dxfId="222" priority="81">
      <formula>F$9&gt;=20/24</formula>
    </cfRule>
  </conditionalFormatting>
  <conditionalFormatting sqref="L68:W68">
    <cfRule type="expression" dxfId="221" priority="79">
      <formula>AND(L$9&gt;=8/24,L$9&lt;14/24)</formula>
    </cfRule>
    <cfRule type="expression" dxfId="220" priority="80">
      <formula>L$9&lt;8/24</formula>
    </cfRule>
    <cfRule type="expression" dxfId="219" priority="77">
      <formula>L$9&gt;=20/24</formula>
    </cfRule>
    <cfRule type="expression" dxfId="218" priority="78">
      <formula>AND(L$9&gt;=14/24,L$9&lt;20/24)</formula>
    </cfRule>
  </conditionalFormatting>
  <conditionalFormatting sqref="M8 S8 AB8">
    <cfRule type="expression" dxfId="217" priority="138">
      <formula>N$9&lt;8/24</formula>
    </cfRule>
    <cfRule type="expression" dxfId="216" priority="137">
      <formula>AND(N$9&gt;=8/24,N$9&lt;14/24)</formula>
    </cfRule>
    <cfRule type="expression" dxfId="215" priority="136">
      <formula>AND(N$9&gt;=14/24,N$9&lt;20/24)</formula>
    </cfRule>
  </conditionalFormatting>
  <conditionalFormatting sqref="N63:W67 X66">
    <cfRule type="expression" dxfId="214" priority="85">
      <formula>N$9&gt;=20/24</formula>
    </cfRule>
    <cfRule type="expression" dxfId="213" priority="86">
      <formula>AND(N$9&gt;=14/24,N$9&lt;20/24)</formula>
    </cfRule>
    <cfRule type="expression" dxfId="212" priority="87">
      <formula>AND(N$9&gt;=8/24,N$9&lt;14/24)</formula>
    </cfRule>
    <cfRule type="expression" dxfId="211" priority="88">
      <formula>N$9&lt;8/24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210" priority="135">
      <formula>N$9&gt;=20/24</formula>
    </cfRule>
  </conditionalFormatting>
  <conditionalFormatting sqref="S8">
    <cfRule type="expression" dxfId="209" priority="125">
      <formula>U$9&lt;8/24</formula>
    </cfRule>
    <cfRule type="expression" dxfId="208" priority="124">
      <formula>AND(U$9&gt;=8/24,U$9&lt;14/24)</formula>
    </cfRule>
    <cfRule type="expression" dxfId="207" priority="123">
      <formula>AND(U$9&gt;=14/24,U$9&lt;20/24)</formula>
    </cfRule>
    <cfRule type="expression" dxfId="206" priority="122">
      <formula>U$9&gt;=20/24</formula>
    </cfRule>
  </conditionalFormatting>
  <conditionalFormatting sqref="T63:AF68">
    <cfRule type="expression" dxfId="205" priority="74">
      <formula>T$9&lt;8/24</formula>
    </cfRule>
    <cfRule type="expression" dxfId="204" priority="73">
      <formula>AND(T$9&gt;=8/24,T$9&lt;14/24)</formula>
    </cfRule>
    <cfRule type="expression" dxfId="203" priority="72">
      <formula>AND(T$9&gt;=14/24,T$9&lt;20/24)</formula>
    </cfRule>
    <cfRule type="expression" dxfId="202" priority="71">
      <formula>T$9&gt;=20/24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201" priority="119">
      <formula>AND(AD$9&gt;=14/24,AD$9&lt;20/24)</formula>
    </cfRule>
    <cfRule type="expression" dxfId="200" priority="118">
      <formula>AD$9&gt;=20/24</formula>
    </cfRule>
    <cfRule type="expression" dxfId="199" priority="121">
      <formula>AD$9&lt;8/24</formula>
    </cfRule>
    <cfRule type="expression" dxfId="198" priority="120">
      <formula>AND(AD$9&gt;=8/24,AD$9&lt;14/24)</formula>
    </cfRule>
  </conditionalFormatting>
  <conditionalFormatting sqref="AG58">
    <cfRule type="expression" dxfId="197" priority="113">
      <formula>AG58&gt;$AG58</formula>
    </cfRule>
  </conditionalFormatting>
  <conditionalFormatting sqref="AG62">
    <cfRule type="expression" dxfId="196" priority="96">
      <formula>AG$9&gt;=20/24</formula>
    </cfRule>
    <cfRule type="expression" dxfId="195" priority="97">
      <formula>AND(AG$9&gt;=14/24,AG$9&lt;20/24)</formula>
    </cfRule>
    <cfRule type="expression" dxfId="194" priority="98">
      <formula>AND(AG$9&gt;=8/24,AG$9&lt;14/24)</formula>
    </cfRule>
    <cfRule type="expression" dxfId="193" priority="99">
      <formula>AG$9&lt;8/24</formula>
    </cfRule>
  </conditionalFormatting>
  <conditionalFormatting sqref="AG75:AG76">
    <cfRule type="expression" dxfId="192" priority="91">
      <formula>AG75&gt;$AG75</formula>
    </cfRule>
  </conditionalFormatting>
  <conditionalFormatting sqref="AG80">
    <cfRule type="expression" dxfId="191" priority="95">
      <formula>AG$9&lt;8/24</formula>
    </cfRule>
    <cfRule type="expression" dxfId="190" priority="92">
      <formula>AG$9&gt;=20/24</formula>
    </cfRule>
    <cfRule type="expression" dxfId="189" priority="93">
      <formula>AND(AG$9&gt;=14/24,AG$9&lt;20/24)</formula>
    </cfRule>
    <cfRule type="expression" dxfId="188" priority="94">
      <formula>AND(AG$9&gt;=8/24,AG$9&lt;14/24)</formula>
    </cfRule>
  </conditionalFormatting>
  <conditionalFormatting sqref="AG97">
    <cfRule type="expression" dxfId="187" priority="117">
      <formula>AG$9&lt;8/24</formula>
    </cfRule>
    <cfRule type="expression" dxfId="186" priority="116">
      <formula>AND(AG$9&gt;=8/24,AG$9&lt;14/24)</formula>
    </cfRule>
    <cfRule type="expression" dxfId="185" priority="115">
      <formula>AND(AG$9&gt;=14/24,AG$9&lt;20/24)</formula>
    </cfRule>
    <cfRule type="expression" dxfId="184" priority="114">
      <formula>AG$9&gt;=20/24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183" priority="142">
      <formula>AJ$9&lt;8/24</formula>
    </cfRule>
    <cfRule type="expression" dxfId="182" priority="140">
      <formula>AND(AJ$9&gt;=14/24,AJ$9&lt;20/24)</formula>
    </cfRule>
    <cfRule type="expression" dxfId="181" priority="139">
      <formula>AJ$9&gt;=20/24</formula>
    </cfRule>
    <cfRule type="expression" dxfId="180" priority="141">
      <formula>AND(AJ$9&gt;=8/24,AJ$9&lt;14/24)</formula>
    </cfRule>
  </conditionalFormatting>
  <conditionalFormatting sqref="AL88:AN88 AL94:AN94">
    <cfRule type="expression" dxfId="179" priority="108">
      <formula>AND(AL$9&gt;=8/24,AL$9&lt;14/24)</formula>
    </cfRule>
    <cfRule type="expression" dxfId="178" priority="106">
      <formula>AL$9&gt;=20/24</formula>
    </cfRule>
    <cfRule type="expression" dxfId="177" priority="107">
      <formula>AND(AL$9&gt;=14/24,AL$9&lt;20/24)</formula>
    </cfRule>
    <cfRule type="expression" dxfId="176" priority="109">
      <formula>AL$9&lt;8/24</formula>
    </cfRule>
  </conditionalFormatting>
  <conditionalFormatting sqref="AM15:AM21 AN16:AR21">
    <cfRule type="expression" dxfId="175" priority="15">
      <formula>AND(AX$9&gt;=8/24,AX$9&lt;14/24)</formula>
    </cfRule>
    <cfRule type="expression" dxfId="174" priority="16">
      <formula>AX$9&lt;8/24</formula>
    </cfRule>
    <cfRule type="expression" dxfId="173" priority="14">
      <formula>AND(AX$9&gt;=14/24,AX$9&lt;20/24)</formula>
    </cfRule>
    <cfRule type="expression" dxfId="172" priority="13">
      <formula>AX$9&gt;=20/24</formula>
    </cfRule>
  </conditionalFormatting>
  <conditionalFormatting sqref="AN89:AN92">
    <cfRule type="expression" dxfId="171" priority="102">
      <formula>AN$9&gt;=20/24</formula>
    </cfRule>
    <cfRule type="expression" dxfId="170" priority="103">
      <formula>AND(AN$9&gt;=14/24,AN$9&lt;20/24)</formula>
    </cfRule>
    <cfRule type="expression" dxfId="169" priority="104">
      <formula>AND(AN$9&gt;=8/24,AN$9&lt;14/24)</formula>
    </cfRule>
    <cfRule type="expression" dxfId="168" priority="105">
      <formula>AN$9&lt;8/24</formula>
    </cfRule>
  </conditionalFormatting>
  <conditionalFormatting sqref="AN15:AR15">
    <cfRule type="expression" dxfId="167" priority="2">
      <formula>AND(U$9&gt;=14/24,U$9&lt;20/24)</formula>
    </cfRule>
    <cfRule type="expression" dxfId="166" priority="3">
      <formula>AND(U$9&gt;=8/24,U$9&lt;14/24)</formula>
    </cfRule>
    <cfRule type="expression" dxfId="165" priority="4">
      <formula>U$9&lt;8/24</formula>
    </cfRule>
    <cfRule type="expression" dxfId="164" priority="1">
      <formula>U$9&gt;=20/24</formula>
    </cfRule>
  </conditionalFormatting>
  <conditionalFormatting sqref="AS15">
    <cfRule type="expression" dxfId="163" priority="12">
      <formula>AA$9&lt;8/24</formula>
    </cfRule>
    <cfRule type="expression" dxfId="162" priority="9">
      <formula>AA$9&gt;=20/24</formula>
    </cfRule>
    <cfRule type="expression" dxfId="161" priority="10">
      <formula>AND(AA$9&gt;=14/24,AA$9&lt;20/24)</formula>
    </cfRule>
    <cfRule type="expression" dxfId="160" priority="11">
      <formula>AND(AA$9&gt;=8/24,AA$9&lt;14/24)</formula>
    </cfRule>
  </conditionalFormatting>
  <conditionalFormatting sqref="AS16:AS21">
    <cfRule type="expression" dxfId="159" priority="18">
      <formula>AND(BE$9&gt;=14/24,BE$9&lt;20/24)</formula>
    </cfRule>
    <cfRule type="expression" dxfId="158" priority="17">
      <formula>BE$9&gt;=20/24</formula>
    </cfRule>
    <cfRule type="expression" dxfId="157" priority="20">
      <formula>BE$9&lt;8/24</formula>
    </cfRule>
    <cfRule type="expression" dxfId="156" priority="19">
      <formula>AND(BE$9&gt;=8/24,BE$9&lt;14/24)</formula>
    </cfRule>
  </conditionalFormatting>
  <conditionalFormatting sqref="AT15 AX15:BJ15">
    <cfRule type="expression" dxfId="155" priority="22">
      <formula>AND(AC$9&gt;=14/24,AC$9&lt;20/24)</formula>
    </cfRule>
    <cfRule type="expression" dxfId="154" priority="23">
      <formula>AND(AC$9&gt;=8/24,AC$9&lt;14/24)</formula>
    </cfRule>
    <cfRule type="expression" dxfId="153" priority="24">
      <formula>AC$9&lt;8/24</formula>
    </cfRule>
    <cfRule type="expression" dxfId="152" priority="21">
      <formula>AC$9&gt;=20/24</formula>
    </cfRule>
  </conditionalFormatting>
  <conditionalFormatting sqref="AT16:AT21">
    <cfRule type="expression" dxfId="151" priority="25">
      <formula>BG$9&gt;=20/24</formula>
    </cfRule>
    <cfRule type="expression" dxfId="150" priority="26">
      <formula>AND(BG$9&gt;=14/24,BG$9&lt;20/24)</formula>
    </cfRule>
    <cfRule type="expression" dxfId="149" priority="27">
      <formula>AND(BG$9&gt;=8/24,BG$9&lt;14/24)</formula>
    </cfRule>
    <cfRule type="expression" dxfId="148" priority="28">
      <formula>BG$9&lt;8/24</formula>
    </cfRule>
  </conditionalFormatting>
  <conditionalFormatting sqref="AU15:AV15">
    <cfRule type="expression" dxfId="147" priority="32">
      <formula>AE$9&lt;8/24</formula>
    </cfRule>
    <cfRule type="expression" dxfId="146" priority="31">
      <formula>AND(AE$9&gt;=8/24,AE$9&lt;14/24)</formula>
    </cfRule>
    <cfRule type="expression" dxfId="145" priority="30">
      <formula>AND(AE$9&gt;=14/24,AE$9&lt;20/24)</formula>
    </cfRule>
    <cfRule type="expression" dxfId="144" priority="29">
      <formula>AE$9&gt;=20/24</formula>
    </cfRule>
  </conditionalFormatting>
  <conditionalFormatting sqref="AU16:BJ21">
    <cfRule type="expression" dxfId="143" priority="33">
      <formula>BI$9&gt;=20/24</formula>
    </cfRule>
    <cfRule type="expression" dxfId="142" priority="34">
      <formula>AND(BI$9&gt;=14/24,BI$9&lt;20/24)</formula>
    </cfRule>
    <cfRule type="expression" dxfId="141" priority="35">
      <formula>AND(BI$9&gt;=8/24,BI$9&lt;14/24)</formula>
    </cfRule>
    <cfRule type="expression" dxfId="140" priority="36">
      <formula>BI$9&lt;8/24</formula>
    </cfRule>
  </conditionalFormatting>
  <conditionalFormatting sqref="AW15">
    <cfRule type="expression" dxfId="139" priority="5">
      <formula>B$9&gt;=20/24</formula>
    </cfRule>
    <cfRule type="expression" dxfId="138" priority="6">
      <formula>AND(B$9&gt;=14/24,B$9&lt;20/24)</formula>
    </cfRule>
    <cfRule type="expression" dxfId="137" priority="8">
      <formula>B$9&lt;8/24</formula>
    </cfRule>
    <cfRule type="expression" dxfId="136" priority="7">
      <formula>AND(B$9&gt;=8/24,B$9&lt;14/24)</formula>
    </cfRule>
  </conditionalFormatting>
  <pageMargins left="0.7" right="0.7" top="0.75" bottom="0.75" header="0.3" footer="0.3"/>
  <drawing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5FF2E-F264-4051-A2A2-2B0CA0F0390F}">
  <sheetPr codeName="Sheet6"/>
  <dimension ref="A1:CJ294"/>
  <sheetViews>
    <sheetView zoomScale="106" workbookViewId="0">
      <pane xSplit="1" ySplit="10" topLeftCell="N11" activePane="bottomRight" state="frozen"/>
      <selection activeCell="AD134" sqref="AD134"/>
      <selection pane="topRight" activeCell="AD134" sqref="AD134"/>
      <selection pane="bottomLeft" activeCell="AD134" sqref="AD134"/>
      <selection pane="bottomRight" activeCell="AF22" sqref="AF22"/>
    </sheetView>
  </sheetViews>
  <sheetFormatPr defaultColWidth="9.140625"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9.42578125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11.140625" style="1" customWidth="1"/>
    <col min="38" max="38" width="15.140625" style="1" customWidth="1"/>
    <col min="39" max="50" width="7.42578125" style="1" bestFit="1" customWidth="1"/>
    <col min="51" max="57" width="9.140625" style="1"/>
    <col min="58" max="58" width="11.140625" style="1" customWidth="1"/>
    <col min="59" max="16384" width="9.140625" style="1"/>
  </cols>
  <sheetData>
    <row r="1" spans="1:88" ht="36" hidden="1" customHeight="1" x14ac:dyDescent="0.25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9" t="s">
        <v>265</v>
      </c>
      <c r="AH1" s="199"/>
      <c r="AI1" s="199"/>
      <c r="AL1" s="177"/>
    </row>
    <row r="2" spans="1:88" ht="20.25" hidden="1" x14ac:dyDescent="0.25">
      <c r="A2" s="176"/>
      <c r="B2" s="200" t="s">
        <v>280</v>
      </c>
      <c r="C2" s="175"/>
      <c r="D2" s="202" t="s">
        <v>279</v>
      </c>
      <c r="E2" s="175"/>
      <c r="F2" s="202" t="s">
        <v>278</v>
      </c>
      <c r="G2" s="175"/>
      <c r="H2" s="202" t="s">
        <v>277</v>
      </c>
      <c r="I2" s="174"/>
      <c r="J2" s="204" t="s">
        <v>281</v>
      </c>
      <c r="K2" s="173" t="s">
        <v>280</v>
      </c>
      <c r="L2" s="173" t="s">
        <v>279</v>
      </c>
      <c r="M2" s="173" t="s">
        <v>278</v>
      </c>
      <c r="N2" s="172" t="s">
        <v>277</v>
      </c>
      <c r="O2" s="156"/>
      <c r="P2" s="156"/>
      <c r="Q2" s="171"/>
      <c r="R2" s="171"/>
      <c r="S2" s="171"/>
      <c r="T2" s="171"/>
      <c r="U2" s="171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70">
        <f>AG58</f>
        <v>1042.4000000000001</v>
      </c>
      <c r="AH2" s="160" t="s">
        <v>7</v>
      </c>
      <c r="AI2" s="152"/>
      <c r="AM2" s="169"/>
      <c r="AN2" s="168"/>
      <c r="AO2" s="168"/>
    </row>
    <row r="3" spans="1:88" ht="19.5" hidden="1" thickBot="1" x14ac:dyDescent="0.3">
      <c r="A3" s="127"/>
      <c r="B3" s="201"/>
      <c r="C3" s="167"/>
      <c r="D3" s="203"/>
      <c r="E3" s="167"/>
      <c r="F3" s="203"/>
      <c r="G3" s="167"/>
      <c r="H3" s="203"/>
      <c r="I3" s="166"/>
      <c r="J3" s="204"/>
      <c r="K3" s="165"/>
      <c r="L3" s="165"/>
      <c r="M3" s="165"/>
      <c r="N3" s="165"/>
      <c r="O3" s="163"/>
      <c r="P3" s="163"/>
      <c r="Q3" s="156"/>
      <c r="R3" s="156"/>
      <c r="S3" s="156"/>
      <c r="T3" s="156"/>
      <c r="U3" s="156"/>
      <c r="V3" s="164" t="s">
        <v>276</v>
      </c>
      <c r="W3" s="164"/>
      <c r="X3" s="164" t="s">
        <v>275</v>
      </c>
      <c r="Y3" s="164"/>
      <c r="Z3" s="164"/>
      <c r="AA3" s="164"/>
      <c r="AB3" s="163"/>
      <c r="AC3" s="126"/>
      <c r="AD3" s="126"/>
      <c r="AE3" s="126"/>
      <c r="AF3" s="126"/>
      <c r="AG3" s="154">
        <f>AG76</f>
        <v>489.91</v>
      </c>
      <c r="AH3" s="160" t="s">
        <v>274</v>
      </c>
      <c r="AI3" s="152"/>
      <c r="AL3" s="147"/>
      <c r="AM3" s="125"/>
      <c r="AN3" s="125"/>
      <c r="AO3" s="125"/>
      <c r="AP3" s="125"/>
      <c r="AQ3" s="125"/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5"/>
      <c r="BF3" s="125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  <c r="BT3" s="125"/>
      <c r="BU3" s="125"/>
      <c r="BV3" s="125"/>
      <c r="BW3" s="125"/>
      <c r="BX3" s="125"/>
      <c r="BY3" s="125"/>
      <c r="BZ3" s="125"/>
      <c r="CA3" s="125"/>
      <c r="CB3" s="125"/>
      <c r="CC3" s="125"/>
      <c r="CD3" s="125"/>
      <c r="CE3" s="125"/>
      <c r="CF3" s="125"/>
      <c r="CG3" s="125"/>
      <c r="CH3" s="125"/>
      <c r="CI3" s="125"/>
      <c r="CJ3" s="125"/>
    </row>
    <row r="4" spans="1:88" ht="18" hidden="1" customHeight="1" thickBot="1" x14ac:dyDescent="0.3">
      <c r="A4" s="162" t="s">
        <v>273</v>
      </c>
      <c r="B4" s="205" t="e">
        <f ca="1">"2080/"&amp;"10/"&amp;INT(MID(CELL("filename",D6),FIND("]",CELL("filename",D6))+1,200))</f>
        <v>#VALUE!</v>
      </c>
      <c r="C4" s="205"/>
      <c r="D4" s="205"/>
      <c r="E4" s="206" t="e">
        <f ca="1">"2080/"&amp;"10/"&amp;INT(MID(CELL("filename",G6),FIND("]",CELL("filename",G6))+1,200))</f>
        <v>#VALUE!</v>
      </c>
      <c r="F4" s="206"/>
      <c r="G4" s="206"/>
      <c r="H4" s="206" t="e">
        <f ca="1">TEXT(E4,"dddd")</f>
        <v>#VALUE!</v>
      </c>
      <c r="I4" s="206"/>
      <c r="J4" s="27"/>
      <c r="K4" s="1" t="str">
        <f>"Total Peak Supply(Inclusive of Export) ("&amp;ROUND(B264,0)&amp;" MW)"&amp;"    IPP   = "&amp;ROUND(B259,0)&amp;" MW     NEA RoR = "&amp;ROUND(B260,0)&amp;" MWImport   = "&amp;ROUND(B262,0)&amp;" MW      KL1+KL2+K3 = "&amp;ROUND(B261,0) &amp;" MW    EXPORT = "&amp;ROUND(B263,0)</f>
        <v>Total Peak Supply(Inclusive of Export) (0 MW)    IPP   = 0 MW     NEA RoR = 0 MWImport   = 0 MW      KL1+KL2+K3 = 0 MW    EXPORT = 0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5"/>
      <c r="AE4" s="155"/>
      <c r="AF4" s="155"/>
      <c r="AG4" s="154">
        <f>AG80</f>
        <v>106</v>
      </c>
      <c r="AH4" s="160" t="s">
        <v>272</v>
      </c>
      <c r="AI4" s="152"/>
      <c r="AL4" s="128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  <c r="CA4" s="125"/>
      <c r="CB4" s="125"/>
      <c r="CC4" s="125"/>
      <c r="CD4" s="125"/>
      <c r="CE4" s="125"/>
      <c r="CF4" s="125"/>
      <c r="CG4" s="125"/>
      <c r="CH4" s="125"/>
      <c r="CI4" s="125"/>
      <c r="CJ4" s="125"/>
    </row>
    <row r="5" spans="1:88" ht="15.75" hidden="1" customHeight="1" thickBot="1" x14ac:dyDescent="0.3">
      <c r="A5" s="158"/>
      <c r="B5" s="161">
        <f t="shared" ref="B5:AE5" si="0">C92</f>
        <v>0</v>
      </c>
      <c r="C5" s="161">
        <f t="shared" si="0"/>
        <v>0</v>
      </c>
      <c r="D5" s="161">
        <f t="shared" si="0"/>
        <v>0</v>
      </c>
      <c r="E5" s="161">
        <f t="shared" si="0"/>
        <v>0</v>
      </c>
      <c r="F5" s="161">
        <f t="shared" si="0"/>
        <v>0</v>
      </c>
      <c r="G5" s="161">
        <f t="shared" si="0"/>
        <v>0</v>
      </c>
      <c r="H5" s="161">
        <f t="shared" si="0"/>
        <v>0</v>
      </c>
      <c r="I5" s="161">
        <f t="shared" si="0"/>
        <v>0</v>
      </c>
      <c r="J5" s="161">
        <f t="shared" si="0"/>
        <v>0</v>
      </c>
      <c r="K5" s="161">
        <f t="shared" si="0"/>
        <v>0</v>
      </c>
      <c r="L5" s="161">
        <f t="shared" si="0"/>
        <v>0</v>
      </c>
      <c r="M5" s="161">
        <f t="shared" si="0"/>
        <v>0</v>
      </c>
      <c r="N5" s="161">
        <f t="shared" si="0"/>
        <v>0</v>
      </c>
      <c r="O5" s="161">
        <f t="shared" si="0"/>
        <v>0</v>
      </c>
      <c r="P5" s="161">
        <f t="shared" si="0"/>
        <v>0</v>
      </c>
      <c r="Q5" s="161">
        <f t="shared" si="0"/>
        <v>0</v>
      </c>
      <c r="R5" s="161">
        <f t="shared" si="0"/>
        <v>0</v>
      </c>
      <c r="S5" s="161">
        <f t="shared" si="0"/>
        <v>0</v>
      </c>
      <c r="T5" s="161">
        <f t="shared" si="0"/>
        <v>0</v>
      </c>
      <c r="U5" s="161">
        <f t="shared" si="0"/>
        <v>0</v>
      </c>
      <c r="V5" s="161">
        <f t="shared" si="0"/>
        <v>0</v>
      </c>
      <c r="W5" s="161">
        <f t="shared" si="0"/>
        <v>0</v>
      </c>
      <c r="X5" s="161">
        <f t="shared" si="0"/>
        <v>0</v>
      </c>
      <c r="Y5" s="161">
        <f t="shared" si="0"/>
        <v>0</v>
      </c>
      <c r="Z5" s="161">
        <f t="shared" si="0"/>
        <v>0</v>
      </c>
      <c r="AA5" s="161">
        <f t="shared" si="0"/>
        <v>0</v>
      </c>
      <c r="AB5" s="161">
        <f t="shared" si="0"/>
        <v>0</v>
      </c>
      <c r="AC5" s="161">
        <f t="shared" si="0"/>
        <v>0</v>
      </c>
      <c r="AD5" s="161">
        <f t="shared" si="0"/>
        <v>0</v>
      </c>
      <c r="AE5" s="161">
        <f t="shared" si="0"/>
        <v>0</v>
      </c>
      <c r="AF5" s="161">
        <f>B92</f>
        <v>0</v>
      </c>
      <c r="AG5" s="154"/>
      <c r="AH5" s="160"/>
      <c r="AI5" s="152"/>
      <c r="AL5" s="128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  <c r="BJ5" s="125"/>
      <c r="BK5" s="125"/>
      <c r="BL5" s="125"/>
      <c r="BM5" s="125"/>
      <c r="BN5" s="125"/>
      <c r="BO5" s="125"/>
      <c r="BP5" s="125"/>
      <c r="BQ5" s="125"/>
      <c r="BR5" s="125"/>
      <c r="BS5" s="125"/>
      <c r="BT5" s="125"/>
      <c r="BU5" s="125"/>
      <c r="BV5" s="125"/>
      <c r="BW5" s="125"/>
      <c r="BX5" s="125"/>
      <c r="BY5" s="125"/>
      <c r="BZ5" s="125"/>
      <c r="CA5" s="125"/>
      <c r="CB5" s="125"/>
      <c r="CC5" s="125"/>
      <c r="CD5" s="125"/>
      <c r="CE5" s="125"/>
      <c r="CF5" s="125"/>
      <c r="CG5" s="125"/>
      <c r="CH5" s="125"/>
      <c r="CI5" s="125"/>
      <c r="CJ5" s="125"/>
    </row>
    <row r="6" spans="1:88" ht="24.75" hidden="1" customHeight="1" thickBot="1" x14ac:dyDescent="0.3">
      <c r="A6" s="158"/>
      <c r="B6" s="159"/>
      <c r="C6" s="158"/>
      <c r="D6" s="157"/>
      <c r="E6" s="157"/>
      <c r="F6" s="157"/>
      <c r="G6" s="157"/>
      <c r="H6" s="157"/>
      <c r="I6" s="157"/>
      <c r="J6" s="27"/>
      <c r="K6" s="1" t="str">
        <f>"Evening Peak "&amp;ROUND(B264,0)&amp;"MW at "&amp;TRUNC(B265*24,0)&amp;":"&amp;ROUND((B265*24-TRUNC(B265*24,0))*60,0)&amp;"hr at "&amp;ROUND(B266,1)&amp;"Hz     "&amp;A256&amp;" "&amp;ROUND(B256,0)&amp;"MW at "&amp;TRUNC(C256*24,0)&amp;":"&amp;ROUND((C256*24-TRUNC(C256*24,0))*6,0)&amp;"0hr"</f>
        <v>Evening Peak 0MW at 0:0hr at 0Hz     Morning Peak 154MW at 4:60hr</v>
      </c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5"/>
      <c r="AE6" s="155"/>
      <c r="AF6" s="155"/>
      <c r="AG6" s="154">
        <f>SUM(AG2:AG4)</f>
        <v>1638.3100000000002</v>
      </c>
      <c r="AH6" s="153" t="s">
        <v>271</v>
      </c>
      <c r="AI6" s="152"/>
      <c r="AL6" s="128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25"/>
      <c r="BJ6" s="125"/>
      <c r="BK6" s="125"/>
      <c r="BL6" s="125"/>
      <c r="BM6" s="125"/>
      <c r="BN6" s="125"/>
      <c r="BO6" s="125"/>
      <c r="BP6" s="125"/>
      <c r="BQ6" s="125"/>
      <c r="BR6" s="125"/>
      <c r="BS6" s="125"/>
      <c r="BT6" s="125"/>
      <c r="BU6" s="125"/>
      <c r="BV6" s="125"/>
      <c r="BW6" s="125"/>
      <c r="BX6" s="125"/>
      <c r="BY6" s="125"/>
      <c r="BZ6" s="125"/>
      <c r="CA6" s="125"/>
      <c r="CB6" s="125"/>
      <c r="CC6" s="125"/>
      <c r="CD6" s="125"/>
      <c r="CE6" s="125"/>
      <c r="CF6" s="125"/>
      <c r="CG6" s="125"/>
      <c r="CH6" s="125"/>
      <c r="CI6" s="125"/>
      <c r="CJ6" s="125"/>
    </row>
    <row r="7" spans="1:88" ht="16.5" thickBot="1" x14ac:dyDescent="0.3">
      <c r="A7" s="151" t="str">
        <f>"Base Load="&amp;ROUND(MIN($B$7:$AF$7),0)</f>
        <v>Base Load=154</v>
      </c>
      <c r="B7" s="150">
        <f t="shared" ref="B7:AF7" si="1">B100</f>
        <v>153.54</v>
      </c>
      <c r="C7" s="150">
        <f t="shared" si="1"/>
        <v>153.54</v>
      </c>
      <c r="D7" s="150">
        <f t="shared" si="1"/>
        <v>153.54</v>
      </c>
      <c r="E7" s="150">
        <f t="shared" si="1"/>
        <v>153.54</v>
      </c>
      <c r="F7" s="150">
        <f t="shared" si="1"/>
        <v>153.54</v>
      </c>
      <c r="G7" s="150">
        <f t="shared" si="1"/>
        <v>153.54</v>
      </c>
      <c r="H7" s="150">
        <f t="shared" si="1"/>
        <v>153.54</v>
      </c>
      <c r="I7" s="150">
        <f t="shared" si="1"/>
        <v>153.54</v>
      </c>
      <c r="J7" s="150">
        <f t="shared" si="1"/>
        <v>153.54</v>
      </c>
      <c r="K7" s="150">
        <f t="shared" si="1"/>
        <v>153.54</v>
      </c>
      <c r="L7" s="150">
        <f t="shared" si="1"/>
        <v>153.54</v>
      </c>
      <c r="M7" s="150">
        <f t="shared" si="1"/>
        <v>153.54</v>
      </c>
      <c r="N7" s="150">
        <f t="shared" si="1"/>
        <v>153.54</v>
      </c>
      <c r="O7" s="150">
        <f t="shared" si="1"/>
        <v>153.54</v>
      </c>
      <c r="P7" s="150">
        <f t="shared" si="1"/>
        <v>153.54</v>
      </c>
      <c r="Q7" s="150">
        <f t="shared" si="1"/>
        <v>153.54</v>
      </c>
      <c r="R7" s="150">
        <f t="shared" si="1"/>
        <v>153.54</v>
      </c>
      <c r="S7" s="150">
        <f t="shared" si="1"/>
        <v>153.54</v>
      </c>
      <c r="T7" s="150">
        <f t="shared" si="1"/>
        <v>153.54</v>
      </c>
      <c r="U7" s="150">
        <f t="shared" si="1"/>
        <v>153.54</v>
      </c>
      <c r="V7" s="150">
        <f t="shared" si="1"/>
        <v>153.54</v>
      </c>
      <c r="W7" s="150">
        <f t="shared" si="1"/>
        <v>153.54</v>
      </c>
      <c r="X7" s="150">
        <f t="shared" si="1"/>
        <v>153.54</v>
      </c>
      <c r="Y7" s="150">
        <f t="shared" si="1"/>
        <v>153.5</v>
      </c>
      <c r="Z7" s="150">
        <f t="shared" si="1"/>
        <v>155.5</v>
      </c>
      <c r="AA7" s="150">
        <f t="shared" si="1"/>
        <v>153.54</v>
      </c>
      <c r="AB7" s="150">
        <f t="shared" si="1"/>
        <v>153.54</v>
      </c>
      <c r="AC7" s="150">
        <f t="shared" si="1"/>
        <v>153.54</v>
      </c>
      <c r="AD7" s="150">
        <f t="shared" si="1"/>
        <v>153.54</v>
      </c>
      <c r="AE7" s="150">
        <f t="shared" si="1"/>
        <v>153.54</v>
      </c>
      <c r="AF7" s="150">
        <f t="shared" si="1"/>
        <v>153.54</v>
      </c>
      <c r="AG7" s="149"/>
      <c r="AI7" s="148"/>
      <c r="AL7" s="147"/>
      <c r="AM7" s="125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  <c r="BT7" s="125"/>
      <c r="BU7" s="125"/>
      <c r="BV7" s="125"/>
      <c r="BW7" s="125"/>
      <c r="BX7" s="125"/>
      <c r="BY7" s="125"/>
      <c r="BZ7" s="125"/>
      <c r="CA7" s="125"/>
      <c r="CB7" s="125"/>
      <c r="CC7" s="125"/>
      <c r="CD7" s="125"/>
      <c r="CE7" s="125"/>
      <c r="CF7" s="125"/>
      <c r="CG7" s="125"/>
      <c r="CH7" s="125"/>
      <c r="CI7" s="125"/>
      <c r="CJ7" s="125"/>
    </row>
    <row r="8" spans="1:88" ht="17.25" thickTop="1" thickBot="1" x14ac:dyDescent="0.3">
      <c r="A8" s="146"/>
      <c r="B8" s="207" t="s">
        <v>270</v>
      </c>
      <c r="C8" s="208"/>
      <c r="D8" s="208"/>
      <c r="E8" s="208"/>
      <c r="F8" s="208"/>
      <c r="G8" s="208"/>
      <c r="H8" s="208"/>
      <c r="I8" s="208"/>
      <c r="J8" s="208"/>
      <c r="K8" s="208"/>
      <c r="L8" s="209"/>
      <c r="M8" s="210" t="s">
        <v>269</v>
      </c>
      <c r="N8" s="211"/>
      <c r="O8" s="211"/>
      <c r="P8" s="211"/>
      <c r="Q8" s="211"/>
      <c r="R8" s="212"/>
      <c r="S8" s="210" t="s">
        <v>268</v>
      </c>
      <c r="T8" s="211"/>
      <c r="U8" s="211"/>
      <c r="V8" s="211"/>
      <c r="W8" s="211"/>
      <c r="X8" s="211"/>
      <c r="Y8" s="211"/>
      <c r="Z8" s="211"/>
      <c r="AA8" s="212"/>
      <c r="AB8" s="210" t="s">
        <v>267</v>
      </c>
      <c r="AC8" s="211"/>
      <c r="AD8" s="211"/>
      <c r="AE8" s="211"/>
      <c r="AF8" s="212"/>
      <c r="AG8" s="145"/>
      <c r="AH8" s="144"/>
      <c r="AI8" s="142"/>
      <c r="AL8" s="128"/>
      <c r="AM8" s="125"/>
      <c r="AN8" s="125"/>
      <c r="AO8" s="125"/>
      <c r="AP8" s="125"/>
      <c r="AQ8" s="125"/>
      <c r="AR8" s="125"/>
      <c r="AS8" s="125"/>
      <c r="AT8" s="141" t="str">
        <f>"DAILY SYSTEM PEAK : "&amp;MAX(AM22:BJ22)&amp;" MW"</f>
        <v>DAILY SYSTEM PEAK : 155.5 MW</v>
      </c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  <c r="CF8" s="125"/>
      <c r="CG8" s="125"/>
      <c r="CH8" s="125"/>
      <c r="CI8" s="125"/>
      <c r="CJ8" s="125"/>
    </row>
    <row r="9" spans="1:88" ht="13.5" customHeight="1" thickTop="1" x14ac:dyDescent="0.25">
      <c r="A9" s="213" t="s">
        <v>266</v>
      </c>
      <c r="B9" s="215">
        <v>0</v>
      </c>
      <c r="C9" s="215">
        <v>4.1666666666666664E-2</v>
      </c>
      <c r="D9" s="215">
        <v>8.3333333333333301E-2</v>
      </c>
      <c r="E9" s="215">
        <v>0.125</v>
      </c>
      <c r="F9" s="215">
        <v>0.16666666666666699</v>
      </c>
      <c r="G9" s="215">
        <v>0.20833333333333301</v>
      </c>
      <c r="H9" s="215">
        <v>0.22916666666666666</v>
      </c>
      <c r="I9" s="215">
        <v>0.25</v>
      </c>
      <c r="J9" s="215">
        <v>0.27083333333333331</v>
      </c>
      <c r="K9" s="215">
        <v>0.29166666666666669</v>
      </c>
      <c r="L9" s="215">
        <v>0.3125</v>
      </c>
      <c r="M9" s="217">
        <v>0.33333333333333331</v>
      </c>
      <c r="N9" s="217">
        <v>0.375</v>
      </c>
      <c r="O9" s="217">
        <v>0.41666666666666702</v>
      </c>
      <c r="P9" s="217">
        <v>0.45833333333333298</v>
      </c>
      <c r="Q9" s="217">
        <v>0.5</v>
      </c>
      <c r="R9" s="217">
        <v>0.54166666666666696</v>
      </c>
      <c r="S9" s="219">
        <v>0.58333333333333304</v>
      </c>
      <c r="T9" s="219">
        <v>0.625</v>
      </c>
      <c r="U9" s="219">
        <v>0.66666666666666696</v>
      </c>
      <c r="V9" s="219">
        <v>0.70833333333333304</v>
      </c>
      <c r="W9" s="219">
        <v>0.72916666666666663</v>
      </c>
      <c r="X9" s="219">
        <v>0.75</v>
      </c>
      <c r="Y9" s="219">
        <v>0.77083333333333337</v>
      </c>
      <c r="Z9" s="219">
        <v>0.79166666666666663</v>
      </c>
      <c r="AA9" s="219">
        <v>0.8125</v>
      </c>
      <c r="AB9" s="219">
        <v>0.83333333333333337</v>
      </c>
      <c r="AC9" s="219">
        <v>0.85416666666666663</v>
      </c>
      <c r="AD9" s="219">
        <v>0.875</v>
      </c>
      <c r="AE9" s="219">
        <v>0.91666666666666696</v>
      </c>
      <c r="AF9" s="219">
        <v>0.95833333333333304</v>
      </c>
      <c r="AG9" s="223" t="s">
        <v>265</v>
      </c>
      <c r="AH9" s="143"/>
      <c r="AI9" s="142"/>
      <c r="AL9" s="128"/>
      <c r="AM9" s="125"/>
      <c r="AN9" s="125"/>
      <c r="AO9" s="125"/>
      <c r="AP9" s="125"/>
      <c r="AQ9" s="125"/>
      <c r="AR9" s="125"/>
      <c r="AS9" s="125"/>
      <c r="AT9" s="141" t="str">
        <f>"DAILY NATIONAL PEAK : "&amp;MAX(AM24:BJ24)&amp;" MW"</f>
        <v>DAILY NATIONAL PEAK : 155.5 MW</v>
      </c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  <c r="CF9" s="125"/>
      <c r="CG9" s="125"/>
      <c r="CH9" s="125"/>
      <c r="CI9" s="125"/>
      <c r="CJ9" s="125"/>
    </row>
    <row r="10" spans="1:88" ht="15.75" thickBot="1" x14ac:dyDescent="0.3">
      <c r="A10" s="214"/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8"/>
      <c r="N10" s="218"/>
      <c r="O10" s="218"/>
      <c r="P10" s="218"/>
      <c r="Q10" s="218"/>
      <c r="R10" s="218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24"/>
      <c r="AH10" s="2"/>
      <c r="AL10" s="128"/>
      <c r="AM10" s="125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  <c r="CF10" s="125"/>
      <c r="CG10" s="125"/>
      <c r="CH10" s="125"/>
      <c r="CI10" s="125"/>
      <c r="CJ10" s="125"/>
    </row>
    <row r="11" spans="1:88" ht="15.75" customHeight="1" thickTop="1" x14ac:dyDescent="0.25">
      <c r="A11" s="89" t="s">
        <v>264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40">
        <v>86</v>
      </c>
      <c r="AH11" s="12">
        <f t="shared" ref="AH11:AH16" si="2">MAX(B11:AF11)</f>
        <v>0</v>
      </c>
      <c r="AI11" s="11">
        <f t="shared" ref="AI11:AI16" si="3">MIN(B11:AF11)</f>
        <v>0</v>
      </c>
      <c r="AL11" s="128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  <c r="CF11" s="125"/>
      <c r="CG11" s="125"/>
      <c r="CH11" s="125"/>
      <c r="CI11" s="125"/>
      <c r="CJ11" s="125"/>
    </row>
    <row r="12" spans="1:88" x14ac:dyDescent="0.25">
      <c r="A12" s="89" t="s">
        <v>263</v>
      </c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30">
        <v>54</v>
      </c>
      <c r="AH12" s="12">
        <f t="shared" si="2"/>
        <v>0</v>
      </c>
      <c r="AI12" s="11">
        <f t="shared" si="3"/>
        <v>0</v>
      </c>
      <c r="AK12" s="19"/>
      <c r="AL12" s="6" t="str">
        <f ca="1">MID(CELL("filename",C7),FIND("]",CELL("filename",C7))+1,600)</f>
        <v>NSample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  <c r="CF12" s="125"/>
      <c r="CG12" s="125"/>
      <c r="CH12" s="125"/>
      <c r="CI12" s="125"/>
      <c r="CJ12" s="125"/>
    </row>
    <row r="13" spans="1:88" x14ac:dyDescent="0.25">
      <c r="A13" s="89" t="s">
        <v>262</v>
      </c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30">
        <v>54</v>
      </c>
      <c r="AH13" s="12">
        <f t="shared" si="2"/>
        <v>0</v>
      </c>
      <c r="AI13" s="11">
        <f t="shared" si="3"/>
        <v>0</v>
      </c>
      <c r="AK13" s="19"/>
      <c r="AL13" s="6" t="e">
        <f ca="1">"Daily Load Curve(Excluding of Export) of Nepal ("&amp;A4&amp;" "&amp;B4&amp;")"</f>
        <v>#VALUE!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</row>
    <row r="14" spans="1:88" ht="15.75" thickBot="1" x14ac:dyDescent="0.3">
      <c r="A14" s="89" t="s">
        <v>261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40">
        <v>52.4</v>
      </c>
      <c r="AH14" s="12">
        <f t="shared" si="2"/>
        <v>0</v>
      </c>
      <c r="AI14" s="11">
        <f t="shared" si="3"/>
        <v>0</v>
      </c>
      <c r="AK14" s="19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</row>
    <row r="15" spans="1:88" ht="15.75" thickTop="1" x14ac:dyDescent="0.25">
      <c r="A15" s="89" t="s">
        <v>260</v>
      </c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30">
        <v>50</v>
      </c>
      <c r="AH15" s="12">
        <f t="shared" si="2"/>
        <v>0</v>
      </c>
      <c r="AI15" s="11">
        <f t="shared" si="3"/>
        <v>0</v>
      </c>
      <c r="AK15" s="19"/>
      <c r="AL15" s="135" t="s">
        <v>259</v>
      </c>
      <c r="AM15" s="139">
        <v>0</v>
      </c>
      <c r="AN15" s="138">
        <v>4.1666666666666664E-2</v>
      </c>
      <c r="AO15" s="137">
        <v>8.3333333333333301E-2</v>
      </c>
      <c r="AP15" s="137">
        <v>0.125</v>
      </c>
      <c r="AQ15" s="137">
        <v>0.16666666666666699</v>
      </c>
      <c r="AR15" s="137">
        <v>0.20833333333333301</v>
      </c>
      <c r="AS15" s="137">
        <v>0.25</v>
      </c>
      <c r="AT15" s="137">
        <v>0.29166666666666669</v>
      </c>
      <c r="AU15" s="136">
        <v>0.33333333333333331</v>
      </c>
      <c r="AV15" s="136">
        <v>0.375</v>
      </c>
      <c r="AW15" s="136">
        <v>0.41666666666666702</v>
      </c>
      <c r="AX15" s="136">
        <v>0.45833333333333298</v>
      </c>
      <c r="AY15" s="136">
        <v>0.5</v>
      </c>
      <c r="AZ15" s="136">
        <v>0.54166666666666596</v>
      </c>
      <c r="BA15" s="136">
        <v>0.58333333333333304</v>
      </c>
      <c r="BB15" s="136">
        <v>0.625</v>
      </c>
      <c r="BC15" s="136">
        <v>0.66666666666666596</v>
      </c>
      <c r="BD15" s="136">
        <v>0.70833333333333304</v>
      </c>
      <c r="BE15" s="136">
        <v>0.75</v>
      </c>
      <c r="BF15" s="136">
        <v>0.79166666666666596</v>
      </c>
      <c r="BG15" s="136">
        <v>0.83333333333333304</v>
      </c>
      <c r="BH15" s="136">
        <v>0.875</v>
      </c>
      <c r="BI15" s="136">
        <v>0.91666666666666596</v>
      </c>
      <c r="BJ15" s="136">
        <v>0.95833333333333304</v>
      </c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</row>
    <row r="16" spans="1:88" x14ac:dyDescent="0.25">
      <c r="A16" s="89" t="s">
        <v>258</v>
      </c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30">
        <v>45</v>
      </c>
      <c r="AH16" s="12">
        <f t="shared" si="2"/>
        <v>0</v>
      </c>
      <c r="AI16" s="11">
        <f t="shared" si="3"/>
        <v>0</v>
      </c>
      <c r="AK16" s="19"/>
      <c r="AL16" s="135" t="s">
        <v>7</v>
      </c>
      <c r="AM16" s="134">
        <f t="shared" ref="AM16:AR16" si="4">B58</f>
        <v>150</v>
      </c>
      <c r="AN16" s="134">
        <f t="shared" si="4"/>
        <v>150</v>
      </c>
      <c r="AO16" s="134">
        <f t="shared" si="4"/>
        <v>150</v>
      </c>
      <c r="AP16" s="134">
        <f t="shared" si="4"/>
        <v>150</v>
      </c>
      <c r="AQ16" s="134">
        <f t="shared" si="4"/>
        <v>150</v>
      </c>
      <c r="AR16" s="134">
        <f t="shared" si="4"/>
        <v>150</v>
      </c>
      <c r="AS16" s="134">
        <f>I58</f>
        <v>150</v>
      </c>
      <c r="AT16" s="134">
        <f>K58</f>
        <v>150</v>
      </c>
      <c r="AU16" s="134">
        <f t="shared" ref="AU16:BD16" si="5">M58</f>
        <v>150</v>
      </c>
      <c r="AV16" s="134">
        <f t="shared" si="5"/>
        <v>150</v>
      </c>
      <c r="AW16" s="134">
        <f t="shared" si="5"/>
        <v>150</v>
      </c>
      <c r="AX16" s="134">
        <f t="shared" si="5"/>
        <v>150</v>
      </c>
      <c r="AY16" s="134">
        <f t="shared" si="5"/>
        <v>150</v>
      </c>
      <c r="AZ16" s="134">
        <f t="shared" si="5"/>
        <v>150</v>
      </c>
      <c r="BA16" s="134">
        <f t="shared" si="5"/>
        <v>150</v>
      </c>
      <c r="BB16" s="134">
        <f t="shared" si="5"/>
        <v>150</v>
      </c>
      <c r="BC16" s="134">
        <f t="shared" si="5"/>
        <v>150</v>
      </c>
      <c r="BD16" s="134">
        <f t="shared" si="5"/>
        <v>150</v>
      </c>
      <c r="BE16" s="133">
        <f>X58</f>
        <v>150</v>
      </c>
      <c r="BF16" s="133">
        <f>Z58</f>
        <v>150</v>
      </c>
      <c r="BG16" s="133">
        <f>AB58</f>
        <v>150</v>
      </c>
      <c r="BH16" s="133">
        <f>AD58</f>
        <v>150</v>
      </c>
      <c r="BI16" s="133">
        <f>AE58</f>
        <v>150</v>
      </c>
      <c r="BJ16" s="133">
        <f>AF58</f>
        <v>150</v>
      </c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</row>
    <row r="17" spans="1:88" x14ac:dyDescent="0.25">
      <c r="A17" s="89" t="s">
        <v>257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30">
        <v>44</v>
      </c>
      <c r="AH17" s="12">
        <f>MAX(B17:AG17)</f>
        <v>44</v>
      </c>
      <c r="AI17" s="11">
        <f>MIN(B17:AG17)</f>
        <v>44</v>
      </c>
      <c r="AK17" s="19"/>
      <c r="AL17" s="135" t="s">
        <v>256</v>
      </c>
      <c r="AM17" s="134">
        <f t="shared" ref="AM17:AR17" si="6">B62</f>
        <v>0</v>
      </c>
      <c r="AN17" s="134">
        <f t="shared" si="6"/>
        <v>0</v>
      </c>
      <c r="AO17" s="134">
        <f t="shared" si="6"/>
        <v>0</v>
      </c>
      <c r="AP17" s="134">
        <f t="shared" si="6"/>
        <v>0</v>
      </c>
      <c r="AQ17" s="134">
        <f t="shared" si="6"/>
        <v>0</v>
      </c>
      <c r="AR17" s="134">
        <f t="shared" si="6"/>
        <v>0</v>
      </c>
      <c r="AS17" s="134">
        <f>I62</f>
        <v>0</v>
      </c>
      <c r="AT17" s="134">
        <f>K62</f>
        <v>0</v>
      </c>
      <c r="AU17" s="134">
        <f t="shared" ref="AU17:BD17" si="7">M62</f>
        <v>0</v>
      </c>
      <c r="AV17" s="134">
        <f t="shared" si="7"/>
        <v>0</v>
      </c>
      <c r="AW17" s="134">
        <f t="shared" si="7"/>
        <v>0</v>
      </c>
      <c r="AX17" s="134">
        <f t="shared" si="7"/>
        <v>0</v>
      </c>
      <c r="AY17" s="134">
        <f t="shared" si="7"/>
        <v>0</v>
      </c>
      <c r="AZ17" s="134">
        <f t="shared" si="7"/>
        <v>0</v>
      </c>
      <c r="BA17" s="134">
        <f t="shared" si="7"/>
        <v>0</v>
      </c>
      <c r="BB17" s="134">
        <f t="shared" si="7"/>
        <v>0</v>
      </c>
      <c r="BC17" s="134">
        <f t="shared" si="7"/>
        <v>0</v>
      </c>
      <c r="BD17" s="134">
        <f t="shared" si="7"/>
        <v>0</v>
      </c>
      <c r="BE17" s="133">
        <f>X62</f>
        <v>0</v>
      </c>
      <c r="BF17" s="133">
        <f>Z62</f>
        <v>0</v>
      </c>
      <c r="BG17" s="133">
        <f>AB62</f>
        <v>0</v>
      </c>
      <c r="BH17" s="133">
        <f>AD62</f>
        <v>0</v>
      </c>
      <c r="BI17" s="133">
        <f>AE62</f>
        <v>0</v>
      </c>
      <c r="BJ17" s="133">
        <f>AF62</f>
        <v>0</v>
      </c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</row>
    <row r="18" spans="1:88" x14ac:dyDescent="0.25">
      <c r="A18" s="89" t="s">
        <v>255</v>
      </c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30">
        <v>42</v>
      </c>
      <c r="AH18" s="12">
        <f t="shared" ref="AH18:AH49" si="8">MAX(B18:AF18)</f>
        <v>0</v>
      </c>
      <c r="AI18" s="11">
        <f t="shared" ref="AI18:AI49" si="9">MIN(B18:AF18)</f>
        <v>0</v>
      </c>
      <c r="AK18" s="19"/>
      <c r="AL18" s="135" t="s">
        <v>254</v>
      </c>
      <c r="AM18" s="134">
        <f t="shared" ref="AM18:AR18" si="10">B76</f>
        <v>3.54</v>
      </c>
      <c r="AN18" s="134">
        <f t="shared" si="10"/>
        <v>3.54</v>
      </c>
      <c r="AO18" s="134">
        <f t="shared" si="10"/>
        <v>3.54</v>
      </c>
      <c r="AP18" s="134">
        <f t="shared" si="10"/>
        <v>3.54</v>
      </c>
      <c r="AQ18" s="134">
        <f t="shared" si="10"/>
        <v>3.54</v>
      </c>
      <c r="AR18" s="134">
        <f t="shared" si="10"/>
        <v>3.54</v>
      </c>
      <c r="AS18" s="134">
        <f>I76</f>
        <v>3.54</v>
      </c>
      <c r="AT18" s="134">
        <f>K76</f>
        <v>3.54</v>
      </c>
      <c r="AU18" s="134">
        <f t="shared" ref="AU18:BD18" si="11">M76</f>
        <v>3.54</v>
      </c>
      <c r="AV18" s="134">
        <f t="shared" si="11"/>
        <v>3.54</v>
      </c>
      <c r="AW18" s="134">
        <f t="shared" si="11"/>
        <v>3.54</v>
      </c>
      <c r="AX18" s="134">
        <f t="shared" si="11"/>
        <v>3.54</v>
      </c>
      <c r="AY18" s="134">
        <f t="shared" si="11"/>
        <v>3.54</v>
      </c>
      <c r="AZ18" s="134">
        <f t="shared" si="11"/>
        <v>3.54</v>
      </c>
      <c r="BA18" s="134">
        <f t="shared" si="11"/>
        <v>3.54</v>
      </c>
      <c r="BB18" s="134">
        <f t="shared" si="11"/>
        <v>3.54</v>
      </c>
      <c r="BC18" s="134">
        <f t="shared" si="11"/>
        <v>3.54</v>
      </c>
      <c r="BD18" s="134">
        <f t="shared" si="11"/>
        <v>3.54</v>
      </c>
      <c r="BE18" s="133">
        <f>X76</f>
        <v>3.54</v>
      </c>
      <c r="BF18" s="133">
        <f>Z76</f>
        <v>5.5</v>
      </c>
      <c r="BG18" s="133">
        <f>AB76</f>
        <v>3.54</v>
      </c>
      <c r="BH18" s="133">
        <f>AD76</f>
        <v>3.54</v>
      </c>
      <c r="BI18" s="133">
        <f>AE76</f>
        <v>3.54</v>
      </c>
      <c r="BJ18" s="133">
        <f>AF76</f>
        <v>3.54</v>
      </c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</row>
    <row r="19" spans="1:88" x14ac:dyDescent="0.25">
      <c r="A19" s="89" t="s">
        <v>253</v>
      </c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30">
        <v>38.46</v>
      </c>
      <c r="AH19" s="12">
        <f t="shared" si="8"/>
        <v>0</v>
      </c>
      <c r="AI19" s="11">
        <f t="shared" si="9"/>
        <v>0</v>
      </c>
      <c r="AK19" s="19"/>
      <c r="AL19" s="135" t="s">
        <v>252</v>
      </c>
      <c r="AM19" s="134">
        <f t="shared" ref="AM19:AR19" si="12">B92</f>
        <v>0</v>
      </c>
      <c r="AN19" s="134">
        <f t="shared" si="12"/>
        <v>0</v>
      </c>
      <c r="AO19" s="134">
        <f t="shared" si="12"/>
        <v>0</v>
      </c>
      <c r="AP19" s="134">
        <f t="shared" si="12"/>
        <v>0</v>
      </c>
      <c r="AQ19" s="134">
        <f t="shared" si="12"/>
        <v>0</v>
      </c>
      <c r="AR19" s="134">
        <f t="shared" si="12"/>
        <v>0</v>
      </c>
      <c r="AS19" s="134">
        <f>I92</f>
        <v>0</v>
      </c>
      <c r="AT19" s="134">
        <f>K92</f>
        <v>0</v>
      </c>
      <c r="AU19" s="134">
        <f t="shared" ref="AU19:BD19" si="13">M92</f>
        <v>0</v>
      </c>
      <c r="AV19" s="134">
        <f t="shared" si="13"/>
        <v>0</v>
      </c>
      <c r="AW19" s="134">
        <f t="shared" si="13"/>
        <v>0</v>
      </c>
      <c r="AX19" s="134">
        <f t="shared" si="13"/>
        <v>0</v>
      </c>
      <c r="AY19" s="134">
        <f t="shared" si="13"/>
        <v>0</v>
      </c>
      <c r="AZ19" s="134">
        <f t="shared" si="13"/>
        <v>0</v>
      </c>
      <c r="BA19" s="134">
        <f t="shared" si="13"/>
        <v>0</v>
      </c>
      <c r="BB19" s="134">
        <f t="shared" si="13"/>
        <v>0</v>
      </c>
      <c r="BC19" s="134">
        <f t="shared" si="13"/>
        <v>0</v>
      </c>
      <c r="BD19" s="134">
        <f t="shared" si="13"/>
        <v>0</v>
      </c>
      <c r="BE19" s="133">
        <f>X92</f>
        <v>0</v>
      </c>
      <c r="BF19" s="133">
        <f>Z92</f>
        <v>0</v>
      </c>
      <c r="BG19" s="133">
        <f>AB92</f>
        <v>0</v>
      </c>
      <c r="BH19" s="133">
        <f>AD92</f>
        <v>0</v>
      </c>
      <c r="BI19" s="133">
        <f>AE92</f>
        <v>0</v>
      </c>
      <c r="BJ19" s="133">
        <f>AF92</f>
        <v>0</v>
      </c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</row>
    <row r="20" spans="1:88" x14ac:dyDescent="0.25">
      <c r="A20" s="89" t="s">
        <v>251</v>
      </c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30">
        <v>38.46</v>
      </c>
      <c r="AH20" s="12">
        <f t="shared" si="8"/>
        <v>0</v>
      </c>
      <c r="AI20" s="11">
        <f t="shared" si="9"/>
        <v>0</v>
      </c>
      <c r="AK20" s="19"/>
      <c r="AL20" s="135" t="s">
        <v>250</v>
      </c>
      <c r="AM20" s="134">
        <f t="shared" ref="AM20:AR20" si="14">B80</f>
        <v>0</v>
      </c>
      <c r="AN20" s="134">
        <f t="shared" si="14"/>
        <v>0</v>
      </c>
      <c r="AO20" s="134">
        <f t="shared" si="14"/>
        <v>0</v>
      </c>
      <c r="AP20" s="134">
        <f t="shared" si="14"/>
        <v>0</v>
      </c>
      <c r="AQ20" s="134">
        <f t="shared" si="14"/>
        <v>0</v>
      </c>
      <c r="AR20" s="134">
        <f t="shared" si="14"/>
        <v>0</v>
      </c>
      <c r="AS20" s="134">
        <f>I80</f>
        <v>0</v>
      </c>
      <c r="AT20" s="134">
        <f>K80</f>
        <v>0</v>
      </c>
      <c r="AU20" s="134">
        <f t="shared" ref="AU20:BD20" si="15">M80</f>
        <v>0</v>
      </c>
      <c r="AV20" s="134">
        <f t="shared" si="15"/>
        <v>0</v>
      </c>
      <c r="AW20" s="134">
        <f t="shared" si="15"/>
        <v>0</v>
      </c>
      <c r="AX20" s="134">
        <f t="shared" si="15"/>
        <v>0</v>
      </c>
      <c r="AY20" s="134">
        <f t="shared" si="15"/>
        <v>0</v>
      </c>
      <c r="AZ20" s="134">
        <f t="shared" si="15"/>
        <v>0</v>
      </c>
      <c r="BA20" s="134">
        <f t="shared" si="15"/>
        <v>0</v>
      </c>
      <c r="BB20" s="134">
        <f t="shared" si="15"/>
        <v>0</v>
      </c>
      <c r="BC20" s="134">
        <f t="shared" si="15"/>
        <v>0</v>
      </c>
      <c r="BD20" s="134">
        <f t="shared" si="15"/>
        <v>0</v>
      </c>
      <c r="BE20" s="133">
        <f>X80</f>
        <v>0</v>
      </c>
      <c r="BF20" s="133">
        <f>Z80</f>
        <v>0</v>
      </c>
      <c r="BG20" s="133">
        <f>AB80</f>
        <v>0</v>
      </c>
      <c r="BH20" s="133">
        <f>AD80</f>
        <v>0</v>
      </c>
      <c r="BI20" s="133">
        <f>AE80</f>
        <v>0</v>
      </c>
      <c r="BJ20" s="133">
        <f>AF80</f>
        <v>0</v>
      </c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  <c r="CF20" s="125"/>
      <c r="CG20" s="125"/>
      <c r="CH20" s="125"/>
      <c r="CI20" s="125"/>
      <c r="CJ20" s="125"/>
    </row>
    <row r="21" spans="1:88" x14ac:dyDescent="0.25">
      <c r="A21" s="89" t="s">
        <v>249</v>
      </c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30">
        <v>36</v>
      </c>
      <c r="AH21" s="12">
        <f t="shared" si="8"/>
        <v>0</v>
      </c>
      <c r="AI21" s="11">
        <f t="shared" si="9"/>
        <v>0</v>
      </c>
      <c r="AK21" s="19"/>
      <c r="AL21" s="135" t="s">
        <v>248</v>
      </c>
      <c r="AM21" s="134">
        <f t="shared" ref="AM21:AR21" si="16">B98</f>
        <v>0</v>
      </c>
      <c r="AN21" s="134">
        <f t="shared" si="16"/>
        <v>0</v>
      </c>
      <c r="AO21" s="134">
        <f t="shared" si="16"/>
        <v>0</v>
      </c>
      <c r="AP21" s="134">
        <f t="shared" si="16"/>
        <v>0</v>
      </c>
      <c r="AQ21" s="134">
        <f t="shared" si="16"/>
        <v>0</v>
      </c>
      <c r="AR21" s="134">
        <f t="shared" si="16"/>
        <v>0</v>
      </c>
      <c r="AS21" s="134">
        <f>I98</f>
        <v>0</v>
      </c>
      <c r="AT21" s="134">
        <f>K98</f>
        <v>0</v>
      </c>
      <c r="AU21" s="134">
        <f t="shared" ref="AU21:BD21" si="17">M98</f>
        <v>0</v>
      </c>
      <c r="AV21" s="134">
        <f t="shared" si="17"/>
        <v>0</v>
      </c>
      <c r="AW21" s="134">
        <f t="shared" si="17"/>
        <v>0</v>
      </c>
      <c r="AX21" s="134">
        <f t="shared" si="17"/>
        <v>0</v>
      </c>
      <c r="AY21" s="134">
        <f t="shared" si="17"/>
        <v>0</v>
      </c>
      <c r="AZ21" s="134">
        <f t="shared" si="17"/>
        <v>0</v>
      </c>
      <c r="BA21" s="134">
        <f t="shared" si="17"/>
        <v>0</v>
      </c>
      <c r="BB21" s="134">
        <f t="shared" si="17"/>
        <v>0</v>
      </c>
      <c r="BC21" s="134">
        <f t="shared" si="17"/>
        <v>0</v>
      </c>
      <c r="BD21" s="134">
        <f t="shared" si="17"/>
        <v>0</v>
      </c>
      <c r="BE21" s="133">
        <f>X98</f>
        <v>0</v>
      </c>
      <c r="BF21" s="133">
        <f>Z98</f>
        <v>0</v>
      </c>
      <c r="BG21" s="133">
        <f>AB98</f>
        <v>0</v>
      </c>
      <c r="BH21" s="133">
        <f>AD98</f>
        <v>0</v>
      </c>
      <c r="BI21" s="133">
        <f>AE98</f>
        <v>0</v>
      </c>
      <c r="BJ21" s="133">
        <f>AF98</f>
        <v>0</v>
      </c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  <c r="CF21" s="125"/>
      <c r="CG21" s="125"/>
      <c r="CH21" s="125"/>
      <c r="CI21" s="125"/>
      <c r="CJ21" s="125"/>
    </row>
    <row r="22" spans="1:88" x14ac:dyDescent="0.25">
      <c r="A22" s="89" t="s">
        <v>247</v>
      </c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88">
        <v>30</v>
      </c>
      <c r="AH22" s="12">
        <f t="shared" si="8"/>
        <v>0</v>
      </c>
      <c r="AI22" s="11">
        <f t="shared" si="9"/>
        <v>0</v>
      </c>
      <c r="AK22" s="19"/>
      <c r="AL22" s="132" t="s">
        <v>246</v>
      </c>
      <c r="AM22" s="131">
        <f t="shared" ref="AM22:BJ22" si="18">SUM(AM16:AM21)</f>
        <v>153.54</v>
      </c>
      <c r="AN22" s="131">
        <f t="shared" si="18"/>
        <v>153.54</v>
      </c>
      <c r="AO22" s="131">
        <f t="shared" si="18"/>
        <v>153.54</v>
      </c>
      <c r="AP22" s="131">
        <f t="shared" si="18"/>
        <v>153.54</v>
      </c>
      <c r="AQ22" s="131">
        <f t="shared" si="18"/>
        <v>153.54</v>
      </c>
      <c r="AR22" s="131">
        <f t="shared" si="18"/>
        <v>153.54</v>
      </c>
      <c r="AS22" s="131">
        <f t="shared" si="18"/>
        <v>153.54</v>
      </c>
      <c r="AT22" s="131">
        <f t="shared" si="18"/>
        <v>153.54</v>
      </c>
      <c r="AU22" s="131">
        <f t="shared" si="18"/>
        <v>153.54</v>
      </c>
      <c r="AV22" s="131">
        <f t="shared" si="18"/>
        <v>153.54</v>
      </c>
      <c r="AW22" s="131">
        <f t="shared" si="18"/>
        <v>153.54</v>
      </c>
      <c r="AX22" s="131">
        <f t="shared" si="18"/>
        <v>153.54</v>
      </c>
      <c r="AY22" s="131">
        <f t="shared" si="18"/>
        <v>153.54</v>
      </c>
      <c r="AZ22" s="131">
        <f t="shared" si="18"/>
        <v>153.54</v>
      </c>
      <c r="BA22" s="131">
        <f t="shared" si="18"/>
        <v>153.54</v>
      </c>
      <c r="BB22" s="131">
        <f t="shared" si="18"/>
        <v>153.54</v>
      </c>
      <c r="BC22" s="131">
        <f t="shared" si="18"/>
        <v>153.54</v>
      </c>
      <c r="BD22" s="131">
        <f t="shared" si="18"/>
        <v>153.54</v>
      </c>
      <c r="BE22" s="131">
        <f t="shared" si="18"/>
        <v>153.54</v>
      </c>
      <c r="BF22" s="131">
        <f t="shared" si="18"/>
        <v>155.5</v>
      </c>
      <c r="BG22" s="131">
        <f t="shared" si="18"/>
        <v>153.54</v>
      </c>
      <c r="BH22" s="131">
        <f t="shared" si="18"/>
        <v>153.54</v>
      </c>
      <c r="BI22" s="131">
        <f t="shared" si="18"/>
        <v>153.54</v>
      </c>
      <c r="BJ22" s="131">
        <f t="shared" si="18"/>
        <v>153.54</v>
      </c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  <c r="CF22" s="125"/>
      <c r="CG22" s="125"/>
      <c r="CH22" s="125"/>
      <c r="CI22" s="125"/>
      <c r="CJ22" s="125"/>
    </row>
    <row r="23" spans="1:88" x14ac:dyDescent="0.25">
      <c r="A23" s="89" t="s">
        <v>245</v>
      </c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30">
        <v>24.2</v>
      </c>
      <c r="AH23" s="12">
        <f t="shared" si="8"/>
        <v>0</v>
      </c>
      <c r="AI23" s="11">
        <f t="shared" si="9"/>
        <v>0</v>
      </c>
      <c r="AK23" s="19"/>
      <c r="AL23" s="132" t="s">
        <v>3</v>
      </c>
      <c r="AM23" s="131">
        <f t="shared" ref="AM23:AR23" si="19">B107*-1</f>
        <v>0</v>
      </c>
      <c r="AN23" s="131">
        <f t="shared" si="19"/>
        <v>0</v>
      </c>
      <c r="AO23" s="131">
        <f t="shared" si="19"/>
        <v>0</v>
      </c>
      <c r="AP23" s="131">
        <f t="shared" si="19"/>
        <v>0</v>
      </c>
      <c r="AQ23" s="131">
        <f t="shared" si="19"/>
        <v>0</v>
      </c>
      <c r="AR23" s="131">
        <f t="shared" si="19"/>
        <v>0</v>
      </c>
      <c r="AS23" s="131">
        <f>I107*-1</f>
        <v>0</v>
      </c>
      <c r="AT23" s="131">
        <f>K107*-1</f>
        <v>0</v>
      </c>
      <c r="AU23" s="131">
        <f t="shared" ref="AU23:BD23" si="20">M107*-1</f>
        <v>0</v>
      </c>
      <c r="AV23" s="131">
        <f t="shared" si="20"/>
        <v>0</v>
      </c>
      <c r="AW23" s="131">
        <f t="shared" si="20"/>
        <v>0</v>
      </c>
      <c r="AX23" s="131">
        <f t="shared" si="20"/>
        <v>0</v>
      </c>
      <c r="AY23" s="131">
        <f t="shared" si="20"/>
        <v>0</v>
      </c>
      <c r="AZ23" s="131">
        <f t="shared" si="20"/>
        <v>0</v>
      </c>
      <c r="BA23" s="131">
        <f t="shared" si="20"/>
        <v>0</v>
      </c>
      <c r="BB23" s="131">
        <f t="shared" si="20"/>
        <v>0</v>
      </c>
      <c r="BC23" s="131">
        <f t="shared" si="20"/>
        <v>0</v>
      </c>
      <c r="BD23" s="131">
        <f t="shared" si="20"/>
        <v>0</v>
      </c>
      <c r="BE23" s="131">
        <f>X107*-1</f>
        <v>0</v>
      </c>
      <c r="BF23" s="131">
        <f>Z107*-1</f>
        <v>0</v>
      </c>
      <c r="BG23" s="131">
        <f>AB107*-1</f>
        <v>0</v>
      </c>
      <c r="BH23" s="131">
        <f>AD107*-1</f>
        <v>0</v>
      </c>
      <c r="BI23" s="131">
        <f>AE107*-1</f>
        <v>0</v>
      </c>
      <c r="BJ23" s="131">
        <f>AF107*-1</f>
        <v>0</v>
      </c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  <c r="CF23" s="125"/>
      <c r="CG23" s="125"/>
      <c r="CH23" s="125"/>
      <c r="CI23" s="125"/>
      <c r="CJ23" s="125"/>
    </row>
    <row r="24" spans="1:88" x14ac:dyDescent="0.25">
      <c r="A24" s="89" t="s">
        <v>244</v>
      </c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30">
        <v>28</v>
      </c>
      <c r="AH24" s="12">
        <f t="shared" si="8"/>
        <v>0</v>
      </c>
      <c r="AI24" s="11">
        <f t="shared" si="9"/>
        <v>0</v>
      </c>
      <c r="AK24" s="19"/>
      <c r="AL24" s="132" t="s">
        <v>243</v>
      </c>
      <c r="AM24" s="131">
        <f t="shared" ref="AM24:BJ24" si="21">AM22+AM23</f>
        <v>153.54</v>
      </c>
      <c r="AN24" s="131">
        <f t="shared" si="21"/>
        <v>153.54</v>
      </c>
      <c r="AO24" s="131">
        <f t="shared" si="21"/>
        <v>153.54</v>
      </c>
      <c r="AP24" s="131">
        <f t="shared" si="21"/>
        <v>153.54</v>
      </c>
      <c r="AQ24" s="131">
        <f t="shared" si="21"/>
        <v>153.54</v>
      </c>
      <c r="AR24" s="131">
        <f t="shared" si="21"/>
        <v>153.54</v>
      </c>
      <c r="AS24" s="131">
        <f t="shared" si="21"/>
        <v>153.54</v>
      </c>
      <c r="AT24" s="131">
        <f t="shared" si="21"/>
        <v>153.54</v>
      </c>
      <c r="AU24" s="131">
        <f t="shared" si="21"/>
        <v>153.54</v>
      </c>
      <c r="AV24" s="131">
        <f t="shared" si="21"/>
        <v>153.54</v>
      </c>
      <c r="AW24" s="131">
        <f t="shared" si="21"/>
        <v>153.54</v>
      </c>
      <c r="AX24" s="131">
        <f t="shared" si="21"/>
        <v>153.54</v>
      </c>
      <c r="AY24" s="131">
        <f t="shared" si="21"/>
        <v>153.54</v>
      </c>
      <c r="AZ24" s="131">
        <f t="shared" si="21"/>
        <v>153.54</v>
      </c>
      <c r="BA24" s="131">
        <f t="shared" si="21"/>
        <v>153.54</v>
      </c>
      <c r="BB24" s="131">
        <f t="shared" si="21"/>
        <v>153.54</v>
      </c>
      <c r="BC24" s="131">
        <f t="shared" si="21"/>
        <v>153.54</v>
      </c>
      <c r="BD24" s="131">
        <f t="shared" si="21"/>
        <v>153.54</v>
      </c>
      <c r="BE24" s="131">
        <f t="shared" si="21"/>
        <v>153.54</v>
      </c>
      <c r="BF24" s="131">
        <f t="shared" si="21"/>
        <v>155.5</v>
      </c>
      <c r="BG24" s="131">
        <f t="shared" si="21"/>
        <v>153.54</v>
      </c>
      <c r="BH24" s="131">
        <f t="shared" si="21"/>
        <v>153.54</v>
      </c>
      <c r="BI24" s="131">
        <f t="shared" si="21"/>
        <v>153.54</v>
      </c>
      <c r="BJ24" s="131">
        <f t="shared" si="21"/>
        <v>153.54</v>
      </c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  <c r="CF24" s="125"/>
      <c r="CG24" s="125"/>
      <c r="CH24" s="125"/>
      <c r="CI24" s="125"/>
      <c r="CJ24" s="125"/>
    </row>
    <row r="25" spans="1:88" x14ac:dyDescent="0.25">
      <c r="A25" s="89" t="s">
        <v>242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88">
        <v>30</v>
      </c>
      <c r="AH25" s="12">
        <f t="shared" si="8"/>
        <v>0</v>
      </c>
      <c r="AI25" s="11">
        <f t="shared" si="9"/>
        <v>0</v>
      </c>
      <c r="AK25" s="19"/>
      <c r="AL25" s="128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</row>
    <row r="26" spans="1:88" x14ac:dyDescent="0.25">
      <c r="A26" s="89" t="s">
        <v>241</v>
      </c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30">
        <v>25</v>
      </c>
      <c r="AH26" s="12">
        <f t="shared" si="8"/>
        <v>0</v>
      </c>
      <c r="AI26" s="11">
        <f t="shared" si="9"/>
        <v>0</v>
      </c>
      <c r="AK26" s="19"/>
      <c r="AL26" s="128"/>
      <c r="AM26" s="125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  <c r="CF26" s="125"/>
      <c r="CG26" s="125"/>
      <c r="CH26" s="125"/>
      <c r="CI26" s="125"/>
      <c r="CJ26" s="125"/>
    </row>
    <row r="27" spans="1:88" x14ac:dyDescent="0.25">
      <c r="A27" s="89" t="s">
        <v>240</v>
      </c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30">
        <v>25</v>
      </c>
      <c r="AH27" s="12">
        <f t="shared" si="8"/>
        <v>0</v>
      </c>
      <c r="AI27" s="11">
        <f t="shared" si="9"/>
        <v>0</v>
      </c>
      <c r="AK27" s="19"/>
      <c r="AL27" s="128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  <c r="CF27" s="125"/>
      <c r="CG27" s="125"/>
      <c r="CH27" s="125"/>
      <c r="CI27" s="125"/>
      <c r="CJ27" s="125"/>
    </row>
    <row r="28" spans="1:88" x14ac:dyDescent="0.25">
      <c r="A28" s="89" t="s">
        <v>239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30">
        <v>25</v>
      </c>
      <c r="AH28" s="12">
        <f t="shared" si="8"/>
        <v>0</v>
      </c>
      <c r="AI28" s="11">
        <f t="shared" si="9"/>
        <v>0</v>
      </c>
      <c r="AK28" s="19"/>
      <c r="AL28" s="128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  <c r="CF28" s="125"/>
      <c r="CG28" s="125"/>
      <c r="CH28" s="125"/>
      <c r="CI28" s="125"/>
      <c r="CJ28" s="125"/>
    </row>
    <row r="29" spans="1:88" x14ac:dyDescent="0.25">
      <c r="A29" s="89" t="s">
        <v>238</v>
      </c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30">
        <v>25</v>
      </c>
      <c r="AH29" s="12">
        <f t="shared" si="8"/>
        <v>0</v>
      </c>
      <c r="AI29" s="11">
        <f t="shared" si="9"/>
        <v>0</v>
      </c>
      <c r="AK29" s="19"/>
      <c r="AL29" s="128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  <c r="CF29" s="125"/>
      <c r="CG29" s="125"/>
      <c r="CH29" s="125"/>
      <c r="CI29" s="125"/>
      <c r="CJ29" s="125"/>
    </row>
    <row r="30" spans="1:88" x14ac:dyDescent="0.25">
      <c r="A30" s="89" t="s">
        <v>237</v>
      </c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30">
        <v>23.5</v>
      </c>
      <c r="AH30" s="12">
        <f t="shared" si="8"/>
        <v>0</v>
      </c>
      <c r="AI30" s="11">
        <f t="shared" si="9"/>
        <v>0</v>
      </c>
      <c r="AK30" s="19"/>
      <c r="AL30" s="128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  <c r="CF30" s="125"/>
      <c r="CG30" s="125"/>
      <c r="CH30" s="125"/>
      <c r="CI30" s="125"/>
      <c r="CJ30" s="125"/>
    </row>
    <row r="31" spans="1:88" x14ac:dyDescent="0.25">
      <c r="A31" s="89" t="s">
        <v>236</v>
      </c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30">
        <v>22.2</v>
      </c>
      <c r="AH31" s="12">
        <f t="shared" si="8"/>
        <v>0</v>
      </c>
      <c r="AI31" s="11">
        <f t="shared" si="9"/>
        <v>0</v>
      </c>
      <c r="AK31" s="19"/>
      <c r="AL31" s="128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  <c r="CF31" s="125"/>
      <c r="CG31" s="125"/>
      <c r="CH31" s="125"/>
      <c r="CI31" s="125"/>
      <c r="CJ31" s="125"/>
    </row>
    <row r="32" spans="1:88" x14ac:dyDescent="0.25">
      <c r="A32" s="89" t="s">
        <v>235</v>
      </c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30">
        <v>22.1</v>
      </c>
      <c r="AH32" s="12">
        <f t="shared" si="8"/>
        <v>0</v>
      </c>
      <c r="AI32" s="11">
        <f t="shared" si="9"/>
        <v>0</v>
      </c>
      <c r="AK32" s="19"/>
      <c r="AL32" s="128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</row>
    <row r="33" spans="1:88" x14ac:dyDescent="0.25">
      <c r="A33" s="89" t="s">
        <v>234</v>
      </c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30">
        <v>22</v>
      </c>
      <c r="AH33" s="12">
        <f t="shared" si="8"/>
        <v>0</v>
      </c>
      <c r="AI33" s="11">
        <f t="shared" si="9"/>
        <v>0</v>
      </c>
      <c r="AK33" s="19"/>
      <c r="AL33" s="128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  <c r="CF33" s="125"/>
      <c r="CG33" s="125"/>
      <c r="CH33" s="125"/>
      <c r="CI33" s="125"/>
      <c r="CJ33" s="125"/>
    </row>
    <row r="34" spans="1:88" x14ac:dyDescent="0.25">
      <c r="A34" s="89" t="s">
        <v>233</v>
      </c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30">
        <v>22</v>
      </c>
      <c r="AH34" s="12">
        <f t="shared" si="8"/>
        <v>0</v>
      </c>
      <c r="AI34" s="11">
        <f t="shared" si="9"/>
        <v>0</v>
      </c>
      <c r="AK34" s="19"/>
      <c r="AL34" s="128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  <c r="CF34" s="125"/>
      <c r="CG34" s="125"/>
      <c r="CH34" s="125"/>
      <c r="CI34" s="125"/>
      <c r="CJ34" s="125"/>
    </row>
    <row r="35" spans="1:88" x14ac:dyDescent="0.25">
      <c r="A35" s="89" t="s">
        <v>232</v>
      </c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30">
        <v>20</v>
      </c>
      <c r="AH35" s="12">
        <f t="shared" si="8"/>
        <v>0</v>
      </c>
      <c r="AI35" s="11">
        <f t="shared" si="9"/>
        <v>0</v>
      </c>
      <c r="AK35" s="19"/>
      <c r="AL35" s="128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</row>
    <row r="36" spans="1:88" x14ac:dyDescent="0.25">
      <c r="A36" s="89" t="s">
        <v>231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30">
        <v>20</v>
      </c>
      <c r="AH36" s="12">
        <f t="shared" si="8"/>
        <v>0</v>
      </c>
      <c r="AI36" s="11">
        <f t="shared" si="9"/>
        <v>0</v>
      </c>
      <c r="AK36" s="19"/>
      <c r="AL36" s="128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</row>
    <row r="37" spans="1:88" x14ac:dyDescent="0.25">
      <c r="A37" s="89" t="s">
        <v>230</v>
      </c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30">
        <v>18</v>
      </c>
      <c r="AH37" s="12">
        <f t="shared" si="8"/>
        <v>0</v>
      </c>
      <c r="AI37" s="11">
        <f t="shared" si="9"/>
        <v>0</v>
      </c>
      <c r="AK37" s="19"/>
      <c r="AL37" s="128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</row>
    <row r="38" spans="1:88" x14ac:dyDescent="0.25">
      <c r="A38" s="89" t="s">
        <v>229</v>
      </c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30">
        <v>14.9</v>
      </c>
      <c r="AH38" s="12">
        <f t="shared" si="8"/>
        <v>0</v>
      </c>
      <c r="AI38" s="11">
        <f t="shared" si="9"/>
        <v>0</v>
      </c>
      <c r="AK38" s="19"/>
      <c r="AL38" s="128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  <c r="CF38" s="125"/>
      <c r="CG38" s="125"/>
      <c r="CH38" s="125"/>
      <c r="CI38" s="125"/>
      <c r="CJ38" s="125"/>
    </row>
    <row r="39" spans="1:88" x14ac:dyDescent="0.25">
      <c r="A39" s="89" t="s">
        <v>228</v>
      </c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30">
        <v>14.9</v>
      </c>
      <c r="AH39" s="12">
        <f t="shared" si="8"/>
        <v>0</v>
      </c>
      <c r="AI39" s="11">
        <f t="shared" si="9"/>
        <v>0</v>
      </c>
      <c r="AK39" s="19"/>
      <c r="AL39" s="128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  <c r="BI39" s="125"/>
      <c r="BJ39" s="125"/>
      <c r="BK39" s="125"/>
      <c r="BL39" s="125"/>
      <c r="BM39" s="125"/>
      <c r="BN39" s="125"/>
      <c r="BO39" s="125"/>
      <c r="BP39" s="125"/>
      <c r="BQ39" s="125"/>
      <c r="BR39" s="125"/>
      <c r="BS39" s="125"/>
      <c r="BT39" s="125"/>
      <c r="BU39" s="125"/>
      <c r="BV39" s="125"/>
      <c r="BW39" s="125"/>
      <c r="BX39" s="125"/>
      <c r="BY39" s="125"/>
      <c r="BZ39" s="125"/>
      <c r="CA39" s="125"/>
      <c r="CB39" s="125"/>
      <c r="CC39" s="125"/>
      <c r="CD39" s="125"/>
      <c r="CE39" s="125"/>
      <c r="CF39" s="125"/>
      <c r="CG39" s="125"/>
      <c r="CH39" s="125"/>
      <c r="CI39" s="125"/>
      <c r="CJ39" s="125"/>
    </row>
    <row r="40" spans="1:88" x14ac:dyDescent="0.25">
      <c r="A40" s="89" t="s">
        <v>227</v>
      </c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30">
        <v>14.9</v>
      </c>
      <c r="AH40" s="12">
        <f t="shared" si="8"/>
        <v>0</v>
      </c>
      <c r="AI40" s="11">
        <f t="shared" si="9"/>
        <v>0</v>
      </c>
      <c r="AK40" s="19"/>
      <c r="AL40" s="128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  <c r="BI40" s="125"/>
      <c r="BJ40" s="125"/>
      <c r="BK40" s="125"/>
      <c r="BL40" s="125"/>
      <c r="BM40" s="125"/>
      <c r="BN40" s="125"/>
      <c r="BO40" s="125"/>
      <c r="BP40" s="125"/>
      <c r="BQ40" s="125"/>
      <c r="BR40" s="125"/>
      <c r="BS40" s="125"/>
      <c r="BT40" s="125"/>
      <c r="BU40" s="125"/>
      <c r="BV40" s="125"/>
      <c r="BW40" s="125"/>
      <c r="BX40" s="125"/>
      <c r="BY40" s="125"/>
      <c r="BZ40" s="125"/>
      <c r="CA40" s="125"/>
      <c r="CB40" s="125"/>
      <c r="CC40" s="125"/>
      <c r="CD40" s="125"/>
      <c r="CE40" s="125"/>
      <c r="CF40" s="125"/>
      <c r="CG40" s="125"/>
      <c r="CH40" s="125"/>
      <c r="CI40" s="125"/>
      <c r="CJ40" s="125"/>
    </row>
    <row r="41" spans="1:88" x14ac:dyDescent="0.25">
      <c r="A41" s="89" t="s">
        <v>226</v>
      </c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30">
        <v>14.9</v>
      </c>
      <c r="AH41" s="12">
        <f t="shared" si="8"/>
        <v>0</v>
      </c>
      <c r="AI41" s="11">
        <f t="shared" si="9"/>
        <v>0</v>
      </c>
      <c r="AK41" s="19"/>
      <c r="AL41" s="128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5"/>
      <c r="BJ41" s="125"/>
      <c r="BK41" s="125"/>
      <c r="BL41" s="125"/>
      <c r="BM41" s="125"/>
      <c r="BN41" s="125"/>
      <c r="BO41" s="125"/>
      <c r="BP41" s="125"/>
      <c r="BQ41" s="125"/>
      <c r="BR41" s="125"/>
      <c r="BS41" s="125"/>
      <c r="BT41" s="125"/>
      <c r="BU41" s="125"/>
      <c r="BV41" s="125"/>
      <c r="BW41" s="125"/>
      <c r="BX41" s="125"/>
      <c r="BY41" s="125"/>
      <c r="BZ41" s="125"/>
      <c r="CA41" s="125"/>
      <c r="CB41" s="125"/>
      <c r="CC41" s="125"/>
      <c r="CD41" s="125"/>
      <c r="CE41" s="125"/>
      <c r="CF41" s="125"/>
      <c r="CG41" s="125"/>
      <c r="CH41" s="125"/>
      <c r="CI41" s="125"/>
      <c r="CJ41" s="125"/>
    </row>
    <row r="42" spans="1:88" x14ac:dyDescent="0.25">
      <c r="A42" s="89" t="s">
        <v>225</v>
      </c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30">
        <v>13.6</v>
      </c>
      <c r="AH42" s="12">
        <f t="shared" si="8"/>
        <v>0</v>
      </c>
      <c r="AI42" s="11">
        <f t="shared" si="9"/>
        <v>0</v>
      </c>
      <c r="AK42" s="19"/>
      <c r="AL42" s="128"/>
      <c r="AM42" s="125"/>
      <c r="AN42" s="125"/>
      <c r="AO42" s="125"/>
      <c r="AP42" s="125"/>
      <c r="AQ42" s="125"/>
      <c r="AR42" s="125"/>
      <c r="AS42" s="125"/>
      <c r="AT42" s="125"/>
      <c r="AU42" s="125"/>
      <c r="AV42" s="125"/>
      <c r="AW42" s="125"/>
      <c r="AX42" s="125"/>
      <c r="AY42" s="125"/>
      <c r="AZ42" s="125"/>
      <c r="BA42" s="125"/>
      <c r="BB42" s="125"/>
      <c r="BC42" s="125"/>
      <c r="BD42" s="125"/>
      <c r="BE42" s="125"/>
      <c r="BF42" s="125"/>
      <c r="BG42" s="125"/>
      <c r="BH42" s="125"/>
      <c r="BI42" s="125"/>
      <c r="BJ42" s="125"/>
      <c r="BK42" s="125"/>
      <c r="BL42" s="125"/>
      <c r="BM42" s="125"/>
      <c r="BN42" s="125"/>
      <c r="BO42" s="125"/>
      <c r="BP42" s="125"/>
      <c r="BQ42" s="125"/>
      <c r="BR42" s="125"/>
      <c r="BS42" s="125"/>
      <c r="BT42" s="125"/>
      <c r="BU42" s="125"/>
      <c r="BV42" s="125"/>
      <c r="BW42" s="125"/>
      <c r="BX42" s="125"/>
      <c r="BY42" s="125"/>
      <c r="BZ42" s="125"/>
      <c r="CA42" s="125"/>
      <c r="CB42" s="125"/>
      <c r="CC42" s="125"/>
      <c r="CD42" s="125"/>
      <c r="CE42" s="125"/>
      <c r="CF42" s="125"/>
      <c r="CG42" s="125"/>
      <c r="CH42" s="125"/>
      <c r="CI42" s="125"/>
      <c r="CJ42" s="125"/>
    </row>
    <row r="43" spans="1:88" x14ac:dyDescent="0.25">
      <c r="A43" s="89" t="s">
        <v>224</v>
      </c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30">
        <v>13</v>
      </c>
      <c r="AH43" s="12">
        <f t="shared" si="8"/>
        <v>0</v>
      </c>
      <c r="AI43" s="11">
        <f t="shared" si="9"/>
        <v>0</v>
      </c>
      <c r="AK43" s="19"/>
      <c r="AL43" s="128"/>
      <c r="AM43" s="125"/>
      <c r="AN43" s="125"/>
      <c r="AO43" s="125"/>
      <c r="AP43" s="125"/>
      <c r="AQ43" s="125"/>
      <c r="AR43" s="125"/>
      <c r="AS43" s="125"/>
      <c r="AT43" s="125"/>
      <c r="AU43" s="125"/>
      <c r="AV43" s="125"/>
      <c r="AW43" s="125"/>
      <c r="AX43" s="125"/>
      <c r="AY43" s="125"/>
      <c r="AZ43" s="125"/>
      <c r="BA43" s="125"/>
      <c r="BB43" s="125"/>
      <c r="BC43" s="125"/>
      <c r="BD43" s="125"/>
      <c r="BE43" s="125"/>
      <c r="BF43" s="125"/>
      <c r="BG43" s="125"/>
      <c r="BH43" s="125"/>
      <c r="BI43" s="125"/>
      <c r="BJ43" s="125"/>
      <c r="BK43" s="125"/>
      <c r="BL43" s="125"/>
      <c r="BM43" s="125"/>
      <c r="BN43" s="125"/>
      <c r="BO43" s="125"/>
      <c r="BP43" s="125"/>
      <c r="BQ43" s="125"/>
      <c r="BR43" s="125"/>
      <c r="BS43" s="125"/>
      <c r="BT43" s="125"/>
      <c r="BU43" s="125"/>
      <c r="BV43" s="125"/>
      <c r="BW43" s="125"/>
      <c r="BX43" s="125"/>
      <c r="BY43" s="125"/>
      <c r="BZ43" s="125"/>
      <c r="CA43" s="125"/>
      <c r="CB43" s="125"/>
      <c r="CC43" s="125"/>
      <c r="CD43" s="125"/>
      <c r="CE43" s="125"/>
      <c r="CF43" s="125"/>
      <c r="CG43" s="125"/>
      <c r="CH43" s="125"/>
      <c r="CI43" s="125"/>
      <c r="CJ43" s="125"/>
    </row>
    <row r="44" spans="1:88" x14ac:dyDescent="0.25">
      <c r="A44" s="89" t="s">
        <v>223</v>
      </c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30">
        <v>12</v>
      </c>
      <c r="AH44" s="12">
        <f t="shared" si="8"/>
        <v>0</v>
      </c>
      <c r="AI44" s="11">
        <f t="shared" si="9"/>
        <v>0</v>
      </c>
      <c r="AK44" s="19"/>
      <c r="AL44" s="128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</row>
    <row r="45" spans="1:88" x14ac:dyDescent="0.25">
      <c r="A45" s="89" t="s">
        <v>222</v>
      </c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30">
        <v>12</v>
      </c>
      <c r="AH45" s="12">
        <f t="shared" si="8"/>
        <v>0</v>
      </c>
      <c r="AI45" s="11">
        <f t="shared" si="9"/>
        <v>0</v>
      </c>
      <c r="AK45" s="19"/>
      <c r="AL45" s="128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  <c r="BI45" s="125"/>
      <c r="BJ45" s="125"/>
      <c r="BK45" s="125"/>
      <c r="BL45" s="125"/>
      <c r="BM45" s="125"/>
      <c r="BN45" s="125"/>
      <c r="BO45" s="125"/>
      <c r="BP45" s="125"/>
      <c r="BQ45" s="125"/>
      <c r="BR45" s="125"/>
      <c r="BS45" s="125"/>
      <c r="BT45" s="125"/>
      <c r="BU45" s="125"/>
      <c r="BV45" s="125"/>
      <c r="BW45" s="125"/>
      <c r="BX45" s="125"/>
      <c r="BY45" s="125"/>
      <c r="BZ45" s="125"/>
      <c r="CA45" s="125"/>
      <c r="CB45" s="125"/>
      <c r="CC45" s="125"/>
      <c r="CD45" s="125"/>
      <c r="CE45" s="125"/>
      <c r="CF45" s="125"/>
      <c r="CG45" s="125"/>
      <c r="CH45" s="125"/>
      <c r="CI45" s="125"/>
      <c r="CJ45" s="125"/>
    </row>
    <row r="46" spans="1:88" x14ac:dyDescent="0.25">
      <c r="A46" s="89" t="s">
        <v>221</v>
      </c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30">
        <v>12</v>
      </c>
      <c r="AH46" s="12">
        <f t="shared" si="8"/>
        <v>0</v>
      </c>
      <c r="AI46" s="11">
        <f t="shared" si="9"/>
        <v>0</v>
      </c>
      <c r="AK46" s="19"/>
      <c r="AL46" s="128"/>
      <c r="AM46" s="125"/>
      <c r="AN46" s="125"/>
      <c r="AO46" s="125"/>
      <c r="AP46" s="125"/>
      <c r="AQ46" s="125"/>
      <c r="AR46" s="125"/>
      <c r="AS46" s="125"/>
      <c r="AT46" s="125"/>
      <c r="AU46" s="125"/>
      <c r="AV46" s="125"/>
      <c r="AW46" s="125"/>
      <c r="AX46" s="125"/>
      <c r="AY46" s="125"/>
      <c r="AZ46" s="125"/>
      <c r="BA46" s="125"/>
      <c r="BB46" s="125"/>
      <c r="BC46" s="125"/>
      <c r="BD46" s="125"/>
      <c r="BE46" s="125"/>
      <c r="BF46" s="125"/>
      <c r="BG46" s="125"/>
      <c r="BH46" s="125"/>
      <c r="BI46" s="125"/>
      <c r="BJ46" s="125"/>
      <c r="BK46" s="125"/>
      <c r="BL46" s="125"/>
      <c r="BM46" s="125"/>
      <c r="BN46" s="125"/>
      <c r="BO46" s="125"/>
      <c r="BP46" s="125"/>
      <c r="BQ46" s="125"/>
      <c r="BR46" s="125"/>
      <c r="BS46" s="125"/>
      <c r="BT46" s="125"/>
      <c r="BU46" s="125"/>
      <c r="BV46" s="125"/>
      <c r="BW46" s="125"/>
      <c r="BX46" s="125"/>
      <c r="BY46" s="125"/>
      <c r="BZ46" s="125"/>
      <c r="CA46" s="125"/>
      <c r="CB46" s="125"/>
      <c r="CC46" s="125"/>
      <c r="CD46" s="125"/>
      <c r="CE46" s="125"/>
      <c r="CF46" s="125"/>
      <c r="CG46" s="125"/>
      <c r="CH46" s="125"/>
      <c r="CI46" s="125"/>
      <c r="CJ46" s="125"/>
    </row>
    <row r="47" spans="1:88" ht="14.25" customHeight="1" x14ac:dyDescent="0.25">
      <c r="A47" s="89" t="s">
        <v>220</v>
      </c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29">
        <v>22</v>
      </c>
      <c r="AH47" s="12">
        <f t="shared" si="8"/>
        <v>0</v>
      </c>
      <c r="AI47" s="11">
        <f t="shared" si="9"/>
        <v>0</v>
      </c>
      <c r="AK47" s="19"/>
      <c r="AL47" s="128"/>
      <c r="AM47" s="125"/>
      <c r="AN47" s="125"/>
      <c r="AO47" s="125"/>
      <c r="AP47" s="125"/>
      <c r="AQ47" s="127"/>
      <c r="AR47" s="126"/>
      <c r="AS47" s="125"/>
      <c r="AT47" s="125"/>
      <c r="AU47" s="125"/>
      <c r="AV47" s="125"/>
      <c r="AW47" s="125"/>
      <c r="AX47" s="125"/>
      <c r="AY47" s="125"/>
      <c r="AZ47" s="125"/>
      <c r="BA47" s="125"/>
      <c r="BB47" s="125"/>
      <c r="BC47" s="125"/>
      <c r="BD47" s="125"/>
      <c r="BE47" s="125"/>
      <c r="BF47" s="125"/>
      <c r="BG47" s="125"/>
      <c r="BH47" s="125"/>
      <c r="BI47" s="125"/>
      <c r="BJ47" s="125"/>
      <c r="BK47" s="125"/>
      <c r="BL47" s="125"/>
      <c r="BM47" s="125"/>
      <c r="BN47" s="125"/>
      <c r="BO47" s="125"/>
      <c r="BP47" s="125"/>
      <c r="BQ47" s="125"/>
      <c r="BR47" s="125"/>
      <c r="BS47" s="125"/>
      <c r="BT47" s="125"/>
      <c r="BU47" s="125"/>
      <c r="BV47" s="125"/>
      <c r="BW47" s="125"/>
      <c r="BX47" s="125"/>
      <c r="BY47" s="125"/>
      <c r="BZ47" s="125"/>
      <c r="CA47" s="125"/>
      <c r="CB47" s="125"/>
      <c r="CC47" s="125"/>
      <c r="CD47" s="125"/>
      <c r="CE47" s="125"/>
      <c r="CF47" s="125"/>
      <c r="CG47" s="125"/>
      <c r="CH47" s="125"/>
      <c r="CI47" s="125"/>
      <c r="CJ47" s="125"/>
    </row>
    <row r="48" spans="1:88" ht="14.25" customHeight="1" x14ac:dyDescent="0.25">
      <c r="A48" s="89" t="s">
        <v>219</v>
      </c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88">
        <v>11.88</v>
      </c>
      <c r="AH48" s="12">
        <f t="shared" si="8"/>
        <v>0</v>
      </c>
      <c r="AI48" s="11">
        <f t="shared" si="9"/>
        <v>0</v>
      </c>
      <c r="AK48" s="19"/>
      <c r="AL48" s="128"/>
      <c r="AM48" s="125"/>
      <c r="AN48" s="125"/>
      <c r="AO48" s="125"/>
      <c r="AP48" s="125"/>
      <c r="AQ48" s="127"/>
      <c r="AR48" s="126"/>
      <c r="AS48" s="125"/>
      <c r="AT48" s="125"/>
      <c r="AU48" s="125"/>
      <c r="AV48" s="125"/>
      <c r="AW48" s="125"/>
      <c r="AX48" s="125"/>
      <c r="AY48" s="125"/>
      <c r="AZ48" s="125"/>
      <c r="BA48" s="125"/>
      <c r="BB48" s="125"/>
      <c r="BC48" s="125"/>
      <c r="BD48" s="125"/>
      <c r="BE48" s="125"/>
      <c r="BF48" s="125"/>
      <c r="BG48" s="125"/>
      <c r="BH48" s="125"/>
      <c r="BI48" s="125"/>
      <c r="BJ48" s="125"/>
      <c r="BK48" s="125"/>
      <c r="BL48" s="125"/>
      <c r="BM48" s="125"/>
      <c r="BN48" s="125"/>
      <c r="BO48" s="125"/>
      <c r="BP48" s="125"/>
      <c r="BQ48" s="125"/>
      <c r="BR48" s="125"/>
      <c r="BS48" s="125"/>
      <c r="BT48" s="125"/>
      <c r="BU48" s="125"/>
      <c r="BV48" s="125"/>
      <c r="BW48" s="125"/>
      <c r="BX48" s="125"/>
      <c r="BY48" s="125"/>
      <c r="BZ48" s="125"/>
      <c r="CA48" s="125"/>
      <c r="CB48" s="125"/>
      <c r="CC48" s="125"/>
      <c r="CD48" s="125"/>
      <c r="CE48" s="125"/>
      <c r="CF48" s="125"/>
      <c r="CG48" s="125"/>
      <c r="CH48" s="125"/>
      <c r="CI48" s="125"/>
      <c r="CJ48" s="125"/>
    </row>
    <row r="49" spans="1:88" ht="14.25" customHeight="1" x14ac:dyDescent="0.25">
      <c r="A49" s="87" t="s">
        <v>218</v>
      </c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86">
        <v>11</v>
      </c>
      <c r="AH49" s="12">
        <f t="shared" si="8"/>
        <v>0</v>
      </c>
      <c r="AI49" s="11">
        <f t="shared" si="9"/>
        <v>0</v>
      </c>
      <c r="AK49" s="19"/>
      <c r="AL49" s="128"/>
      <c r="AM49" s="125"/>
      <c r="AN49" s="125"/>
      <c r="AO49" s="125"/>
      <c r="AP49" s="125"/>
      <c r="AQ49" s="127"/>
      <c r="AR49" s="126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  <c r="BI49" s="125"/>
      <c r="BJ49" s="125"/>
      <c r="BK49" s="125"/>
      <c r="BL49" s="125"/>
      <c r="BM49" s="125"/>
      <c r="BN49" s="125"/>
      <c r="BO49" s="125"/>
      <c r="BP49" s="125"/>
      <c r="BQ49" s="125"/>
      <c r="BR49" s="125"/>
      <c r="BS49" s="125"/>
      <c r="BT49" s="125"/>
      <c r="BU49" s="125"/>
      <c r="BV49" s="125"/>
      <c r="BW49" s="125"/>
      <c r="BX49" s="125"/>
      <c r="BY49" s="125"/>
      <c r="BZ49" s="125"/>
      <c r="CA49" s="125"/>
      <c r="CB49" s="125"/>
      <c r="CC49" s="125"/>
      <c r="CD49" s="125"/>
      <c r="CE49" s="125"/>
      <c r="CF49" s="125"/>
      <c r="CG49" s="125"/>
      <c r="CH49" s="125"/>
      <c r="CI49" s="125"/>
      <c r="CJ49" s="125"/>
    </row>
    <row r="50" spans="1:88" ht="14.25" customHeight="1" x14ac:dyDescent="0.25">
      <c r="A50" s="87" t="s">
        <v>217</v>
      </c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86">
        <v>11</v>
      </c>
      <c r="AH50" s="12">
        <f t="shared" ref="AH50:AH81" si="22">MAX(B50:AF50)</f>
        <v>0</v>
      </c>
      <c r="AI50" s="11">
        <f t="shared" ref="AI50:AI81" si="23">MIN(B50:AF50)</f>
        <v>0</v>
      </c>
      <c r="AK50" s="19"/>
      <c r="AL50" s="128"/>
      <c r="AM50" s="125"/>
      <c r="AN50" s="125"/>
      <c r="AO50" s="125"/>
      <c r="AP50" s="125"/>
      <c r="AQ50" s="127"/>
      <c r="AR50" s="126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  <c r="BI50" s="125"/>
      <c r="BJ50" s="125"/>
      <c r="BK50" s="125"/>
      <c r="BL50" s="125"/>
      <c r="BM50" s="125"/>
      <c r="BN50" s="125"/>
      <c r="BO50" s="125"/>
      <c r="BP50" s="125"/>
      <c r="BQ50" s="125"/>
      <c r="BR50" s="125"/>
      <c r="BS50" s="125"/>
      <c r="BT50" s="125"/>
      <c r="BU50" s="125"/>
      <c r="BV50" s="125"/>
      <c r="BW50" s="125"/>
      <c r="BX50" s="125"/>
      <c r="BY50" s="125"/>
      <c r="BZ50" s="125"/>
      <c r="CA50" s="125"/>
      <c r="CB50" s="125"/>
      <c r="CC50" s="125"/>
      <c r="CD50" s="125"/>
      <c r="CE50" s="125"/>
      <c r="CF50" s="125"/>
      <c r="CG50" s="125"/>
      <c r="CH50" s="125"/>
      <c r="CI50" s="125"/>
      <c r="CJ50" s="125"/>
    </row>
    <row r="51" spans="1:88" ht="14.25" customHeight="1" x14ac:dyDescent="0.25">
      <c r="A51" s="87" t="s">
        <v>216</v>
      </c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86">
        <v>11</v>
      </c>
      <c r="AH51" s="12">
        <f t="shared" si="22"/>
        <v>0</v>
      </c>
      <c r="AI51" s="11">
        <f t="shared" si="23"/>
        <v>0</v>
      </c>
      <c r="AK51" s="19"/>
      <c r="AL51" s="128"/>
      <c r="AM51" s="125"/>
      <c r="AN51" s="125"/>
      <c r="AO51" s="125"/>
      <c r="AP51" s="125"/>
      <c r="AQ51" s="127"/>
      <c r="AR51" s="126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25"/>
      <c r="BQ51" s="125"/>
      <c r="BR51" s="125"/>
      <c r="BS51" s="125"/>
      <c r="BT51" s="125"/>
      <c r="BU51" s="125"/>
      <c r="BV51" s="125"/>
      <c r="BW51" s="125"/>
      <c r="BX51" s="125"/>
      <c r="BY51" s="125"/>
      <c r="BZ51" s="125"/>
      <c r="CA51" s="125"/>
      <c r="CB51" s="125"/>
      <c r="CC51" s="125"/>
      <c r="CD51" s="125"/>
      <c r="CE51" s="125"/>
      <c r="CF51" s="125"/>
      <c r="CG51" s="125"/>
      <c r="CH51" s="125"/>
      <c r="CI51" s="125"/>
      <c r="CJ51" s="125"/>
    </row>
    <row r="52" spans="1:88" ht="14.25" customHeight="1" x14ac:dyDescent="0.25">
      <c r="A52" s="87" t="s">
        <v>215</v>
      </c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86">
        <v>10</v>
      </c>
      <c r="AH52" s="12">
        <f t="shared" si="22"/>
        <v>0</v>
      </c>
      <c r="AI52" s="11">
        <f t="shared" si="23"/>
        <v>0</v>
      </c>
      <c r="AK52" s="19"/>
      <c r="AL52" s="128"/>
      <c r="AM52" s="125"/>
      <c r="AN52" s="125"/>
      <c r="AO52" s="125"/>
      <c r="AP52" s="125"/>
      <c r="AQ52" s="127"/>
      <c r="AR52" s="126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  <c r="BI52" s="125"/>
      <c r="BJ52" s="125"/>
      <c r="BK52" s="125"/>
      <c r="BL52" s="125"/>
      <c r="BM52" s="125"/>
      <c r="BN52" s="125"/>
      <c r="BO52" s="125"/>
      <c r="BP52" s="125"/>
      <c r="BQ52" s="125"/>
      <c r="BR52" s="125"/>
      <c r="BS52" s="125"/>
      <c r="BT52" s="125"/>
      <c r="BU52" s="125"/>
      <c r="BV52" s="125"/>
      <c r="BW52" s="125"/>
      <c r="BX52" s="125"/>
      <c r="BY52" s="125"/>
      <c r="BZ52" s="125"/>
      <c r="CA52" s="125"/>
      <c r="CB52" s="125"/>
      <c r="CC52" s="125"/>
      <c r="CD52" s="125"/>
      <c r="CE52" s="125"/>
      <c r="CF52" s="125"/>
      <c r="CG52" s="125"/>
      <c r="CH52" s="125"/>
      <c r="CI52" s="125"/>
      <c r="CJ52" s="125"/>
    </row>
    <row r="53" spans="1:88" x14ac:dyDescent="0.25">
      <c r="A53" s="87" t="s">
        <v>214</v>
      </c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86">
        <v>10</v>
      </c>
      <c r="AH53" s="12">
        <f t="shared" si="22"/>
        <v>0</v>
      </c>
      <c r="AI53" s="11">
        <f t="shared" si="23"/>
        <v>0</v>
      </c>
      <c r="AK53" s="19"/>
      <c r="AL53" s="128"/>
      <c r="AO53" s="125"/>
      <c r="AP53" s="125"/>
      <c r="AQ53" s="127"/>
      <c r="AR53" s="126"/>
      <c r="AS53" s="125"/>
      <c r="AT53" s="125"/>
      <c r="AU53" s="125"/>
      <c r="AV53" s="125"/>
      <c r="AW53" s="125"/>
      <c r="AX53" s="125"/>
      <c r="AY53" s="125"/>
      <c r="AZ53" s="125"/>
      <c r="BA53" s="125"/>
      <c r="BB53" s="125"/>
      <c r="BC53" s="125"/>
      <c r="BD53" s="125"/>
      <c r="BE53" s="125"/>
      <c r="BF53" s="125"/>
      <c r="BG53" s="125"/>
      <c r="BH53" s="125"/>
      <c r="BI53" s="125"/>
      <c r="BJ53" s="125"/>
      <c r="BK53" s="125"/>
      <c r="BL53" s="125"/>
      <c r="BM53" s="125"/>
      <c r="BN53" s="125"/>
      <c r="BO53" s="125"/>
      <c r="BP53" s="125"/>
      <c r="BQ53" s="125"/>
      <c r="BR53" s="125"/>
      <c r="BS53" s="125"/>
      <c r="BT53" s="125"/>
      <c r="BU53" s="125"/>
      <c r="BV53" s="125"/>
      <c r="BW53" s="125"/>
      <c r="BX53" s="125"/>
      <c r="BY53" s="125"/>
      <c r="BZ53" s="125"/>
      <c r="CA53" s="125"/>
      <c r="CB53" s="125"/>
      <c r="CC53" s="125"/>
      <c r="CD53" s="125"/>
      <c r="CE53" s="125"/>
      <c r="CF53" s="125"/>
      <c r="CG53" s="125"/>
      <c r="CH53" s="125"/>
      <c r="CI53" s="125"/>
      <c r="CJ53" s="125"/>
    </row>
    <row r="54" spans="1:88" x14ac:dyDescent="0.25">
      <c r="A54" s="87" t="s">
        <v>213</v>
      </c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86">
        <v>10</v>
      </c>
      <c r="AH54" s="12">
        <f t="shared" si="22"/>
        <v>0</v>
      </c>
      <c r="AI54" s="11">
        <f t="shared" si="23"/>
        <v>0</v>
      </c>
      <c r="AK54" s="19"/>
      <c r="AL54" s="128"/>
      <c r="AO54" s="125"/>
      <c r="AP54" s="125"/>
      <c r="AQ54" s="127"/>
      <c r="AR54" s="126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  <c r="BI54" s="125"/>
      <c r="BJ54" s="125"/>
      <c r="BK54" s="125"/>
      <c r="BL54" s="125"/>
      <c r="BM54" s="125"/>
      <c r="BN54" s="125"/>
      <c r="BO54" s="125"/>
      <c r="BP54" s="125"/>
      <c r="BQ54" s="125"/>
      <c r="BR54" s="125"/>
      <c r="BS54" s="125"/>
      <c r="BT54" s="125"/>
      <c r="BU54" s="125"/>
      <c r="BV54" s="125"/>
      <c r="BW54" s="125"/>
      <c r="BX54" s="125"/>
      <c r="BY54" s="125"/>
      <c r="BZ54" s="125"/>
      <c r="CA54" s="125"/>
      <c r="CB54" s="125"/>
      <c r="CC54" s="125"/>
      <c r="CD54" s="125"/>
      <c r="CE54" s="125"/>
      <c r="CF54" s="125"/>
      <c r="CG54" s="125"/>
      <c r="CH54" s="125"/>
      <c r="CI54" s="125"/>
      <c r="CJ54" s="125"/>
    </row>
    <row r="55" spans="1:88" x14ac:dyDescent="0.25">
      <c r="A55" s="87" t="s">
        <v>212</v>
      </c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86">
        <v>10</v>
      </c>
      <c r="AH55" s="12">
        <f t="shared" si="22"/>
        <v>0</v>
      </c>
      <c r="AI55" s="11">
        <f t="shared" si="23"/>
        <v>0</v>
      </c>
      <c r="AK55" s="19"/>
      <c r="AL55" s="128"/>
      <c r="AO55" s="125"/>
      <c r="AP55" s="125"/>
      <c r="AQ55" s="127"/>
      <c r="AR55" s="126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  <c r="BI55" s="125"/>
      <c r="BJ55" s="125"/>
      <c r="BK55" s="125"/>
      <c r="BL55" s="125"/>
      <c r="BM55" s="125"/>
      <c r="BN55" s="125"/>
      <c r="BO55" s="125"/>
      <c r="BP55" s="125"/>
      <c r="BQ55" s="125"/>
      <c r="BR55" s="125"/>
      <c r="BS55" s="125"/>
      <c r="BT55" s="125"/>
      <c r="BU55" s="125"/>
      <c r="BV55" s="125"/>
      <c r="BW55" s="125"/>
      <c r="BX55" s="125"/>
      <c r="BY55" s="125"/>
      <c r="BZ55" s="125"/>
      <c r="CA55" s="125"/>
      <c r="CB55" s="125"/>
      <c r="CC55" s="125"/>
      <c r="CD55" s="125"/>
      <c r="CE55" s="125"/>
      <c r="CF55" s="125"/>
      <c r="CG55" s="125"/>
      <c r="CH55" s="125"/>
      <c r="CI55" s="125"/>
      <c r="CJ55" s="125"/>
    </row>
    <row r="56" spans="1:88" x14ac:dyDescent="0.25">
      <c r="A56" s="114" t="s">
        <v>211</v>
      </c>
      <c r="B56" s="122">
        <v>150</v>
      </c>
      <c r="C56" s="122">
        <v>150</v>
      </c>
      <c r="D56" s="122">
        <v>150</v>
      </c>
      <c r="E56" s="122">
        <v>150</v>
      </c>
      <c r="F56" s="122">
        <v>150</v>
      </c>
      <c r="G56" s="122">
        <v>150</v>
      </c>
      <c r="H56" s="122">
        <v>150</v>
      </c>
      <c r="I56" s="122">
        <v>150</v>
      </c>
      <c r="J56" s="122">
        <v>150</v>
      </c>
      <c r="K56" s="122">
        <v>150</v>
      </c>
      <c r="L56" s="122">
        <v>150</v>
      </c>
      <c r="M56" s="122">
        <v>150</v>
      </c>
      <c r="N56" s="122">
        <v>150</v>
      </c>
      <c r="O56" s="122">
        <v>150</v>
      </c>
      <c r="P56" s="122">
        <v>150</v>
      </c>
      <c r="Q56" s="122">
        <v>150</v>
      </c>
      <c r="R56" s="122">
        <v>150</v>
      </c>
      <c r="S56" s="122">
        <v>150</v>
      </c>
      <c r="T56" s="122">
        <v>150</v>
      </c>
      <c r="U56" s="122">
        <v>150</v>
      </c>
      <c r="V56" s="122">
        <v>150</v>
      </c>
      <c r="W56" s="122">
        <v>150</v>
      </c>
      <c r="X56" s="122">
        <v>150</v>
      </c>
      <c r="Y56" s="122">
        <v>150</v>
      </c>
      <c r="Z56" s="122">
        <v>150</v>
      </c>
      <c r="AA56" s="122">
        <v>150</v>
      </c>
      <c r="AB56" s="122">
        <v>150</v>
      </c>
      <c r="AC56" s="122">
        <v>150</v>
      </c>
      <c r="AD56" s="122">
        <v>150</v>
      </c>
      <c r="AE56" s="122">
        <v>150</v>
      </c>
      <c r="AF56" s="122">
        <v>150</v>
      </c>
      <c r="AG56" s="86">
        <v>85</v>
      </c>
      <c r="AH56" s="12">
        <f t="shared" si="22"/>
        <v>150</v>
      </c>
      <c r="AI56" s="11">
        <f t="shared" si="23"/>
        <v>150</v>
      </c>
      <c r="AK56" s="19"/>
    </row>
    <row r="57" spans="1:88" ht="15.75" thickBot="1" x14ac:dyDescent="0.3">
      <c r="A57" s="124" t="s">
        <v>210</v>
      </c>
      <c r="B57" s="122"/>
      <c r="C57" s="122"/>
      <c r="D57" s="122"/>
      <c r="E57" s="122"/>
      <c r="F57" s="122"/>
      <c r="G57" s="122"/>
      <c r="H57" s="122"/>
      <c r="I57" s="122"/>
      <c r="J57" s="122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2"/>
      <c r="Z57" s="122"/>
      <c r="AA57" s="122"/>
      <c r="AB57" s="122"/>
      <c r="AC57" s="122"/>
      <c r="AD57" s="122"/>
      <c r="AE57" s="122"/>
      <c r="AF57" s="122"/>
      <c r="AG57" s="86">
        <v>240</v>
      </c>
      <c r="AH57" s="12">
        <f t="shared" si="22"/>
        <v>0</v>
      </c>
      <c r="AI57" s="11">
        <f t="shared" si="23"/>
        <v>0</v>
      </c>
      <c r="AK57" s="19"/>
    </row>
    <row r="58" spans="1:88" ht="15.75" thickBot="1" x14ac:dyDescent="0.3">
      <c r="A58" s="121" t="s">
        <v>209</v>
      </c>
      <c r="B58" s="76">
        <f t="shared" ref="B58:AF58" si="24">SUM(B11:B56)</f>
        <v>150</v>
      </c>
      <c r="C58" s="76">
        <f t="shared" si="24"/>
        <v>150</v>
      </c>
      <c r="D58" s="76">
        <f t="shared" si="24"/>
        <v>150</v>
      </c>
      <c r="E58" s="76">
        <f t="shared" si="24"/>
        <v>150</v>
      </c>
      <c r="F58" s="76">
        <f t="shared" si="24"/>
        <v>150</v>
      </c>
      <c r="G58" s="76">
        <f t="shared" si="24"/>
        <v>150</v>
      </c>
      <c r="H58" s="76">
        <f t="shared" si="24"/>
        <v>150</v>
      </c>
      <c r="I58" s="76">
        <f t="shared" si="24"/>
        <v>150</v>
      </c>
      <c r="J58" s="76">
        <f t="shared" si="24"/>
        <v>150</v>
      </c>
      <c r="K58" s="76">
        <f t="shared" si="24"/>
        <v>150</v>
      </c>
      <c r="L58" s="76">
        <f t="shared" si="24"/>
        <v>150</v>
      </c>
      <c r="M58" s="76">
        <f t="shared" si="24"/>
        <v>150</v>
      </c>
      <c r="N58" s="76">
        <f t="shared" si="24"/>
        <v>150</v>
      </c>
      <c r="O58" s="76">
        <f t="shared" si="24"/>
        <v>150</v>
      </c>
      <c r="P58" s="76">
        <f t="shared" si="24"/>
        <v>150</v>
      </c>
      <c r="Q58" s="76">
        <f t="shared" si="24"/>
        <v>150</v>
      </c>
      <c r="R58" s="76">
        <f t="shared" si="24"/>
        <v>150</v>
      </c>
      <c r="S58" s="76">
        <f t="shared" si="24"/>
        <v>150</v>
      </c>
      <c r="T58" s="76">
        <f t="shared" si="24"/>
        <v>150</v>
      </c>
      <c r="U58" s="76">
        <f t="shared" si="24"/>
        <v>150</v>
      </c>
      <c r="V58" s="76">
        <f t="shared" si="24"/>
        <v>150</v>
      </c>
      <c r="W58" s="76">
        <f t="shared" si="24"/>
        <v>150</v>
      </c>
      <c r="X58" s="76">
        <f t="shared" si="24"/>
        <v>150</v>
      </c>
      <c r="Y58" s="76">
        <f t="shared" si="24"/>
        <v>150</v>
      </c>
      <c r="Z58" s="76">
        <f t="shared" si="24"/>
        <v>150</v>
      </c>
      <c r="AA58" s="76">
        <f t="shared" si="24"/>
        <v>150</v>
      </c>
      <c r="AB58" s="76">
        <f t="shared" si="24"/>
        <v>150</v>
      </c>
      <c r="AC58" s="76">
        <f t="shared" si="24"/>
        <v>150</v>
      </c>
      <c r="AD58" s="76">
        <f t="shared" si="24"/>
        <v>150</v>
      </c>
      <c r="AE58" s="76">
        <f t="shared" si="24"/>
        <v>150</v>
      </c>
      <c r="AF58" s="76">
        <f t="shared" si="24"/>
        <v>150</v>
      </c>
      <c r="AG58" s="93">
        <f>SUM(AG14:AG56)</f>
        <v>1042.4000000000001</v>
      </c>
      <c r="AH58" s="12">
        <f t="shared" si="22"/>
        <v>150</v>
      </c>
      <c r="AI58" s="11">
        <f t="shared" si="23"/>
        <v>150</v>
      </c>
      <c r="AK58" s="19"/>
    </row>
    <row r="59" spans="1:88" x14ac:dyDescent="0.25">
      <c r="A59" s="120" t="s">
        <v>208</v>
      </c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19"/>
      <c r="O59" s="119"/>
      <c r="P59" s="119"/>
      <c r="Q59" s="119"/>
      <c r="R59" s="119"/>
      <c r="S59" s="119"/>
      <c r="T59" s="119"/>
      <c r="U59" s="119"/>
      <c r="V59" s="119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88">
        <v>456</v>
      </c>
      <c r="AH59" s="12">
        <f t="shared" si="22"/>
        <v>0</v>
      </c>
      <c r="AI59" s="11">
        <f t="shared" si="23"/>
        <v>0</v>
      </c>
      <c r="AK59" s="19"/>
    </row>
    <row r="60" spans="1:88" x14ac:dyDescent="0.25">
      <c r="A60" s="118" t="s">
        <v>207</v>
      </c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86">
        <v>60</v>
      </c>
      <c r="AH60" s="12">
        <f t="shared" si="22"/>
        <v>0</v>
      </c>
      <c r="AI60" s="11">
        <f t="shared" si="23"/>
        <v>0</v>
      </c>
      <c r="AK60" s="19"/>
    </row>
    <row r="61" spans="1:88" ht="15.75" thickBot="1" x14ac:dyDescent="0.3">
      <c r="A61" s="117" t="s">
        <v>206</v>
      </c>
      <c r="B61" s="110"/>
      <c r="C61" s="110"/>
      <c r="D61" s="110"/>
      <c r="E61" s="110"/>
      <c r="F61" s="110"/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109">
        <v>22.1</v>
      </c>
      <c r="AH61" s="12">
        <f t="shared" si="22"/>
        <v>0</v>
      </c>
      <c r="AI61" s="11">
        <f t="shared" si="23"/>
        <v>0</v>
      </c>
      <c r="AK61" s="19"/>
    </row>
    <row r="62" spans="1:88" ht="15.75" thickBot="1" x14ac:dyDescent="0.3">
      <c r="A62" s="116" t="s">
        <v>205</v>
      </c>
      <c r="B62" s="76">
        <f t="shared" ref="B62:AG62" si="25">SUM(B59:B61)</f>
        <v>0</v>
      </c>
      <c r="C62" s="76">
        <f t="shared" si="25"/>
        <v>0</v>
      </c>
      <c r="D62" s="76">
        <f t="shared" si="25"/>
        <v>0</v>
      </c>
      <c r="E62" s="76">
        <f t="shared" si="25"/>
        <v>0</v>
      </c>
      <c r="F62" s="76">
        <f t="shared" si="25"/>
        <v>0</v>
      </c>
      <c r="G62" s="76">
        <f t="shared" si="25"/>
        <v>0</v>
      </c>
      <c r="H62" s="76">
        <f t="shared" si="25"/>
        <v>0</v>
      </c>
      <c r="I62" s="76">
        <f t="shared" si="25"/>
        <v>0</v>
      </c>
      <c r="J62" s="76">
        <f t="shared" si="25"/>
        <v>0</v>
      </c>
      <c r="K62" s="76">
        <f t="shared" si="25"/>
        <v>0</v>
      </c>
      <c r="L62" s="76">
        <f t="shared" si="25"/>
        <v>0</v>
      </c>
      <c r="M62" s="76">
        <f t="shared" si="25"/>
        <v>0</v>
      </c>
      <c r="N62" s="76">
        <f t="shared" si="25"/>
        <v>0</v>
      </c>
      <c r="O62" s="76">
        <f t="shared" si="25"/>
        <v>0</v>
      </c>
      <c r="P62" s="76">
        <f t="shared" si="25"/>
        <v>0</v>
      </c>
      <c r="Q62" s="76">
        <f t="shared" si="25"/>
        <v>0</v>
      </c>
      <c r="R62" s="76">
        <f t="shared" si="25"/>
        <v>0</v>
      </c>
      <c r="S62" s="76">
        <f t="shared" si="25"/>
        <v>0</v>
      </c>
      <c r="T62" s="76">
        <f t="shared" si="25"/>
        <v>0</v>
      </c>
      <c r="U62" s="76">
        <f t="shared" si="25"/>
        <v>0</v>
      </c>
      <c r="V62" s="76">
        <f t="shared" si="25"/>
        <v>0</v>
      </c>
      <c r="W62" s="76">
        <f t="shared" si="25"/>
        <v>0</v>
      </c>
      <c r="X62" s="76">
        <f t="shared" si="25"/>
        <v>0</v>
      </c>
      <c r="Y62" s="76">
        <f t="shared" si="25"/>
        <v>0</v>
      </c>
      <c r="Z62" s="76">
        <f t="shared" si="25"/>
        <v>0</v>
      </c>
      <c r="AA62" s="76">
        <f t="shared" si="25"/>
        <v>0</v>
      </c>
      <c r="AB62" s="76">
        <f t="shared" si="25"/>
        <v>0</v>
      </c>
      <c r="AC62" s="76">
        <f t="shared" si="25"/>
        <v>0</v>
      </c>
      <c r="AD62" s="76">
        <f t="shared" si="25"/>
        <v>0</v>
      </c>
      <c r="AE62" s="76">
        <f t="shared" si="25"/>
        <v>0</v>
      </c>
      <c r="AF62" s="76">
        <f t="shared" si="25"/>
        <v>0</v>
      </c>
      <c r="AG62" s="93">
        <f t="shared" si="25"/>
        <v>538.1</v>
      </c>
      <c r="AH62" s="12">
        <f t="shared" si="22"/>
        <v>0</v>
      </c>
      <c r="AI62" s="11">
        <f t="shared" si="23"/>
        <v>0</v>
      </c>
      <c r="AK62" s="19"/>
    </row>
    <row r="63" spans="1:88" x14ac:dyDescent="0.25">
      <c r="A63" s="89" t="s">
        <v>204</v>
      </c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88">
        <v>144</v>
      </c>
      <c r="AH63" s="12">
        <f t="shared" si="22"/>
        <v>0</v>
      </c>
      <c r="AI63" s="11">
        <f t="shared" si="23"/>
        <v>0</v>
      </c>
      <c r="AK63" s="19"/>
    </row>
    <row r="64" spans="1:88" x14ac:dyDescent="0.25">
      <c r="A64" s="87" t="s">
        <v>203</v>
      </c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86">
        <v>70</v>
      </c>
      <c r="AH64" s="12">
        <f t="shared" si="22"/>
        <v>0</v>
      </c>
      <c r="AI64" s="11">
        <f t="shared" si="23"/>
        <v>0</v>
      </c>
      <c r="AK64" s="19"/>
    </row>
    <row r="65" spans="1:75" x14ac:dyDescent="0.25">
      <c r="A65" s="87" t="s">
        <v>202</v>
      </c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86">
        <v>69</v>
      </c>
      <c r="AH65" s="12">
        <f t="shared" si="22"/>
        <v>0</v>
      </c>
      <c r="AI65" s="11">
        <f t="shared" si="23"/>
        <v>0</v>
      </c>
      <c r="AK65" s="19"/>
    </row>
    <row r="66" spans="1:75" x14ac:dyDescent="0.25">
      <c r="A66" s="87" t="s">
        <v>201</v>
      </c>
      <c r="B66" s="70"/>
      <c r="C66" s="70"/>
      <c r="D66" s="70"/>
      <c r="E66" s="70"/>
      <c r="F66" s="70"/>
      <c r="G66" s="70"/>
      <c r="H66" s="70"/>
      <c r="I66" s="70"/>
      <c r="J66" s="70"/>
      <c r="K66" s="122"/>
      <c r="L66" s="122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86">
        <v>60</v>
      </c>
      <c r="AH66" s="12">
        <f t="shared" si="22"/>
        <v>0</v>
      </c>
      <c r="AI66" s="11">
        <f t="shared" si="23"/>
        <v>0</v>
      </c>
      <c r="AK66" s="19"/>
    </row>
    <row r="67" spans="1:75" x14ac:dyDescent="0.25">
      <c r="A67" s="87" t="s">
        <v>200</v>
      </c>
      <c r="B67" s="102"/>
      <c r="C67" s="102"/>
      <c r="D67" s="102"/>
      <c r="E67" s="70"/>
      <c r="F67" s="70"/>
      <c r="G67" s="70"/>
      <c r="H67" s="70"/>
      <c r="I67" s="70"/>
      <c r="J67" s="70"/>
      <c r="K67" s="70"/>
      <c r="L67" s="122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86">
        <v>30</v>
      </c>
      <c r="AH67" s="12">
        <f t="shared" si="22"/>
        <v>0</v>
      </c>
      <c r="AI67" s="11">
        <f t="shared" si="23"/>
        <v>0</v>
      </c>
      <c r="AK67" s="19"/>
      <c r="AZ67" s="83">
        <v>1</v>
      </c>
      <c r="BA67" s="83">
        <v>2</v>
      </c>
      <c r="BB67" s="83">
        <v>3</v>
      </c>
      <c r="BC67" s="83">
        <v>4</v>
      </c>
      <c r="BD67" s="83">
        <v>5</v>
      </c>
      <c r="BE67" s="83">
        <v>6</v>
      </c>
      <c r="BF67" s="83">
        <v>7</v>
      </c>
      <c r="BG67" s="83">
        <v>8</v>
      </c>
      <c r="BH67" s="83">
        <v>9</v>
      </c>
      <c r="BI67" s="83">
        <v>10</v>
      </c>
      <c r="BJ67" s="83">
        <v>11</v>
      </c>
      <c r="BK67" s="83">
        <v>12</v>
      </c>
      <c r="BL67" s="83">
        <v>13</v>
      </c>
      <c r="BM67" s="83">
        <v>14</v>
      </c>
      <c r="BN67" s="83">
        <v>15</v>
      </c>
      <c r="BO67" s="83">
        <v>16</v>
      </c>
      <c r="BP67" s="83">
        <v>17</v>
      </c>
      <c r="BQ67" s="83">
        <v>18</v>
      </c>
      <c r="BR67" s="83">
        <v>19</v>
      </c>
      <c r="BS67" s="83">
        <v>20</v>
      </c>
      <c r="BT67" s="83">
        <v>21</v>
      </c>
      <c r="BU67" s="83">
        <v>22</v>
      </c>
      <c r="BV67" s="83">
        <v>23</v>
      </c>
      <c r="BW67" s="83">
        <v>24</v>
      </c>
    </row>
    <row r="68" spans="1:75" x14ac:dyDescent="0.25">
      <c r="A68" s="87" t="s">
        <v>199</v>
      </c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86">
        <v>25</v>
      </c>
      <c r="AH68" s="12">
        <f t="shared" si="22"/>
        <v>0</v>
      </c>
      <c r="AI68" s="11">
        <f t="shared" si="23"/>
        <v>0</v>
      </c>
      <c r="AK68" s="19"/>
      <c r="AY68" s="1" t="s">
        <v>198</v>
      </c>
      <c r="AZ68" s="78">
        <f>ROUND(C81,0)</f>
        <v>0</v>
      </c>
      <c r="BA68" s="83">
        <f t="shared" ref="BA68:BD72" si="26">D81</f>
        <v>0</v>
      </c>
      <c r="BB68" s="83">
        <f t="shared" si="26"/>
        <v>0</v>
      </c>
      <c r="BC68" s="83">
        <f t="shared" si="26"/>
        <v>0</v>
      </c>
      <c r="BD68" s="83">
        <f t="shared" si="26"/>
        <v>0</v>
      </c>
      <c r="BE68" s="78">
        <f>I81</f>
        <v>0</v>
      </c>
      <c r="BF68" s="78">
        <f>K81</f>
        <v>0</v>
      </c>
      <c r="BG68" s="78">
        <f t="shared" ref="BG68:BP72" si="27">M81</f>
        <v>0</v>
      </c>
      <c r="BH68" s="78">
        <f t="shared" si="27"/>
        <v>0</v>
      </c>
      <c r="BI68" s="78">
        <f t="shared" si="27"/>
        <v>0</v>
      </c>
      <c r="BJ68" s="78">
        <f t="shared" si="27"/>
        <v>0</v>
      </c>
      <c r="BK68" s="78">
        <f t="shared" si="27"/>
        <v>0</v>
      </c>
      <c r="BL68" s="78">
        <f t="shared" si="27"/>
        <v>0</v>
      </c>
      <c r="BM68" s="78">
        <f t="shared" si="27"/>
        <v>0</v>
      </c>
      <c r="BN68" s="78">
        <f t="shared" si="27"/>
        <v>0</v>
      </c>
      <c r="BO68" s="78">
        <f t="shared" si="27"/>
        <v>0</v>
      </c>
      <c r="BP68" s="78">
        <f t="shared" si="27"/>
        <v>0</v>
      </c>
      <c r="BQ68" s="78">
        <f>X81</f>
        <v>0</v>
      </c>
      <c r="BR68" s="78">
        <f>Z81</f>
        <v>0</v>
      </c>
      <c r="BS68" s="83">
        <f>AB81</f>
        <v>0</v>
      </c>
      <c r="BT68" s="83">
        <f t="shared" ref="BT68:BV72" si="28">AD81</f>
        <v>0</v>
      </c>
      <c r="BU68" s="83">
        <f t="shared" si="28"/>
        <v>0</v>
      </c>
      <c r="BV68" s="83">
        <f t="shared" si="28"/>
        <v>0</v>
      </c>
      <c r="BW68" s="83">
        <f>B81</f>
        <v>0</v>
      </c>
    </row>
    <row r="69" spans="1:75" x14ac:dyDescent="0.25">
      <c r="A69" s="87" t="s">
        <v>197</v>
      </c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86">
        <v>24</v>
      </c>
      <c r="AH69" s="12">
        <f t="shared" si="22"/>
        <v>0</v>
      </c>
      <c r="AI69" s="11">
        <f t="shared" si="23"/>
        <v>0</v>
      </c>
      <c r="AK69" s="19"/>
      <c r="AY69" s="1" t="s">
        <v>196</v>
      </c>
      <c r="AZ69" s="78">
        <f>ROUND(C82,0)</f>
        <v>0</v>
      </c>
      <c r="BA69" s="83">
        <f t="shared" si="26"/>
        <v>0</v>
      </c>
      <c r="BB69" s="83">
        <f t="shared" si="26"/>
        <v>0</v>
      </c>
      <c r="BC69" s="83">
        <f t="shared" si="26"/>
        <v>0</v>
      </c>
      <c r="BD69" s="83">
        <f t="shared" si="26"/>
        <v>0</v>
      </c>
      <c r="BE69" s="78">
        <f>I82</f>
        <v>0</v>
      </c>
      <c r="BF69" s="78">
        <f>K82</f>
        <v>0</v>
      </c>
      <c r="BG69" s="78">
        <f t="shared" si="27"/>
        <v>0</v>
      </c>
      <c r="BH69" s="78">
        <f t="shared" si="27"/>
        <v>0</v>
      </c>
      <c r="BI69" s="78">
        <f t="shared" si="27"/>
        <v>0</v>
      </c>
      <c r="BJ69" s="78">
        <f t="shared" si="27"/>
        <v>0</v>
      </c>
      <c r="BK69" s="78">
        <f t="shared" si="27"/>
        <v>0</v>
      </c>
      <c r="BL69" s="78">
        <f t="shared" si="27"/>
        <v>0</v>
      </c>
      <c r="BM69" s="78">
        <f t="shared" si="27"/>
        <v>0</v>
      </c>
      <c r="BN69" s="78">
        <f t="shared" si="27"/>
        <v>0</v>
      </c>
      <c r="BO69" s="78">
        <f t="shared" si="27"/>
        <v>0</v>
      </c>
      <c r="BP69" s="78">
        <f t="shared" si="27"/>
        <v>0</v>
      </c>
      <c r="BQ69" s="78">
        <f>X82</f>
        <v>0</v>
      </c>
      <c r="BR69" s="78">
        <f>Z82</f>
        <v>0</v>
      </c>
      <c r="BS69" s="83">
        <f>AB82</f>
        <v>0</v>
      </c>
      <c r="BT69" s="83">
        <f t="shared" si="28"/>
        <v>0</v>
      </c>
      <c r="BU69" s="83">
        <f t="shared" si="28"/>
        <v>0</v>
      </c>
      <c r="BV69" s="83">
        <f t="shared" si="28"/>
        <v>0</v>
      </c>
      <c r="BW69" s="83">
        <f>B82</f>
        <v>0</v>
      </c>
    </row>
    <row r="70" spans="1:75" x14ac:dyDescent="0.25">
      <c r="A70" s="87" t="s">
        <v>195</v>
      </c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86">
        <v>15</v>
      </c>
      <c r="AH70" s="12">
        <f t="shared" si="22"/>
        <v>0</v>
      </c>
      <c r="AI70" s="11">
        <f t="shared" si="23"/>
        <v>0</v>
      </c>
      <c r="AK70" s="19"/>
      <c r="AL70" s="115"/>
      <c r="AO70" s="115"/>
      <c r="AY70" s="1" t="s">
        <v>194</v>
      </c>
      <c r="AZ70" s="78">
        <f>ROUND(C83,0)</f>
        <v>0</v>
      </c>
      <c r="BA70" s="83">
        <f t="shared" si="26"/>
        <v>0</v>
      </c>
      <c r="BB70" s="83">
        <f t="shared" si="26"/>
        <v>0</v>
      </c>
      <c r="BC70" s="83">
        <f t="shared" si="26"/>
        <v>0</v>
      </c>
      <c r="BD70" s="83">
        <f t="shared" si="26"/>
        <v>0</v>
      </c>
      <c r="BE70" s="78">
        <f>I83</f>
        <v>0</v>
      </c>
      <c r="BF70" s="78">
        <f>K83</f>
        <v>0</v>
      </c>
      <c r="BG70" s="78">
        <f t="shared" si="27"/>
        <v>0</v>
      </c>
      <c r="BH70" s="78">
        <f t="shared" si="27"/>
        <v>0</v>
      </c>
      <c r="BI70" s="78">
        <f t="shared" si="27"/>
        <v>0</v>
      </c>
      <c r="BJ70" s="78">
        <f t="shared" si="27"/>
        <v>0</v>
      </c>
      <c r="BK70" s="78">
        <f t="shared" si="27"/>
        <v>0</v>
      </c>
      <c r="BL70" s="78">
        <f t="shared" si="27"/>
        <v>0</v>
      </c>
      <c r="BM70" s="78">
        <f t="shared" si="27"/>
        <v>0</v>
      </c>
      <c r="BN70" s="78">
        <f t="shared" si="27"/>
        <v>0</v>
      </c>
      <c r="BO70" s="78">
        <f t="shared" si="27"/>
        <v>0</v>
      </c>
      <c r="BP70" s="78">
        <f t="shared" si="27"/>
        <v>0</v>
      </c>
      <c r="BQ70" s="78">
        <f>X83</f>
        <v>0</v>
      </c>
      <c r="BR70" s="78">
        <f>Z83</f>
        <v>0</v>
      </c>
      <c r="BS70" s="83">
        <f>AB83</f>
        <v>0</v>
      </c>
      <c r="BT70" s="83">
        <f t="shared" si="28"/>
        <v>0</v>
      </c>
      <c r="BU70" s="83">
        <f t="shared" si="28"/>
        <v>0</v>
      </c>
      <c r="BV70" s="83">
        <f t="shared" si="28"/>
        <v>0</v>
      </c>
      <c r="BW70" s="83">
        <f>B83</f>
        <v>0</v>
      </c>
    </row>
    <row r="71" spans="1:75" s="115" customFormat="1" x14ac:dyDescent="0.25">
      <c r="A71" s="87" t="s">
        <v>193</v>
      </c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86">
        <v>14.1</v>
      </c>
      <c r="AH71" s="12">
        <f t="shared" si="22"/>
        <v>0</v>
      </c>
      <c r="AI71" s="11">
        <f t="shared" si="23"/>
        <v>0</v>
      </c>
      <c r="AJ71" s="1"/>
      <c r="AK71" s="19"/>
      <c r="AL71" s="1"/>
      <c r="AM71" s="1"/>
      <c r="AN71" s="1"/>
      <c r="AO71" s="1"/>
      <c r="AY71" s="115" t="s">
        <v>192</v>
      </c>
      <c r="AZ71" s="78">
        <f>ROUND(C84,0)</f>
        <v>0</v>
      </c>
      <c r="BA71" s="83">
        <f t="shared" si="26"/>
        <v>0</v>
      </c>
      <c r="BB71" s="83">
        <f t="shared" si="26"/>
        <v>0</v>
      </c>
      <c r="BC71" s="83">
        <f t="shared" si="26"/>
        <v>0</v>
      </c>
      <c r="BD71" s="83">
        <f t="shared" si="26"/>
        <v>0</v>
      </c>
      <c r="BE71" s="78">
        <f>I84</f>
        <v>0</v>
      </c>
      <c r="BF71" s="78">
        <f>K84</f>
        <v>0</v>
      </c>
      <c r="BG71" s="78">
        <f t="shared" si="27"/>
        <v>0</v>
      </c>
      <c r="BH71" s="78">
        <f t="shared" si="27"/>
        <v>0</v>
      </c>
      <c r="BI71" s="78">
        <f t="shared" si="27"/>
        <v>0</v>
      </c>
      <c r="BJ71" s="78">
        <f t="shared" si="27"/>
        <v>0</v>
      </c>
      <c r="BK71" s="78">
        <f t="shared" si="27"/>
        <v>0</v>
      </c>
      <c r="BL71" s="78">
        <f t="shared" si="27"/>
        <v>0</v>
      </c>
      <c r="BM71" s="78">
        <f t="shared" si="27"/>
        <v>0</v>
      </c>
      <c r="BN71" s="78">
        <f t="shared" si="27"/>
        <v>0</v>
      </c>
      <c r="BO71" s="78">
        <f t="shared" si="27"/>
        <v>0</v>
      </c>
      <c r="BP71" s="78">
        <f t="shared" si="27"/>
        <v>0</v>
      </c>
      <c r="BQ71" s="78">
        <f>X84</f>
        <v>0</v>
      </c>
      <c r="BR71" s="78">
        <f>Z84</f>
        <v>0</v>
      </c>
      <c r="BS71" s="83">
        <f>AB84</f>
        <v>0</v>
      </c>
      <c r="BT71" s="83">
        <f t="shared" si="28"/>
        <v>0</v>
      </c>
      <c r="BU71" s="83">
        <f t="shared" si="28"/>
        <v>0</v>
      </c>
      <c r="BV71" s="83">
        <f t="shared" si="28"/>
        <v>0</v>
      </c>
      <c r="BW71" s="83">
        <f>B84</f>
        <v>0</v>
      </c>
    </row>
    <row r="72" spans="1:75" x14ac:dyDescent="0.25">
      <c r="A72" s="111" t="s">
        <v>191</v>
      </c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86">
        <v>14</v>
      </c>
      <c r="AH72" s="12">
        <f t="shared" si="22"/>
        <v>0</v>
      </c>
      <c r="AI72" s="11">
        <f t="shared" si="23"/>
        <v>0</v>
      </c>
      <c r="AK72" s="19"/>
      <c r="AY72" s="1" t="s">
        <v>190</v>
      </c>
      <c r="AZ72" s="78">
        <f>ROUND(C85,0)</f>
        <v>0</v>
      </c>
      <c r="BA72" s="83">
        <f t="shared" si="26"/>
        <v>0</v>
      </c>
      <c r="BB72" s="83">
        <f t="shared" si="26"/>
        <v>0</v>
      </c>
      <c r="BC72" s="83">
        <f t="shared" si="26"/>
        <v>0</v>
      </c>
      <c r="BD72" s="83">
        <f t="shared" si="26"/>
        <v>0</v>
      </c>
      <c r="BE72" s="78">
        <f>I85</f>
        <v>0</v>
      </c>
      <c r="BF72" s="78">
        <f>K85</f>
        <v>0</v>
      </c>
      <c r="BG72" s="78">
        <f t="shared" si="27"/>
        <v>0</v>
      </c>
      <c r="BH72" s="78">
        <f t="shared" si="27"/>
        <v>0</v>
      </c>
      <c r="BI72" s="78">
        <f t="shared" si="27"/>
        <v>0</v>
      </c>
      <c r="BJ72" s="78">
        <f t="shared" si="27"/>
        <v>0</v>
      </c>
      <c r="BK72" s="78">
        <f t="shared" si="27"/>
        <v>0</v>
      </c>
      <c r="BL72" s="78">
        <f t="shared" si="27"/>
        <v>0</v>
      </c>
      <c r="BM72" s="78">
        <f t="shared" si="27"/>
        <v>0</v>
      </c>
      <c r="BN72" s="78">
        <f t="shared" si="27"/>
        <v>0</v>
      </c>
      <c r="BO72" s="78">
        <f t="shared" si="27"/>
        <v>0</v>
      </c>
      <c r="BP72" s="78">
        <f t="shared" si="27"/>
        <v>0</v>
      </c>
      <c r="BQ72" s="78">
        <f>X85</f>
        <v>0</v>
      </c>
      <c r="BR72" s="78">
        <f>Z85</f>
        <v>0</v>
      </c>
      <c r="BS72" s="83">
        <f>AB85</f>
        <v>0</v>
      </c>
      <c r="BT72" s="83">
        <f t="shared" si="28"/>
        <v>0</v>
      </c>
      <c r="BU72" s="83">
        <f t="shared" si="28"/>
        <v>0</v>
      </c>
      <c r="BV72" s="83">
        <f t="shared" si="28"/>
        <v>0</v>
      </c>
      <c r="BW72" s="83">
        <f>B85</f>
        <v>0</v>
      </c>
    </row>
    <row r="73" spans="1:75" x14ac:dyDescent="0.25">
      <c r="A73" s="87" t="s">
        <v>189</v>
      </c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86">
        <v>10.050000000000001</v>
      </c>
      <c r="AH73" s="12">
        <f t="shared" si="22"/>
        <v>0</v>
      </c>
      <c r="AI73" s="11">
        <f t="shared" si="23"/>
        <v>0</v>
      </c>
      <c r="AK73" s="19"/>
      <c r="AY73" s="1" t="s">
        <v>188</v>
      </c>
      <c r="AZ73" s="78">
        <f>ROUND(C91,0)</f>
        <v>0</v>
      </c>
      <c r="BA73" s="78">
        <f>D91</f>
        <v>0</v>
      </c>
      <c r="BB73" s="78">
        <f>E91</f>
        <v>0</v>
      </c>
      <c r="BC73" s="78">
        <f>F91</f>
        <v>0</v>
      </c>
      <c r="BD73" s="78">
        <f>G91</f>
        <v>0</v>
      </c>
      <c r="BE73" s="78">
        <f>I91</f>
        <v>0</v>
      </c>
      <c r="BF73" s="78">
        <f>K91</f>
        <v>0</v>
      </c>
      <c r="BG73" s="78">
        <f t="shared" ref="BG73:BP73" si="29">M91</f>
        <v>0</v>
      </c>
      <c r="BH73" s="78">
        <f t="shared" si="29"/>
        <v>0</v>
      </c>
      <c r="BI73" s="78">
        <f t="shared" si="29"/>
        <v>0</v>
      </c>
      <c r="BJ73" s="78">
        <f t="shared" si="29"/>
        <v>0</v>
      </c>
      <c r="BK73" s="78">
        <f t="shared" si="29"/>
        <v>0</v>
      </c>
      <c r="BL73" s="78">
        <f t="shared" si="29"/>
        <v>0</v>
      </c>
      <c r="BM73" s="78">
        <f t="shared" si="29"/>
        <v>0</v>
      </c>
      <c r="BN73" s="78">
        <f t="shared" si="29"/>
        <v>0</v>
      </c>
      <c r="BO73" s="78">
        <f t="shared" si="29"/>
        <v>0</v>
      </c>
      <c r="BP73" s="78">
        <f t="shared" si="29"/>
        <v>0</v>
      </c>
      <c r="BQ73" s="78">
        <f>X91</f>
        <v>0</v>
      </c>
      <c r="BR73" s="78">
        <f>Z91</f>
        <v>0</v>
      </c>
      <c r="BS73" s="78">
        <f>AB91</f>
        <v>0</v>
      </c>
      <c r="BT73" s="78">
        <f>AD91</f>
        <v>0</v>
      </c>
      <c r="BU73" s="78">
        <f>AE91</f>
        <v>0</v>
      </c>
      <c r="BV73" s="78">
        <f>AF91</f>
        <v>0</v>
      </c>
      <c r="BW73" s="78">
        <f>B91</f>
        <v>0</v>
      </c>
    </row>
    <row r="74" spans="1:75" x14ac:dyDescent="0.25">
      <c r="A74" s="87" t="s">
        <v>187</v>
      </c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86">
        <v>6.2</v>
      </c>
      <c r="AH74" s="12">
        <f t="shared" si="22"/>
        <v>0</v>
      </c>
      <c r="AI74" s="11">
        <f t="shared" si="23"/>
        <v>0</v>
      </c>
      <c r="AK74" s="19"/>
      <c r="AZ74" s="78"/>
      <c r="BA74" s="83"/>
      <c r="BB74" s="83"/>
      <c r="BC74" s="83"/>
      <c r="BD74" s="83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83"/>
      <c r="BT74" s="83"/>
      <c r="BU74" s="83"/>
      <c r="BV74" s="83"/>
      <c r="BW74" s="83"/>
    </row>
    <row r="75" spans="1:75" ht="15.75" thickBot="1" x14ac:dyDescent="0.3">
      <c r="A75" s="114" t="s">
        <v>10</v>
      </c>
      <c r="B75" s="113">
        <v>3.54</v>
      </c>
      <c r="C75" s="113">
        <v>3.54</v>
      </c>
      <c r="D75" s="113">
        <v>3.54</v>
      </c>
      <c r="E75" s="113">
        <v>3.54</v>
      </c>
      <c r="F75" s="113">
        <v>3.54</v>
      </c>
      <c r="G75" s="113">
        <v>3.54</v>
      </c>
      <c r="H75" s="113">
        <v>3.54</v>
      </c>
      <c r="I75" s="113">
        <v>3.54</v>
      </c>
      <c r="J75" s="113">
        <v>3.54</v>
      </c>
      <c r="K75" s="113">
        <v>3.54</v>
      </c>
      <c r="L75" s="113">
        <v>3.54</v>
      </c>
      <c r="M75" s="113">
        <v>3.54</v>
      </c>
      <c r="N75" s="113">
        <v>3.54</v>
      </c>
      <c r="O75" s="113">
        <v>3.54</v>
      </c>
      <c r="P75" s="113">
        <v>3.54</v>
      </c>
      <c r="Q75" s="113">
        <v>3.54</v>
      </c>
      <c r="R75" s="113">
        <v>3.54</v>
      </c>
      <c r="S75" s="113">
        <v>3.54</v>
      </c>
      <c r="T75" s="113">
        <v>3.54</v>
      </c>
      <c r="U75" s="113">
        <v>3.54</v>
      </c>
      <c r="V75" s="113">
        <v>3.54</v>
      </c>
      <c r="W75" s="113">
        <v>3.54</v>
      </c>
      <c r="X75" s="113">
        <v>3.54</v>
      </c>
      <c r="Y75" s="113">
        <v>3.5</v>
      </c>
      <c r="Z75" s="113">
        <v>5.5</v>
      </c>
      <c r="AA75" s="113">
        <v>3.54</v>
      </c>
      <c r="AB75" s="113">
        <v>3.54</v>
      </c>
      <c r="AC75" s="113">
        <v>3.54</v>
      </c>
      <c r="AD75" s="113">
        <v>3.54</v>
      </c>
      <c r="AE75" s="113">
        <v>3.54</v>
      </c>
      <c r="AF75" s="113">
        <v>3.54</v>
      </c>
      <c r="AG75" s="112">
        <f>AG252</f>
        <v>8.56</v>
      </c>
      <c r="AH75" s="12">
        <f t="shared" si="22"/>
        <v>5.5</v>
      </c>
      <c r="AI75" s="11">
        <f t="shared" si="23"/>
        <v>3.5</v>
      </c>
      <c r="AK75" s="19"/>
      <c r="AZ75" s="78">
        <f t="shared" ref="AZ75:BW75" si="30">VALUE(AZ68)</f>
        <v>0</v>
      </c>
      <c r="BA75" s="78">
        <f t="shared" si="30"/>
        <v>0</v>
      </c>
      <c r="BB75" s="78">
        <f t="shared" si="30"/>
        <v>0</v>
      </c>
      <c r="BC75" s="78">
        <f t="shared" si="30"/>
        <v>0</v>
      </c>
      <c r="BD75" s="78">
        <f t="shared" si="30"/>
        <v>0</v>
      </c>
      <c r="BE75" s="78">
        <f t="shared" si="30"/>
        <v>0</v>
      </c>
      <c r="BF75" s="78">
        <f t="shared" si="30"/>
        <v>0</v>
      </c>
      <c r="BG75" s="78">
        <f t="shared" si="30"/>
        <v>0</v>
      </c>
      <c r="BH75" s="78">
        <f t="shared" si="30"/>
        <v>0</v>
      </c>
      <c r="BI75" s="78">
        <f t="shared" si="30"/>
        <v>0</v>
      </c>
      <c r="BJ75" s="78">
        <f t="shared" si="30"/>
        <v>0</v>
      </c>
      <c r="BK75" s="78">
        <f t="shared" si="30"/>
        <v>0</v>
      </c>
      <c r="BL75" s="78">
        <f t="shared" si="30"/>
        <v>0</v>
      </c>
      <c r="BM75" s="78">
        <f t="shared" si="30"/>
        <v>0</v>
      </c>
      <c r="BN75" s="78">
        <f t="shared" si="30"/>
        <v>0</v>
      </c>
      <c r="BO75" s="78">
        <f t="shared" si="30"/>
        <v>0</v>
      </c>
      <c r="BP75" s="78">
        <f t="shared" si="30"/>
        <v>0</v>
      </c>
      <c r="BQ75" s="78">
        <f t="shared" si="30"/>
        <v>0</v>
      </c>
      <c r="BR75" s="78">
        <f t="shared" si="30"/>
        <v>0</v>
      </c>
      <c r="BS75" s="78">
        <f t="shared" si="30"/>
        <v>0</v>
      </c>
      <c r="BT75" s="78">
        <f t="shared" si="30"/>
        <v>0</v>
      </c>
      <c r="BU75" s="78">
        <f t="shared" si="30"/>
        <v>0</v>
      </c>
      <c r="BV75" s="78">
        <f t="shared" si="30"/>
        <v>0</v>
      </c>
      <c r="BW75" s="78">
        <f t="shared" si="30"/>
        <v>0</v>
      </c>
    </row>
    <row r="76" spans="1:75" ht="15.75" thickBot="1" x14ac:dyDescent="0.3">
      <c r="A76" s="77" t="s">
        <v>186</v>
      </c>
      <c r="B76" s="76">
        <f t="shared" ref="B76:AG76" si="31">SUM(B63:B75)</f>
        <v>3.54</v>
      </c>
      <c r="C76" s="76">
        <f t="shared" si="31"/>
        <v>3.54</v>
      </c>
      <c r="D76" s="76">
        <f t="shared" si="31"/>
        <v>3.54</v>
      </c>
      <c r="E76" s="76">
        <f t="shared" si="31"/>
        <v>3.54</v>
      </c>
      <c r="F76" s="76">
        <f t="shared" si="31"/>
        <v>3.54</v>
      </c>
      <c r="G76" s="76">
        <f t="shared" si="31"/>
        <v>3.54</v>
      </c>
      <c r="H76" s="76">
        <f t="shared" si="31"/>
        <v>3.54</v>
      </c>
      <c r="I76" s="76">
        <f t="shared" si="31"/>
        <v>3.54</v>
      </c>
      <c r="J76" s="76">
        <f t="shared" si="31"/>
        <v>3.54</v>
      </c>
      <c r="K76" s="76">
        <f t="shared" si="31"/>
        <v>3.54</v>
      </c>
      <c r="L76" s="76">
        <f t="shared" si="31"/>
        <v>3.54</v>
      </c>
      <c r="M76" s="76">
        <f t="shared" si="31"/>
        <v>3.54</v>
      </c>
      <c r="N76" s="76">
        <f t="shared" si="31"/>
        <v>3.54</v>
      </c>
      <c r="O76" s="76">
        <f t="shared" si="31"/>
        <v>3.54</v>
      </c>
      <c r="P76" s="76">
        <f t="shared" si="31"/>
        <v>3.54</v>
      </c>
      <c r="Q76" s="76">
        <f t="shared" si="31"/>
        <v>3.54</v>
      </c>
      <c r="R76" s="76">
        <f t="shared" si="31"/>
        <v>3.54</v>
      </c>
      <c r="S76" s="76">
        <f t="shared" si="31"/>
        <v>3.54</v>
      </c>
      <c r="T76" s="76">
        <f t="shared" si="31"/>
        <v>3.54</v>
      </c>
      <c r="U76" s="76">
        <f t="shared" si="31"/>
        <v>3.54</v>
      </c>
      <c r="V76" s="76">
        <f t="shared" si="31"/>
        <v>3.54</v>
      </c>
      <c r="W76" s="76">
        <f t="shared" si="31"/>
        <v>3.54</v>
      </c>
      <c r="X76" s="76">
        <f t="shared" si="31"/>
        <v>3.54</v>
      </c>
      <c r="Y76" s="76">
        <f t="shared" si="31"/>
        <v>3.5</v>
      </c>
      <c r="Z76" s="76">
        <f t="shared" si="31"/>
        <v>5.5</v>
      </c>
      <c r="AA76" s="76">
        <f t="shared" si="31"/>
        <v>3.54</v>
      </c>
      <c r="AB76" s="76">
        <f t="shared" si="31"/>
        <v>3.54</v>
      </c>
      <c r="AC76" s="76">
        <f t="shared" si="31"/>
        <v>3.54</v>
      </c>
      <c r="AD76" s="76">
        <f t="shared" si="31"/>
        <v>3.54</v>
      </c>
      <c r="AE76" s="76">
        <f t="shared" si="31"/>
        <v>3.54</v>
      </c>
      <c r="AF76" s="76">
        <f t="shared" si="31"/>
        <v>3.54</v>
      </c>
      <c r="AG76" s="93">
        <f t="shared" si="31"/>
        <v>489.91</v>
      </c>
      <c r="AH76" s="12">
        <f t="shared" si="22"/>
        <v>5.5</v>
      </c>
      <c r="AI76" s="11">
        <f t="shared" si="23"/>
        <v>3.5</v>
      </c>
      <c r="AK76" s="19"/>
      <c r="AZ76" s="78">
        <f t="shared" ref="AZ76:BW76" si="32">VALUE(AZ69)</f>
        <v>0</v>
      </c>
      <c r="BA76" s="78">
        <f t="shared" si="32"/>
        <v>0</v>
      </c>
      <c r="BB76" s="78">
        <f t="shared" si="32"/>
        <v>0</v>
      </c>
      <c r="BC76" s="78">
        <f t="shared" si="32"/>
        <v>0</v>
      </c>
      <c r="BD76" s="78">
        <f t="shared" si="32"/>
        <v>0</v>
      </c>
      <c r="BE76" s="78">
        <f t="shared" si="32"/>
        <v>0</v>
      </c>
      <c r="BF76" s="78">
        <f t="shared" si="32"/>
        <v>0</v>
      </c>
      <c r="BG76" s="78">
        <f t="shared" si="32"/>
        <v>0</v>
      </c>
      <c r="BH76" s="78">
        <f t="shared" si="32"/>
        <v>0</v>
      </c>
      <c r="BI76" s="78">
        <f t="shared" si="32"/>
        <v>0</v>
      </c>
      <c r="BJ76" s="78">
        <f t="shared" si="32"/>
        <v>0</v>
      </c>
      <c r="BK76" s="78">
        <f t="shared" si="32"/>
        <v>0</v>
      </c>
      <c r="BL76" s="78">
        <f t="shared" si="32"/>
        <v>0</v>
      </c>
      <c r="BM76" s="78">
        <f t="shared" si="32"/>
        <v>0</v>
      </c>
      <c r="BN76" s="78">
        <f t="shared" si="32"/>
        <v>0</v>
      </c>
      <c r="BO76" s="78">
        <f t="shared" si="32"/>
        <v>0</v>
      </c>
      <c r="BP76" s="78">
        <f t="shared" si="32"/>
        <v>0</v>
      </c>
      <c r="BQ76" s="78">
        <f t="shared" si="32"/>
        <v>0</v>
      </c>
      <c r="BR76" s="78">
        <f t="shared" si="32"/>
        <v>0</v>
      </c>
      <c r="BS76" s="78">
        <f t="shared" si="32"/>
        <v>0</v>
      </c>
      <c r="BT76" s="78">
        <f t="shared" si="32"/>
        <v>0</v>
      </c>
      <c r="BU76" s="78">
        <f t="shared" si="32"/>
        <v>0</v>
      </c>
      <c r="BV76" s="78">
        <f t="shared" si="32"/>
        <v>0</v>
      </c>
      <c r="BW76" s="78">
        <f t="shared" si="32"/>
        <v>0</v>
      </c>
    </row>
    <row r="77" spans="1:75" x14ac:dyDescent="0.25">
      <c r="A77" s="89" t="s">
        <v>185</v>
      </c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88">
        <v>60</v>
      </c>
      <c r="AH77" s="12">
        <f t="shared" si="22"/>
        <v>0</v>
      </c>
      <c r="AI77" s="11">
        <f t="shared" si="23"/>
        <v>0</v>
      </c>
      <c r="AK77" s="19"/>
      <c r="AZ77" s="78">
        <f t="shared" ref="AZ77:BW77" si="33">VALUE(AZ70)</f>
        <v>0</v>
      </c>
      <c r="BA77" s="78">
        <f t="shared" si="33"/>
        <v>0</v>
      </c>
      <c r="BB77" s="78">
        <f t="shared" si="33"/>
        <v>0</v>
      </c>
      <c r="BC77" s="78">
        <f t="shared" si="33"/>
        <v>0</v>
      </c>
      <c r="BD77" s="78">
        <f t="shared" si="33"/>
        <v>0</v>
      </c>
      <c r="BE77" s="78">
        <f t="shared" si="33"/>
        <v>0</v>
      </c>
      <c r="BF77" s="78">
        <f t="shared" si="33"/>
        <v>0</v>
      </c>
      <c r="BG77" s="78">
        <f t="shared" si="33"/>
        <v>0</v>
      </c>
      <c r="BH77" s="78">
        <f t="shared" si="33"/>
        <v>0</v>
      </c>
      <c r="BI77" s="78">
        <f t="shared" si="33"/>
        <v>0</v>
      </c>
      <c r="BJ77" s="78">
        <f t="shared" si="33"/>
        <v>0</v>
      </c>
      <c r="BK77" s="78">
        <f t="shared" si="33"/>
        <v>0</v>
      </c>
      <c r="BL77" s="78">
        <f t="shared" si="33"/>
        <v>0</v>
      </c>
      <c r="BM77" s="78">
        <f t="shared" si="33"/>
        <v>0</v>
      </c>
      <c r="BN77" s="78">
        <f t="shared" si="33"/>
        <v>0</v>
      </c>
      <c r="BO77" s="78">
        <f t="shared" si="33"/>
        <v>0</v>
      </c>
      <c r="BP77" s="78">
        <f t="shared" si="33"/>
        <v>0</v>
      </c>
      <c r="BQ77" s="78">
        <f t="shared" si="33"/>
        <v>0</v>
      </c>
      <c r="BR77" s="78">
        <f t="shared" si="33"/>
        <v>0</v>
      </c>
      <c r="BS77" s="78">
        <f t="shared" si="33"/>
        <v>0</v>
      </c>
      <c r="BT77" s="78">
        <f t="shared" si="33"/>
        <v>0</v>
      </c>
      <c r="BU77" s="78">
        <f t="shared" si="33"/>
        <v>0</v>
      </c>
      <c r="BV77" s="78">
        <f t="shared" si="33"/>
        <v>0</v>
      </c>
      <c r="BW77" s="78">
        <f t="shared" si="33"/>
        <v>0</v>
      </c>
    </row>
    <row r="78" spans="1:75" x14ac:dyDescent="0.25">
      <c r="A78" s="87" t="s">
        <v>184</v>
      </c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86">
        <v>32</v>
      </c>
      <c r="AH78" s="12">
        <f t="shared" si="22"/>
        <v>0</v>
      </c>
      <c r="AI78" s="11">
        <f t="shared" si="23"/>
        <v>0</v>
      </c>
      <c r="AK78" s="19"/>
      <c r="AZ78" s="78">
        <f t="shared" ref="AZ78:BW78" si="34">VALUE(AZ71)</f>
        <v>0</v>
      </c>
      <c r="BA78" s="78">
        <f t="shared" si="34"/>
        <v>0</v>
      </c>
      <c r="BB78" s="78">
        <f t="shared" si="34"/>
        <v>0</v>
      </c>
      <c r="BC78" s="78">
        <f t="shared" si="34"/>
        <v>0</v>
      </c>
      <c r="BD78" s="78">
        <f t="shared" si="34"/>
        <v>0</v>
      </c>
      <c r="BE78" s="78">
        <f t="shared" si="34"/>
        <v>0</v>
      </c>
      <c r="BF78" s="78">
        <f t="shared" si="34"/>
        <v>0</v>
      </c>
      <c r="BG78" s="78">
        <f t="shared" si="34"/>
        <v>0</v>
      </c>
      <c r="BH78" s="78">
        <f t="shared" si="34"/>
        <v>0</v>
      </c>
      <c r="BI78" s="78">
        <f t="shared" si="34"/>
        <v>0</v>
      </c>
      <c r="BJ78" s="78">
        <f t="shared" si="34"/>
        <v>0</v>
      </c>
      <c r="BK78" s="78">
        <f t="shared" si="34"/>
        <v>0</v>
      </c>
      <c r="BL78" s="78">
        <f t="shared" si="34"/>
        <v>0</v>
      </c>
      <c r="BM78" s="78">
        <f t="shared" si="34"/>
        <v>0</v>
      </c>
      <c r="BN78" s="78">
        <f t="shared" si="34"/>
        <v>0</v>
      </c>
      <c r="BO78" s="78">
        <f t="shared" si="34"/>
        <v>0</v>
      </c>
      <c r="BP78" s="78">
        <f t="shared" si="34"/>
        <v>0</v>
      </c>
      <c r="BQ78" s="78">
        <f t="shared" si="34"/>
        <v>0</v>
      </c>
      <c r="BR78" s="78">
        <f t="shared" si="34"/>
        <v>0</v>
      </c>
      <c r="BS78" s="78">
        <f t="shared" si="34"/>
        <v>0</v>
      </c>
      <c r="BT78" s="78">
        <f t="shared" si="34"/>
        <v>0</v>
      </c>
      <c r="BU78" s="78">
        <f t="shared" si="34"/>
        <v>0</v>
      </c>
      <c r="BV78" s="78">
        <f t="shared" si="34"/>
        <v>0</v>
      </c>
      <c r="BW78" s="78">
        <f t="shared" si="34"/>
        <v>0</v>
      </c>
    </row>
    <row r="79" spans="1:75" ht="15.75" thickBot="1" x14ac:dyDescent="0.3">
      <c r="A79" s="111" t="s">
        <v>183</v>
      </c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09">
        <v>14</v>
      </c>
      <c r="AH79" s="12">
        <f t="shared" si="22"/>
        <v>0</v>
      </c>
      <c r="AI79" s="11">
        <f t="shared" si="23"/>
        <v>0</v>
      </c>
      <c r="AK79" s="19"/>
      <c r="AZ79" s="78">
        <f t="shared" ref="AZ79:BW79" si="35">VALUE(AZ72)</f>
        <v>0</v>
      </c>
      <c r="BA79" s="78">
        <f t="shared" si="35"/>
        <v>0</v>
      </c>
      <c r="BB79" s="78">
        <f t="shared" si="35"/>
        <v>0</v>
      </c>
      <c r="BC79" s="78">
        <f t="shared" si="35"/>
        <v>0</v>
      </c>
      <c r="BD79" s="78">
        <f t="shared" si="35"/>
        <v>0</v>
      </c>
      <c r="BE79" s="78">
        <f t="shared" si="35"/>
        <v>0</v>
      </c>
      <c r="BF79" s="78">
        <f t="shared" si="35"/>
        <v>0</v>
      </c>
      <c r="BG79" s="78">
        <f t="shared" si="35"/>
        <v>0</v>
      </c>
      <c r="BH79" s="78">
        <f t="shared" si="35"/>
        <v>0</v>
      </c>
      <c r="BI79" s="78">
        <f t="shared" si="35"/>
        <v>0</v>
      </c>
      <c r="BJ79" s="78">
        <f t="shared" si="35"/>
        <v>0</v>
      </c>
      <c r="BK79" s="78">
        <f t="shared" si="35"/>
        <v>0</v>
      </c>
      <c r="BL79" s="78">
        <f t="shared" si="35"/>
        <v>0</v>
      </c>
      <c r="BM79" s="78">
        <f t="shared" si="35"/>
        <v>0</v>
      </c>
      <c r="BN79" s="78">
        <f t="shared" si="35"/>
        <v>0</v>
      </c>
      <c r="BO79" s="78">
        <f t="shared" si="35"/>
        <v>0</v>
      </c>
      <c r="BP79" s="78">
        <f t="shared" si="35"/>
        <v>0</v>
      </c>
      <c r="BQ79" s="78">
        <f t="shared" si="35"/>
        <v>0</v>
      </c>
      <c r="BR79" s="78">
        <f t="shared" si="35"/>
        <v>0</v>
      </c>
      <c r="BS79" s="78">
        <f t="shared" si="35"/>
        <v>0</v>
      </c>
      <c r="BT79" s="78">
        <f t="shared" si="35"/>
        <v>0</v>
      </c>
      <c r="BU79" s="78">
        <f t="shared" si="35"/>
        <v>0</v>
      </c>
      <c r="BV79" s="78">
        <f t="shared" si="35"/>
        <v>0</v>
      </c>
      <c r="BW79" s="78">
        <f t="shared" si="35"/>
        <v>0</v>
      </c>
    </row>
    <row r="80" spans="1:75" ht="15.75" thickBot="1" x14ac:dyDescent="0.3">
      <c r="A80" s="77" t="s">
        <v>182</v>
      </c>
      <c r="B80" s="76">
        <f t="shared" ref="B80:AF80" si="36">B77+B78+B79</f>
        <v>0</v>
      </c>
      <c r="C80" s="76">
        <f t="shared" si="36"/>
        <v>0</v>
      </c>
      <c r="D80" s="76">
        <f t="shared" si="36"/>
        <v>0</v>
      </c>
      <c r="E80" s="76">
        <f t="shared" si="36"/>
        <v>0</v>
      </c>
      <c r="F80" s="76">
        <f t="shared" si="36"/>
        <v>0</v>
      </c>
      <c r="G80" s="76">
        <f t="shared" si="36"/>
        <v>0</v>
      </c>
      <c r="H80" s="76">
        <f t="shared" si="36"/>
        <v>0</v>
      </c>
      <c r="I80" s="76">
        <f t="shared" si="36"/>
        <v>0</v>
      </c>
      <c r="J80" s="76">
        <f t="shared" si="36"/>
        <v>0</v>
      </c>
      <c r="K80" s="76">
        <f t="shared" si="36"/>
        <v>0</v>
      </c>
      <c r="L80" s="76">
        <f t="shared" si="36"/>
        <v>0</v>
      </c>
      <c r="M80" s="76">
        <f t="shared" si="36"/>
        <v>0</v>
      </c>
      <c r="N80" s="76">
        <f t="shared" si="36"/>
        <v>0</v>
      </c>
      <c r="O80" s="76">
        <f t="shared" si="36"/>
        <v>0</v>
      </c>
      <c r="P80" s="76">
        <f t="shared" si="36"/>
        <v>0</v>
      </c>
      <c r="Q80" s="76">
        <f t="shared" si="36"/>
        <v>0</v>
      </c>
      <c r="R80" s="76">
        <f t="shared" si="36"/>
        <v>0</v>
      </c>
      <c r="S80" s="76">
        <f t="shared" si="36"/>
        <v>0</v>
      </c>
      <c r="T80" s="76">
        <f t="shared" si="36"/>
        <v>0</v>
      </c>
      <c r="U80" s="76">
        <f t="shared" si="36"/>
        <v>0</v>
      </c>
      <c r="V80" s="76">
        <f t="shared" si="36"/>
        <v>0</v>
      </c>
      <c r="W80" s="76">
        <f t="shared" si="36"/>
        <v>0</v>
      </c>
      <c r="X80" s="76">
        <f t="shared" si="36"/>
        <v>0</v>
      </c>
      <c r="Y80" s="76">
        <f t="shared" si="36"/>
        <v>0</v>
      </c>
      <c r="Z80" s="76">
        <f t="shared" si="36"/>
        <v>0</v>
      </c>
      <c r="AA80" s="76">
        <f t="shared" si="36"/>
        <v>0</v>
      </c>
      <c r="AB80" s="76">
        <f t="shared" si="36"/>
        <v>0</v>
      </c>
      <c r="AC80" s="76">
        <f t="shared" si="36"/>
        <v>0</v>
      </c>
      <c r="AD80" s="76">
        <f t="shared" si="36"/>
        <v>0</v>
      </c>
      <c r="AE80" s="76">
        <f t="shared" si="36"/>
        <v>0</v>
      </c>
      <c r="AF80" s="76">
        <f t="shared" si="36"/>
        <v>0</v>
      </c>
      <c r="AG80" s="93">
        <f>SUM(AG77:AG79)</f>
        <v>106</v>
      </c>
      <c r="AH80" s="12">
        <f t="shared" si="22"/>
        <v>0</v>
      </c>
      <c r="AI80" s="11">
        <f t="shared" si="23"/>
        <v>0</v>
      </c>
      <c r="AK80" s="19"/>
      <c r="AZ80" s="78">
        <f t="shared" ref="AZ80:BW80" si="37">VALUE(AZ73)</f>
        <v>0</v>
      </c>
      <c r="BA80" s="78">
        <f t="shared" si="37"/>
        <v>0</v>
      </c>
      <c r="BB80" s="78">
        <f t="shared" si="37"/>
        <v>0</v>
      </c>
      <c r="BC80" s="78">
        <f t="shared" si="37"/>
        <v>0</v>
      </c>
      <c r="BD80" s="78">
        <f t="shared" si="37"/>
        <v>0</v>
      </c>
      <c r="BE80" s="78">
        <f t="shared" si="37"/>
        <v>0</v>
      </c>
      <c r="BF80" s="78">
        <f t="shared" si="37"/>
        <v>0</v>
      </c>
      <c r="BG80" s="78">
        <f t="shared" si="37"/>
        <v>0</v>
      </c>
      <c r="BH80" s="78">
        <f t="shared" si="37"/>
        <v>0</v>
      </c>
      <c r="BI80" s="78">
        <f t="shared" si="37"/>
        <v>0</v>
      </c>
      <c r="BJ80" s="78">
        <f t="shared" si="37"/>
        <v>0</v>
      </c>
      <c r="BK80" s="78">
        <f t="shared" si="37"/>
        <v>0</v>
      </c>
      <c r="BL80" s="78">
        <f t="shared" si="37"/>
        <v>0</v>
      </c>
      <c r="BM80" s="78">
        <f t="shared" si="37"/>
        <v>0</v>
      </c>
      <c r="BN80" s="78">
        <f t="shared" si="37"/>
        <v>0</v>
      </c>
      <c r="BO80" s="78">
        <f t="shared" si="37"/>
        <v>0</v>
      </c>
      <c r="BP80" s="78">
        <f t="shared" si="37"/>
        <v>0</v>
      </c>
      <c r="BQ80" s="78">
        <f t="shared" si="37"/>
        <v>0</v>
      </c>
      <c r="BR80" s="78">
        <f t="shared" si="37"/>
        <v>0</v>
      </c>
      <c r="BS80" s="78">
        <f t="shared" si="37"/>
        <v>0</v>
      </c>
      <c r="BT80" s="78">
        <f t="shared" si="37"/>
        <v>0</v>
      </c>
      <c r="BU80" s="78">
        <f t="shared" si="37"/>
        <v>0</v>
      </c>
      <c r="BV80" s="78">
        <f t="shared" si="37"/>
        <v>0</v>
      </c>
      <c r="BW80" s="78">
        <f t="shared" si="37"/>
        <v>0</v>
      </c>
    </row>
    <row r="81" spans="1:64" x14ac:dyDescent="0.25">
      <c r="A81" s="89" t="s">
        <v>157</v>
      </c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88"/>
      <c r="AH81" s="12">
        <f t="shared" si="22"/>
        <v>0</v>
      </c>
      <c r="AI81" s="11">
        <f t="shared" si="23"/>
        <v>0</v>
      </c>
      <c r="AK81" s="19"/>
      <c r="AY81" s="78"/>
    </row>
    <row r="82" spans="1:64" x14ac:dyDescent="0.25">
      <c r="A82" s="87" t="s">
        <v>160</v>
      </c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12">
        <f t="shared" ref="AH82:AH113" si="38">MAX(B82:AF82)</f>
        <v>0</v>
      </c>
      <c r="AI82" s="11">
        <f t="shared" ref="AI82:AI113" si="39">MIN(B82:AF82)</f>
        <v>0</v>
      </c>
      <c r="AK82" s="19"/>
      <c r="AY82" s="78"/>
      <c r="BF82" s="78"/>
      <c r="BG82" s="78"/>
      <c r="BH82" s="78"/>
      <c r="BI82" s="78"/>
      <c r="BJ82" s="78"/>
      <c r="BK82" s="78"/>
    </row>
    <row r="83" spans="1:64" x14ac:dyDescent="0.25">
      <c r="A83" s="87" t="s">
        <v>181</v>
      </c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96"/>
      <c r="AH83" s="12">
        <f t="shared" si="38"/>
        <v>0</v>
      </c>
      <c r="AI83" s="11">
        <f t="shared" si="39"/>
        <v>0</v>
      </c>
      <c r="AK83" s="19"/>
      <c r="AY83" s="78"/>
      <c r="BF83" s="83"/>
      <c r="BG83" s="83"/>
      <c r="BH83" s="83"/>
      <c r="BI83" s="83"/>
      <c r="BJ83" s="83"/>
      <c r="BK83" s="78"/>
    </row>
    <row r="84" spans="1:64" x14ac:dyDescent="0.25">
      <c r="A84" s="87" t="s">
        <v>161</v>
      </c>
      <c r="B84" s="70"/>
      <c r="C84" s="70"/>
      <c r="D84" s="70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96"/>
      <c r="AH84" s="12">
        <f t="shared" si="38"/>
        <v>0</v>
      </c>
      <c r="AI84" s="11">
        <f t="shared" si="39"/>
        <v>0</v>
      </c>
      <c r="AK84" s="19"/>
      <c r="AY84" s="78"/>
      <c r="BF84" s="83"/>
      <c r="BG84" s="78">
        <f t="array" ref="BG84:BL107">TRANSPOSE(AZ68:BW73)</f>
        <v>0</v>
      </c>
      <c r="BH84" s="78">
        <v>0</v>
      </c>
      <c r="BI84" s="78">
        <v>0</v>
      </c>
      <c r="BJ84" s="78">
        <v>0</v>
      </c>
      <c r="BK84" s="78">
        <v>0</v>
      </c>
      <c r="BL84" s="78">
        <v>0</v>
      </c>
    </row>
    <row r="85" spans="1:64" x14ac:dyDescent="0.25">
      <c r="A85" s="87" t="s">
        <v>180</v>
      </c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  <c r="AG85" s="96"/>
      <c r="AH85" s="12">
        <f t="shared" si="38"/>
        <v>0</v>
      </c>
      <c r="AI85" s="11">
        <f t="shared" si="39"/>
        <v>0</v>
      </c>
      <c r="AK85" s="19"/>
      <c r="AY85" s="78"/>
      <c r="BF85" s="83"/>
      <c r="BG85" s="78">
        <v>0</v>
      </c>
      <c r="BH85" s="78">
        <v>0</v>
      </c>
      <c r="BI85" s="78">
        <v>0</v>
      </c>
      <c r="BJ85" s="78">
        <v>0</v>
      </c>
      <c r="BK85" s="78">
        <v>0</v>
      </c>
      <c r="BL85" s="78">
        <v>0</v>
      </c>
    </row>
    <row r="86" spans="1:64" x14ac:dyDescent="0.25">
      <c r="A86" s="87" t="s">
        <v>179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6"/>
      <c r="AH86" s="12">
        <f t="shared" si="38"/>
        <v>0</v>
      </c>
      <c r="AI86" s="11">
        <f t="shared" si="39"/>
        <v>0</v>
      </c>
      <c r="AK86" s="19"/>
      <c r="AY86" s="78"/>
      <c r="BF86" s="83"/>
      <c r="BG86" s="78">
        <v>0</v>
      </c>
      <c r="BH86" s="78">
        <v>0</v>
      </c>
      <c r="BI86" s="78">
        <v>0</v>
      </c>
      <c r="BJ86" s="78">
        <v>0</v>
      </c>
      <c r="BK86" s="78">
        <v>0</v>
      </c>
      <c r="BL86" s="78">
        <v>0</v>
      </c>
    </row>
    <row r="87" spans="1:64" ht="15.75" thickBot="1" x14ac:dyDescent="0.3">
      <c r="A87" s="87" t="s">
        <v>178</v>
      </c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6"/>
      <c r="AH87" s="12">
        <f t="shared" si="38"/>
        <v>0</v>
      </c>
      <c r="AI87" s="11">
        <f t="shared" si="39"/>
        <v>0</v>
      </c>
      <c r="AK87" s="19"/>
      <c r="AL87" s="108" t="s">
        <v>177</v>
      </c>
      <c r="AM87" s="108"/>
      <c r="AY87" s="78"/>
      <c r="BF87" s="78"/>
      <c r="BG87" s="78">
        <v>0</v>
      </c>
      <c r="BH87" s="78">
        <v>0</v>
      </c>
      <c r="BI87" s="78">
        <v>0</v>
      </c>
      <c r="BJ87" s="78">
        <v>0</v>
      </c>
      <c r="BK87" s="78">
        <v>0</v>
      </c>
      <c r="BL87" s="78">
        <v>0</v>
      </c>
    </row>
    <row r="88" spans="1:64" x14ac:dyDescent="0.25">
      <c r="A88" s="87" t="s">
        <v>176</v>
      </c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6"/>
      <c r="AH88" s="12">
        <f t="shared" si="38"/>
        <v>0</v>
      </c>
      <c r="AI88" s="11">
        <f t="shared" si="39"/>
        <v>0</v>
      </c>
      <c r="AK88" s="107"/>
      <c r="AL88" s="106"/>
      <c r="AM88" s="106"/>
      <c r="AN88" s="105"/>
      <c r="AY88" s="78"/>
      <c r="BF88" s="78"/>
      <c r="BG88" s="78">
        <v>0</v>
      </c>
      <c r="BH88" s="78">
        <v>0</v>
      </c>
      <c r="BI88" s="78">
        <v>0</v>
      </c>
      <c r="BJ88" s="78">
        <v>0</v>
      </c>
      <c r="BK88" s="78">
        <v>0</v>
      </c>
      <c r="BL88" s="78">
        <v>0</v>
      </c>
    </row>
    <row r="89" spans="1:64" x14ac:dyDescent="0.25">
      <c r="A89" s="87" t="s">
        <v>175</v>
      </c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6"/>
      <c r="AH89" s="12">
        <f t="shared" si="38"/>
        <v>0</v>
      </c>
      <c r="AI89" s="11">
        <f t="shared" si="39"/>
        <v>0</v>
      </c>
      <c r="AK89" s="104" t="s">
        <v>174</v>
      </c>
      <c r="AL89" s="70"/>
      <c r="AM89" s="85"/>
      <c r="AN89" s="103"/>
      <c r="AY89" s="78"/>
      <c r="BF89" s="78"/>
      <c r="BG89" s="78">
        <v>0</v>
      </c>
      <c r="BH89" s="78">
        <v>0</v>
      </c>
      <c r="BI89" s="78">
        <v>0</v>
      </c>
      <c r="BJ89" s="78">
        <v>0</v>
      </c>
      <c r="BK89" s="78">
        <v>0</v>
      </c>
      <c r="BL89" s="78">
        <v>0</v>
      </c>
    </row>
    <row r="90" spans="1:64" x14ac:dyDescent="0.25">
      <c r="A90" s="82" t="s">
        <v>173</v>
      </c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80"/>
      <c r="AH90" s="12">
        <f t="shared" si="38"/>
        <v>0</v>
      </c>
      <c r="AI90" s="11">
        <f t="shared" si="39"/>
        <v>0</v>
      </c>
      <c r="AK90" s="104" t="s">
        <v>172</v>
      </c>
      <c r="AL90" s="85"/>
      <c r="AM90" s="85"/>
      <c r="AN90" s="103"/>
      <c r="AY90" s="78"/>
      <c r="BF90" s="78"/>
      <c r="BG90" s="78">
        <v>0</v>
      </c>
      <c r="BH90" s="78">
        <v>0</v>
      </c>
      <c r="BI90" s="78">
        <v>0</v>
      </c>
      <c r="BJ90" s="78">
        <v>0</v>
      </c>
      <c r="BK90" s="78">
        <v>0</v>
      </c>
      <c r="BL90" s="78">
        <v>0</v>
      </c>
    </row>
    <row r="91" spans="1:64" ht="15.75" thickBot="1" x14ac:dyDescent="0.3">
      <c r="A91" s="82" t="s">
        <v>171</v>
      </c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80"/>
      <c r="AH91" s="12">
        <f t="shared" si="38"/>
        <v>0</v>
      </c>
      <c r="AI91" s="11">
        <f t="shared" si="39"/>
        <v>0</v>
      </c>
      <c r="AK91" s="98"/>
      <c r="AL91" s="102"/>
      <c r="AM91" s="102"/>
      <c r="AN91" s="101"/>
      <c r="AY91" s="78"/>
      <c r="BF91" s="78"/>
      <c r="BG91" s="78">
        <v>0</v>
      </c>
      <c r="BH91" s="78">
        <v>0</v>
      </c>
      <c r="BI91" s="78">
        <v>0</v>
      </c>
      <c r="BJ91" s="78">
        <v>0</v>
      </c>
      <c r="BK91" s="78">
        <v>0</v>
      </c>
      <c r="BL91" s="78">
        <v>0</v>
      </c>
    </row>
    <row r="92" spans="1:64" ht="15.75" thickBot="1" x14ac:dyDescent="0.3">
      <c r="A92" s="77" t="s">
        <v>170</v>
      </c>
      <c r="B92" s="76">
        <f t="shared" ref="B92:AF92" si="40">SUMIF(B81:B91,"&gt;0")</f>
        <v>0</v>
      </c>
      <c r="C92" s="76">
        <f t="shared" si="40"/>
        <v>0</v>
      </c>
      <c r="D92" s="76">
        <f t="shared" si="40"/>
        <v>0</v>
      </c>
      <c r="E92" s="76">
        <f t="shared" si="40"/>
        <v>0</v>
      </c>
      <c r="F92" s="76">
        <f t="shared" si="40"/>
        <v>0</v>
      </c>
      <c r="G92" s="76">
        <f t="shared" si="40"/>
        <v>0</v>
      </c>
      <c r="H92" s="76">
        <f t="shared" si="40"/>
        <v>0</v>
      </c>
      <c r="I92" s="76">
        <f t="shared" si="40"/>
        <v>0</v>
      </c>
      <c r="J92" s="76">
        <f t="shared" si="40"/>
        <v>0</v>
      </c>
      <c r="K92" s="76">
        <f t="shared" si="40"/>
        <v>0</v>
      </c>
      <c r="L92" s="76">
        <f t="shared" si="40"/>
        <v>0</v>
      </c>
      <c r="M92" s="76">
        <f t="shared" si="40"/>
        <v>0</v>
      </c>
      <c r="N92" s="76">
        <f t="shared" si="40"/>
        <v>0</v>
      </c>
      <c r="O92" s="76">
        <f t="shared" si="40"/>
        <v>0</v>
      </c>
      <c r="P92" s="76">
        <f t="shared" si="40"/>
        <v>0</v>
      </c>
      <c r="Q92" s="76">
        <f t="shared" si="40"/>
        <v>0</v>
      </c>
      <c r="R92" s="76">
        <f t="shared" si="40"/>
        <v>0</v>
      </c>
      <c r="S92" s="76">
        <f t="shared" si="40"/>
        <v>0</v>
      </c>
      <c r="T92" s="76">
        <f t="shared" si="40"/>
        <v>0</v>
      </c>
      <c r="U92" s="76">
        <f t="shared" si="40"/>
        <v>0</v>
      </c>
      <c r="V92" s="76">
        <f t="shared" si="40"/>
        <v>0</v>
      </c>
      <c r="W92" s="76">
        <f t="shared" si="40"/>
        <v>0</v>
      </c>
      <c r="X92" s="76">
        <f t="shared" si="40"/>
        <v>0</v>
      </c>
      <c r="Y92" s="76">
        <f t="shared" si="40"/>
        <v>0</v>
      </c>
      <c r="Z92" s="76">
        <f t="shared" si="40"/>
        <v>0</v>
      </c>
      <c r="AA92" s="76">
        <f t="shared" si="40"/>
        <v>0</v>
      </c>
      <c r="AB92" s="76">
        <f t="shared" si="40"/>
        <v>0</v>
      </c>
      <c r="AC92" s="76">
        <f t="shared" si="40"/>
        <v>0</v>
      </c>
      <c r="AD92" s="76">
        <f t="shared" si="40"/>
        <v>0</v>
      </c>
      <c r="AE92" s="76">
        <f t="shared" si="40"/>
        <v>0</v>
      </c>
      <c r="AF92" s="76">
        <f t="shared" si="40"/>
        <v>0</v>
      </c>
      <c r="AG92" s="75">
        <f>SUM(AG81:AG91)</f>
        <v>0</v>
      </c>
      <c r="AH92" s="12">
        <f t="shared" si="38"/>
        <v>0</v>
      </c>
      <c r="AI92" s="11">
        <f t="shared" si="39"/>
        <v>0</v>
      </c>
      <c r="AK92" s="98"/>
      <c r="AL92" s="97"/>
      <c r="AM92" s="100"/>
      <c r="AN92" s="220"/>
      <c r="AY92" s="78"/>
      <c r="BF92" s="78"/>
      <c r="BG92" s="78">
        <v>0</v>
      </c>
      <c r="BH92" s="78">
        <v>0</v>
      </c>
      <c r="BI92" s="78">
        <v>0</v>
      </c>
      <c r="BJ92" s="78">
        <v>0</v>
      </c>
      <c r="BK92" s="78">
        <v>0</v>
      </c>
      <c r="BL92" s="78">
        <v>0</v>
      </c>
    </row>
    <row r="93" spans="1:64" x14ac:dyDescent="0.25">
      <c r="A93" s="89" t="s">
        <v>169</v>
      </c>
      <c r="B93" s="85">
        <v>0</v>
      </c>
      <c r="C93" s="85">
        <v>0</v>
      </c>
      <c r="D93" s="85">
        <v>0</v>
      </c>
      <c r="E93" s="85">
        <v>0</v>
      </c>
      <c r="F93" s="85">
        <v>0</v>
      </c>
      <c r="G93" s="85">
        <v>0</v>
      </c>
      <c r="H93" s="85">
        <v>0</v>
      </c>
      <c r="I93" s="85">
        <v>0</v>
      </c>
      <c r="J93" s="85">
        <v>0</v>
      </c>
      <c r="K93" s="85">
        <v>0</v>
      </c>
      <c r="L93" s="85">
        <v>0</v>
      </c>
      <c r="M93" s="85">
        <v>0</v>
      </c>
      <c r="N93" s="85">
        <v>0</v>
      </c>
      <c r="O93" s="85">
        <v>0</v>
      </c>
      <c r="P93" s="85">
        <v>0</v>
      </c>
      <c r="Q93" s="85">
        <v>0</v>
      </c>
      <c r="R93" s="85">
        <v>0</v>
      </c>
      <c r="S93" s="85">
        <v>0</v>
      </c>
      <c r="T93" s="85">
        <v>0</v>
      </c>
      <c r="U93" s="85">
        <v>0</v>
      </c>
      <c r="V93" s="85">
        <v>0</v>
      </c>
      <c r="W93" s="85">
        <v>0</v>
      </c>
      <c r="X93" s="85">
        <v>0</v>
      </c>
      <c r="Y93" s="85">
        <v>0</v>
      </c>
      <c r="Z93" s="85">
        <v>0</v>
      </c>
      <c r="AA93" s="85">
        <v>0</v>
      </c>
      <c r="AB93" s="85">
        <v>0</v>
      </c>
      <c r="AC93" s="85">
        <v>0</v>
      </c>
      <c r="AD93" s="85">
        <v>0</v>
      </c>
      <c r="AE93" s="85">
        <v>0</v>
      </c>
      <c r="AF93" s="85">
        <v>0</v>
      </c>
      <c r="AG93" s="99">
        <v>39</v>
      </c>
      <c r="AH93" s="12">
        <f t="shared" si="38"/>
        <v>0</v>
      </c>
      <c r="AI93" s="11">
        <f t="shared" si="39"/>
        <v>0</v>
      </c>
      <c r="AK93" s="98"/>
      <c r="AL93" s="97"/>
      <c r="AM93" s="97"/>
      <c r="AN93" s="221"/>
      <c r="BF93" s="78"/>
      <c r="BG93" s="78">
        <v>0</v>
      </c>
      <c r="BH93" s="78">
        <v>0</v>
      </c>
      <c r="BI93" s="78">
        <v>0</v>
      </c>
      <c r="BJ93" s="78">
        <v>0</v>
      </c>
      <c r="BK93" s="78">
        <v>0</v>
      </c>
      <c r="BL93" s="78">
        <v>0</v>
      </c>
    </row>
    <row r="94" spans="1:64" ht="15.75" thickBot="1" x14ac:dyDescent="0.3">
      <c r="A94" s="87" t="s">
        <v>168</v>
      </c>
      <c r="B94" s="97">
        <v>0</v>
      </c>
      <c r="C94" s="97">
        <v>0</v>
      </c>
      <c r="D94" s="97">
        <v>0</v>
      </c>
      <c r="E94" s="97">
        <v>0</v>
      </c>
      <c r="F94" s="97">
        <v>0</v>
      </c>
      <c r="G94" s="97">
        <v>0</v>
      </c>
      <c r="H94" s="97">
        <v>0</v>
      </c>
      <c r="I94" s="97">
        <v>0</v>
      </c>
      <c r="J94" s="97">
        <v>0</v>
      </c>
      <c r="K94" s="97">
        <v>0</v>
      </c>
      <c r="L94" s="97">
        <v>0</v>
      </c>
      <c r="M94" s="97">
        <v>0</v>
      </c>
      <c r="N94" s="97">
        <v>0</v>
      </c>
      <c r="O94" s="97">
        <v>0</v>
      </c>
      <c r="P94" s="97">
        <v>0</v>
      </c>
      <c r="Q94" s="97">
        <v>0</v>
      </c>
      <c r="R94" s="97">
        <v>0</v>
      </c>
      <c r="S94" s="97">
        <v>0</v>
      </c>
      <c r="T94" s="97">
        <v>0</v>
      </c>
      <c r="U94" s="97">
        <v>0</v>
      </c>
      <c r="V94" s="97">
        <v>0</v>
      </c>
      <c r="W94" s="97">
        <v>0</v>
      </c>
      <c r="X94" s="97">
        <v>0</v>
      </c>
      <c r="Y94" s="97">
        <v>0</v>
      </c>
      <c r="Z94" s="97">
        <v>0</v>
      </c>
      <c r="AA94" s="97">
        <v>0</v>
      </c>
      <c r="AB94" s="97">
        <v>0</v>
      </c>
      <c r="AC94" s="97">
        <v>0</v>
      </c>
      <c r="AD94" s="97">
        <v>0</v>
      </c>
      <c r="AE94" s="97">
        <v>0</v>
      </c>
      <c r="AF94" s="97">
        <v>0</v>
      </c>
      <c r="AG94" s="96">
        <v>14.4</v>
      </c>
      <c r="AH94" s="12">
        <f t="shared" si="38"/>
        <v>0</v>
      </c>
      <c r="AI94" s="11">
        <f t="shared" si="39"/>
        <v>0</v>
      </c>
      <c r="AK94" s="95"/>
      <c r="AL94" s="67"/>
      <c r="AM94" s="67"/>
      <c r="AN94" s="94"/>
      <c r="BF94" s="78"/>
      <c r="BG94" s="78">
        <v>0</v>
      </c>
      <c r="BH94" s="78">
        <v>0</v>
      </c>
      <c r="BI94" s="78">
        <v>0</v>
      </c>
      <c r="BJ94" s="78">
        <v>0</v>
      </c>
      <c r="BK94" s="78">
        <v>0</v>
      </c>
      <c r="BL94" s="78">
        <v>0</v>
      </c>
    </row>
    <row r="95" spans="1:64" ht="15.75" thickBot="1" x14ac:dyDescent="0.3">
      <c r="A95" s="82" t="s">
        <v>167</v>
      </c>
      <c r="B95" s="81">
        <v>0</v>
      </c>
      <c r="C95" s="81">
        <v>0</v>
      </c>
      <c r="D95" s="81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0">
        <v>2</v>
      </c>
      <c r="AH95" s="12">
        <f t="shared" si="38"/>
        <v>0</v>
      </c>
      <c r="AI95" s="11">
        <f t="shared" si="39"/>
        <v>0</v>
      </c>
      <c r="BF95" s="78"/>
      <c r="BG95" s="78">
        <v>0</v>
      </c>
      <c r="BH95" s="78">
        <v>0</v>
      </c>
      <c r="BI95" s="78">
        <v>0</v>
      </c>
      <c r="BJ95" s="78">
        <v>0</v>
      </c>
      <c r="BK95" s="78">
        <v>0</v>
      </c>
      <c r="BL95" s="78">
        <v>0</v>
      </c>
    </row>
    <row r="96" spans="1:64" ht="15.75" thickBot="1" x14ac:dyDescent="0.3">
      <c r="A96" s="77" t="s">
        <v>166</v>
      </c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>
        <v>0</v>
      </c>
      <c r="Y96" s="76"/>
      <c r="Z96" s="76"/>
      <c r="AA96" s="76"/>
      <c r="AB96" s="76"/>
      <c r="AC96" s="76"/>
      <c r="AD96" s="76"/>
      <c r="AE96" s="76"/>
      <c r="AF96" s="76"/>
      <c r="AG96" s="75">
        <f>SUM(AG93:AG95)</f>
        <v>55.4</v>
      </c>
      <c r="AH96" s="12">
        <f t="shared" si="38"/>
        <v>0</v>
      </c>
      <c r="AI96" s="11">
        <f t="shared" si="39"/>
        <v>0</v>
      </c>
      <c r="BF96" s="78"/>
      <c r="BG96" s="78">
        <v>0</v>
      </c>
      <c r="BH96" s="78">
        <v>0</v>
      </c>
      <c r="BI96" s="78">
        <v>0</v>
      </c>
      <c r="BJ96" s="78">
        <v>0</v>
      </c>
      <c r="BK96" s="78">
        <v>0</v>
      </c>
      <c r="BL96" s="78">
        <v>0</v>
      </c>
    </row>
    <row r="97" spans="1:64" ht="15.75" thickBot="1" x14ac:dyDescent="0.3">
      <c r="A97" s="77" t="s">
        <v>165</v>
      </c>
      <c r="B97" s="90">
        <f t="shared" ref="B97:AG97" si="41">B58+B62+B80+B76+B92+B96</f>
        <v>153.54</v>
      </c>
      <c r="C97" s="90">
        <f t="shared" si="41"/>
        <v>153.54</v>
      </c>
      <c r="D97" s="90">
        <f t="shared" si="41"/>
        <v>153.54</v>
      </c>
      <c r="E97" s="90">
        <f t="shared" si="41"/>
        <v>153.54</v>
      </c>
      <c r="F97" s="90">
        <f t="shared" si="41"/>
        <v>153.54</v>
      </c>
      <c r="G97" s="90">
        <f t="shared" si="41"/>
        <v>153.54</v>
      </c>
      <c r="H97" s="90">
        <f t="shared" si="41"/>
        <v>153.54</v>
      </c>
      <c r="I97" s="90">
        <f t="shared" si="41"/>
        <v>153.54</v>
      </c>
      <c r="J97" s="90">
        <f t="shared" si="41"/>
        <v>153.54</v>
      </c>
      <c r="K97" s="90">
        <f t="shared" si="41"/>
        <v>153.54</v>
      </c>
      <c r="L97" s="90">
        <f t="shared" si="41"/>
        <v>153.54</v>
      </c>
      <c r="M97" s="90">
        <f t="shared" si="41"/>
        <v>153.54</v>
      </c>
      <c r="N97" s="90">
        <f t="shared" si="41"/>
        <v>153.54</v>
      </c>
      <c r="O97" s="90">
        <f t="shared" si="41"/>
        <v>153.54</v>
      </c>
      <c r="P97" s="90">
        <f t="shared" si="41"/>
        <v>153.54</v>
      </c>
      <c r="Q97" s="90">
        <f t="shared" si="41"/>
        <v>153.54</v>
      </c>
      <c r="R97" s="90">
        <f t="shared" si="41"/>
        <v>153.54</v>
      </c>
      <c r="S97" s="90">
        <f t="shared" si="41"/>
        <v>153.54</v>
      </c>
      <c r="T97" s="90">
        <f t="shared" si="41"/>
        <v>153.54</v>
      </c>
      <c r="U97" s="90">
        <f t="shared" si="41"/>
        <v>153.54</v>
      </c>
      <c r="V97" s="90">
        <f t="shared" si="41"/>
        <v>153.54</v>
      </c>
      <c r="W97" s="90">
        <f t="shared" si="41"/>
        <v>153.54</v>
      </c>
      <c r="X97" s="90">
        <f t="shared" si="41"/>
        <v>153.54</v>
      </c>
      <c r="Y97" s="90">
        <f t="shared" si="41"/>
        <v>153.5</v>
      </c>
      <c r="Z97" s="90">
        <f t="shared" si="41"/>
        <v>155.5</v>
      </c>
      <c r="AA97" s="90">
        <f t="shared" si="41"/>
        <v>153.54</v>
      </c>
      <c r="AB97" s="90">
        <f t="shared" si="41"/>
        <v>153.54</v>
      </c>
      <c r="AC97" s="90">
        <f t="shared" si="41"/>
        <v>153.54</v>
      </c>
      <c r="AD97" s="90">
        <f t="shared" si="41"/>
        <v>153.54</v>
      </c>
      <c r="AE97" s="90">
        <f t="shared" si="41"/>
        <v>153.54</v>
      </c>
      <c r="AF97" s="90">
        <f t="shared" si="41"/>
        <v>153.54</v>
      </c>
      <c r="AG97" s="93">
        <f t="shared" si="41"/>
        <v>2231.81</v>
      </c>
      <c r="AH97" s="12">
        <f t="shared" si="38"/>
        <v>155.5</v>
      </c>
      <c r="AI97" s="11">
        <f t="shared" si="39"/>
        <v>153.5</v>
      </c>
      <c r="BF97" s="78"/>
      <c r="BG97" s="78">
        <v>0</v>
      </c>
      <c r="BH97" s="78">
        <v>0</v>
      </c>
      <c r="BI97" s="78">
        <v>0</v>
      </c>
      <c r="BJ97" s="78">
        <v>0</v>
      </c>
      <c r="BK97" s="78">
        <v>0</v>
      </c>
      <c r="BL97" s="78">
        <v>0</v>
      </c>
    </row>
    <row r="98" spans="1:64" ht="15.75" thickBot="1" x14ac:dyDescent="0.3">
      <c r="A98" s="92" t="s">
        <v>164</v>
      </c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75"/>
      <c r="AH98" s="12">
        <f t="shared" si="38"/>
        <v>0</v>
      </c>
      <c r="AI98" s="11">
        <f t="shared" si="39"/>
        <v>0</v>
      </c>
      <c r="BF98" s="78"/>
      <c r="BG98" s="78">
        <v>0</v>
      </c>
      <c r="BH98" s="78">
        <v>0</v>
      </c>
      <c r="BI98" s="78">
        <v>0</v>
      </c>
      <c r="BJ98" s="78">
        <v>0</v>
      </c>
      <c r="BK98" s="78">
        <v>0</v>
      </c>
      <c r="BL98" s="78">
        <v>0</v>
      </c>
    </row>
    <row r="99" spans="1:64" ht="15.75" thickBot="1" x14ac:dyDescent="0.3">
      <c r="A99" s="77" t="s">
        <v>163</v>
      </c>
      <c r="B99" s="90">
        <f t="shared" ref="B99:AF99" si="42">B97+B98</f>
        <v>153.54</v>
      </c>
      <c r="C99" s="90">
        <f t="shared" si="42"/>
        <v>153.54</v>
      </c>
      <c r="D99" s="90">
        <f t="shared" si="42"/>
        <v>153.54</v>
      </c>
      <c r="E99" s="90">
        <f t="shared" si="42"/>
        <v>153.54</v>
      </c>
      <c r="F99" s="90">
        <f t="shared" si="42"/>
        <v>153.54</v>
      </c>
      <c r="G99" s="90">
        <f t="shared" si="42"/>
        <v>153.54</v>
      </c>
      <c r="H99" s="90">
        <f t="shared" si="42"/>
        <v>153.54</v>
      </c>
      <c r="I99" s="90">
        <f t="shared" si="42"/>
        <v>153.54</v>
      </c>
      <c r="J99" s="90">
        <f t="shared" si="42"/>
        <v>153.54</v>
      </c>
      <c r="K99" s="90">
        <f t="shared" si="42"/>
        <v>153.54</v>
      </c>
      <c r="L99" s="90">
        <f t="shared" si="42"/>
        <v>153.54</v>
      </c>
      <c r="M99" s="90">
        <f t="shared" si="42"/>
        <v>153.54</v>
      </c>
      <c r="N99" s="90">
        <f t="shared" si="42"/>
        <v>153.54</v>
      </c>
      <c r="O99" s="90">
        <f t="shared" si="42"/>
        <v>153.54</v>
      </c>
      <c r="P99" s="90">
        <f t="shared" si="42"/>
        <v>153.54</v>
      </c>
      <c r="Q99" s="90">
        <f t="shared" si="42"/>
        <v>153.54</v>
      </c>
      <c r="R99" s="90">
        <f t="shared" si="42"/>
        <v>153.54</v>
      </c>
      <c r="S99" s="90">
        <f t="shared" si="42"/>
        <v>153.54</v>
      </c>
      <c r="T99" s="90">
        <f t="shared" si="42"/>
        <v>153.54</v>
      </c>
      <c r="U99" s="90">
        <f t="shared" si="42"/>
        <v>153.54</v>
      </c>
      <c r="V99" s="90">
        <f t="shared" si="42"/>
        <v>153.54</v>
      </c>
      <c r="W99" s="90">
        <f t="shared" si="42"/>
        <v>153.54</v>
      </c>
      <c r="X99" s="90">
        <f t="shared" si="42"/>
        <v>153.54</v>
      </c>
      <c r="Y99" s="90">
        <f t="shared" si="42"/>
        <v>153.5</v>
      </c>
      <c r="Z99" s="90">
        <f t="shared" si="42"/>
        <v>155.5</v>
      </c>
      <c r="AA99" s="90">
        <f t="shared" si="42"/>
        <v>153.54</v>
      </c>
      <c r="AB99" s="90">
        <f t="shared" si="42"/>
        <v>153.54</v>
      </c>
      <c r="AC99" s="90">
        <f t="shared" si="42"/>
        <v>153.54</v>
      </c>
      <c r="AD99" s="90">
        <f t="shared" si="42"/>
        <v>153.54</v>
      </c>
      <c r="AE99" s="90">
        <f t="shared" si="42"/>
        <v>153.54</v>
      </c>
      <c r="AF99" s="90">
        <f t="shared" si="42"/>
        <v>153.54</v>
      </c>
      <c r="AG99" s="75">
        <f>AG96+AG92+AG80+AG76+AG58+AG98</f>
        <v>1693.71</v>
      </c>
      <c r="AH99" s="12">
        <f t="shared" si="38"/>
        <v>155.5</v>
      </c>
      <c r="AI99" s="11">
        <f t="shared" si="39"/>
        <v>153.5</v>
      </c>
      <c r="BF99" s="78"/>
      <c r="BG99" s="78">
        <v>0</v>
      </c>
      <c r="BH99" s="78">
        <v>0</v>
      </c>
      <c r="BI99" s="78">
        <v>0</v>
      </c>
      <c r="BJ99" s="78">
        <v>0</v>
      </c>
      <c r="BK99" s="78">
        <v>0</v>
      </c>
      <c r="BL99" s="78">
        <v>0</v>
      </c>
    </row>
    <row r="100" spans="1:64" ht="15.75" thickBot="1" x14ac:dyDescent="0.3">
      <c r="A100" s="77" t="s">
        <v>162</v>
      </c>
      <c r="B100" s="90">
        <f t="shared" ref="B100:AF100" si="43">B99-(B107)</f>
        <v>153.54</v>
      </c>
      <c r="C100" s="90">
        <f t="shared" si="43"/>
        <v>153.54</v>
      </c>
      <c r="D100" s="90">
        <f t="shared" si="43"/>
        <v>153.54</v>
      </c>
      <c r="E100" s="90">
        <f t="shared" si="43"/>
        <v>153.54</v>
      </c>
      <c r="F100" s="90">
        <f t="shared" si="43"/>
        <v>153.54</v>
      </c>
      <c r="G100" s="90">
        <f t="shared" si="43"/>
        <v>153.54</v>
      </c>
      <c r="H100" s="90">
        <f t="shared" si="43"/>
        <v>153.54</v>
      </c>
      <c r="I100" s="90">
        <f t="shared" si="43"/>
        <v>153.54</v>
      </c>
      <c r="J100" s="90">
        <f t="shared" si="43"/>
        <v>153.54</v>
      </c>
      <c r="K100" s="90">
        <f t="shared" si="43"/>
        <v>153.54</v>
      </c>
      <c r="L100" s="90">
        <f t="shared" si="43"/>
        <v>153.54</v>
      </c>
      <c r="M100" s="90">
        <f t="shared" si="43"/>
        <v>153.54</v>
      </c>
      <c r="N100" s="90">
        <f t="shared" si="43"/>
        <v>153.54</v>
      </c>
      <c r="O100" s="90">
        <f t="shared" si="43"/>
        <v>153.54</v>
      </c>
      <c r="P100" s="90">
        <f t="shared" si="43"/>
        <v>153.54</v>
      </c>
      <c r="Q100" s="90">
        <f t="shared" si="43"/>
        <v>153.54</v>
      </c>
      <c r="R100" s="90">
        <f t="shared" si="43"/>
        <v>153.54</v>
      </c>
      <c r="S100" s="90">
        <f t="shared" si="43"/>
        <v>153.54</v>
      </c>
      <c r="T100" s="90">
        <f t="shared" si="43"/>
        <v>153.54</v>
      </c>
      <c r="U100" s="90">
        <f t="shared" si="43"/>
        <v>153.54</v>
      </c>
      <c r="V100" s="90">
        <f t="shared" si="43"/>
        <v>153.54</v>
      </c>
      <c r="W100" s="90">
        <f t="shared" si="43"/>
        <v>153.54</v>
      </c>
      <c r="X100" s="90">
        <f t="shared" si="43"/>
        <v>153.54</v>
      </c>
      <c r="Y100" s="90">
        <f t="shared" si="43"/>
        <v>153.5</v>
      </c>
      <c r="Z100" s="90">
        <f t="shared" si="43"/>
        <v>155.5</v>
      </c>
      <c r="AA100" s="90">
        <f t="shared" si="43"/>
        <v>153.54</v>
      </c>
      <c r="AB100" s="90">
        <f t="shared" si="43"/>
        <v>153.54</v>
      </c>
      <c r="AC100" s="90">
        <f t="shared" si="43"/>
        <v>153.54</v>
      </c>
      <c r="AD100" s="90">
        <f t="shared" si="43"/>
        <v>153.54</v>
      </c>
      <c r="AE100" s="90">
        <f t="shared" si="43"/>
        <v>153.54</v>
      </c>
      <c r="AF100" s="90">
        <f t="shared" si="43"/>
        <v>153.54</v>
      </c>
      <c r="AG100" s="75"/>
      <c r="AH100" s="12">
        <f t="shared" si="38"/>
        <v>155.5</v>
      </c>
      <c r="AI100" s="11">
        <f t="shared" si="39"/>
        <v>153.5</v>
      </c>
      <c r="BF100" s="78"/>
      <c r="BG100" s="78">
        <v>0</v>
      </c>
      <c r="BH100" s="78">
        <v>0</v>
      </c>
      <c r="BI100" s="78">
        <v>0</v>
      </c>
      <c r="BJ100" s="78">
        <v>0</v>
      </c>
      <c r="BK100" s="78">
        <v>0</v>
      </c>
      <c r="BL100" s="78">
        <v>0</v>
      </c>
    </row>
    <row r="101" spans="1:64" x14ac:dyDescent="0.25">
      <c r="A101" s="89" t="s">
        <v>161</v>
      </c>
      <c r="B101" s="85">
        <f t="shared" ref="B101:AF101" si="44">IF(B84&lt;0,B84*-1,0)</f>
        <v>0</v>
      </c>
      <c r="C101" s="85">
        <f t="shared" si="44"/>
        <v>0</v>
      </c>
      <c r="D101" s="85">
        <f t="shared" si="44"/>
        <v>0</v>
      </c>
      <c r="E101" s="85">
        <f t="shared" si="44"/>
        <v>0</v>
      </c>
      <c r="F101" s="85">
        <f t="shared" si="44"/>
        <v>0</v>
      </c>
      <c r="G101" s="85">
        <f t="shared" si="44"/>
        <v>0</v>
      </c>
      <c r="H101" s="85">
        <f t="shared" si="44"/>
        <v>0</v>
      </c>
      <c r="I101" s="85">
        <f t="shared" si="44"/>
        <v>0</v>
      </c>
      <c r="J101" s="85">
        <f t="shared" si="44"/>
        <v>0</v>
      </c>
      <c r="K101" s="85">
        <f t="shared" si="44"/>
        <v>0</v>
      </c>
      <c r="L101" s="85">
        <f t="shared" si="44"/>
        <v>0</v>
      </c>
      <c r="M101" s="85">
        <f t="shared" si="44"/>
        <v>0</v>
      </c>
      <c r="N101" s="85">
        <f t="shared" si="44"/>
        <v>0</v>
      </c>
      <c r="O101" s="85">
        <f t="shared" si="44"/>
        <v>0</v>
      </c>
      <c r="P101" s="85">
        <f t="shared" si="44"/>
        <v>0</v>
      </c>
      <c r="Q101" s="85">
        <f t="shared" si="44"/>
        <v>0</v>
      </c>
      <c r="R101" s="85">
        <f t="shared" si="44"/>
        <v>0</v>
      </c>
      <c r="S101" s="85">
        <f t="shared" si="44"/>
        <v>0</v>
      </c>
      <c r="T101" s="85">
        <f t="shared" si="44"/>
        <v>0</v>
      </c>
      <c r="U101" s="85">
        <f t="shared" si="44"/>
        <v>0</v>
      </c>
      <c r="V101" s="85">
        <f t="shared" si="44"/>
        <v>0</v>
      </c>
      <c r="W101" s="85">
        <f t="shared" si="44"/>
        <v>0</v>
      </c>
      <c r="X101" s="85">
        <f t="shared" si="44"/>
        <v>0</v>
      </c>
      <c r="Y101" s="85">
        <f t="shared" si="44"/>
        <v>0</v>
      </c>
      <c r="Z101" s="85">
        <f t="shared" si="44"/>
        <v>0</v>
      </c>
      <c r="AA101" s="85">
        <f t="shared" si="44"/>
        <v>0</v>
      </c>
      <c r="AB101" s="85">
        <f t="shared" si="44"/>
        <v>0</v>
      </c>
      <c r="AC101" s="85">
        <f t="shared" si="44"/>
        <v>0</v>
      </c>
      <c r="AD101" s="85">
        <f t="shared" si="44"/>
        <v>0</v>
      </c>
      <c r="AE101" s="85">
        <f t="shared" si="44"/>
        <v>0</v>
      </c>
      <c r="AF101" s="85">
        <f t="shared" si="44"/>
        <v>0</v>
      </c>
      <c r="AG101" s="88"/>
      <c r="AH101" s="12">
        <f t="shared" si="38"/>
        <v>0</v>
      </c>
      <c r="AI101" s="11">
        <f t="shared" si="39"/>
        <v>0</v>
      </c>
      <c r="BF101" s="83"/>
      <c r="BG101" s="78">
        <v>0</v>
      </c>
      <c r="BH101" s="78">
        <v>0</v>
      </c>
      <c r="BI101" s="78">
        <v>0</v>
      </c>
      <c r="BJ101" s="78">
        <v>0</v>
      </c>
      <c r="BK101" s="78">
        <v>0</v>
      </c>
      <c r="BL101" s="78">
        <v>0</v>
      </c>
    </row>
    <row r="102" spans="1:64" x14ac:dyDescent="0.25">
      <c r="A102" s="87" t="s">
        <v>160</v>
      </c>
      <c r="B102" s="85">
        <f t="shared" ref="B102:AF102" si="45">IF(B82&lt;0,B82*-1,0)</f>
        <v>0</v>
      </c>
      <c r="C102" s="85">
        <f t="shared" si="45"/>
        <v>0</v>
      </c>
      <c r="D102" s="85">
        <f t="shared" si="45"/>
        <v>0</v>
      </c>
      <c r="E102" s="85">
        <f t="shared" si="45"/>
        <v>0</v>
      </c>
      <c r="F102" s="85">
        <f t="shared" si="45"/>
        <v>0</v>
      </c>
      <c r="G102" s="85">
        <f t="shared" si="45"/>
        <v>0</v>
      </c>
      <c r="H102" s="85">
        <f t="shared" si="45"/>
        <v>0</v>
      </c>
      <c r="I102" s="85">
        <f t="shared" si="45"/>
        <v>0</v>
      </c>
      <c r="J102" s="85">
        <f t="shared" si="45"/>
        <v>0</v>
      </c>
      <c r="K102" s="85">
        <f t="shared" si="45"/>
        <v>0</v>
      </c>
      <c r="L102" s="85">
        <f t="shared" si="45"/>
        <v>0</v>
      </c>
      <c r="M102" s="85">
        <f t="shared" si="45"/>
        <v>0</v>
      </c>
      <c r="N102" s="85">
        <f t="shared" si="45"/>
        <v>0</v>
      </c>
      <c r="O102" s="85">
        <f t="shared" si="45"/>
        <v>0</v>
      </c>
      <c r="P102" s="85">
        <f t="shared" si="45"/>
        <v>0</v>
      </c>
      <c r="Q102" s="85">
        <f t="shared" si="45"/>
        <v>0</v>
      </c>
      <c r="R102" s="85">
        <f t="shared" si="45"/>
        <v>0</v>
      </c>
      <c r="S102" s="85">
        <f t="shared" si="45"/>
        <v>0</v>
      </c>
      <c r="T102" s="85">
        <f t="shared" si="45"/>
        <v>0</v>
      </c>
      <c r="U102" s="85">
        <f t="shared" si="45"/>
        <v>0</v>
      </c>
      <c r="V102" s="85">
        <f t="shared" si="45"/>
        <v>0</v>
      </c>
      <c r="W102" s="85">
        <f t="shared" si="45"/>
        <v>0</v>
      </c>
      <c r="X102" s="85">
        <f t="shared" si="45"/>
        <v>0</v>
      </c>
      <c r="Y102" s="85">
        <f t="shared" si="45"/>
        <v>0</v>
      </c>
      <c r="Z102" s="85">
        <f t="shared" si="45"/>
        <v>0</v>
      </c>
      <c r="AA102" s="85">
        <f t="shared" si="45"/>
        <v>0</v>
      </c>
      <c r="AB102" s="85">
        <f t="shared" si="45"/>
        <v>0</v>
      </c>
      <c r="AC102" s="85">
        <f t="shared" si="45"/>
        <v>0</v>
      </c>
      <c r="AD102" s="85">
        <f t="shared" si="45"/>
        <v>0</v>
      </c>
      <c r="AE102" s="85">
        <f t="shared" si="45"/>
        <v>0</v>
      </c>
      <c r="AF102" s="85">
        <f t="shared" si="45"/>
        <v>0</v>
      </c>
      <c r="AG102" s="86"/>
      <c r="AH102" s="12">
        <f t="shared" si="38"/>
        <v>0</v>
      </c>
      <c r="AI102" s="11">
        <f t="shared" si="39"/>
        <v>0</v>
      </c>
      <c r="BF102" s="83"/>
      <c r="BG102" s="78">
        <v>0</v>
      </c>
      <c r="BH102" s="78">
        <v>0</v>
      </c>
      <c r="BI102" s="78">
        <v>0</v>
      </c>
      <c r="BJ102" s="78">
        <v>0</v>
      </c>
      <c r="BK102" s="78">
        <v>0</v>
      </c>
      <c r="BL102" s="78">
        <v>0</v>
      </c>
    </row>
    <row r="103" spans="1:64" x14ac:dyDescent="0.25">
      <c r="A103" s="82" t="s">
        <v>159</v>
      </c>
      <c r="B103" s="85">
        <f t="shared" ref="B103:AF103" si="46">IF(B85&lt;0,B85*-1,0)</f>
        <v>0</v>
      </c>
      <c r="C103" s="85">
        <f t="shared" si="46"/>
        <v>0</v>
      </c>
      <c r="D103" s="85">
        <f t="shared" si="46"/>
        <v>0</v>
      </c>
      <c r="E103" s="85">
        <f t="shared" si="46"/>
        <v>0</v>
      </c>
      <c r="F103" s="85">
        <f t="shared" si="46"/>
        <v>0</v>
      </c>
      <c r="G103" s="85">
        <f t="shared" si="46"/>
        <v>0</v>
      </c>
      <c r="H103" s="85">
        <f t="shared" si="46"/>
        <v>0</v>
      </c>
      <c r="I103" s="85">
        <f t="shared" si="46"/>
        <v>0</v>
      </c>
      <c r="J103" s="85">
        <f t="shared" si="46"/>
        <v>0</v>
      </c>
      <c r="K103" s="85">
        <f t="shared" si="46"/>
        <v>0</v>
      </c>
      <c r="L103" s="85">
        <f t="shared" si="46"/>
        <v>0</v>
      </c>
      <c r="M103" s="85">
        <f t="shared" si="46"/>
        <v>0</v>
      </c>
      <c r="N103" s="85">
        <f t="shared" si="46"/>
        <v>0</v>
      </c>
      <c r="O103" s="85">
        <f t="shared" si="46"/>
        <v>0</v>
      </c>
      <c r="P103" s="85">
        <f t="shared" si="46"/>
        <v>0</v>
      </c>
      <c r="Q103" s="85">
        <f t="shared" si="46"/>
        <v>0</v>
      </c>
      <c r="R103" s="85">
        <f t="shared" si="46"/>
        <v>0</v>
      </c>
      <c r="S103" s="85">
        <f t="shared" si="46"/>
        <v>0</v>
      </c>
      <c r="T103" s="85">
        <f t="shared" si="46"/>
        <v>0</v>
      </c>
      <c r="U103" s="85">
        <f t="shared" si="46"/>
        <v>0</v>
      </c>
      <c r="V103" s="85">
        <f t="shared" si="46"/>
        <v>0</v>
      </c>
      <c r="W103" s="85">
        <f t="shared" si="46"/>
        <v>0</v>
      </c>
      <c r="X103" s="85">
        <f t="shared" si="46"/>
        <v>0</v>
      </c>
      <c r="Y103" s="85">
        <f t="shared" si="46"/>
        <v>0</v>
      </c>
      <c r="Z103" s="85">
        <f t="shared" si="46"/>
        <v>0</v>
      </c>
      <c r="AA103" s="85">
        <f t="shared" si="46"/>
        <v>0</v>
      </c>
      <c r="AB103" s="85">
        <f t="shared" si="46"/>
        <v>0</v>
      </c>
      <c r="AC103" s="85">
        <f t="shared" si="46"/>
        <v>0</v>
      </c>
      <c r="AD103" s="85">
        <f t="shared" si="46"/>
        <v>0</v>
      </c>
      <c r="AE103" s="85">
        <f t="shared" si="46"/>
        <v>0</v>
      </c>
      <c r="AF103" s="85">
        <f t="shared" si="46"/>
        <v>0</v>
      </c>
      <c r="AG103" s="84"/>
      <c r="AH103" s="12">
        <f t="shared" si="38"/>
        <v>0</v>
      </c>
      <c r="AI103" s="11">
        <f t="shared" si="39"/>
        <v>0</v>
      </c>
      <c r="BF103" s="83"/>
      <c r="BG103" s="78">
        <v>0</v>
      </c>
      <c r="BH103" s="78">
        <v>0</v>
      </c>
      <c r="BI103" s="78">
        <v>0</v>
      </c>
      <c r="BJ103" s="78">
        <v>0</v>
      </c>
      <c r="BK103" s="78">
        <v>0</v>
      </c>
      <c r="BL103" s="78">
        <v>0</v>
      </c>
    </row>
    <row r="104" spans="1:64" x14ac:dyDescent="0.25">
      <c r="A104" s="82" t="s">
        <v>158</v>
      </c>
      <c r="B104" s="85">
        <f t="shared" ref="B104:AF104" si="47">IF(B83&lt;0,B83*-1,0)</f>
        <v>0</v>
      </c>
      <c r="C104" s="85">
        <f t="shared" si="47"/>
        <v>0</v>
      </c>
      <c r="D104" s="85">
        <f t="shared" si="47"/>
        <v>0</v>
      </c>
      <c r="E104" s="85">
        <f t="shared" si="47"/>
        <v>0</v>
      </c>
      <c r="F104" s="85">
        <f t="shared" si="47"/>
        <v>0</v>
      </c>
      <c r="G104" s="85">
        <f t="shared" si="47"/>
        <v>0</v>
      </c>
      <c r="H104" s="85">
        <f t="shared" si="47"/>
        <v>0</v>
      </c>
      <c r="I104" s="85">
        <f t="shared" si="47"/>
        <v>0</v>
      </c>
      <c r="J104" s="85">
        <f t="shared" si="47"/>
        <v>0</v>
      </c>
      <c r="K104" s="85">
        <f t="shared" si="47"/>
        <v>0</v>
      </c>
      <c r="L104" s="85">
        <f t="shared" si="47"/>
        <v>0</v>
      </c>
      <c r="M104" s="85">
        <f t="shared" si="47"/>
        <v>0</v>
      </c>
      <c r="N104" s="85">
        <f t="shared" si="47"/>
        <v>0</v>
      </c>
      <c r="O104" s="85">
        <f t="shared" si="47"/>
        <v>0</v>
      </c>
      <c r="P104" s="85">
        <f t="shared" si="47"/>
        <v>0</v>
      </c>
      <c r="Q104" s="85">
        <f t="shared" si="47"/>
        <v>0</v>
      </c>
      <c r="R104" s="85">
        <f t="shared" si="47"/>
        <v>0</v>
      </c>
      <c r="S104" s="85">
        <f t="shared" si="47"/>
        <v>0</v>
      </c>
      <c r="T104" s="85">
        <f t="shared" si="47"/>
        <v>0</v>
      </c>
      <c r="U104" s="85">
        <f t="shared" si="47"/>
        <v>0</v>
      </c>
      <c r="V104" s="85">
        <f t="shared" si="47"/>
        <v>0</v>
      </c>
      <c r="W104" s="85">
        <f t="shared" si="47"/>
        <v>0</v>
      </c>
      <c r="X104" s="85">
        <f t="shared" si="47"/>
        <v>0</v>
      </c>
      <c r="Y104" s="85">
        <f t="shared" si="47"/>
        <v>0</v>
      </c>
      <c r="Z104" s="85">
        <f t="shared" si="47"/>
        <v>0</v>
      </c>
      <c r="AA104" s="85">
        <f t="shared" si="47"/>
        <v>0</v>
      </c>
      <c r="AB104" s="85">
        <f t="shared" si="47"/>
        <v>0</v>
      </c>
      <c r="AC104" s="85">
        <f t="shared" si="47"/>
        <v>0</v>
      </c>
      <c r="AD104" s="85">
        <f t="shared" si="47"/>
        <v>0</v>
      </c>
      <c r="AE104" s="85">
        <f t="shared" si="47"/>
        <v>0</v>
      </c>
      <c r="AF104" s="85">
        <f t="shared" si="47"/>
        <v>0</v>
      </c>
      <c r="AG104" s="84"/>
      <c r="AH104" s="12">
        <f t="shared" si="38"/>
        <v>0</v>
      </c>
      <c r="AI104" s="11">
        <f t="shared" si="39"/>
        <v>0</v>
      </c>
      <c r="BF104" s="83"/>
      <c r="BG104" s="78">
        <v>0</v>
      </c>
      <c r="BH104" s="78">
        <v>0</v>
      </c>
      <c r="BI104" s="78">
        <v>0</v>
      </c>
      <c r="BJ104" s="78">
        <v>0</v>
      </c>
      <c r="BK104" s="78">
        <v>0</v>
      </c>
      <c r="BL104" s="78">
        <v>0</v>
      </c>
    </row>
    <row r="105" spans="1:64" x14ac:dyDescent="0.25">
      <c r="A105" s="82" t="s">
        <v>157</v>
      </c>
      <c r="B105" s="85">
        <f t="shared" ref="B105:AF105" si="48">IF(B81&lt;0,B81*-1,0)</f>
        <v>0</v>
      </c>
      <c r="C105" s="85">
        <f t="shared" si="48"/>
        <v>0</v>
      </c>
      <c r="D105" s="85">
        <f t="shared" si="48"/>
        <v>0</v>
      </c>
      <c r="E105" s="85">
        <f t="shared" si="48"/>
        <v>0</v>
      </c>
      <c r="F105" s="85">
        <f t="shared" si="48"/>
        <v>0</v>
      </c>
      <c r="G105" s="85">
        <f t="shared" si="48"/>
        <v>0</v>
      </c>
      <c r="H105" s="85">
        <f t="shared" si="48"/>
        <v>0</v>
      </c>
      <c r="I105" s="85">
        <f t="shared" si="48"/>
        <v>0</v>
      </c>
      <c r="J105" s="85">
        <f t="shared" si="48"/>
        <v>0</v>
      </c>
      <c r="K105" s="85">
        <f t="shared" si="48"/>
        <v>0</v>
      </c>
      <c r="L105" s="85">
        <f t="shared" si="48"/>
        <v>0</v>
      </c>
      <c r="M105" s="85">
        <f t="shared" si="48"/>
        <v>0</v>
      </c>
      <c r="N105" s="85">
        <f t="shared" si="48"/>
        <v>0</v>
      </c>
      <c r="O105" s="85">
        <f t="shared" si="48"/>
        <v>0</v>
      </c>
      <c r="P105" s="85">
        <f t="shared" si="48"/>
        <v>0</v>
      </c>
      <c r="Q105" s="85">
        <f t="shared" si="48"/>
        <v>0</v>
      </c>
      <c r="R105" s="85">
        <f t="shared" si="48"/>
        <v>0</v>
      </c>
      <c r="S105" s="85">
        <f t="shared" si="48"/>
        <v>0</v>
      </c>
      <c r="T105" s="85">
        <f t="shared" si="48"/>
        <v>0</v>
      </c>
      <c r="U105" s="85">
        <f t="shared" si="48"/>
        <v>0</v>
      </c>
      <c r="V105" s="85">
        <f t="shared" si="48"/>
        <v>0</v>
      </c>
      <c r="W105" s="85">
        <f t="shared" si="48"/>
        <v>0</v>
      </c>
      <c r="X105" s="85">
        <f t="shared" si="48"/>
        <v>0</v>
      </c>
      <c r="Y105" s="85">
        <f t="shared" si="48"/>
        <v>0</v>
      </c>
      <c r="Z105" s="85">
        <f t="shared" si="48"/>
        <v>0</v>
      </c>
      <c r="AA105" s="85">
        <f t="shared" si="48"/>
        <v>0</v>
      </c>
      <c r="AB105" s="85">
        <f t="shared" si="48"/>
        <v>0</v>
      </c>
      <c r="AC105" s="85">
        <f t="shared" si="48"/>
        <v>0</v>
      </c>
      <c r="AD105" s="85">
        <f t="shared" si="48"/>
        <v>0</v>
      </c>
      <c r="AE105" s="85">
        <f t="shared" si="48"/>
        <v>0</v>
      </c>
      <c r="AF105" s="85">
        <f t="shared" si="48"/>
        <v>0</v>
      </c>
      <c r="AG105" s="84"/>
      <c r="AH105" s="12">
        <f t="shared" si="38"/>
        <v>0</v>
      </c>
      <c r="AI105" s="11">
        <f t="shared" si="39"/>
        <v>0</v>
      </c>
      <c r="BF105" s="83"/>
      <c r="BG105" s="78">
        <v>0</v>
      </c>
      <c r="BH105" s="78">
        <v>0</v>
      </c>
      <c r="BI105" s="78">
        <v>0</v>
      </c>
      <c r="BJ105" s="78">
        <v>0</v>
      </c>
      <c r="BK105" s="78">
        <v>0</v>
      </c>
      <c r="BL105" s="78">
        <v>0</v>
      </c>
    </row>
    <row r="106" spans="1:64" ht="15.75" thickBot="1" x14ac:dyDescent="0.3">
      <c r="A106" s="82" t="s">
        <v>156</v>
      </c>
      <c r="B106" s="81">
        <v>0</v>
      </c>
      <c r="C106" s="81">
        <v>0</v>
      </c>
      <c r="D106" s="81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0"/>
      <c r="AH106" s="12">
        <f t="shared" si="38"/>
        <v>0</v>
      </c>
      <c r="AI106" s="11">
        <f t="shared" si="39"/>
        <v>0</v>
      </c>
      <c r="BG106" s="78">
        <v>0</v>
      </c>
      <c r="BH106" s="78">
        <v>0</v>
      </c>
      <c r="BI106" s="78">
        <v>0</v>
      </c>
      <c r="BJ106" s="78">
        <v>0</v>
      </c>
      <c r="BK106" s="78">
        <v>0</v>
      </c>
      <c r="BL106" s="78">
        <v>0</v>
      </c>
    </row>
    <row r="107" spans="1:64" ht="15.75" thickBot="1" x14ac:dyDescent="0.3">
      <c r="A107" s="79" t="s">
        <v>155</v>
      </c>
      <c r="B107" s="76">
        <f t="shared" ref="B107:AF107" si="49">SUM(B101:B106)</f>
        <v>0</v>
      </c>
      <c r="C107" s="76">
        <f t="shared" si="49"/>
        <v>0</v>
      </c>
      <c r="D107" s="76">
        <f t="shared" si="49"/>
        <v>0</v>
      </c>
      <c r="E107" s="76">
        <f t="shared" si="49"/>
        <v>0</v>
      </c>
      <c r="F107" s="76">
        <f t="shared" si="49"/>
        <v>0</v>
      </c>
      <c r="G107" s="76">
        <f t="shared" si="49"/>
        <v>0</v>
      </c>
      <c r="H107" s="76">
        <f t="shared" si="49"/>
        <v>0</v>
      </c>
      <c r="I107" s="76">
        <f t="shared" si="49"/>
        <v>0</v>
      </c>
      <c r="J107" s="76">
        <f t="shared" si="49"/>
        <v>0</v>
      </c>
      <c r="K107" s="76">
        <f t="shared" si="49"/>
        <v>0</v>
      </c>
      <c r="L107" s="76">
        <f t="shared" si="49"/>
        <v>0</v>
      </c>
      <c r="M107" s="76">
        <f t="shared" si="49"/>
        <v>0</v>
      </c>
      <c r="N107" s="76">
        <f t="shared" si="49"/>
        <v>0</v>
      </c>
      <c r="O107" s="76">
        <f t="shared" si="49"/>
        <v>0</v>
      </c>
      <c r="P107" s="76">
        <f t="shared" si="49"/>
        <v>0</v>
      </c>
      <c r="Q107" s="76">
        <f t="shared" si="49"/>
        <v>0</v>
      </c>
      <c r="R107" s="76">
        <f t="shared" si="49"/>
        <v>0</v>
      </c>
      <c r="S107" s="76">
        <f t="shared" si="49"/>
        <v>0</v>
      </c>
      <c r="T107" s="76">
        <f t="shared" si="49"/>
        <v>0</v>
      </c>
      <c r="U107" s="76">
        <f t="shared" si="49"/>
        <v>0</v>
      </c>
      <c r="V107" s="76">
        <f t="shared" si="49"/>
        <v>0</v>
      </c>
      <c r="W107" s="76">
        <f t="shared" si="49"/>
        <v>0</v>
      </c>
      <c r="X107" s="76">
        <f t="shared" si="49"/>
        <v>0</v>
      </c>
      <c r="Y107" s="76">
        <f t="shared" si="49"/>
        <v>0</v>
      </c>
      <c r="Z107" s="76">
        <f t="shared" si="49"/>
        <v>0</v>
      </c>
      <c r="AA107" s="76">
        <f t="shared" si="49"/>
        <v>0</v>
      </c>
      <c r="AB107" s="76">
        <f t="shared" si="49"/>
        <v>0</v>
      </c>
      <c r="AC107" s="76">
        <f t="shared" si="49"/>
        <v>0</v>
      </c>
      <c r="AD107" s="76">
        <f t="shared" si="49"/>
        <v>0</v>
      </c>
      <c r="AE107" s="76">
        <f t="shared" si="49"/>
        <v>0</v>
      </c>
      <c r="AF107" s="76">
        <f t="shared" si="49"/>
        <v>0</v>
      </c>
      <c r="AG107" s="75"/>
      <c r="AH107" s="12">
        <f t="shared" si="38"/>
        <v>0</v>
      </c>
      <c r="AI107" s="11">
        <f t="shared" si="39"/>
        <v>0</v>
      </c>
      <c r="AK107" s="19"/>
      <c r="BG107" s="78">
        <v>0</v>
      </c>
      <c r="BH107" s="78">
        <v>0</v>
      </c>
      <c r="BI107" s="78">
        <v>0</v>
      </c>
      <c r="BJ107" s="78">
        <v>0</v>
      </c>
      <c r="BK107" s="78">
        <v>0</v>
      </c>
      <c r="BL107" s="78">
        <v>0</v>
      </c>
    </row>
    <row r="108" spans="1:64" ht="15.75" thickBot="1" x14ac:dyDescent="0.3">
      <c r="A108" s="77" t="s">
        <v>154</v>
      </c>
      <c r="B108" s="76">
        <f t="shared" ref="B108:AF108" si="50">B92-B107</f>
        <v>0</v>
      </c>
      <c r="C108" s="76">
        <f t="shared" si="50"/>
        <v>0</v>
      </c>
      <c r="D108" s="76">
        <f t="shared" si="50"/>
        <v>0</v>
      </c>
      <c r="E108" s="76">
        <f t="shared" si="50"/>
        <v>0</v>
      </c>
      <c r="F108" s="76">
        <f t="shared" si="50"/>
        <v>0</v>
      </c>
      <c r="G108" s="76">
        <f t="shared" si="50"/>
        <v>0</v>
      </c>
      <c r="H108" s="76">
        <f t="shared" si="50"/>
        <v>0</v>
      </c>
      <c r="I108" s="76">
        <f t="shared" si="50"/>
        <v>0</v>
      </c>
      <c r="J108" s="76">
        <f t="shared" si="50"/>
        <v>0</v>
      </c>
      <c r="K108" s="76">
        <f t="shared" si="50"/>
        <v>0</v>
      </c>
      <c r="L108" s="76">
        <f t="shared" si="50"/>
        <v>0</v>
      </c>
      <c r="M108" s="76">
        <f t="shared" si="50"/>
        <v>0</v>
      </c>
      <c r="N108" s="76">
        <f t="shared" si="50"/>
        <v>0</v>
      </c>
      <c r="O108" s="76">
        <f t="shared" si="50"/>
        <v>0</v>
      </c>
      <c r="P108" s="76">
        <f t="shared" si="50"/>
        <v>0</v>
      </c>
      <c r="Q108" s="76">
        <f t="shared" si="50"/>
        <v>0</v>
      </c>
      <c r="R108" s="76">
        <f t="shared" si="50"/>
        <v>0</v>
      </c>
      <c r="S108" s="76">
        <f t="shared" si="50"/>
        <v>0</v>
      </c>
      <c r="T108" s="76">
        <f t="shared" si="50"/>
        <v>0</v>
      </c>
      <c r="U108" s="76">
        <f t="shared" si="50"/>
        <v>0</v>
      </c>
      <c r="V108" s="76">
        <f t="shared" si="50"/>
        <v>0</v>
      </c>
      <c r="W108" s="76">
        <f t="shared" si="50"/>
        <v>0</v>
      </c>
      <c r="X108" s="76">
        <f t="shared" si="50"/>
        <v>0</v>
      </c>
      <c r="Y108" s="76">
        <f t="shared" si="50"/>
        <v>0</v>
      </c>
      <c r="Z108" s="76">
        <f t="shared" si="50"/>
        <v>0</v>
      </c>
      <c r="AA108" s="76">
        <f t="shared" si="50"/>
        <v>0</v>
      </c>
      <c r="AB108" s="76">
        <f t="shared" si="50"/>
        <v>0</v>
      </c>
      <c r="AC108" s="76">
        <f t="shared" si="50"/>
        <v>0</v>
      </c>
      <c r="AD108" s="76">
        <f t="shared" si="50"/>
        <v>0</v>
      </c>
      <c r="AE108" s="76">
        <f t="shared" si="50"/>
        <v>0</v>
      </c>
      <c r="AF108" s="76">
        <f t="shared" si="50"/>
        <v>0</v>
      </c>
      <c r="AG108" s="75"/>
      <c r="AH108" s="12">
        <f t="shared" si="38"/>
        <v>0</v>
      </c>
      <c r="AI108" s="11">
        <f t="shared" si="39"/>
        <v>0</v>
      </c>
    </row>
    <row r="109" spans="1:64" x14ac:dyDescent="0.25">
      <c r="A109" s="25" t="s">
        <v>153</v>
      </c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3"/>
      <c r="AH109" s="12">
        <f t="shared" si="38"/>
        <v>0</v>
      </c>
      <c r="AI109" s="11">
        <f t="shared" si="39"/>
        <v>0</v>
      </c>
    </row>
    <row r="110" spans="1:64" x14ac:dyDescent="0.25">
      <c r="A110" s="22" t="s">
        <v>152</v>
      </c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69"/>
      <c r="AH110" s="12">
        <f t="shared" si="38"/>
        <v>0</v>
      </c>
      <c r="AI110" s="11">
        <f t="shared" si="39"/>
        <v>0</v>
      </c>
    </row>
    <row r="111" spans="1:64" x14ac:dyDescent="0.25">
      <c r="A111" s="22" t="s">
        <v>151</v>
      </c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69"/>
      <c r="AH111" s="12">
        <f t="shared" si="38"/>
        <v>0</v>
      </c>
      <c r="AI111" s="11">
        <f t="shared" si="39"/>
        <v>0</v>
      </c>
    </row>
    <row r="112" spans="1:64" x14ac:dyDescent="0.25">
      <c r="A112" s="22" t="s">
        <v>150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69"/>
      <c r="AH112" s="12">
        <f t="shared" si="38"/>
        <v>0</v>
      </c>
      <c r="AI112" s="11">
        <f t="shared" si="39"/>
        <v>0</v>
      </c>
    </row>
    <row r="113" spans="1:35" x14ac:dyDescent="0.25">
      <c r="A113" s="72" t="s">
        <v>149</v>
      </c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69"/>
      <c r="AH113" s="12">
        <f t="shared" si="38"/>
        <v>0</v>
      </c>
      <c r="AI113" s="11">
        <f t="shared" si="39"/>
        <v>0</v>
      </c>
    </row>
    <row r="114" spans="1:35" x14ac:dyDescent="0.25">
      <c r="A114" s="72" t="s">
        <v>148</v>
      </c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71"/>
      <c r="AH114" s="12">
        <f t="shared" ref="AH114:AH123" si="51">MAX(B114:AF114)</f>
        <v>0</v>
      </c>
      <c r="AI114" s="11">
        <f t="shared" ref="AI114:AI123" si="52">MIN(B114:AF114)</f>
        <v>0</v>
      </c>
    </row>
    <row r="115" spans="1:35" x14ac:dyDescent="0.25">
      <c r="A115" s="22" t="s">
        <v>147</v>
      </c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69"/>
      <c r="AH115" s="12">
        <f t="shared" si="51"/>
        <v>0</v>
      </c>
      <c r="AI115" s="11">
        <f t="shared" si="52"/>
        <v>0</v>
      </c>
    </row>
    <row r="116" spans="1:35" ht="15.75" thickBot="1" x14ac:dyDescent="0.3">
      <c r="A116" s="22" t="s">
        <v>146</v>
      </c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6"/>
      <c r="AH116" s="12">
        <f t="shared" si="51"/>
        <v>0</v>
      </c>
      <c r="AI116" s="11">
        <f t="shared" si="52"/>
        <v>0</v>
      </c>
    </row>
    <row r="117" spans="1:35" ht="15.75" thickBot="1" x14ac:dyDescent="0.3">
      <c r="A117" s="68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 t="s">
        <v>145</v>
      </c>
      <c r="Y117" s="67"/>
      <c r="Z117" s="67"/>
      <c r="AA117" s="67"/>
      <c r="AB117" s="67"/>
      <c r="AC117" s="67"/>
      <c r="AD117" s="67"/>
      <c r="AE117" s="67"/>
      <c r="AF117" s="67"/>
      <c r="AG117" s="66"/>
      <c r="AH117" s="12">
        <f t="shared" si="51"/>
        <v>0</v>
      </c>
      <c r="AI117" s="11">
        <f t="shared" si="52"/>
        <v>0</v>
      </c>
    </row>
    <row r="118" spans="1:35" ht="15.75" thickBot="1" x14ac:dyDescent="0.3">
      <c r="A118" s="65" t="s">
        <v>144</v>
      </c>
      <c r="B118" s="64">
        <f t="shared" ref="B118:O118" si="53">SUM(B22,B28,B31:B32,B66,B68:B69,B71,B73,B119:B123,B155,B161,B167,B176,B178,B190,B197,B200:B201,B208,B210,B212,B216:B218,B220:B222,B227,B233:B234,B236:B238,B246,B251)</f>
        <v>0.94</v>
      </c>
      <c r="C118" s="64">
        <f t="shared" si="53"/>
        <v>0.94</v>
      </c>
      <c r="D118" s="64">
        <f t="shared" si="53"/>
        <v>0.94</v>
      </c>
      <c r="E118" s="64">
        <f t="shared" si="53"/>
        <v>0.94</v>
      </c>
      <c r="F118" s="64">
        <f t="shared" si="53"/>
        <v>0.94</v>
      </c>
      <c r="G118" s="64">
        <f t="shared" si="53"/>
        <v>0.94</v>
      </c>
      <c r="H118" s="64">
        <f t="shared" si="53"/>
        <v>0.94</v>
      </c>
      <c r="I118" s="64">
        <f t="shared" si="53"/>
        <v>0.94</v>
      </c>
      <c r="J118" s="64">
        <f t="shared" si="53"/>
        <v>0.94</v>
      </c>
      <c r="K118" s="64">
        <f t="shared" si="53"/>
        <v>0.94</v>
      </c>
      <c r="L118" s="64">
        <f t="shared" si="53"/>
        <v>0.94</v>
      </c>
      <c r="M118" s="64">
        <f t="shared" si="53"/>
        <v>0.94</v>
      </c>
      <c r="N118" s="64">
        <f t="shared" si="53"/>
        <v>0.94</v>
      </c>
      <c r="O118" s="64">
        <f t="shared" si="53"/>
        <v>0.94</v>
      </c>
      <c r="P118" s="64">
        <v>42</v>
      </c>
      <c r="Q118" s="64">
        <f t="shared" ref="Q118:X118" si="54">SUM(Q22,Q28,Q31:Q32,Q66,Q68:Q69,Q71,Q73,Q119:Q123,Q155,Q161,Q167,Q176,Q178,Q190,Q197,Q200:Q201,Q208,Q210,Q212,Q216:Q218,Q220:Q222,Q227,Q233:Q234,Q236:Q238,Q246,Q251)</f>
        <v>0.94</v>
      </c>
      <c r="R118" s="64">
        <f t="shared" si="54"/>
        <v>0.94</v>
      </c>
      <c r="S118" s="64">
        <f t="shared" si="54"/>
        <v>0.94</v>
      </c>
      <c r="T118" s="64">
        <f t="shared" si="54"/>
        <v>0.94</v>
      </c>
      <c r="U118" s="64">
        <f t="shared" si="54"/>
        <v>0.94</v>
      </c>
      <c r="V118" s="64">
        <f t="shared" si="54"/>
        <v>0.94</v>
      </c>
      <c r="W118" s="64">
        <f t="shared" si="54"/>
        <v>0.94</v>
      </c>
      <c r="X118" s="64">
        <f t="shared" si="54"/>
        <v>0.94</v>
      </c>
      <c r="Y118" s="64">
        <f>SUM(Y20,Y26,Y37:Y38,Y66,Y68:Y69,Y71,Y73,Y119:Y123,Y148,Y154,Y160,Y169,Y171,Y183,Y190,Y193:Y194,Y201,Y203,Y205,Y209:Y211,Y213:Y215,Y220,Y226:Y227,Y229:Y231,Y239,Y244)</f>
        <v>0</v>
      </c>
      <c r="Z118" s="64">
        <f>SUM(Z20,Z26,Z37:Z38,Z66,Z68:Z69,Z71,Z73,Z119:Z123,Z148,Z154,Z160,Z169,Z171,Z183,Z190,Z193:Z194,Z201,Z203,Z205,Z209:Z211,Z213:Z215,Z220,Z226:Z227,Z229:Z231,Z239,Z244)</f>
        <v>0</v>
      </c>
      <c r="AA118" s="64">
        <f t="shared" ref="AA118:AF118" si="55">SUM(AA22,AA28,AA31:AA32,AA66,AA68:AA69,AA71,AA73,AA119:AA123,AA155,AA161,AA167,AA176,AA178,AA190,AA197,AA200:AA201,AA208,AA210,AA212,AA216:AA218,AA220:AA222,AA227,AA233:AA234,AA236:AA238,AA246,AA251)</f>
        <v>0.94</v>
      </c>
      <c r="AB118" s="64">
        <f t="shared" si="55"/>
        <v>0.94</v>
      </c>
      <c r="AC118" s="64">
        <f t="shared" si="55"/>
        <v>0.94</v>
      </c>
      <c r="AD118" s="64">
        <f t="shared" si="55"/>
        <v>0.94</v>
      </c>
      <c r="AE118" s="64">
        <f t="shared" si="55"/>
        <v>0.94</v>
      </c>
      <c r="AF118" s="64">
        <f t="shared" si="55"/>
        <v>0.94</v>
      </c>
      <c r="AG118" s="63"/>
      <c r="AH118" s="12">
        <f t="shared" si="51"/>
        <v>42</v>
      </c>
      <c r="AI118" s="11">
        <f t="shared" si="52"/>
        <v>0</v>
      </c>
    </row>
    <row r="119" spans="1:35" x14ac:dyDescent="0.25">
      <c r="A119" s="59" t="s">
        <v>143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55">
        <v>75</v>
      </c>
      <c r="AH119" s="12">
        <f t="shared" si="51"/>
        <v>0</v>
      </c>
      <c r="AI119" s="11">
        <f t="shared" si="52"/>
        <v>0</v>
      </c>
    </row>
    <row r="120" spans="1:35" x14ac:dyDescent="0.25">
      <c r="A120" s="57" t="s">
        <v>142</v>
      </c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  <c r="AE120" s="61"/>
      <c r="AF120" s="61"/>
      <c r="AG120" s="55">
        <v>240</v>
      </c>
      <c r="AH120" s="12">
        <f t="shared" si="51"/>
        <v>0</v>
      </c>
      <c r="AI120" s="11">
        <f t="shared" si="52"/>
        <v>0</v>
      </c>
    </row>
    <row r="121" spans="1:35" x14ac:dyDescent="0.25">
      <c r="A121" s="57" t="s">
        <v>141</v>
      </c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55">
        <v>240</v>
      </c>
      <c r="AH121" s="12">
        <f t="shared" si="51"/>
        <v>0</v>
      </c>
      <c r="AI121" s="11">
        <f t="shared" si="52"/>
        <v>0</v>
      </c>
    </row>
    <row r="122" spans="1:35" ht="15.75" thickBot="1" x14ac:dyDescent="0.3">
      <c r="A122" s="57" t="s">
        <v>140</v>
      </c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  <c r="AE122" s="61"/>
      <c r="AF122" s="61"/>
      <c r="AG122" s="55">
        <v>60</v>
      </c>
      <c r="AH122" s="12">
        <f t="shared" si="51"/>
        <v>0</v>
      </c>
      <c r="AI122" s="11">
        <f t="shared" si="52"/>
        <v>0</v>
      </c>
    </row>
    <row r="123" spans="1:35" x14ac:dyDescent="0.25">
      <c r="A123" s="59" t="s">
        <v>139</v>
      </c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60">
        <v>120</v>
      </c>
      <c r="AH123" s="12">
        <f t="shared" si="51"/>
        <v>0</v>
      </c>
      <c r="AI123" s="11">
        <f t="shared" si="52"/>
        <v>0</v>
      </c>
    </row>
    <row r="124" spans="1:35" x14ac:dyDescent="0.25">
      <c r="A124" s="57" t="s">
        <v>138</v>
      </c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60"/>
      <c r="AH124" s="12"/>
      <c r="AI124" s="11"/>
    </row>
    <row r="125" spans="1:35" x14ac:dyDescent="0.25">
      <c r="A125" s="57" t="s">
        <v>137</v>
      </c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60"/>
      <c r="AH125" s="12"/>
      <c r="AI125" s="11"/>
    </row>
    <row r="126" spans="1:35" ht="15.75" thickBot="1" x14ac:dyDescent="0.3">
      <c r="A126" s="57" t="s">
        <v>136</v>
      </c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5"/>
      <c r="AH126" s="12">
        <f>MAX(B126:AF126)</f>
        <v>0</v>
      </c>
      <c r="AI126" s="11">
        <f>MIN(B126:AF126)</f>
        <v>0</v>
      </c>
    </row>
    <row r="127" spans="1:35" x14ac:dyDescent="0.25">
      <c r="A127" s="59" t="s">
        <v>135</v>
      </c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5"/>
      <c r="AH127" s="12">
        <f>MAX(B127:AF127)</f>
        <v>0</v>
      </c>
      <c r="AI127" s="11">
        <f>MIN(B127:AF127)</f>
        <v>0</v>
      </c>
    </row>
    <row r="128" spans="1:35" x14ac:dyDescent="0.25">
      <c r="A128" s="57" t="s">
        <v>134</v>
      </c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5"/>
      <c r="AH128" s="12">
        <f>MAX(B128:AF128)</f>
        <v>0</v>
      </c>
      <c r="AI128" s="11">
        <f>MIN(B128:AF128)</f>
        <v>0</v>
      </c>
    </row>
    <row r="129" spans="1:37" x14ac:dyDescent="0.25">
      <c r="A129" s="57" t="s">
        <v>133</v>
      </c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5"/>
      <c r="AH129" s="12">
        <f>MAX(B129:AF129)</f>
        <v>0</v>
      </c>
      <c r="AI129" s="11">
        <f>MIN(B129:AF129)</f>
        <v>0</v>
      </c>
    </row>
    <row r="130" spans="1:37" ht="15.75" thickBot="1" x14ac:dyDescent="0.3">
      <c r="A130" s="57" t="s">
        <v>132</v>
      </c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5"/>
      <c r="AH130" s="12">
        <f>MAX(B130:AF130)</f>
        <v>0</v>
      </c>
      <c r="AI130" s="11">
        <f>MIN(B130:AF130)</f>
        <v>0</v>
      </c>
    </row>
    <row r="131" spans="1:37" x14ac:dyDescent="0.25">
      <c r="A131" s="54" t="s">
        <v>131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2"/>
      <c r="AG131" s="2"/>
      <c r="AH131" s="12"/>
      <c r="AI131" s="11"/>
    </row>
    <row r="132" spans="1:37" x14ac:dyDescent="0.25">
      <c r="A132" s="47" t="s">
        <v>130</v>
      </c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0"/>
      <c r="AG132" s="44"/>
      <c r="AH132" s="12"/>
      <c r="AI132" s="11"/>
    </row>
    <row r="133" spans="1:37" x14ac:dyDescent="0.25">
      <c r="A133" s="47" t="s">
        <v>129</v>
      </c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8"/>
      <c r="AG133" s="44"/>
      <c r="AH133" s="12"/>
      <c r="AI133" s="11"/>
    </row>
    <row r="134" spans="1:37" x14ac:dyDescent="0.25">
      <c r="A134" s="47" t="s">
        <v>128</v>
      </c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8"/>
      <c r="AG134" s="44"/>
      <c r="AH134" s="12"/>
      <c r="AI134" s="11"/>
    </row>
    <row r="135" spans="1:37" x14ac:dyDescent="0.25">
      <c r="A135" s="47" t="s">
        <v>127</v>
      </c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8"/>
      <c r="AG135" s="44"/>
      <c r="AH135" s="12"/>
      <c r="AI135" s="11"/>
    </row>
    <row r="136" spans="1:37" x14ac:dyDescent="0.25">
      <c r="A136" s="47" t="s">
        <v>126</v>
      </c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8"/>
      <c r="AG136" s="44"/>
      <c r="AH136" s="12"/>
      <c r="AI136" s="11"/>
    </row>
    <row r="137" spans="1:37" ht="15.75" thickBot="1" x14ac:dyDescent="0.3">
      <c r="A137" s="47" t="s">
        <v>125</v>
      </c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5"/>
      <c r="AG137" s="44"/>
      <c r="AH137" s="12"/>
      <c r="AI137" s="11"/>
    </row>
    <row r="138" spans="1:37" ht="15.75" thickBot="1" x14ac:dyDescent="0.3">
      <c r="A138" s="43" t="s">
        <v>124</v>
      </c>
      <c r="B138" s="41"/>
      <c r="C138" s="41"/>
      <c r="D138" s="41"/>
      <c r="E138" s="41"/>
      <c r="F138" s="42" t="s">
        <v>123</v>
      </c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0"/>
      <c r="AH138" s="12"/>
      <c r="AI138" s="11"/>
      <c r="AK138" s="19"/>
    </row>
    <row r="139" spans="1:37" x14ac:dyDescent="0.25">
      <c r="A139" s="39" t="s">
        <v>122</v>
      </c>
      <c r="B139" s="38"/>
      <c r="C139" s="34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7">
        <v>9.94</v>
      </c>
      <c r="AH139" s="12"/>
      <c r="AI139" s="11"/>
      <c r="AK139" s="19"/>
    </row>
    <row r="140" spans="1:37" x14ac:dyDescent="0.25">
      <c r="A140" s="22" t="s">
        <v>121</v>
      </c>
      <c r="B140" s="38"/>
      <c r="C140" s="34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7"/>
      <c r="AH140" s="12"/>
      <c r="AI140" s="11"/>
      <c r="AK140" s="19"/>
    </row>
    <row r="141" spans="1:37" x14ac:dyDescent="0.25">
      <c r="A141" s="22" t="s">
        <v>120</v>
      </c>
      <c r="B141" s="38"/>
      <c r="C141" s="34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7"/>
      <c r="AH141" s="12"/>
      <c r="AI141" s="11"/>
      <c r="AK141" s="19"/>
    </row>
    <row r="142" spans="1:37" x14ac:dyDescent="0.25">
      <c r="A142" s="22" t="s">
        <v>119</v>
      </c>
      <c r="B142" s="38"/>
      <c r="C142" s="34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7"/>
      <c r="AH142" s="12"/>
      <c r="AI142" s="11"/>
      <c r="AK142" s="19"/>
    </row>
    <row r="143" spans="1:37" x14ac:dyDescent="0.25">
      <c r="A143" s="22" t="s">
        <v>118</v>
      </c>
      <c r="B143" s="38"/>
      <c r="C143" s="34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7"/>
      <c r="AH143" s="12"/>
      <c r="AI143" s="11"/>
      <c r="AK143" s="19"/>
    </row>
    <row r="144" spans="1:37" x14ac:dyDescent="0.25">
      <c r="A144" s="22" t="s">
        <v>117</v>
      </c>
      <c r="B144" s="38"/>
      <c r="C144" s="34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7"/>
      <c r="AH144" s="12"/>
      <c r="AI144" s="11"/>
      <c r="AK144" s="19"/>
    </row>
    <row r="145" spans="1:37" x14ac:dyDescent="0.25">
      <c r="A145" s="22" t="s">
        <v>116</v>
      </c>
      <c r="B145" s="38"/>
      <c r="C145" s="34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7"/>
      <c r="AH145" s="12"/>
      <c r="AI145" s="11"/>
      <c r="AK145" s="19"/>
    </row>
    <row r="146" spans="1:37" x14ac:dyDescent="0.25">
      <c r="A146" s="22" t="s">
        <v>115</v>
      </c>
      <c r="B146" s="38"/>
      <c r="C146" s="34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7"/>
      <c r="AH146" s="12"/>
      <c r="AI146" s="11"/>
      <c r="AK146" s="19"/>
    </row>
    <row r="147" spans="1:37" x14ac:dyDescent="0.25">
      <c r="A147" s="22" t="s">
        <v>114</v>
      </c>
      <c r="B147" s="38"/>
      <c r="C147" s="34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7"/>
      <c r="AH147" s="12"/>
      <c r="AI147" s="11"/>
      <c r="AK147" s="19"/>
    </row>
    <row r="148" spans="1:37" x14ac:dyDescent="0.25">
      <c r="A148" s="22" t="s">
        <v>113</v>
      </c>
      <c r="B148" s="38"/>
      <c r="C148" s="34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7"/>
      <c r="AH148" s="12"/>
      <c r="AI148" s="11"/>
      <c r="AK148" s="19"/>
    </row>
    <row r="149" spans="1:37" x14ac:dyDescent="0.25">
      <c r="A149" s="22" t="s">
        <v>112</v>
      </c>
      <c r="B149" s="38"/>
      <c r="C149" s="34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7"/>
      <c r="AH149" s="12"/>
      <c r="AI149" s="11"/>
      <c r="AK149" s="19"/>
    </row>
    <row r="150" spans="1:37" x14ac:dyDescent="0.25">
      <c r="A150" s="22" t="s">
        <v>111</v>
      </c>
      <c r="B150" s="38"/>
      <c r="C150" s="34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7"/>
      <c r="AH150" s="12"/>
      <c r="AI150" s="11"/>
      <c r="AK150" s="19"/>
    </row>
    <row r="151" spans="1:37" x14ac:dyDescent="0.25">
      <c r="A151" s="22" t="s">
        <v>110</v>
      </c>
      <c r="B151" s="38"/>
      <c r="C151" s="34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7"/>
      <c r="AH151" s="12"/>
      <c r="AI151" s="11"/>
      <c r="AK151" s="19"/>
    </row>
    <row r="152" spans="1:37" x14ac:dyDescent="0.25">
      <c r="A152" s="22" t="s">
        <v>109</v>
      </c>
      <c r="B152" s="38"/>
      <c r="C152" s="34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7"/>
      <c r="AH152" s="12"/>
      <c r="AI152" s="11"/>
      <c r="AK152" s="19"/>
    </row>
    <row r="153" spans="1:37" x14ac:dyDescent="0.25">
      <c r="A153" s="22" t="s">
        <v>108</v>
      </c>
      <c r="B153" s="38"/>
      <c r="C153" s="34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7"/>
      <c r="AH153" s="12"/>
      <c r="AI153" s="11"/>
      <c r="AK153" s="19"/>
    </row>
    <row r="154" spans="1:37" x14ac:dyDescent="0.25">
      <c r="A154" s="22" t="s">
        <v>107</v>
      </c>
      <c r="B154" s="38"/>
      <c r="C154" s="34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7"/>
      <c r="AH154" s="12"/>
      <c r="AI154" s="11"/>
      <c r="AK154" s="19"/>
    </row>
    <row r="155" spans="1:37" x14ac:dyDescent="0.25">
      <c r="A155" s="22" t="s">
        <v>106</v>
      </c>
      <c r="B155" s="21"/>
      <c r="C155" s="35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36">
        <v>9.9</v>
      </c>
      <c r="AH155" s="12"/>
      <c r="AI155" s="11"/>
      <c r="AK155" s="19"/>
    </row>
    <row r="156" spans="1:37" x14ac:dyDescent="0.25">
      <c r="A156" s="18" t="s">
        <v>105</v>
      </c>
      <c r="B156" s="21"/>
      <c r="C156" s="35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32">
        <v>9.6579999999999995</v>
      </c>
      <c r="AH156" s="12"/>
      <c r="AI156" s="11"/>
      <c r="AK156" s="19"/>
    </row>
    <row r="157" spans="1:37" x14ac:dyDescent="0.25">
      <c r="A157" s="18" t="s">
        <v>104</v>
      </c>
      <c r="B157" s="21"/>
      <c r="C157" s="35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32">
        <v>9.6</v>
      </c>
      <c r="AH157" s="12"/>
      <c r="AI157" s="11"/>
      <c r="AK157" s="19"/>
    </row>
    <row r="158" spans="1:37" x14ac:dyDescent="0.25">
      <c r="A158" s="18" t="s">
        <v>103</v>
      </c>
      <c r="B158" s="21"/>
      <c r="C158" s="35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32">
        <v>9.51</v>
      </c>
      <c r="AH158" s="12"/>
      <c r="AI158" s="11"/>
      <c r="AK158" s="19"/>
    </row>
    <row r="159" spans="1:37" x14ac:dyDescent="0.25">
      <c r="A159" s="18" t="s">
        <v>102</v>
      </c>
      <c r="B159" s="21"/>
      <c r="C159" s="35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32">
        <v>9.4</v>
      </c>
      <c r="AH159" s="12"/>
      <c r="AI159" s="11"/>
      <c r="AK159" s="19"/>
    </row>
    <row r="160" spans="1:37" x14ac:dyDescent="0.25">
      <c r="A160" s="18" t="s">
        <v>101</v>
      </c>
      <c r="B160" s="21"/>
      <c r="C160" s="35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32">
        <v>8.8000000000000007</v>
      </c>
      <c r="AH160" s="12"/>
      <c r="AI160" s="11"/>
      <c r="AK160" s="19"/>
    </row>
    <row r="161" spans="1:37" x14ac:dyDescent="0.25">
      <c r="A161" s="18" t="s">
        <v>100</v>
      </c>
      <c r="B161" s="21"/>
      <c r="C161" s="35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32">
        <v>8.5</v>
      </c>
      <c r="AH161" s="12"/>
      <c r="AI161" s="11"/>
      <c r="AK161" s="19"/>
    </row>
    <row r="162" spans="1:37" x14ac:dyDescent="0.25">
      <c r="A162" s="18" t="s">
        <v>99</v>
      </c>
      <c r="B162" s="21"/>
      <c r="C162" s="35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32">
        <v>8.5</v>
      </c>
      <c r="AH162" s="12"/>
      <c r="AI162" s="11"/>
      <c r="AK162" s="19"/>
    </row>
    <row r="163" spans="1:37" x14ac:dyDescent="0.25">
      <c r="A163" s="18" t="s">
        <v>98</v>
      </c>
      <c r="B163" s="21"/>
      <c r="C163" s="35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32">
        <v>8.4</v>
      </c>
      <c r="AH163" s="12"/>
      <c r="AI163" s="11"/>
      <c r="AK163" s="19"/>
    </row>
    <row r="164" spans="1:37" ht="13.5" customHeight="1" x14ac:dyDescent="0.25">
      <c r="A164" s="18" t="s">
        <v>97</v>
      </c>
      <c r="B164" s="21"/>
      <c r="C164" s="35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32">
        <v>8</v>
      </c>
      <c r="AH164" s="12"/>
      <c r="AI164" s="11"/>
      <c r="AK164" s="19"/>
    </row>
    <row r="165" spans="1:37" x14ac:dyDescent="0.25">
      <c r="A165" s="18" t="s">
        <v>96</v>
      </c>
      <c r="B165" s="21"/>
      <c r="C165" s="35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32">
        <v>8</v>
      </c>
      <c r="AH165" s="12"/>
      <c r="AI165" s="11"/>
      <c r="AK165" s="19"/>
    </row>
    <row r="166" spans="1:37" x14ac:dyDescent="0.25">
      <c r="A166" s="18" t="s">
        <v>95</v>
      </c>
      <c r="B166" s="21"/>
      <c r="C166" s="35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32">
        <v>8</v>
      </c>
      <c r="AH166" s="12"/>
      <c r="AI166" s="11"/>
      <c r="AK166" s="19"/>
    </row>
    <row r="167" spans="1:37" x14ac:dyDescent="0.25">
      <c r="A167" s="18" t="s">
        <v>94</v>
      </c>
      <c r="B167" s="21"/>
      <c r="C167" s="35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32">
        <v>7.8</v>
      </c>
      <c r="AH167" s="12"/>
      <c r="AI167" s="11"/>
      <c r="AK167" s="19"/>
    </row>
    <row r="168" spans="1:37" x14ac:dyDescent="0.25">
      <c r="A168" s="18" t="s">
        <v>93</v>
      </c>
      <c r="B168" s="21"/>
      <c r="C168" s="35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32">
        <v>7.6</v>
      </c>
      <c r="AH168" s="12"/>
      <c r="AI168" s="11"/>
      <c r="AK168" s="19"/>
    </row>
    <row r="169" spans="1:37" x14ac:dyDescent="0.25">
      <c r="A169" s="18" t="s">
        <v>92</v>
      </c>
      <c r="B169" s="21"/>
      <c r="C169" s="35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32">
        <v>7.5</v>
      </c>
      <c r="AH169" s="12"/>
      <c r="AI169" s="11"/>
      <c r="AK169" s="19"/>
    </row>
    <row r="170" spans="1:37" x14ac:dyDescent="0.25">
      <c r="A170" s="18" t="s">
        <v>91</v>
      </c>
      <c r="B170" s="21"/>
      <c r="C170" s="35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32">
        <v>7.5</v>
      </c>
      <c r="AH170" s="12"/>
      <c r="AI170" s="11"/>
      <c r="AK170" s="19"/>
    </row>
    <row r="171" spans="1:37" x14ac:dyDescent="0.25">
      <c r="A171" s="18" t="s">
        <v>90</v>
      </c>
      <c r="B171" s="21"/>
      <c r="C171" s="35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32">
        <v>7</v>
      </c>
      <c r="AH171" s="12"/>
      <c r="AI171" s="11"/>
      <c r="AK171" s="19"/>
    </row>
    <row r="172" spans="1:37" x14ac:dyDescent="0.25">
      <c r="A172" s="18" t="s">
        <v>89</v>
      </c>
      <c r="B172" s="21"/>
      <c r="C172" s="35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32">
        <v>7</v>
      </c>
      <c r="AH172" s="12"/>
      <c r="AI172" s="11"/>
      <c r="AK172" s="19"/>
    </row>
    <row r="173" spans="1:37" x14ac:dyDescent="0.25">
      <c r="A173" s="18" t="s">
        <v>88</v>
      </c>
      <c r="B173" s="21"/>
      <c r="C173" s="35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32">
        <v>7</v>
      </c>
      <c r="AH173" s="12"/>
      <c r="AI173" s="11"/>
      <c r="AK173" s="19"/>
    </row>
    <row r="174" spans="1:37" x14ac:dyDescent="0.25">
      <c r="A174" s="18" t="s">
        <v>87</v>
      </c>
      <c r="B174" s="21"/>
      <c r="C174" s="35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32">
        <v>7</v>
      </c>
      <c r="AH174" s="12"/>
      <c r="AI174" s="11"/>
      <c r="AK174" s="19"/>
    </row>
    <row r="175" spans="1:37" x14ac:dyDescent="0.25">
      <c r="A175" s="18" t="s">
        <v>86</v>
      </c>
      <c r="B175" s="21"/>
      <c r="C175" s="35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32">
        <v>6.6</v>
      </c>
      <c r="AH175" s="12"/>
      <c r="AI175" s="11"/>
      <c r="AK175" s="19"/>
    </row>
    <row r="176" spans="1:37" x14ac:dyDescent="0.25">
      <c r="A176" s="18" t="s">
        <v>85</v>
      </c>
      <c r="B176" s="21"/>
      <c r="C176" s="35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32">
        <v>6.6</v>
      </c>
      <c r="AH176" s="12"/>
      <c r="AI176" s="11"/>
      <c r="AK176" s="19"/>
    </row>
    <row r="177" spans="1:37" x14ac:dyDescent="0.25">
      <c r="A177" s="18" t="s">
        <v>84</v>
      </c>
      <c r="B177" s="21"/>
      <c r="C177" s="35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32">
        <v>6.4</v>
      </c>
      <c r="AH177" s="12"/>
      <c r="AI177" s="11"/>
      <c r="AK177" s="19"/>
    </row>
    <row r="178" spans="1:37" x14ac:dyDescent="0.25">
      <c r="A178" s="18" t="s">
        <v>83</v>
      </c>
      <c r="B178" s="21"/>
      <c r="C178" s="35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32">
        <v>6</v>
      </c>
      <c r="AH178" s="12"/>
      <c r="AI178" s="11"/>
      <c r="AK178" s="19"/>
    </row>
    <row r="179" spans="1:37" x14ac:dyDescent="0.25">
      <c r="A179" s="18" t="s">
        <v>82</v>
      </c>
      <c r="B179" s="21"/>
      <c r="C179" s="35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32">
        <v>5.0999999999999996</v>
      </c>
      <c r="AH179" s="12"/>
      <c r="AI179" s="11"/>
      <c r="AK179" s="19"/>
    </row>
    <row r="180" spans="1:37" x14ac:dyDescent="0.25">
      <c r="A180" s="18" t="s">
        <v>81</v>
      </c>
      <c r="B180" s="21"/>
      <c r="C180" s="35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32">
        <v>5</v>
      </c>
      <c r="AH180" s="12"/>
      <c r="AI180" s="11"/>
      <c r="AK180" s="19"/>
    </row>
    <row r="181" spans="1:37" x14ac:dyDescent="0.25">
      <c r="A181" s="22" t="s">
        <v>80</v>
      </c>
      <c r="B181" s="21"/>
      <c r="C181" s="35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36">
        <v>5</v>
      </c>
      <c r="AH181" s="12"/>
      <c r="AI181" s="11"/>
      <c r="AK181" s="19"/>
    </row>
    <row r="182" spans="1:37" x14ac:dyDescent="0.25">
      <c r="A182" s="18" t="s">
        <v>79</v>
      </c>
      <c r="B182" s="21"/>
      <c r="C182" s="35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32">
        <v>5</v>
      </c>
      <c r="AH182" s="12"/>
      <c r="AI182" s="11"/>
      <c r="AK182" s="19"/>
    </row>
    <row r="183" spans="1:37" x14ac:dyDescent="0.25">
      <c r="A183" s="18" t="s">
        <v>78</v>
      </c>
      <c r="B183" s="21"/>
      <c r="C183" s="35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32">
        <v>5</v>
      </c>
      <c r="AH183" s="12"/>
      <c r="AI183" s="11"/>
      <c r="AK183" s="19"/>
    </row>
    <row r="184" spans="1:37" x14ac:dyDescent="0.25">
      <c r="A184" s="18" t="s">
        <v>77</v>
      </c>
      <c r="B184" s="21"/>
      <c r="C184" s="35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32">
        <v>5</v>
      </c>
      <c r="AH184" s="12"/>
      <c r="AI184" s="11"/>
      <c r="AK184" s="19"/>
    </row>
    <row r="185" spans="1:37" x14ac:dyDescent="0.25">
      <c r="A185" s="18" t="s">
        <v>76</v>
      </c>
      <c r="B185" s="21"/>
      <c r="C185" s="35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32">
        <v>5</v>
      </c>
      <c r="AH185" s="12"/>
      <c r="AI185" s="11"/>
      <c r="AK185" s="19"/>
    </row>
    <row r="186" spans="1:37" x14ac:dyDescent="0.25">
      <c r="A186" s="18" t="s">
        <v>75</v>
      </c>
      <c r="B186" s="21"/>
      <c r="C186" s="35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32">
        <v>5</v>
      </c>
      <c r="AH186" s="12"/>
      <c r="AI186" s="11"/>
      <c r="AK186" s="19"/>
    </row>
    <row r="187" spans="1:37" x14ac:dyDescent="0.25">
      <c r="A187" s="18" t="s">
        <v>74</v>
      </c>
      <c r="B187" s="21"/>
      <c r="C187" s="35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32">
        <v>4.9930000000000003</v>
      </c>
      <c r="AH187" s="12"/>
      <c r="AI187" s="11"/>
      <c r="AK187" s="19"/>
    </row>
    <row r="188" spans="1:37" x14ac:dyDescent="0.25">
      <c r="A188" s="18" t="s">
        <v>73</v>
      </c>
      <c r="B188" s="21"/>
      <c r="C188" s="35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32">
        <v>4.9800000000000004</v>
      </c>
      <c r="AH188" s="12"/>
      <c r="AI188" s="11"/>
      <c r="AK188" s="19"/>
    </row>
    <row r="189" spans="1:37" x14ac:dyDescent="0.25">
      <c r="A189" s="18" t="s">
        <v>72</v>
      </c>
      <c r="B189" s="21"/>
      <c r="C189" s="35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32">
        <v>4.95</v>
      </c>
      <c r="AH189" s="12"/>
      <c r="AI189" s="11"/>
      <c r="AK189" s="19"/>
    </row>
    <row r="190" spans="1:37" x14ac:dyDescent="0.25">
      <c r="A190" s="18" t="s">
        <v>71</v>
      </c>
      <c r="B190" s="21"/>
      <c r="C190" s="35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32">
        <v>4.95</v>
      </c>
      <c r="AH190" s="12"/>
      <c r="AI190" s="11"/>
      <c r="AK190" s="19"/>
    </row>
    <row r="191" spans="1:37" x14ac:dyDescent="0.25">
      <c r="A191" s="18" t="s">
        <v>70</v>
      </c>
      <c r="B191" s="21"/>
      <c r="C191" s="35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32">
        <v>4.8</v>
      </c>
      <c r="AH191" s="12"/>
      <c r="AI191" s="11"/>
      <c r="AK191" s="19"/>
    </row>
    <row r="192" spans="1:37" x14ac:dyDescent="0.25">
      <c r="A192" s="18" t="s">
        <v>69</v>
      </c>
      <c r="B192" s="21"/>
      <c r="C192" s="35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32">
        <v>4.8</v>
      </c>
      <c r="AH192" s="12"/>
      <c r="AI192" s="11"/>
      <c r="AK192" s="19"/>
    </row>
    <row r="193" spans="1:37" x14ac:dyDescent="0.25">
      <c r="A193" s="18" t="s">
        <v>68</v>
      </c>
      <c r="B193" s="21"/>
      <c r="C193" s="35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32">
        <v>4.8</v>
      </c>
      <c r="AH193" s="12"/>
      <c r="AI193" s="11"/>
      <c r="AK193" s="19"/>
    </row>
    <row r="194" spans="1:37" x14ac:dyDescent="0.25">
      <c r="A194" s="18" t="s">
        <v>67</v>
      </c>
      <c r="B194" s="21"/>
      <c r="C194" s="35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32">
        <v>4.5</v>
      </c>
      <c r="AH194" s="12"/>
      <c r="AI194" s="11"/>
      <c r="AK194" s="19"/>
    </row>
    <row r="195" spans="1:37" x14ac:dyDescent="0.25">
      <c r="A195" s="18" t="s">
        <v>66</v>
      </c>
      <c r="B195" s="21"/>
      <c r="C195" s="35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32">
        <v>4.5</v>
      </c>
      <c r="AH195" s="12"/>
      <c r="AI195" s="11"/>
      <c r="AK195" s="19"/>
    </row>
    <row r="196" spans="1:37" x14ac:dyDescent="0.25">
      <c r="A196" s="18" t="s">
        <v>65</v>
      </c>
      <c r="B196" s="21"/>
      <c r="C196" s="35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32">
        <v>4.4550000000000001</v>
      </c>
      <c r="AH196" s="12"/>
      <c r="AI196" s="11"/>
      <c r="AK196" s="19"/>
    </row>
    <row r="197" spans="1:37" x14ac:dyDescent="0.25">
      <c r="A197" s="18" t="s">
        <v>64</v>
      </c>
      <c r="B197" s="21"/>
      <c r="C197" s="35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32">
        <v>4.41</v>
      </c>
      <c r="AH197" s="12"/>
      <c r="AI197" s="11"/>
      <c r="AK197" s="19"/>
    </row>
    <row r="198" spans="1:37" x14ac:dyDescent="0.25">
      <c r="A198" s="18" t="s">
        <v>63</v>
      </c>
      <c r="B198" s="21"/>
      <c r="C198" s="35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32">
        <v>4.4000000000000004</v>
      </c>
      <c r="AH198" s="12"/>
      <c r="AI198" s="11"/>
      <c r="AK198" s="19"/>
    </row>
    <row r="199" spans="1:37" x14ac:dyDescent="0.25">
      <c r="A199" s="18" t="s">
        <v>62</v>
      </c>
      <c r="B199" s="21"/>
      <c r="C199" s="35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32">
        <v>4.3600000000000003</v>
      </c>
      <c r="AH199" s="12"/>
      <c r="AI199" s="11"/>
      <c r="AK199" s="19"/>
    </row>
    <row r="200" spans="1:37" x14ac:dyDescent="0.25">
      <c r="A200" s="18" t="s">
        <v>61</v>
      </c>
      <c r="B200" s="21"/>
      <c r="C200" s="35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32">
        <v>4.2</v>
      </c>
      <c r="AH200" s="12"/>
      <c r="AI200" s="11"/>
      <c r="AK200" s="19"/>
    </row>
    <row r="201" spans="1:37" x14ac:dyDescent="0.25">
      <c r="A201" s="18" t="s">
        <v>60</v>
      </c>
      <c r="B201" s="21"/>
      <c r="C201" s="35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32">
        <v>4</v>
      </c>
      <c r="AH201" s="12"/>
      <c r="AI201" s="11"/>
      <c r="AK201" s="19"/>
    </row>
    <row r="202" spans="1:37" x14ac:dyDescent="0.25">
      <c r="A202" s="18" t="s">
        <v>59</v>
      </c>
      <c r="B202" s="21"/>
      <c r="C202" s="35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32">
        <v>4</v>
      </c>
      <c r="AH202" s="12"/>
      <c r="AI202" s="11"/>
      <c r="AK202" s="19"/>
    </row>
    <row r="203" spans="1:37" x14ac:dyDescent="0.25">
      <c r="A203" s="18" t="s">
        <v>58</v>
      </c>
      <c r="B203" s="21"/>
      <c r="C203" s="35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32">
        <v>4</v>
      </c>
      <c r="AH203" s="12"/>
      <c r="AI203" s="11"/>
      <c r="AK203" s="19"/>
    </row>
    <row r="204" spans="1:37" x14ac:dyDescent="0.25">
      <c r="A204" s="18" t="s">
        <v>57</v>
      </c>
      <c r="B204" s="21"/>
      <c r="C204" s="35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32">
        <v>4</v>
      </c>
      <c r="AH204" s="12"/>
      <c r="AI204" s="11"/>
      <c r="AK204" s="19"/>
    </row>
    <row r="205" spans="1:37" x14ac:dyDescent="0.25">
      <c r="A205" s="18" t="s">
        <v>56</v>
      </c>
      <c r="B205" s="21"/>
      <c r="C205" s="35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32">
        <v>4</v>
      </c>
      <c r="AH205" s="12"/>
      <c r="AI205" s="11"/>
      <c r="AK205" s="19"/>
    </row>
    <row r="206" spans="1:37" x14ac:dyDescent="0.25">
      <c r="A206" s="18" t="s">
        <v>55</v>
      </c>
      <c r="B206" s="21"/>
      <c r="C206" s="35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32">
        <v>4</v>
      </c>
      <c r="AH206" s="12"/>
      <c r="AI206" s="11"/>
      <c r="AK206" s="19"/>
    </row>
    <row r="207" spans="1:37" x14ac:dyDescent="0.25">
      <c r="A207" s="18" t="s">
        <v>54</v>
      </c>
      <c r="B207" s="21"/>
      <c r="C207" s="35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32">
        <v>4</v>
      </c>
      <c r="AH207" s="12"/>
      <c r="AI207" s="11"/>
      <c r="AK207" s="19"/>
    </row>
    <row r="208" spans="1:37" x14ac:dyDescent="0.25">
      <c r="A208" s="18" t="s">
        <v>53</v>
      </c>
      <c r="B208" s="21"/>
      <c r="C208" s="35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32">
        <v>4</v>
      </c>
      <c r="AH208" s="12"/>
      <c r="AI208" s="11"/>
      <c r="AK208" s="19"/>
    </row>
    <row r="209" spans="1:37" x14ac:dyDescent="0.25">
      <c r="A209" s="18" t="s">
        <v>52</v>
      </c>
      <c r="B209" s="21"/>
      <c r="C209" s="35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32">
        <v>3.75</v>
      </c>
      <c r="AH209" s="12"/>
      <c r="AI209" s="11"/>
      <c r="AK209" s="19"/>
    </row>
    <row r="210" spans="1:37" x14ac:dyDescent="0.25">
      <c r="A210" s="18" t="s">
        <v>51</v>
      </c>
      <c r="B210" s="21"/>
      <c r="C210" s="35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32">
        <v>3.52</v>
      </c>
      <c r="AH210" s="12"/>
      <c r="AI210" s="11"/>
      <c r="AK210" s="19"/>
    </row>
    <row r="211" spans="1:37" x14ac:dyDescent="0.25">
      <c r="A211" s="18" t="s">
        <v>50</v>
      </c>
      <c r="B211" s="21"/>
      <c r="C211" s="35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32">
        <v>3.33</v>
      </c>
      <c r="AH211" s="12"/>
      <c r="AI211" s="11"/>
      <c r="AK211" s="19"/>
    </row>
    <row r="212" spans="1:37" x14ac:dyDescent="0.25">
      <c r="A212" s="18" t="s">
        <v>49</v>
      </c>
      <c r="B212" s="21"/>
      <c r="C212" s="35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32">
        <v>3.2</v>
      </c>
      <c r="AH212" s="12"/>
      <c r="AI212" s="11"/>
      <c r="AK212" s="19"/>
    </row>
    <row r="213" spans="1:37" x14ac:dyDescent="0.25">
      <c r="A213" s="18" t="s">
        <v>48</v>
      </c>
      <c r="B213" s="21"/>
      <c r="C213" s="35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32">
        <v>3</v>
      </c>
      <c r="AH213" s="12"/>
      <c r="AI213" s="11"/>
      <c r="AK213" s="19"/>
    </row>
    <row r="214" spans="1:37" x14ac:dyDescent="0.25">
      <c r="A214" s="18" t="s">
        <v>47</v>
      </c>
      <c r="B214" s="21"/>
      <c r="C214" s="35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32">
        <v>3</v>
      </c>
      <c r="AH214" s="12"/>
      <c r="AI214" s="11"/>
      <c r="AK214" s="19"/>
    </row>
    <row r="215" spans="1:37" x14ac:dyDescent="0.25">
      <c r="A215" s="18" t="s">
        <v>46</v>
      </c>
      <c r="B215" s="21"/>
      <c r="C215" s="35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32">
        <v>3</v>
      </c>
      <c r="AH215" s="12"/>
      <c r="AI215" s="11"/>
      <c r="AK215" s="19"/>
    </row>
    <row r="216" spans="1:37" x14ac:dyDescent="0.25">
      <c r="A216" s="18" t="s">
        <v>45</v>
      </c>
      <c r="B216" s="21"/>
      <c r="C216" s="35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32">
        <v>3</v>
      </c>
      <c r="AH216" s="12"/>
      <c r="AI216" s="11"/>
      <c r="AK216" s="19"/>
    </row>
    <row r="217" spans="1:37" x14ac:dyDescent="0.25">
      <c r="A217" s="18" t="s">
        <v>44</v>
      </c>
      <c r="B217" s="21"/>
      <c r="C217" s="35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32">
        <v>3</v>
      </c>
      <c r="AH217" s="12"/>
      <c r="AI217" s="11"/>
      <c r="AK217" s="19"/>
    </row>
    <row r="218" spans="1:37" x14ac:dyDescent="0.25">
      <c r="A218" s="18" t="s">
        <v>43</v>
      </c>
      <c r="B218" s="21"/>
      <c r="C218" s="35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32">
        <v>3</v>
      </c>
      <c r="AH218" s="12"/>
      <c r="AI218" s="11"/>
      <c r="AK218" s="19"/>
    </row>
    <row r="219" spans="1:37" x14ac:dyDescent="0.25">
      <c r="A219" s="18" t="s">
        <v>42</v>
      </c>
      <c r="B219" s="21"/>
      <c r="C219" s="35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32">
        <v>3</v>
      </c>
      <c r="AH219" s="12"/>
      <c r="AI219" s="11"/>
      <c r="AK219" s="19"/>
    </row>
    <row r="220" spans="1:37" x14ac:dyDescent="0.25">
      <c r="A220" s="18" t="s">
        <v>41</v>
      </c>
      <c r="B220" s="21"/>
      <c r="C220" s="35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32">
        <v>3</v>
      </c>
      <c r="AH220" s="12"/>
      <c r="AI220" s="11"/>
      <c r="AK220" s="19"/>
    </row>
    <row r="221" spans="1:37" x14ac:dyDescent="0.25">
      <c r="A221" s="18" t="s">
        <v>40</v>
      </c>
      <c r="B221" s="21"/>
      <c r="C221" s="35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32">
        <v>2.83</v>
      </c>
      <c r="AH221" s="12"/>
      <c r="AI221" s="11"/>
      <c r="AK221" s="19"/>
    </row>
    <row r="222" spans="1:37" x14ac:dyDescent="0.25">
      <c r="A222" s="18" t="s">
        <v>39</v>
      </c>
      <c r="B222" s="21"/>
      <c r="C222" s="35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32">
        <v>2.5</v>
      </c>
      <c r="AH222" s="12"/>
      <c r="AI222" s="11"/>
      <c r="AK222" s="19"/>
    </row>
    <row r="223" spans="1:37" x14ac:dyDescent="0.25">
      <c r="A223" s="18" t="s">
        <v>38</v>
      </c>
      <c r="B223" s="21"/>
      <c r="C223" s="35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32">
        <v>2.5</v>
      </c>
      <c r="AH223" s="12"/>
      <c r="AI223" s="11"/>
      <c r="AK223" s="19"/>
    </row>
    <row r="224" spans="1:37" x14ac:dyDescent="0.25">
      <c r="A224" s="18" t="s">
        <v>37</v>
      </c>
      <c r="B224" s="21"/>
      <c r="C224" s="35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32">
        <v>2.4</v>
      </c>
      <c r="AH224" s="12"/>
      <c r="AI224" s="11"/>
      <c r="AK224" s="19"/>
    </row>
    <row r="225" spans="1:37" x14ac:dyDescent="0.25">
      <c r="A225" s="18" t="s">
        <v>36</v>
      </c>
      <c r="B225" s="21"/>
      <c r="C225" s="35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32">
        <v>2.4</v>
      </c>
      <c r="AH225" s="12"/>
      <c r="AI225" s="11"/>
      <c r="AK225" s="19"/>
    </row>
    <row r="226" spans="1:37" x14ac:dyDescent="0.25">
      <c r="A226" s="18" t="s">
        <v>35</v>
      </c>
      <c r="B226" s="21"/>
      <c r="C226" s="35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32">
        <v>2.2000000000000002</v>
      </c>
      <c r="AH226" s="12"/>
      <c r="AI226" s="11"/>
      <c r="AK226" s="19"/>
    </row>
    <row r="227" spans="1:37" x14ac:dyDescent="0.25">
      <c r="A227" s="18" t="s">
        <v>34</v>
      </c>
      <c r="B227" s="21"/>
      <c r="C227" s="35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32">
        <v>2</v>
      </c>
      <c r="AH227" s="12"/>
      <c r="AI227" s="11"/>
      <c r="AK227" s="19"/>
    </row>
    <row r="228" spans="1:37" x14ac:dyDescent="0.25">
      <c r="A228" s="18" t="s">
        <v>33</v>
      </c>
      <c r="B228" s="21"/>
      <c r="C228" s="35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32">
        <v>2</v>
      </c>
      <c r="AH228" s="12"/>
      <c r="AI228" s="11"/>
      <c r="AK228" s="19"/>
    </row>
    <row r="229" spans="1:37" x14ac:dyDescent="0.25">
      <c r="A229" s="18" t="s">
        <v>32</v>
      </c>
      <c r="B229" s="21"/>
      <c r="C229" s="35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32">
        <v>2</v>
      </c>
      <c r="AH229" s="12"/>
      <c r="AI229" s="11"/>
      <c r="AK229" s="19"/>
    </row>
    <row r="230" spans="1:37" x14ac:dyDescent="0.25">
      <c r="A230" s="18" t="s">
        <v>31</v>
      </c>
      <c r="B230" s="21"/>
      <c r="C230" s="35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32">
        <v>1.8</v>
      </c>
      <c r="AH230" s="12"/>
      <c r="AI230" s="11"/>
      <c r="AK230" s="19"/>
    </row>
    <row r="231" spans="1:37" x14ac:dyDescent="0.25">
      <c r="A231" s="18" t="s">
        <v>30</v>
      </c>
      <c r="B231" s="21"/>
      <c r="C231" s="35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32">
        <v>1.8</v>
      </c>
      <c r="AH231" s="12"/>
      <c r="AI231" s="11"/>
      <c r="AK231" s="19"/>
    </row>
    <row r="232" spans="1:37" x14ac:dyDescent="0.25">
      <c r="A232" s="18" t="s">
        <v>29</v>
      </c>
      <c r="B232" s="21"/>
      <c r="C232" s="35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32">
        <v>1.65</v>
      </c>
      <c r="AH232" s="12"/>
      <c r="AI232" s="11"/>
      <c r="AK232" s="19"/>
    </row>
    <row r="233" spans="1:37" x14ac:dyDescent="0.25">
      <c r="A233" s="18" t="s">
        <v>28</v>
      </c>
      <c r="B233" s="21"/>
      <c r="C233" s="35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32">
        <v>1.5</v>
      </c>
      <c r="AH233" s="12"/>
      <c r="AI233" s="11"/>
      <c r="AK233" s="19"/>
    </row>
    <row r="234" spans="1:37" x14ac:dyDescent="0.25">
      <c r="A234" s="18" t="s">
        <v>27</v>
      </c>
      <c r="B234" s="21"/>
      <c r="C234" s="35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32">
        <v>0.998</v>
      </c>
      <c r="AH234" s="12"/>
      <c r="AI234" s="11"/>
      <c r="AK234" s="19"/>
    </row>
    <row r="235" spans="1:37" x14ac:dyDescent="0.25">
      <c r="A235" s="18" t="s">
        <v>26</v>
      </c>
      <c r="B235" s="21"/>
      <c r="C235" s="35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32">
        <v>0.997</v>
      </c>
      <c r="AH235" s="12"/>
      <c r="AI235" s="11"/>
      <c r="AK235" s="19"/>
    </row>
    <row r="236" spans="1:37" x14ac:dyDescent="0.25">
      <c r="A236" s="18" t="s">
        <v>25</v>
      </c>
      <c r="B236" s="21"/>
      <c r="C236" s="35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32">
        <v>0.997</v>
      </c>
      <c r="AH236" s="12"/>
      <c r="AI236" s="11"/>
      <c r="AK236" s="19"/>
    </row>
    <row r="237" spans="1:37" x14ac:dyDescent="0.25">
      <c r="A237" s="18" t="s">
        <v>24</v>
      </c>
      <c r="B237" s="21"/>
      <c r="C237" s="35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32">
        <v>0.996</v>
      </c>
      <c r="AH237" s="12"/>
      <c r="AI237" s="11"/>
      <c r="AK237" s="19"/>
    </row>
    <row r="238" spans="1:37" x14ac:dyDescent="0.25">
      <c r="A238" s="18" t="s">
        <v>23</v>
      </c>
      <c r="B238" s="21"/>
      <c r="C238" s="35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32">
        <v>0.996</v>
      </c>
      <c r="AH238" s="12"/>
      <c r="AI238" s="11"/>
      <c r="AK238" s="19"/>
    </row>
    <row r="239" spans="1:37" x14ac:dyDescent="0.25">
      <c r="A239" s="18" t="s">
        <v>22</v>
      </c>
      <c r="B239" s="21"/>
      <c r="C239" s="35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32">
        <v>0.996</v>
      </c>
      <c r="AH239" s="12"/>
      <c r="AI239" s="11"/>
      <c r="AK239" s="19"/>
    </row>
    <row r="240" spans="1:37" x14ac:dyDescent="0.25">
      <c r="A240" s="18" t="s">
        <v>21</v>
      </c>
      <c r="B240" s="21"/>
      <c r="C240" s="35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32">
        <v>0.995</v>
      </c>
      <c r="AH240" s="12"/>
      <c r="AI240" s="11"/>
      <c r="AK240" s="19"/>
    </row>
    <row r="241" spans="1:37" x14ac:dyDescent="0.25">
      <c r="A241" s="18" t="s">
        <v>20</v>
      </c>
      <c r="B241" s="21"/>
      <c r="C241" s="35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32">
        <v>0.99299999999999999</v>
      </c>
      <c r="AH241" s="12"/>
      <c r="AI241" s="11"/>
      <c r="AK241" s="19"/>
    </row>
    <row r="242" spans="1:37" x14ac:dyDescent="0.25">
      <c r="A242" s="18" t="s">
        <v>19</v>
      </c>
      <c r="B242" s="21"/>
      <c r="C242" s="34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32">
        <v>0.99</v>
      </c>
      <c r="AH242" s="12"/>
      <c r="AI242" s="11"/>
      <c r="AK242" s="19"/>
    </row>
    <row r="243" spans="1:37" ht="15.75" thickBot="1" x14ac:dyDescent="0.3">
      <c r="A243" s="18" t="s">
        <v>18</v>
      </c>
      <c r="B243" s="17"/>
      <c r="C243" s="33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32">
        <v>0.97899999999999998</v>
      </c>
      <c r="AH243" s="12"/>
      <c r="AI243" s="11"/>
      <c r="AK243" s="19"/>
    </row>
    <row r="244" spans="1:37" ht="15.75" thickBot="1" x14ac:dyDescent="0.3">
      <c r="A244" s="31" t="s">
        <v>17</v>
      </c>
      <c r="B244" s="30">
        <f t="shared" ref="B244:AG244" si="56">SUM(B139:B243)</f>
        <v>0</v>
      </c>
      <c r="C244" s="14">
        <f t="shared" si="56"/>
        <v>0</v>
      </c>
      <c r="D244" s="14">
        <f t="shared" si="56"/>
        <v>0</v>
      </c>
      <c r="E244" s="14">
        <f t="shared" si="56"/>
        <v>0</v>
      </c>
      <c r="F244" s="14">
        <f t="shared" si="56"/>
        <v>0</v>
      </c>
      <c r="G244" s="14">
        <f t="shared" si="56"/>
        <v>0</v>
      </c>
      <c r="H244" s="14">
        <f t="shared" si="56"/>
        <v>0</v>
      </c>
      <c r="I244" s="14">
        <f t="shared" si="56"/>
        <v>0</v>
      </c>
      <c r="J244" s="14">
        <f t="shared" si="56"/>
        <v>0</v>
      </c>
      <c r="K244" s="14">
        <f t="shared" si="56"/>
        <v>0</v>
      </c>
      <c r="L244" s="14">
        <f t="shared" si="56"/>
        <v>0</v>
      </c>
      <c r="M244" s="14">
        <f t="shared" si="56"/>
        <v>0</v>
      </c>
      <c r="N244" s="14">
        <f t="shared" si="56"/>
        <v>0</v>
      </c>
      <c r="O244" s="14">
        <f t="shared" si="56"/>
        <v>0</v>
      </c>
      <c r="P244" s="14">
        <f t="shared" si="56"/>
        <v>0</v>
      </c>
      <c r="Q244" s="14">
        <f t="shared" si="56"/>
        <v>0</v>
      </c>
      <c r="R244" s="14">
        <f t="shared" si="56"/>
        <v>0</v>
      </c>
      <c r="S244" s="14">
        <f t="shared" si="56"/>
        <v>0</v>
      </c>
      <c r="T244" s="14">
        <f t="shared" si="56"/>
        <v>0</v>
      </c>
      <c r="U244" s="14">
        <f t="shared" si="56"/>
        <v>0</v>
      </c>
      <c r="V244" s="14">
        <f t="shared" si="56"/>
        <v>0</v>
      </c>
      <c r="W244" s="14">
        <f t="shared" si="56"/>
        <v>0</v>
      </c>
      <c r="X244" s="14">
        <f t="shared" si="56"/>
        <v>0</v>
      </c>
      <c r="Y244" s="14">
        <f t="shared" si="56"/>
        <v>0</v>
      </c>
      <c r="Z244" s="14">
        <f t="shared" si="56"/>
        <v>0</v>
      </c>
      <c r="AA244" s="14">
        <f t="shared" si="56"/>
        <v>0</v>
      </c>
      <c r="AB244" s="14">
        <f t="shared" si="56"/>
        <v>0</v>
      </c>
      <c r="AC244" s="14">
        <f t="shared" si="56"/>
        <v>0</v>
      </c>
      <c r="AD244" s="14">
        <f t="shared" si="56"/>
        <v>0</v>
      </c>
      <c r="AE244" s="14">
        <f t="shared" si="56"/>
        <v>0</v>
      </c>
      <c r="AF244" s="29">
        <f t="shared" si="56"/>
        <v>0</v>
      </c>
      <c r="AG244" s="28">
        <f t="shared" si="56"/>
        <v>412.72299999999984</v>
      </c>
      <c r="AH244" s="12"/>
      <c r="AI244" s="11"/>
      <c r="AK244" s="19"/>
    </row>
    <row r="245" spans="1:37" ht="15.75" thickBot="1" x14ac:dyDescent="0.3">
      <c r="A245" s="27" t="s">
        <v>10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26"/>
      <c r="AH245" s="12"/>
      <c r="AI245" s="11"/>
      <c r="AK245" s="19"/>
    </row>
    <row r="246" spans="1:37" x14ac:dyDescent="0.25">
      <c r="A246" s="25" t="s">
        <v>16</v>
      </c>
      <c r="B246" s="24">
        <f t="shared" ref="B246:B251" si="57">AF246</f>
        <v>0.3</v>
      </c>
      <c r="C246" s="24">
        <v>0.3</v>
      </c>
      <c r="D246" s="24">
        <f t="shared" ref="D246:AF246" si="58">C246</f>
        <v>0.3</v>
      </c>
      <c r="E246" s="24">
        <f t="shared" si="58"/>
        <v>0.3</v>
      </c>
      <c r="F246" s="24">
        <f t="shared" si="58"/>
        <v>0.3</v>
      </c>
      <c r="G246" s="24">
        <f t="shared" si="58"/>
        <v>0.3</v>
      </c>
      <c r="H246" s="24">
        <f t="shared" si="58"/>
        <v>0.3</v>
      </c>
      <c r="I246" s="24">
        <f t="shared" si="58"/>
        <v>0.3</v>
      </c>
      <c r="J246" s="24">
        <f t="shared" si="58"/>
        <v>0.3</v>
      </c>
      <c r="K246" s="24">
        <f t="shared" si="58"/>
        <v>0.3</v>
      </c>
      <c r="L246" s="24">
        <f t="shared" si="58"/>
        <v>0.3</v>
      </c>
      <c r="M246" s="24">
        <f t="shared" si="58"/>
        <v>0.3</v>
      </c>
      <c r="N246" s="24">
        <f t="shared" si="58"/>
        <v>0.3</v>
      </c>
      <c r="O246" s="24">
        <f t="shared" si="58"/>
        <v>0.3</v>
      </c>
      <c r="P246" s="24">
        <f t="shared" si="58"/>
        <v>0.3</v>
      </c>
      <c r="Q246" s="24">
        <f t="shared" si="58"/>
        <v>0.3</v>
      </c>
      <c r="R246" s="24">
        <f t="shared" si="58"/>
        <v>0.3</v>
      </c>
      <c r="S246" s="24">
        <f t="shared" si="58"/>
        <v>0.3</v>
      </c>
      <c r="T246" s="24">
        <f t="shared" si="58"/>
        <v>0.3</v>
      </c>
      <c r="U246" s="24">
        <f t="shared" si="58"/>
        <v>0.3</v>
      </c>
      <c r="V246" s="24">
        <f t="shared" si="58"/>
        <v>0.3</v>
      </c>
      <c r="W246" s="24">
        <f t="shared" si="58"/>
        <v>0.3</v>
      </c>
      <c r="X246" s="24">
        <f t="shared" si="58"/>
        <v>0.3</v>
      </c>
      <c r="Y246" s="24">
        <f t="shared" si="58"/>
        <v>0.3</v>
      </c>
      <c r="Z246" s="24">
        <f t="shared" si="58"/>
        <v>0.3</v>
      </c>
      <c r="AA246" s="24">
        <f t="shared" si="58"/>
        <v>0.3</v>
      </c>
      <c r="AB246" s="24">
        <f t="shared" si="58"/>
        <v>0.3</v>
      </c>
      <c r="AC246" s="24">
        <f t="shared" si="58"/>
        <v>0.3</v>
      </c>
      <c r="AD246" s="24">
        <f t="shared" si="58"/>
        <v>0.3</v>
      </c>
      <c r="AE246" s="24">
        <f t="shared" si="58"/>
        <v>0.3</v>
      </c>
      <c r="AF246" s="24">
        <f t="shared" si="58"/>
        <v>0.3</v>
      </c>
      <c r="AG246" s="23">
        <v>2.4</v>
      </c>
      <c r="AH246" s="12"/>
      <c r="AI246" s="11"/>
      <c r="AK246" s="19"/>
    </row>
    <row r="247" spans="1:37" x14ac:dyDescent="0.25">
      <c r="A247" s="22" t="s">
        <v>15</v>
      </c>
      <c r="B247" s="21">
        <f t="shared" si="57"/>
        <v>0.4</v>
      </c>
      <c r="C247" s="21">
        <v>0.4</v>
      </c>
      <c r="D247" s="21">
        <f t="shared" ref="D247:AF247" si="59">C247</f>
        <v>0.4</v>
      </c>
      <c r="E247" s="21">
        <f t="shared" si="59"/>
        <v>0.4</v>
      </c>
      <c r="F247" s="21">
        <f t="shared" si="59"/>
        <v>0.4</v>
      </c>
      <c r="G247" s="21">
        <f t="shared" si="59"/>
        <v>0.4</v>
      </c>
      <c r="H247" s="21">
        <f t="shared" si="59"/>
        <v>0.4</v>
      </c>
      <c r="I247" s="21">
        <f t="shared" si="59"/>
        <v>0.4</v>
      </c>
      <c r="J247" s="21">
        <f t="shared" si="59"/>
        <v>0.4</v>
      </c>
      <c r="K247" s="21">
        <f t="shared" si="59"/>
        <v>0.4</v>
      </c>
      <c r="L247" s="21">
        <f t="shared" si="59"/>
        <v>0.4</v>
      </c>
      <c r="M247" s="21">
        <f t="shared" si="59"/>
        <v>0.4</v>
      </c>
      <c r="N247" s="21">
        <f t="shared" si="59"/>
        <v>0.4</v>
      </c>
      <c r="O247" s="21">
        <f t="shared" si="59"/>
        <v>0.4</v>
      </c>
      <c r="P247" s="21">
        <f t="shared" si="59"/>
        <v>0.4</v>
      </c>
      <c r="Q247" s="21">
        <f t="shared" si="59"/>
        <v>0.4</v>
      </c>
      <c r="R247" s="21">
        <f t="shared" si="59"/>
        <v>0.4</v>
      </c>
      <c r="S247" s="21">
        <f t="shared" si="59"/>
        <v>0.4</v>
      </c>
      <c r="T247" s="21">
        <f t="shared" si="59"/>
        <v>0.4</v>
      </c>
      <c r="U247" s="21">
        <f t="shared" si="59"/>
        <v>0.4</v>
      </c>
      <c r="V247" s="21">
        <f t="shared" si="59"/>
        <v>0.4</v>
      </c>
      <c r="W247" s="21">
        <f t="shared" si="59"/>
        <v>0.4</v>
      </c>
      <c r="X247" s="21">
        <f t="shared" si="59"/>
        <v>0.4</v>
      </c>
      <c r="Y247" s="21">
        <f t="shared" si="59"/>
        <v>0.4</v>
      </c>
      <c r="Z247" s="21">
        <f t="shared" si="59"/>
        <v>0.4</v>
      </c>
      <c r="AA247" s="21">
        <f t="shared" si="59"/>
        <v>0.4</v>
      </c>
      <c r="AB247" s="21">
        <f t="shared" si="59"/>
        <v>0.4</v>
      </c>
      <c r="AC247" s="21">
        <f t="shared" si="59"/>
        <v>0.4</v>
      </c>
      <c r="AD247" s="21">
        <f t="shared" si="59"/>
        <v>0.4</v>
      </c>
      <c r="AE247" s="21">
        <f t="shared" si="59"/>
        <v>0.4</v>
      </c>
      <c r="AF247" s="21">
        <f t="shared" si="59"/>
        <v>0.4</v>
      </c>
      <c r="AG247" s="20">
        <v>2</v>
      </c>
      <c r="AH247" s="12"/>
      <c r="AI247" s="11"/>
      <c r="AK247" s="19"/>
    </row>
    <row r="248" spans="1:37" x14ac:dyDescent="0.25">
      <c r="A248" s="22" t="s">
        <v>14</v>
      </c>
      <c r="B248" s="21">
        <f t="shared" si="57"/>
        <v>1.5</v>
      </c>
      <c r="C248" s="21">
        <v>1.5</v>
      </c>
      <c r="D248" s="21">
        <f t="shared" ref="D248:AF248" si="60">C248</f>
        <v>1.5</v>
      </c>
      <c r="E248" s="21">
        <f t="shared" si="60"/>
        <v>1.5</v>
      </c>
      <c r="F248" s="21">
        <f t="shared" si="60"/>
        <v>1.5</v>
      </c>
      <c r="G248" s="21">
        <f t="shared" si="60"/>
        <v>1.5</v>
      </c>
      <c r="H248" s="21">
        <f t="shared" si="60"/>
        <v>1.5</v>
      </c>
      <c r="I248" s="21">
        <f t="shared" si="60"/>
        <v>1.5</v>
      </c>
      <c r="J248" s="21">
        <f t="shared" si="60"/>
        <v>1.5</v>
      </c>
      <c r="K248" s="21">
        <f t="shared" si="60"/>
        <v>1.5</v>
      </c>
      <c r="L248" s="21">
        <f t="shared" si="60"/>
        <v>1.5</v>
      </c>
      <c r="M248" s="21">
        <f t="shared" si="60"/>
        <v>1.5</v>
      </c>
      <c r="N248" s="21">
        <f t="shared" si="60"/>
        <v>1.5</v>
      </c>
      <c r="O248" s="21">
        <f t="shared" si="60"/>
        <v>1.5</v>
      </c>
      <c r="P248" s="21">
        <f t="shared" si="60"/>
        <v>1.5</v>
      </c>
      <c r="Q248" s="21">
        <f t="shared" si="60"/>
        <v>1.5</v>
      </c>
      <c r="R248" s="21">
        <f t="shared" si="60"/>
        <v>1.5</v>
      </c>
      <c r="S248" s="21">
        <f t="shared" si="60"/>
        <v>1.5</v>
      </c>
      <c r="T248" s="21">
        <f t="shared" si="60"/>
        <v>1.5</v>
      </c>
      <c r="U248" s="21">
        <f t="shared" si="60"/>
        <v>1.5</v>
      </c>
      <c r="V248" s="21">
        <f t="shared" si="60"/>
        <v>1.5</v>
      </c>
      <c r="W248" s="21">
        <f t="shared" si="60"/>
        <v>1.5</v>
      </c>
      <c r="X248" s="21">
        <f t="shared" si="60"/>
        <v>1.5</v>
      </c>
      <c r="Y248" s="21">
        <f t="shared" si="60"/>
        <v>1.5</v>
      </c>
      <c r="Z248" s="21">
        <f t="shared" si="60"/>
        <v>1.5</v>
      </c>
      <c r="AA248" s="21">
        <f t="shared" si="60"/>
        <v>1.5</v>
      </c>
      <c r="AB248" s="21">
        <f t="shared" si="60"/>
        <v>1.5</v>
      </c>
      <c r="AC248" s="21">
        <f t="shared" si="60"/>
        <v>1.5</v>
      </c>
      <c r="AD248" s="21">
        <f t="shared" si="60"/>
        <v>1.5</v>
      </c>
      <c r="AE248" s="21">
        <f t="shared" si="60"/>
        <v>1.5</v>
      </c>
      <c r="AF248" s="21">
        <f t="shared" si="60"/>
        <v>1.5</v>
      </c>
      <c r="AG248" s="20">
        <v>1.5</v>
      </c>
      <c r="AH248" s="12"/>
      <c r="AI248" s="11"/>
      <c r="AK248" s="19"/>
    </row>
    <row r="249" spans="1:37" x14ac:dyDescent="0.25">
      <c r="A249" s="22" t="s">
        <v>13</v>
      </c>
      <c r="B249" s="21">
        <f t="shared" si="57"/>
        <v>0.3</v>
      </c>
      <c r="C249" s="21">
        <v>0.3</v>
      </c>
      <c r="D249" s="21">
        <f t="shared" ref="D249:AF249" si="61">C249</f>
        <v>0.3</v>
      </c>
      <c r="E249" s="21">
        <f t="shared" si="61"/>
        <v>0.3</v>
      </c>
      <c r="F249" s="21">
        <f t="shared" si="61"/>
        <v>0.3</v>
      </c>
      <c r="G249" s="21">
        <f t="shared" si="61"/>
        <v>0.3</v>
      </c>
      <c r="H249" s="21">
        <f t="shared" si="61"/>
        <v>0.3</v>
      </c>
      <c r="I249" s="21">
        <f t="shared" si="61"/>
        <v>0.3</v>
      </c>
      <c r="J249" s="21">
        <f t="shared" si="61"/>
        <v>0.3</v>
      </c>
      <c r="K249" s="21">
        <f t="shared" si="61"/>
        <v>0.3</v>
      </c>
      <c r="L249" s="21">
        <f t="shared" si="61"/>
        <v>0.3</v>
      </c>
      <c r="M249" s="21">
        <f t="shared" si="61"/>
        <v>0.3</v>
      </c>
      <c r="N249" s="21">
        <f t="shared" si="61"/>
        <v>0.3</v>
      </c>
      <c r="O249" s="21">
        <f t="shared" si="61"/>
        <v>0.3</v>
      </c>
      <c r="P249" s="21">
        <f t="shared" si="61"/>
        <v>0.3</v>
      </c>
      <c r="Q249" s="21">
        <f t="shared" si="61"/>
        <v>0.3</v>
      </c>
      <c r="R249" s="21">
        <f t="shared" si="61"/>
        <v>0.3</v>
      </c>
      <c r="S249" s="21">
        <f t="shared" si="61"/>
        <v>0.3</v>
      </c>
      <c r="T249" s="21">
        <f t="shared" si="61"/>
        <v>0.3</v>
      </c>
      <c r="U249" s="21">
        <f t="shared" si="61"/>
        <v>0.3</v>
      </c>
      <c r="V249" s="21">
        <f t="shared" si="61"/>
        <v>0.3</v>
      </c>
      <c r="W249" s="21">
        <f t="shared" si="61"/>
        <v>0.3</v>
      </c>
      <c r="X249" s="21">
        <f t="shared" si="61"/>
        <v>0.3</v>
      </c>
      <c r="Y249" s="21">
        <f t="shared" si="61"/>
        <v>0.3</v>
      </c>
      <c r="Z249" s="21">
        <f t="shared" si="61"/>
        <v>0.3</v>
      </c>
      <c r="AA249" s="21">
        <f t="shared" si="61"/>
        <v>0.3</v>
      </c>
      <c r="AB249" s="21">
        <f t="shared" si="61"/>
        <v>0.3</v>
      </c>
      <c r="AC249" s="21">
        <f t="shared" si="61"/>
        <v>0.3</v>
      </c>
      <c r="AD249" s="21">
        <f t="shared" si="61"/>
        <v>0.3</v>
      </c>
      <c r="AE249" s="21">
        <f t="shared" si="61"/>
        <v>0.3</v>
      </c>
      <c r="AF249" s="21">
        <f t="shared" si="61"/>
        <v>0.3</v>
      </c>
      <c r="AG249" s="20">
        <v>1</v>
      </c>
      <c r="AH249" s="12"/>
      <c r="AI249" s="11"/>
      <c r="AK249" s="19"/>
    </row>
    <row r="250" spans="1:37" x14ac:dyDescent="0.25">
      <c r="A250" s="22" t="s">
        <v>12</v>
      </c>
      <c r="B250" s="21">
        <f t="shared" si="57"/>
        <v>0.4</v>
      </c>
      <c r="C250" s="21">
        <v>0.4</v>
      </c>
      <c r="D250" s="21">
        <f t="shared" ref="D250:AF250" si="62">C250</f>
        <v>0.4</v>
      </c>
      <c r="E250" s="21">
        <f t="shared" si="62"/>
        <v>0.4</v>
      </c>
      <c r="F250" s="21">
        <f t="shared" si="62"/>
        <v>0.4</v>
      </c>
      <c r="G250" s="21">
        <f t="shared" si="62"/>
        <v>0.4</v>
      </c>
      <c r="H250" s="21">
        <f t="shared" si="62"/>
        <v>0.4</v>
      </c>
      <c r="I250" s="21">
        <f t="shared" si="62"/>
        <v>0.4</v>
      </c>
      <c r="J250" s="21">
        <f t="shared" si="62"/>
        <v>0.4</v>
      </c>
      <c r="K250" s="21">
        <f t="shared" si="62"/>
        <v>0.4</v>
      </c>
      <c r="L250" s="21">
        <f t="shared" si="62"/>
        <v>0.4</v>
      </c>
      <c r="M250" s="21">
        <f t="shared" si="62"/>
        <v>0.4</v>
      </c>
      <c r="N250" s="21">
        <f t="shared" si="62"/>
        <v>0.4</v>
      </c>
      <c r="O250" s="21">
        <f t="shared" si="62"/>
        <v>0.4</v>
      </c>
      <c r="P250" s="21">
        <f t="shared" si="62"/>
        <v>0.4</v>
      </c>
      <c r="Q250" s="21">
        <f t="shared" si="62"/>
        <v>0.4</v>
      </c>
      <c r="R250" s="21">
        <f t="shared" si="62"/>
        <v>0.4</v>
      </c>
      <c r="S250" s="21">
        <f t="shared" si="62"/>
        <v>0.4</v>
      </c>
      <c r="T250" s="21">
        <f t="shared" si="62"/>
        <v>0.4</v>
      </c>
      <c r="U250" s="21">
        <f t="shared" si="62"/>
        <v>0.4</v>
      </c>
      <c r="V250" s="21">
        <f t="shared" si="62"/>
        <v>0.4</v>
      </c>
      <c r="W250" s="21">
        <f t="shared" si="62"/>
        <v>0.4</v>
      </c>
      <c r="X250" s="21">
        <f t="shared" si="62"/>
        <v>0.4</v>
      </c>
      <c r="Y250" s="21">
        <f t="shared" si="62"/>
        <v>0.4</v>
      </c>
      <c r="Z250" s="21">
        <f t="shared" si="62"/>
        <v>0.4</v>
      </c>
      <c r="AA250" s="21">
        <f t="shared" si="62"/>
        <v>0.4</v>
      </c>
      <c r="AB250" s="21">
        <f t="shared" si="62"/>
        <v>0.4</v>
      </c>
      <c r="AC250" s="21">
        <f t="shared" si="62"/>
        <v>0.4</v>
      </c>
      <c r="AD250" s="21">
        <f t="shared" si="62"/>
        <v>0.4</v>
      </c>
      <c r="AE250" s="21">
        <f t="shared" si="62"/>
        <v>0.4</v>
      </c>
      <c r="AF250" s="21">
        <f t="shared" si="62"/>
        <v>0.4</v>
      </c>
      <c r="AG250" s="20">
        <v>1</v>
      </c>
      <c r="AH250" s="12"/>
      <c r="AI250" s="11"/>
      <c r="AK250" s="19"/>
    </row>
    <row r="251" spans="1:37" ht="15.75" thickBot="1" x14ac:dyDescent="0.3">
      <c r="A251" s="18" t="s">
        <v>11</v>
      </c>
      <c r="B251" s="17">
        <f t="shared" si="57"/>
        <v>0.64</v>
      </c>
      <c r="C251" s="17">
        <v>0.64</v>
      </c>
      <c r="D251" s="17">
        <f t="shared" ref="D251:AF251" si="63">C251</f>
        <v>0.64</v>
      </c>
      <c r="E251" s="17">
        <f t="shared" si="63"/>
        <v>0.64</v>
      </c>
      <c r="F251" s="17">
        <f t="shared" si="63"/>
        <v>0.64</v>
      </c>
      <c r="G251" s="17">
        <f t="shared" si="63"/>
        <v>0.64</v>
      </c>
      <c r="H251" s="17">
        <f t="shared" si="63"/>
        <v>0.64</v>
      </c>
      <c r="I251" s="17">
        <f t="shared" si="63"/>
        <v>0.64</v>
      </c>
      <c r="J251" s="17">
        <f t="shared" si="63"/>
        <v>0.64</v>
      </c>
      <c r="K251" s="17">
        <f t="shared" si="63"/>
        <v>0.64</v>
      </c>
      <c r="L251" s="17">
        <f t="shared" si="63"/>
        <v>0.64</v>
      </c>
      <c r="M251" s="17">
        <f t="shared" si="63"/>
        <v>0.64</v>
      </c>
      <c r="N251" s="17">
        <f t="shared" si="63"/>
        <v>0.64</v>
      </c>
      <c r="O251" s="17">
        <f t="shared" si="63"/>
        <v>0.64</v>
      </c>
      <c r="P251" s="17">
        <f t="shared" si="63"/>
        <v>0.64</v>
      </c>
      <c r="Q251" s="17">
        <f t="shared" si="63"/>
        <v>0.64</v>
      </c>
      <c r="R251" s="17">
        <f t="shared" si="63"/>
        <v>0.64</v>
      </c>
      <c r="S251" s="17">
        <f t="shared" si="63"/>
        <v>0.64</v>
      </c>
      <c r="T251" s="17">
        <f t="shared" si="63"/>
        <v>0.64</v>
      </c>
      <c r="U251" s="17">
        <f t="shared" si="63"/>
        <v>0.64</v>
      </c>
      <c r="V251" s="17">
        <f t="shared" si="63"/>
        <v>0.64</v>
      </c>
      <c r="W251" s="17">
        <f t="shared" si="63"/>
        <v>0.64</v>
      </c>
      <c r="X251" s="17">
        <f t="shared" si="63"/>
        <v>0.64</v>
      </c>
      <c r="Y251" s="17">
        <f t="shared" si="63"/>
        <v>0.64</v>
      </c>
      <c r="Z251" s="17">
        <f t="shared" si="63"/>
        <v>0.64</v>
      </c>
      <c r="AA251" s="17">
        <f t="shared" si="63"/>
        <v>0.64</v>
      </c>
      <c r="AB251" s="17">
        <f t="shared" si="63"/>
        <v>0.64</v>
      </c>
      <c r="AC251" s="17">
        <f t="shared" si="63"/>
        <v>0.64</v>
      </c>
      <c r="AD251" s="17">
        <f t="shared" si="63"/>
        <v>0.64</v>
      </c>
      <c r="AE251" s="17">
        <f t="shared" si="63"/>
        <v>0.64</v>
      </c>
      <c r="AF251" s="17">
        <f t="shared" si="63"/>
        <v>0.64</v>
      </c>
      <c r="AG251" s="16">
        <v>0.66</v>
      </c>
      <c r="AH251" s="12"/>
      <c r="AI251" s="11"/>
    </row>
    <row r="252" spans="1:37" ht="15.75" thickBot="1" x14ac:dyDescent="0.3">
      <c r="A252" s="15" t="s">
        <v>10</v>
      </c>
      <c r="B252" s="14">
        <f t="shared" ref="B252:AG252" si="64">SUM(B246:B251)</f>
        <v>3.54</v>
      </c>
      <c r="C252" s="14">
        <f t="shared" si="64"/>
        <v>3.54</v>
      </c>
      <c r="D252" s="14">
        <f t="shared" si="64"/>
        <v>3.54</v>
      </c>
      <c r="E252" s="14">
        <f t="shared" si="64"/>
        <v>3.54</v>
      </c>
      <c r="F252" s="14">
        <f t="shared" si="64"/>
        <v>3.54</v>
      </c>
      <c r="G252" s="14">
        <f t="shared" si="64"/>
        <v>3.54</v>
      </c>
      <c r="H252" s="14">
        <f t="shared" si="64"/>
        <v>3.54</v>
      </c>
      <c r="I252" s="14">
        <f t="shared" si="64"/>
        <v>3.54</v>
      </c>
      <c r="J252" s="14">
        <f t="shared" si="64"/>
        <v>3.54</v>
      </c>
      <c r="K252" s="14">
        <f t="shared" si="64"/>
        <v>3.54</v>
      </c>
      <c r="L252" s="14">
        <f t="shared" si="64"/>
        <v>3.54</v>
      </c>
      <c r="M252" s="14">
        <f t="shared" si="64"/>
        <v>3.54</v>
      </c>
      <c r="N252" s="14">
        <f t="shared" si="64"/>
        <v>3.54</v>
      </c>
      <c r="O252" s="14">
        <f t="shared" si="64"/>
        <v>3.54</v>
      </c>
      <c r="P252" s="14">
        <f t="shared" si="64"/>
        <v>3.54</v>
      </c>
      <c r="Q252" s="14">
        <f t="shared" si="64"/>
        <v>3.54</v>
      </c>
      <c r="R252" s="14">
        <f t="shared" si="64"/>
        <v>3.54</v>
      </c>
      <c r="S252" s="14">
        <f t="shared" si="64"/>
        <v>3.54</v>
      </c>
      <c r="T252" s="14">
        <f t="shared" si="64"/>
        <v>3.54</v>
      </c>
      <c r="U252" s="14">
        <f t="shared" si="64"/>
        <v>3.54</v>
      </c>
      <c r="V252" s="14">
        <f t="shared" si="64"/>
        <v>3.54</v>
      </c>
      <c r="W252" s="14">
        <f t="shared" si="64"/>
        <v>3.54</v>
      </c>
      <c r="X252" s="14">
        <f t="shared" si="64"/>
        <v>3.54</v>
      </c>
      <c r="Y252" s="14">
        <f t="shared" si="64"/>
        <v>3.54</v>
      </c>
      <c r="Z252" s="14">
        <f t="shared" si="64"/>
        <v>3.54</v>
      </c>
      <c r="AA252" s="14">
        <f t="shared" si="64"/>
        <v>3.54</v>
      </c>
      <c r="AB252" s="14">
        <f t="shared" si="64"/>
        <v>3.54</v>
      </c>
      <c r="AC252" s="14">
        <f t="shared" si="64"/>
        <v>3.54</v>
      </c>
      <c r="AD252" s="14">
        <f t="shared" si="64"/>
        <v>3.54</v>
      </c>
      <c r="AE252" s="14">
        <f t="shared" si="64"/>
        <v>3.54</v>
      </c>
      <c r="AF252" s="14">
        <f t="shared" si="64"/>
        <v>3.54</v>
      </c>
      <c r="AG252" s="13">
        <f t="shared" si="64"/>
        <v>8.56</v>
      </c>
      <c r="AH252" s="12"/>
      <c r="AI252" s="11"/>
    </row>
    <row r="253" spans="1:37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10"/>
      <c r="AH253" s="2"/>
    </row>
    <row r="254" spans="1:37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7" x14ac:dyDescent="0.25">
      <c r="A256" s="9" t="s">
        <v>9</v>
      </c>
      <c r="B256" s="8">
        <f>MAX(G99:N99)</f>
        <v>153.54</v>
      </c>
      <c r="C256" s="7">
        <f>INDEX(G9:N9,1,MATCH(MAX(G99:N99),G99:N99,0))</f>
        <v>0.20833333333333301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34" x14ac:dyDescent="0.25">
      <c r="A258" s="222" t="s">
        <v>8</v>
      </c>
      <c r="B258" s="222"/>
      <c r="C258" s="2"/>
      <c r="D258" s="6" t="e">
        <f ca="1">"Pie Chart of Daily Peak Demand(Inclusive of Export) of Nepal ("&amp;A4&amp;" "&amp;B4&amp;")"</f>
        <v>#VALUE!</v>
      </c>
      <c r="E258" s="2"/>
      <c r="F258" s="2"/>
      <c r="G258" s="6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34" ht="12.75" customHeight="1" x14ac:dyDescent="0.25">
      <c r="A259" s="4" t="s">
        <v>7</v>
      </c>
      <c r="B259" s="3"/>
      <c r="C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34" x14ac:dyDescent="0.25">
      <c r="A260" s="4" t="s">
        <v>6</v>
      </c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34" x14ac:dyDescent="0.25">
      <c r="A261" s="4" t="s">
        <v>5</v>
      </c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34" x14ac:dyDescent="0.25">
      <c r="A262" s="4" t="s">
        <v>4</v>
      </c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34" x14ac:dyDescent="0.25">
      <c r="A263" s="4" t="s">
        <v>3</v>
      </c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34" ht="15" customHeight="1" x14ac:dyDescent="0.25">
      <c r="A264" s="4" t="s">
        <v>2</v>
      </c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34" ht="26.25" customHeight="1" x14ac:dyDescent="0.25">
      <c r="A265" s="4" t="s">
        <v>1</v>
      </c>
      <c r="B265" s="5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34" x14ac:dyDescent="0.25">
      <c r="A266" s="4" t="s">
        <v>0</v>
      </c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2:34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2:34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2:34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2:34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2:34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2:34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2:34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2:34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2:34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2:34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2:34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2:34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2:34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2:34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2:34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2:34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9:34" x14ac:dyDescent="0.25"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9:34" x14ac:dyDescent="0.25"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9:34" x14ac:dyDescent="0.25"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9:34" x14ac:dyDescent="0.25"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9:34" x14ac:dyDescent="0.25"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9:34" x14ac:dyDescent="0.25"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</sheetData>
  <mergeCells count="49">
    <mergeCell ref="AG1:AI1"/>
    <mergeCell ref="B2:B3"/>
    <mergeCell ref="D2:D3"/>
    <mergeCell ref="F2:F3"/>
    <mergeCell ref="H2:H3"/>
    <mergeCell ref="J2:J3"/>
    <mergeCell ref="A1:AF1"/>
    <mergeCell ref="B4:D4"/>
    <mergeCell ref="E4:G4"/>
    <mergeCell ref="H4:I4"/>
    <mergeCell ref="B8:L8"/>
    <mergeCell ref="M8:R8"/>
    <mergeCell ref="H9:H10"/>
    <mergeCell ref="I9:I10"/>
    <mergeCell ref="S8:AA8"/>
    <mergeCell ref="R9:R10"/>
    <mergeCell ref="S9:S10"/>
    <mergeCell ref="T9:T10"/>
    <mergeCell ref="U9:U10"/>
    <mergeCell ref="J9:J10"/>
    <mergeCell ref="O9:O10"/>
    <mergeCell ref="P9:P10"/>
    <mergeCell ref="Q9:Q10"/>
    <mergeCell ref="B9:B10"/>
    <mergeCell ref="C9:C10"/>
    <mergeCell ref="D9:D10"/>
    <mergeCell ref="E9:E10"/>
    <mergeCell ref="G9:G10"/>
    <mergeCell ref="AB8:AF8"/>
    <mergeCell ref="X9:X10"/>
    <mergeCell ref="Y9:Y10"/>
    <mergeCell ref="Z9:Z10"/>
    <mergeCell ref="AA9:AA10"/>
    <mergeCell ref="AN92:AN93"/>
    <mergeCell ref="A258:B258"/>
    <mergeCell ref="AB9:AB10"/>
    <mergeCell ref="AC9:AC10"/>
    <mergeCell ref="AD9:AD10"/>
    <mergeCell ref="AE9:AE10"/>
    <mergeCell ref="AF9:AF10"/>
    <mergeCell ref="AG9:AG10"/>
    <mergeCell ref="V9:V10"/>
    <mergeCell ref="W9:W10"/>
    <mergeCell ref="F9:F10"/>
    <mergeCell ref="K9:K10"/>
    <mergeCell ref="L9:L10"/>
    <mergeCell ref="M9:M10"/>
    <mergeCell ref="N9:N10"/>
    <mergeCell ref="A9:A10"/>
  </mergeCells>
  <conditionalFormatting sqref="A11:A130">
    <cfRule type="expression" dxfId="135" priority="89">
      <formula>$AH11=0</formula>
    </cfRule>
  </conditionalFormatting>
  <conditionalFormatting sqref="A132:A253">
    <cfRule type="expression" dxfId="134" priority="90">
      <formula>$AH132=0</formula>
    </cfRule>
  </conditionalFormatting>
  <conditionalFormatting sqref="B8">
    <cfRule type="expression" dxfId="133" priority="147">
      <formula>C$9&gt;=20/24</formula>
    </cfRule>
    <cfRule type="expression" dxfId="132" priority="146">
      <formula>C$9&lt;8/24</formula>
    </cfRule>
    <cfRule type="expression" dxfId="131" priority="145">
      <formula>AND(C$9&gt;=8/24,C$9&lt;14/24)</formula>
    </cfRule>
    <cfRule type="expression" dxfId="130" priority="144">
      <formula>AND(C$9&gt;=14/24,C$9&lt;20/24)</formula>
    </cfRule>
  </conditionalFormatting>
  <conditionalFormatting sqref="B11:E11 B12:J52 K13:V52 W20:X52 B59:D68 B69:AF74 B77:AF99 B9:AF10 B101:AF117 B119:AF137 B244:AF244 B246:B252">
    <cfRule type="expression" dxfId="129" priority="41">
      <formula>B$9&gt;=20/24</formula>
    </cfRule>
  </conditionalFormatting>
  <conditionalFormatting sqref="B19:V54 W20:X54 B55:X55 B56:D61 B11:E11 B12:J18 K13:V18 AA56:AF61 W57:X57 E57:V61 W58:Z61 B62:AG62 B63:AF80 AG80">
    <cfRule type="expression" dxfId="128" priority="40">
      <formula>B11&gt;$AG11</formula>
    </cfRule>
  </conditionalFormatting>
  <conditionalFormatting sqref="B53:X57">
    <cfRule type="expression" dxfId="127" priority="53">
      <formula>B$9&lt;8/24</formula>
    </cfRule>
  </conditionalFormatting>
  <conditionalFormatting sqref="B9:AF10 B11:E11 B12:J52 K13:V52 W20:X52 B59:D68 B69:AF74 B77:AF99 B101:AF117 B119:AF137 B244:AF244 B246:B252">
    <cfRule type="expression" dxfId="126" priority="42">
      <formula>AND(B$9&gt;=14/24,B$9&lt;20/24)</formula>
    </cfRule>
    <cfRule type="expression" dxfId="125" priority="44">
      <formula>B$9&lt;8/24</formula>
    </cfRule>
    <cfRule type="expression" dxfId="124" priority="43">
      <formula>AND(B$9&gt;=8/24,B$9&lt;14/24)</formula>
    </cfRule>
  </conditionalFormatting>
  <conditionalFormatting sqref="B53:AF54 B55:D57">
    <cfRule type="expression" dxfId="123" priority="37">
      <formula>B$9&gt;=20/24</formula>
    </cfRule>
    <cfRule type="expression" dxfId="122" priority="39">
      <formula>AND(B$9&gt;=8/24,B$9&lt;14/24)</formula>
    </cfRule>
    <cfRule type="expression" dxfId="121" priority="38">
      <formula>AND(B$9&gt;=14/24,B$9&lt;20/24)</formula>
    </cfRule>
  </conditionalFormatting>
  <conditionalFormatting sqref="D246:AF252">
    <cfRule type="expression" dxfId="120" priority="132">
      <formula>D$9&lt;8/24</formula>
    </cfRule>
    <cfRule type="expression" dxfId="119" priority="131">
      <formula>AND(D$9&gt;=8/24,D$9&lt;14/24)</formula>
    </cfRule>
    <cfRule type="expression" dxfId="118" priority="130">
      <formula>AND(D$9&gt;=14/24,D$9&lt;20/24)</formula>
    </cfRule>
    <cfRule type="expression" dxfId="117" priority="129">
      <formula>D$9&gt;=20/24</formula>
    </cfRule>
  </conditionalFormatting>
  <conditionalFormatting sqref="E63:I67 J64:J67 K67">
    <cfRule type="expression" dxfId="116" priority="54">
      <formula>E$9&gt;=20/24</formula>
    </cfRule>
    <cfRule type="expression" dxfId="115" priority="55">
      <formula>AND(E$9&gt;=14/24,E$9&lt;20/24)</formula>
    </cfRule>
    <cfRule type="expression" dxfId="114" priority="56">
      <formula>AND(E$9&gt;=8/24,E$9&lt;14/24)</formula>
    </cfRule>
    <cfRule type="expression" dxfId="113" priority="57">
      <formula>E$9&lt;8/24</formula>
    </cfRule>
  </conditionalFormatting>
  <conditionalFormatting sqref="E68:K68">
    <cfRule type="expression" dxfId="112" priority="51">
      <formula>AND(E$9&gt;=8/24,E$9&lt;14/24)</formula>
    </cfRule>
    <cfRule type="expression" dxfId="111" priority="50">
      <formula>AND(E$9&gt;=14/24,E$9&lt;20/24)</formula>
    </cfRule>
    <cfRule type="expression" dxfId="110" priority="52">
      <formula>E$9&lt;8/24</formula>
    </cfRule>
    <cfRule type="expression" dxfId="109" priority="49">
      <formula>E$9&gt;=20/24</formula>
    </cfRule>
  </conditionalFormatting>
  <conditionalFormatting sqref="E11:L11 V11:W11 M11:U12 X11:X19 Y11:AF52 K12:L12 V12 W12:W19">
    <cfRule type="expression" dxfId="108" priority="62">
      <formula>E$9&lt;8/24</formula>
    </cfRule>
    <cfRule type="expression" dxfId="107" priority="61">
      <formula>AND(E$9&gt;=8/24,E$9&lt;14/24)</formula>
    </cfRule>
    <cfRule type="expression" dxfId="106" priority="58">
      <formula>E11&gt;$AG11</formula>
    </cfRule>
    <cfRule type="expression" dxfId="105" priority="59">
      <formula>E$9&gt;=20/24</formula>
    </cfRule>
    <cfRule type="expression" dxfId="104" priority="60">
      <formula>AND(E$9&gt;=14/24,E$9&lt;20/24)</formula>
    </cfRule>
  </conditionalFormatting>
  <conditionalFormatting sqref="E55:X57">
    <cfRule type="expression" dxfId="103" priority="46">
      <formula>E$9&gt;=20/24</formula>
    </cfRule>
    <cfRule type="expression" dxfId="102" priority="48">
      <formula>AND(E$9&gt;=8/24,E$9&lt;14/24)</formula>
    </cfRule>
    <cfRule type="expression" dxfId="101" priority="47">
      <formula>AND(E$9&gt;=14/24,E$9&lt;20/24)</formula>
    </cfRule>
  </conditionalFormatting>
  <conditionalFormatting sqref="E56:X56">
    <cfRule type="expression" dxfId="100" priority="45">
      <formula>E56&gt;$AG56</formula>
    </cfRule>
  </conditionalFormatting>
  <conditionalFormatting sqref="E59:AF62">
    <cfRule type="expression" dxfId="99" priority="69">
      <formula>AND(E$9&gt;=8/24,E$9&lt;14/24)</formula>
    </cfRule>
    <cfRule type="expression" dxfId="98" priority="70">
      <formula>E$9&lt;8/24</formula>
    </cfRule>
    <cfRule type="expression" dxfId="97" priority="68">
      <formula>AND(E$9&gt;=14/24,E$9&lt;20/24)</formula>
    </cfRule>
    <cfRule type="expression" dxfId="96" priority="67">
      <formula>E$9&gt;=20/24</formula>
    </cfRule>
  </conditionalFormatting>
  <conditionalFormatting sqref="F63:L65">
    <cfRule type="expression" dxfId="95" priority="84">
      <formula>F$9&lt;8/24</formula>
    </cfRule>
    <cfRule type="expression" dxfId="94" priority="83">
      <formula>AND(F$9&gt;=8/24,F$9&lt;14/24)</formula>
    </cfRule>
    <cfRule type="expression" dxfId="93" priority="82">
      <formula>AND(F$9&gt;=14/24,F$9&lt;20/24)</formula>
    </cfRule>
    <cfRule type="expression" dxfId="92" priority="81">
      <formula>F$9&gt;=20/24</formula>
    </cfRule>
  </conditionalFormatting>
  <conditionalFormatting sqref="L68:V68">
    <cfRule type="expression" dxfId="91" priority="77">
      <formula>L$9&gt;=20/24</formula>
    </cfRule>
    <cfRule type="expression" dxfId="90" priority="78">
      <formula>AND(L$9&gt;=14/24,L$9&lt;20/24)</formula>
    </cfRule>
    <cfRule type="expression" dxfId="89" priority="79">
      <formula>AND(L$9&gt;=8/24,L$9&lt;14/24)</formula>
    </cfRule>
    <cfRule type="expression" dxfId="88" priority="80">
      <formula>L$9&lt;8/24</formula>
    </cfRule>
  </conditionalFormatting>
  <conditionalFormatting sqref="M8 S8 AB8">
    <cfRule type="expression" dxfId="87" priority="136">
      <formula>AND(N$9&gt;=14/24,N$9&lt;20/24)</formula>
    </cfRule>
    <cfRule type="expression" dxfId="86" priority="137">
      <formula>AND(N$9&gt;=8/24,N$9&lt;14/24)</formula>
    </cfRule>
    <cfRule type="expression" dxfId="85" priority="138">
      <formula>N$9&lt;8/24</formula>
    </cfRule>
  </conditionalFormatting>
  <conditionalFormatting sqref="M63:V67">
    <cfRule type="expression" dxfId="84" priority="86">
      <formula>AND(M$9&gt;=14/24,M$9&lt;20/24)</formula>
    </cfRule>
    <cfRule type="expression" dxfId="83" priority="85">
      <formula>M$9&gt;=20/24</formula>
    </cfRule>
    <cfRule type="expression" dxfId="82" priority="87">
      <formula>AND(M$9&gt;=8/24,M$9&lt;14/24)</formula>
    </cfRule>
    <cfRule type="expression" dxfId="81" priority="88">
      <formula>M$9&lt;8/24</formula>
    </cfRule>
  </conditionalFormatting>
  <conditionalFormatting sqref="O3:P3">
    <cfRule type="iconSet" priority="133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80" priority="135">
      <formula>N$9&gt;=20/24</formula>
    </cfRule>
  </conditionalFormatting>
  <conditionalFormatting sqref="S8">
    <cfRule type="expression" dxfId="79" priority="123">
      <formula>AND(U$9&gt;=14/24,U$9&lt;20/24)</formula>
    </cfRule>
    <cfRule type="expression" dxfId="78" priority="125">
      <formula>U$9&lt;8/24</formula>
    </cfRule>
    <cfRule type="expression" dxfId="77" priority="124">
      <formula>AND(U$9&gt;=8/24,U$9&lt;14/24)</formula>
    </cfRule>
    <cfRule type="expression" dxfId="76" priority="122">
      <formula>U$9&gt;=20/24</formula>
    </cfRule>
  </conditionalFormatting>
  <conditionalFormatting sqref="T63:AF68">
    <cfRule type="expression" dxfId="75" priority="74">
      <formula>T$9&lt;8/24</formula>
    </cfRule>
    <cfRule type="expression" dxfId="74" priority="71">
      <formula>T$9&gt;=20/24</formula>
    </cfRule>
    <cfRule type="expression" dxfId="73" priority="72">
      <formula>AND(T$9&gt;=14/24,T$9&lt;20/24)</formula>
    </cfRule>
    <cfRule type="expression" dxfId="72" priority="73">
      <formula>AND(T$9&gt;=8/24,T$9&lt;14/24)</formula>
    </cfRule>
  </conditionalFormatting>
  <conditionalFormatting sqref="V3 AB3">
    <cfRule type="iconSet" priority="134">
      <iconSet iconSet="3TrafficLights2" reverse="1">
        <cfvo type="percent" val="0"/>
        <cfvo type="num" val="1"/>
        <cfvo type="num" val="1"/>
      </iconSet>
    </cfRule>
  </conditionalFormatting>
  <conditionalFormatting sqref="Y56:Z57">
    <cfRule type="expression" dxfId="71" priority="63">
      <formula>Y56&gt;$AG56</formula>
    </cfRule>
  </conditionalFormatting>
  <conditionalFormatting sqref="Y53:AF55">
    <cfRule type="expression" dxfId="70" priority="76">
      <formula>Y53&gt;$AG53</formula>
    </cfRule>
  </conditionalFormatting>
  <conditionalFormatting sqref="Y53:AF57">
    <cfRule type="expression" dxfId="69" priority="75">
      <formula>Y$9&lt;8/24</formula>
    </cfRule>
  </conditionalFormatting>
  <conditionalFormatting sqref="Y55:AF57">
    <cfRule type="expression" dxfId="68" priority="66">
      <formula>AND(Y$9&gt;=8/24,Y$9&lt;14/24)</formula>
    </cfRule>
    <cfRule type="expression" dxfId="67" priority="65">
      <formula>AND(Y$9&gt;=14/24,Y$9&lt;20/24)</formula>
    </cfRule>
    <cfRule type="expression" dxfId="66" priority="64">
      <formula>Y$9&gt;=20/24</formula>
    </cfRule>
  </conditionalFormatting>
  <conditionalFormatting sqref="AB8">
    <cfRule type="expression" dxfId="65" priority="121">
      <formula>AD$9&lt;8/24</formula>
    </cfRule>
    <cfRule type="expression" dxfId="64" priority="120">
      <formula>AND(AD$9&gt;=8/24,AD$9&lt;14/24)</formula>
    </cfRule>
    <cfRule type="expression" dxfId="63" priority="119">
      <formula>AND(AD$9&gt;=14/24,AD$9&lt;20/24)</formula>
    </cfRule>
    <cfRule type="expression" dxfId="62" priority="118">
      <formula>AD$9&gt;=20/24</formula>
    </cfRule>
  </conditionalFormatting>
  <conditionalFormatting sqref="AG58">
    <cfRule type="expression" dxfId="61" priority="113">
      <formula>AG58&gt;$AG58</formula>
    </cfRule>
  </conditionalFormatting>
  <conditionalFormatting sqref="AG62">
    <cfRule type="expression" dxfId="60" priority="97">
      <formula>AND(AG$9&gt;=14/24,AG$9&lt;20/24)</formula>
    </cfRule>
    <cfRule type="expression" dxfId="59" priority="98">
      <formula>AND(AG$9&gt;=8/24,AG$9&lt;14/24)</formula>
    </cfRule>
    <cfRule type="expression" dxfId="58" priority="99">
      <formula>AG$9&lt;8/24</formula>
    </cfRule>
    <cfRule type="expression" dxfId="57" priority="96">
      <formula>AG$9&gt;=20/24</formula>
    </cfRule>
  </conditionalFormatting>
  <conditionalFormatting sqref="AG75:AG76">
    <cfRule type="expression" dxfId="56" priority="91">
      <formula>AG75&gt;$AG75</formula>
    </cfRule>
  </conditionalFormatting>
  <conditionalFormatting sqref="AG80">
    <cfRule type="expression" dxfId="55" priority="92">
      <formula>AG$9&gt;=20/24</formula>
    </cfRule>
    <cfRule type="expression" dxfId="54" priority="93">
      <formula>AND(AG$9&gt;=14/24,AG$9&lt;20/24)</formula>
    </cfRule>
    <cfRule type="expression" dxfId="53" priority="94">
      <formula>AND(AG$9&gt;=8/24,AG$9&lt;14/24)</formula>
    </cfRule>
    <cfRule type="expression" dxfId="52" priority="95">
      <formula>AG$9&lt;8/24</formula>
    </cfRule>
  </conditionalFormatting>
  <conditionalFormatting sqref="AG97">
    <cfRule type="expression" dxfId="51" priority="116">
      <formula>AND(AG$9&gt;=8/24,AG$9&lt;14/24)</formula>
    </cfRule>
    <cfRule type="expression" dxfId="50" priority="115">
      <formula>AND(AG$9&gt;=14/24,AG$9&lt;20/24)</formula>
    </cfRule>
    <cfRule type="expression" dxfId="49" priority="114">
      <formula>AG$9&gt;=20/24</formula>
    </cfRule>
    <cfRule type="expression" dxfId="48" priority="117">
      <formula>AG$9&lt;8/24</formula>
    </cfRule>
  </conditionalFormatting>
  <conditionalFormatting sqref="AL4:AL6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L25">
    <cfRule type="iconSet" priority="111">
      <iconSet iconSet="3TrafficLights2" reverse="1">
        <cfvo type="percent" val="0"/>
        <cfvo type="num" val="1"/>
        <cfvo type="num" val="1"/>
      </iconSet>
    </cfRule>
  </conditionalFormatting>
  <conditionalFormatting sqref="AL38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L44">
    <cfRule type="iconSet" priority="110">
      <iconSet iconSet="3TrafficLights2" reverse="1">
        <cfvo type="percent" val="0"/>
        <cfvo type="num" val="1"/>
        <cfvo type="num" val="1"/>
      </iconSet>
    </cfRule>
  </conditionalFormatting>
  <conditionalFormatting sqref="AL47">
    <cfRule type="iconSet" priority="112">
      <iconSet iconSet="3TrafficLights2" reverse="1">
        <cfvo type="percent" val="0"/>
        <cfvo type="num" val="1"/>
        <cfvo type="num" val="1"/>
      </iconSet>
    </cfRule>
  </conditionalFormatting>
  <conditionalFormatting sqref="AL48 AL45:AL46 AL7:AL11 AL26:AL37 AL39:AL43 AL54:AL55">
    <cfRule type="iconSet" priority="143">
      <iconSet iconSet="3TrafficLights2" reverse="1">
        <cfvo type="percent" val="0"/>
        <cfvo type="num" val="1"/>
        <cfvo type="num" val="1"/>
      </iconSet>
    </cfRule>
  </conditionalFormatting>
  <conditionalFormatting sqref="AL49:AL51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AL52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53">
    <cfRule type="iconSet" priority="100">
      <iconSet iconSet="3TrafficLights2" reverse="1">
        <cfvo type="percent" val="0"/>
        <cfvo type="num" val="1"/>
        <cfvo type="num" val="1"/>
      </iconSet>
    </cfRule>
  </conditionalFormatting>
  <conditionalFormatting sqref="AL89:AM93">
    <cfRule type="expression" dxfId="47" priority="139">
      <formula>AJ$9&gt;=20/24</formula>
    </cfRule>
    <cfRule type="expression" dxfId="46" priority="141">
      <formula>AND(AJ$9&gt;=8/24,AJ$9&lt;14/24)</formula>
    </cfRule>
    <cfRule type="expression" dxfId="45" priority="142">
      <formula>AJ$9&lt;8/24</formula>
    </cfRule>
    <cfRule type="expression" dxfId="44" priority="140">
      <formula>AND(AJ$9&gt;=14/24,AJ$9&lt;20/24)</formula>
    </cfRule>
  </conditionalFormatting>
  <conditionalFormatting sqref="AL88:AN88 AL94:AN94">
    <cfRule type="expression" dxfId="43" priority="106">
      <formula>AL$9&gt;=20/24</formula>
    </cfRule>
    <cfRule type="expression" dxfId="42" priority="107">
      <formula>AND(AL$9&gt;=14/24,AL$9&lt;20/24)</formula>
    </cfRule>
    <cfRule type="expression" dxfId="41" priority="108">
      <formula>AND(AL$9&gt;=8/24,AL$9&lt;14/24)</formula>
    </cfRule>
    <cfRule type="expression" dxfId="40" priority="109">
      <formula>AL$9&lt;8/24</formula>
    </cfRule>
  </conditionalFormatting>
  <conditionalFormatting sqref="AM15:AM21 AN16:AR21">
    <cfRule type="expression" dxfId="39" priority="14">
      <formula>AND(AX$9&gt;=14/24,AX$9&lt;20/24)</formula>
    </cfRule>
    <cfRule type="expression" dxfId="38" priority="16">
      <formula>AX$9&lt;8/24</formula>
    </cfRule>
    <cfRule type="expression" dxfId="37" priority="15">
      <formula>AND(AX$9&gt;=8/24,AX$9&lt;14/24)</formula>
    </cfRule>
    <cfRule type="expression" dxfId="36" priority="13">
      <formula>AX$9&gt;=20/24</formula>
    </cfRule>
  </conditionalFormatting>
  <conditionalFormatting sqref="AN89:AN92">
    <cfRule type="expression" dxfId="35" priority="105">
      <formula>AN$9&lt;8/24</formula>
    </cfRule>
    <cfRule type="expression" dxfId="34" priority="104">
      <formula>AND(AN$9&gt;=8/24,AN$9&lt;14/24)</formula>
    </cfRule>
    <cfRule type="expression" dxfId="33" priority="103">
      <formula>AND(AN$9&gt;=14/24,AN$9&lt;20/24)</formula>
    </cfRule>
    <cfRule type="expression" dxfId="32" priority="102">
      <formula>AN$9&gt;=20/24</formula>
    </cfRule>
  </conditionalFormatting>
  <conditionalFormatting sqref="AN15:AR15">
    <cfRule type="expression" dxfId="31" priority="4">
      <formula>U$9&lt;8/24</formula>
    </cfRule>
    <cfRule type="expression" dxfId="30" priority="3">
      <formula>AND(U$9&gt;=8/24,U$9&lt;14/24)</formula>
    </cfRule>
    <cfRule type="expression" dxfId="29" priority="2">
      <formula>AND(U$9&gt;=14/24,U$9&lt;20/24)</formula>
    </cfRule>
    <cfRule type="expression" dxfId="28" priority="1">
      <formula>U$9&gt;=20/24</formula>
    </cfRule>
  </conditionalFormatting>
  <conditionalFormatting sqref="AS15">
    <cfRule type="expression" dxfId="27" priority="10">
      <formula>AND(AA$9&gt;=14/24,AA$9&lt;20/24)</formula>
    </cfRule>
    <cfRule type="expression" dxfId="26" priority="9">
      <formula>AA$9&gt;=20/24</formula>
    </cfRule>
    <cfRule type="expression" dxfId="25" priority="12">
      <formula>AA$9&lt;8/24</formula>
    </cfRule>
    <cfRule type="expression" dxfId="24" priority="11">
      <formula>AND(AA$9&gt;=8/24,AA$9&lt;14/24)</formula>
    </cfRule>
  </conditionalFormatting>
  <conditionalFormatting sqref="AS16:AS21">
    <cfRule type="expression" dxfId="23" priority="19">
      <formula>AND(BE$9&gt;=8/24,BE$9&lt;14/24)</formula>
    </cfRule>
    <cfRule type="expression" dxfId="22" priority="20">
      <formula>BE$9&lt;8/24</formula>
    </cfRule>
    <cfRule type="expression" dxfId="21" priority="18">
      <formula>AND(BE$9&gt;=14/24,BE$9&lt;20/24)</formula>
    </cfRule>
    <cfRule type="expression" dxfId="20" priority="17">
      <formula>BE$9&gt;=20/24</formula>
    </cfRule>
  </conditionalFormatting>
  <conditionalFormatting sqref="AT15 AX15:BJ15">
    <cfRule type="expression" dxfId="19" priority="22">
      <formula>AND(AC$9&gt;=14/24,AC$9&lt;20/24)</formula>
    </cfRule>
    <cfRule type="expression" dxfId="18" priority="21">
      <formula>AC$9&gt;=20/24</formula>
    </cfRule>
    <cfRule type="expression" dxfId="17" priority="24">
      <formula>AC$9&lt;8/24</formula>
    </cfRule>
    <cfRule type="expression" dxfId="16" priority="23">
      <formula>AND(AC$9&gt;=8/24,AC$9&lt;14/24)</formula>
    </cfRule>
  </conditionalFormatting>
  <conditionalFormatting sqref="AT16:AT21">
    <cfRule type="expression" dxfId="15" priority="26">
      <formula>AND(BG$9&gt;=14/24,BG$9&lt;20/24)</formula>
    </cfRule>
    <cfRule type="expression" dxfId="14" priority="25">
      <formula>BG$9&gt;=20/24</formula>
    </cfRule>
    <cfRule type="expression" dxfId="13" priority="28">
      <formula>BG$9&lt;8/24</formula>
    </cfRule>
    <cfRule type="expression" dxfId="12" priority="27">
      <formula>AND(BG$9&gt;=8/24,BG$9&lt;14/24)</formula>
    </cfRule>
  </conditionalFormatting>
  <conditionalFormatting sqref="AU15:AV15">
    <cfRule type="expression" dxfId="11" priority="32">
      <formula>AE$9&lt;8/24</formula>
    </cfRule>
    <cfRule type="expression" dxfId="10" priority="31">
      <formula>AND(AE$9&gt;=8/24,AE$9&lt;14/24)</formula>
    </cfRule>
    <cfRule type="expression" dxfId="9" priority="30">
      <formula>AND(AE$9&gt;=14/24,AE$9&lt;20/24)</formula>
    </cfRule>
    <cfRule type="expression" dxfId="8" priority="29">
      <formula>AE$9&gt;=20/24</formula>
    </cfRule>
  </conditionalFormatting>
  <conditionalFormatting sqref="AU16:BJ21">
    <cfRule type="expression" dxfId="7" priority="33">
      <formula>BI$9&gt;=20/24</formula>
    </cfRule>
    <cfRule type="expression" dxfId="6" priority="34">
      <formula>AND(BI$9&gt;=14/24,BI$9&lt;20/24)</formula>
    </cfRule>
    <cfRule type="expression" dxfId="5" priority="35">
      <formula>AND(BI$9&gt;=8/24,BI$9&lt;14/24)</formula>
    </cfRule>
    <cfRule type="expression" dxfId="4" priority="36">
      <formula>BI$9&lt;8/24</formula>
    </cfRule>
  </conditionalFormatting>
  <conditionalFormatting sqref="AW15">
    <cfRule type="expression" dxfId="3" priority="5">
      <formula>B$9&gt;=20/24</formula>
    </cfRule>
    <cfRule type="expression" dxfId="2" priority="6">
      <formula>AND(B$9&gt;=14/24,B$9&lt;20/24)</formula>
    </cfRule>
    <cfRule type="expression" dxfId="1" priority="7">
      <formula>AND(B$9&gt;=8/24,B$9&lt;14/24)</formula>
    </cfRule>
    <cfRule type="expression" dxfId="0" priority="8">
      <formula>B$9&lt;8/24</formula>
    </cfRule>
  </conditionalFormatting>
  <pageMargins left="0.7" right="0.7" top="0.75" bottom="0.75" header="0.3" footer="0.3"/>
  <drawing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E7C54-5235-452B-B8DE-BA0F1519B7B6}">
  <sheetPr codeName="Sheet5"/>
  <dimension ref="F6"/>
  <sheetViews>
    <sheetView workbookViewId="0">
      <selection activeCell="AD134" sqref="AD134"/>
    </sheetView>
  </sheetViews>
  <sheetFormatPr defaultRowHeight="15" x14ac:dyDescent="0.25"/>
  <sheetData>
    <row r="6" spans="6:6" x14ac:dyDescent="0.25">
      <c r="F6">
        <f>500-3.76*500/100</f>
        <v>481.2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00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NSample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Room LDC  System Operation Department</dc:creator>
  <cp:lastModifiedBy>Control Room LDC  System Operation Department</cp:lastModifiedBy>
  <dcterms:created xsi:type="dcterms:W3CDTF">2024-04-13T15:48:48Z</dcterms:created>
  <dcterms:modified xsi:type="dcterms:W3CDTF">2025-03-13T05:09:18Z</dcterms:modified>
</cp:coreProperties>
</file>